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comments31.xml" ContentType="application/vnd.openxmlformats-officedocument.spreadsheetml.comments+xml"/>
  <Override PartName="/xl/comments32.xml" ContentType="application/vnd.openxmlformats-officedocument.spreadsheetml.comments+xml"/>
  <Override PartName="/xl/comments33.xml" ContentType="application/vnd.openxmlformats-officedocument.spreadsheetml.comments+xml"/>
  <Override PartName="/xl/comments34.xml" ContentType="application/vnd.openxmlformats-officedocument.spreadsheetml.comments+xml"/>
  <Override PartName="/xl/comments35.xml" ContentType="application/vnd.openxmlformats-officedocument.spreadsheetml.comments+xml"/>
  <Override PartName="/xl/comments36.xml" ContentType="application/vnd.openxmlformats-officedocument.spreadsheetml.comments+xml"/>
  <Override PartName="/xl/comments37.xml" ContentType="application/vnd.openxmlformats-officedocument.spreadsheetml.comments+xml"/>
  <Override PartName="/xl/comments38.xml" ContentType="application/vnd.openxmlformats-officedocument.spreadsheetml.comments+xml"/>
  <Override PartName="/xl/comments39.xml" ContentType="application/vnd.openxmlformats-officedocument.spreadsheetml.comments+xml"/>
  <Override PartName="/xl/comments40.xml" ContentType="application/vnd.openxmlformats-officedocument.spreadsheetml.comments+xml"/>
  <Override PartName="/xl/comments41.xml" ContentType="application/vnd.openxmlformats-officedocument.spreadsheetml.comments+xml"/>
  <Override PartName="/xl/comments42.xml" ContentType="application/vnd.openxmlformats-officedocument.spreadsheetml.comments+xml"/>
  <Override PartName="/xl/comments43.xml" ContentType="application/vnd.openxmlformats-officedocument.spreadsheetml.comments+xml"/>
  <Override PartName="/xl/comments44.xml" ContentType="application/vnd.openxmlformats-officedocument.spreadsheetml.comments+xml"/>
  <Override PartName="/xl/comments45.xml" ContentType="application/vnd.openxmlformats-officedocument.spreadsheetml.comments+xml"/>
  <Override PartName="/xl/comments46.xml" ContentType="application/vnd.openxmlformats-officedocument.spreadsheetml.comments+xml"/>
  <Override PartName="/xl/comments47.xml" ContentType="application/vnd.openxmlformats-officedocument.spreadsheetml.comments+xml"/>
  <Override PartName="/xl/comments48.xml" ContentType="application/vnd.openxmlformats-officedocument.spreadsheetml.comments+xml"/>
  <Override PartName="/xl/comments4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Z:\Charter Schools\!!FEFP\FY 23 - FEFP Funding\!Payments 2022-23\2023-04 Pmt\"/>
    </mc:Choice>
  </mc:AlternateContent>
  <bookViews>
    <workbookView xWindow="38280" yWindow="-120" windowWidth="38640" windowHeight="21240" tabRatio="759"/>
  </bookViews>
  <sheets>
    <sheet name="Net Payment" sheetId="64" r:id="rId1"/>
    <sheet name="Charter Schools" sheetId="65" r:id="rId2"/>
    <sheet name="Consolidated" sheetId="60" r:id="rId3"/>
    <sheet name="0664" sheetId="7" r:id="rId4"/>
    <sheet name="1461" sheetId="15" r:id="rId5"/>
    <sheet name="1571" sheetId="16" r:id="rId6"/>
    <sheet name="2521" sheetId="17" r:id="rId7"/>
    <sheet name="2531" sheetId="18" r:id="rId8"/>
    <sheet name="2791" sheetId="20" r:id="rId9"/>
    <sheet name="2801" sheetId="21" r:id="rId10"/>
    <sheet name="2911" sheetId="25" r:id="rId11"/>
    <sheet name="2941" sheetId="24" r:id="rId12"/>
    <sheet name="3083" sheetId="22" r:id="rId13"/>
    <sheet name="3345" sheetId="26" r:id="rId14"/>
    <sheet name="3381" sheetId="27" r:id="rId15"/>
    <sheet name="3382" sheetId="28" r:id="rId16"/>
    <sheet name="3391" sheetId="31" r:id="rId17"/>
    <sheet name="3394" sheetId="32" r:id="rId18"/>
    <sheet name="3395" sheetId="33" r:id="rId19"/>
    <sheet name="3396" sheetId="34" r:id="rId20"/>
    <sheet name="3398" sheetId="35" r:id="rId21"/>
    <sheet name="3400" sheetId="23" r:id="rId22"/>
    <sheet name="3401" sheetId="36" r:id="rId23"/>
    <sheet name="3413" sheetId="37" r:id="rId24"/>
    <sheet name="3421" sheetId="38" r:id="rId25"/>
    <sheet name="3431" sheetId="39" r:id="rId26"/>
    <sheet name="3441" sheetId="40" r:id="rId27"/>
    <sheet name="3924" sheetId="42" r:id="rId28"/>
    <sheet name="3941" sheetId="43" r:id="rId29"/>
    <sheet name="3961" sheetId="44" r:id="rId30"/>
    <sheet name="3971" sheetId="45" r:id="rId31"/>
    <sheet name="4001" sheetId="47" r:id="rId32"/>
    <sheet name="4002" sheetId="48" r:id="rId33"/>
    <sheet name="4012" sheetId="50" r:id="rId34"/>
    <sheet name="4013" sheetId="51" r:id="rId35"/>
    <sheet name="4020" sheetId="52" r:id="rId36"/>
    <sheet name="4030" sheetId="75" r:id="rId37"/>
    <sheet name="4031" sheetId="76" r:id="rId38"/>
    <sheet name="4041" sheetId="55" r:id="rId39"/>
    <sheet name="4050" sheetId="56" r:id="rId40"/>
    <sheet name="4051" sheetId="57" r:id="rId41"/>
    <sheet name="4061" sheetId="58" r:id="rId42"/>
    <sheet name="4080" sheetId="66" r:id="rId43"/>
    <sheet name="4081" sheetId="67" r:id="rId44"/>
    <sheet name="4090" sheetId="69" r:id="rId45"/>
    <sheet name="4091" sheetId="70" r:id="rId46"/>
    <sheet name="4100" sheetId="71" r:id="rId47"/>
    <sheet name="4102" sheetId="68" r:id="rId48"/>
    <sheet name="4103" sheetId="77" r:id="rId49"/>
    <sheet name="4111" sheetId="78" r:id="rId50"/>
    <sheet name="4131" sheetId="30" r:id="rId51"/>
    <sheet name="Virtual" sheetId="62" state="hidden" r:id="rId52"/>
  </sheets>
  <definedNames>
    <definedName name="_xlnm._FilterDatabase" localSheetId="0" hidden="1">'Net Payment'!$A$4:$G$450</definedName>
    <definedName name="CAP" localSheetId="3" hidden="1">{#N/A,#N/A,FALSE,"Summation";#N/A,#N/A,FALSE,"BSA";#N/A,#N/A,FALSE,"Detail1";#N/A,#N/A,FALSE,"Detail2";#N/A,#N/A,FALSE,"Detail3";#N/A,#N/A,FALSE,"WFTE_Summary";#N/A,#N/A,FALSE,"Funded_WFTE";#N/A,#N/A,FALSE,"PYADJ96"}</definedName>
    <definedName name="CAP" localSheetId="4" hidden="1">{#N/A,#N/A,FALSE,"Summation";#N/A,#N/A,FALSE,"BSA";#N/A,#N/A,FALSE,"Detail1";#N/A,#N/A,FALSE,"Detail2";#N/A,#N/A,FALSE,"Detail3";#N/A,#N/A,FALSE,"WFTE_Summary";#N/A,#N/A,FALSE,"Funded_WFTE";#N/A,#N/A,FALSE,"PYADJ96"}</definedName>
    <definedName name="CAP" localSheetId="5" hidden="1">{#N/A,#N/A,FALSE,"Summation";#N/A,#N/A,FALSE,"BSA";#N/A,#N/A,FALSE,"Detail1";#N/A,#N/A,FALSE,"Detail2";#N/A,#N/A,FALSE,"Detail3";#N/A,#N/A,FALSE,"WFTE_Summary";#N/A,#N/A,FALSE,"Funded_WFTE";#N/A,#N/A,FALSE,"PYADJ96"}</definedName>
    <definedName name="CAP" localSheetId="6" hidden="1">{#N/A,#N/A,FALSE,"Summation";#N/A,#N/A,FALSE,"BSA";#N/A,#N/A,FALSE,"Detail1";#N/A,#N/A,FALSE,"Detail2";#N/A,#N/A,FALSE,"Detail3";#N/A,#N/A,FALSE,"WFTE_Summary";#N/A,#N/A,FALSE,"Funded_WFTE";#N/A,#N/A,FALSE,"PYADJ96"}</definedName>
    <definedName name="CAP" localSheetId="7" hidden="1">{#N/A,#N/A,FALSE,"Summation";#N/A,#N/A,FALSE,"BSA";#N/A,#N/A,FALSE,"Detail1";#N/A,#N/A,FALSE,"Detail2";#N/A,#N/A,FALSE,"Detail3";#N/A,#N/A,FALSE,"WFTE_Summary";#N/A,#N/A,FALSE,"Funded_WFTE";#N/A,#N/A,FALSE,"PYADJ96"}</definedName>
    <definedName name="CAP" localSheetId="8" hidden="1">{#N/A,#N/A,FALSE,"Summation";#N/A,#N/A,FALSE,"BSA";#N/A,#N/A,FALSE,"Detail1";#N/A,#N/A,FALSE,"Detail2";#N/A,#N/A,FALSE,"Detail3";#N/A,#N/A,FALSE,"WFTE_Summary";#N/A,#N/A,FALSE,"Funded_WFTE";#N/A,#N/A,FALSE,"PYADJ96"}</definedName>
    <definedName name="CAP" localSheetId="9" hidden="1">{#N/A,#N/A,FALSE,"Summation";#N/A,#N/A,FALSE,"BSA";#N/A,#N/A,FALSE,"Detail1";#N/A,#N/A,FALSE,"Detail2";#N/A,#N/A,FALSE,"Detail3";#N/A,#N/A,FALSE,"WFTE_Summary";#N/A,#N/A,FALSE,"Funded_WFTE";#N/A,#N/A,FALSE,"PYADJ96"}</definedName>
    <definedName name="CAP" localSheetId="10" hidden="1">{#N/A,#N/A,FALSE,"Summation";#N/A,#N/A,FALSE,"BSA";#N/A,#N/A,FALSE,"Detail1";#N/A,#N/A,FALSE,"Detail2";#N/A,#N/A,FALSE,"Detail3";#N/A,#N/A,FALSE,"WFTE_Summary";#N/A,#N/A,FALSE,"Funded_WFTE";#N/A,#N/A,FALSE,"PYADJ96"}</definedName>
    <definedName name="CAP" localSheetId="11" hidden="1">{#N/A,#N/A,FALSE,"Summation";#N/A,#N/A,FALSE,"BSA";#N/A,#N/A,FALSE,"Detail1";#N/A,#N/A,FALSE,"Detail2";#N/A,#N/A,FALSE,"Detail3";#N/A,#N/A,FALSE,"WFTE_Summary";#N/A,#N/A,FALSE,"Funded_WFTE";#N/A,#N/A,FALSE,"PYADJ96"}</definedName>
    <definedName name="CAP" localSheetId="12" hidden="1">{#N/A,#N/A,FALSE,"Summation";#N/A,#N/A,FALSE,"BSA";#N/A,#N/A,FALSE,"Detail1";#N/A,#N/A,FALSE,"Detail2";#N/A,#N/A,FALSE,"Detail3";#N/A,#N/A,FALSE,"WFTE_Summary";#N/A,#N/A,FALSE,"Funded_WFTE";#N/A,#N/A,FALSE,"PYADJ96"}</definedName>
    <definedName name="CAP" localSheetId="13" hidden="1">{#N/A,#N/A,FALSE,"Summation";#N/A,#N/A,FALSE,"BSA";#N/A,#N/A,FALSE,"Detail1";#N/A,#N/A,FALSE,"Detail2";#N/A,#N/A,FALSE,"Detail3";#N/A,#N/A,FALSE,"WFTE_Summary";#N/A,#N/A,FALSE,"Funded_WFTE";#N/A,#N/A,FALSE,"PYADJ96"}</definedName>
    <definedName name="CAP" localSheetId="14" hidden="1">{#N/A,#N/A,FALSE,"Summation";#N/A,#N/A,FALSE,"BSA";#N/A,#N/A,FALSE,"Detail1";#N/A,#N/A,FALSE,"Detail2";#N/A,#N/A,FALSE,"Detail3";#N/A,#N/A,FALSE,"WFTE_Summary";#N/A,#N/A,FALSE,"Funded_WFTE";#N/A,#N/A,FALSE,"PYADJ96"}</definedName>
    <definedName name="CAP" localSheetId="15" hidden="1">{#N/A,#N/A,FALSE,"Summation";#N/A,#N/A,FALSE,"BSA";#N/A,#N/A,FALSE,"Detail1";#N/A,#N/A,FALSE,"Detail2";#N/A,#N/A,FALSE,"Detail3";#N/A,#N/A,FALSE,"WFTE_Summary";#N/A,#N/A,FALSE,"Funded_WFTE";#N/A,#N/A,FALSE,"PYADJ96"}</definedName>
    <definedName name="CAP" localSheetId="16" hidden="1">{#N/A,#N/A,FALSE,"Summation";#N/A,#N/A,FALSE,"BSA";#N/A,#N/A,FALSE,"Detail1";#N/A,#N/A,FALSE,"Detail2";#N/A,#N/A,FALSE,"Detail3";#N/A,#N/A,FALSE,"WFTE_Summary";#N/A,#N/A,FALSE,"Funded_WFTE";#N/A,#N/A,FALSE,"PYADJ96"}</definedName>
    <definedName name="CAP" localSheetId="17" hidden="1">{#N/A,#N/A,FALSE,"Summation";#N/A,#N/A,FALSE,"BSA";#N/A,#N/A,FALSE,"Detail1";#N/A,#N/A,FALSE,"Detail2";#N/A,#N/A,FALSE,"Detail3";#N/A,#N/A,FALSE,"WFTE_Summary";#N/A,#N/A,FALSE,"Funded_WFTE";#N/A,#N/A,FALSE,"PYADJ96"}</definedName>
    <definedName name="CAP" localSheetId="18" hidden="1">{#N/A,#N/A,FALSE,"Summation";#N/A,#N/A,FALSE,"BSA";#N/A,#N/A,FALSE,"Detail1";#N/A,#N/A,FALSE,"Detail2";#N/A,#N/A,FALSE,"Detail3";#N/A,#N/A,FALSE,"WFTE_Summary";#N/A,#N/A,FALSE,"Funded_WFTE";#N/A,#N/A,FALSE,"PYADJ96"}</definedName>
    <definedName name="CAP" localSheetId="19" hidden="1">{#N/A,#N/A,FALSE,"Summation";#N/A,#N/A,FALSE,"BSA";#N/A,#N/A,FALSE,"Detail1";#N/A,#N/A,FALSE,"Detail2";#N/A,#N/A,FALSE,"Detail3";#N/A,#N/A,FALSE,"WFTE_Summary";#N/A,#N/A,FALSE,"Funded_WFTE";#N/A,#N/A,FALSE,"PYADJ96"}</definedName>
    <definedName name="CAP" localSheetId="20" hidden="1">{#N/A,#N/A,FALSE,"Summation";#N/A,#N/A,FALSE,"BSA";#N/A,#N/A,FALSE,"Detail1";#N/A,#N/A,FALSE,"Detail2";#N/A,#N/A,FALSE,"Detail3";#N/A,#N/A,FALSE,"WFTE_Summary";#N/A,#N/A,FALSE,"Funded_WFTE";#N/A,#N/A,FALSE,"PYADJ96"}</definedName>
    <definedName name="CAP" localSheetId="21" hidden="1">{#N/A,#N/A,FALSE,"Summation";#N/A,#N/A,FALSE,"BSA";#N/A,#N/A,FALSE,"Detail1";#N/A,#N/A,FALSE,"Detail2";#N/A,#N/A,FALSE,"Detail3";#N/A,#N/A,FALSE,"WFTE_Summary";#N/A,#N/A,FALSE,"Funded_WFTE";#N/A,#N/A,FALSE,"PYADJ96"}</definedName>
    <definedName name="CAP" localSheetId="22" hidden="1">{#N/A,#N/A,FALSE,"Summation";#N/A,#N/A,FALSE,"BSA";#N/A,#N/A,FALSE,"Detail1";#N/A,#N/A,FALSE,"Detail2";#N/A,#N/A,FALSE,"Detail3";#N/A,#N/A,FALSE,"WFTE_Summary";#N/A,#N/A,FALSE,"Funded_WFTE";#N/A,#N/A,FALSE,"PYADJ96"}</definedName>
    <definedName name="CAP" localSheetId="23" hidden="1">{#N/A,#N/A,FALSE,"Summation";#N/A,#N/A,FALSE,"BSA";#N/A,#N/A,FALSE,"Detail1";#N/A,#N/A,FALSE,"Detail2";#N/A,#N/A,FALSE,"Detail3";#N/A,#N/A,FALSE,"WFTE_Summary";#N/A,#N/A,FALSE,"Funded_WFTE";#N/A,#N/A,FALSE,"PYADJ96"}</definedName>
    <definedName name="CAP" localSheetId="24" hidden="1">{#N/A,#N/A,FALSE,"Summation";#N/A,#N/A,FALSE,"BSA";#N/A,#N/A,FALSE,"Detail1";#N/A,#N/A,FALSE,"Detail2";#N/A,#N/A,FALSE,"Detail3";#N/A,#N/A,FALSE,"WFTE_Summary";#N/A,#N/A,FALSE,"Funded_WFTE";#N/A,#N/A,FALSE,"PYADJ96"}</definedName>
    <definedName name="CAP" localSheetId="25" hidden="1">{#N/A,#N/A,FALSE,"Summation";#N/A,#N/A,FALSE,"BSA";#N/A,#N/A,FALSE,"Detail1";#N/A,#N/A,FALSE,"Detail2";#N/A,#N/A,FALSE,"Detail3";#N/A,#N/A,FALSE,"WFTE_Summary";#N/A,#N/A,FALSE,"Funded_WFTE";#N/A,#N/A,FALSE,"PYADJ96"}</definedName>
    <definedName name="CAP" localSheetId="26" hidden="1">{#N/A,#N/A,FALSE,"Summation";#N/A,#N/A,FALSE,"BSA";#N/A,#N/A,FALSE,"Detail1";#N/A,#N/A,FALSE,"Detail2";#N/A,#N/A,FALSE,"Detail3";#N/A,#N/A,FALSE,"WFTE_Summary";#N/A,#N/A,FALSE,"Funded_WFTE";#N/A,#N/A,FALSE,"PYADJ96"}</definedName>
    <definedName name="CAP" localSheetId="27" hidden="1">{#N/A,#N/A,FALSE,"Summation";#N/A,#N/A,FALSE,"BSA";#N/A,#N/A,FALSE,"Detail1";#N/A,#N/A,FALSE,"Detail2";#N/A,#N/A,FALSE,"Detail3";#N/A,#N/A,FALSE,"WFTE_Summary";#N/A,#N/A,FALSE,"Funded_WFTE";#N/A,#N/A,FALSE,"PYADJ96"}</definedName>
    <definedName name="CAP" localSheetId="28" hidden="1">{#N/A,#N/A,FALSE,"Summation";#N/A,#N/A,FALSE,"BSA";#N/A,#N/A,FALSE,"Detail1";#N/A,#N/A,FALSE,"Detail2";#N/A,#N/A,FALSE,"Detail3";#N/A,#N/A,FALSE,"WFTE_Summary";#N/A,#N/A,FALSE,"Funded_WFTE";#N/A,#N/A,FALSE,"PYADJ96"}</definedName>
    <definedName name="CAP" localSheetId="29" hidden="1">{#N/A,#N/A,FALSE,"Summation";#N/A,#N/A,FALSE,"BSA";#N/A,#N/A,FALSE,"Detail1";#N/A,#N/A,FALSE,"Detail2";#N/A,#N/A,FALSE,"Detail3";#N/A,#N/A,FALSE,"WFTE_Summary";#N/A,#N/A,FALSE,"Funded_WFTE";#N/A,#N/A,FALSE,"PYADJ96"}</definedName>
    <definedName name="CAP" localSheetId="30" hidden="1">{#N/A,#N/A,FALSE,"Summation";#N/A,#N/A,FALSE,"BSA";#N/A,#N/A,FALSE,"Detail1";#N/A,#N/A,FALSE,"Detail2";#N/A,#N/A,FALSE,"Detail3";#N/A,#N/A,FALSE,"WFTE_Summary";#N/A,#N/A,FALSE,"Funded_WFTE";#N/A,#N/A,FALSE,"PYADJ96"}</definedName>
    <definedName name="CAP" localSheetId="31" hidden="1">{#N/A,#N/A,FALSE,"Summation";#N/A,#N/A,FALSE,"BSA";#N/A,#N/A,FALSE,"Detail1";#N/A,#N/A,FALSE,"Detail2";#N/A,#N/A,FALSE,"Detail3";#N/A,#N/A,FALSE,"WFTE_Summary";#N/A,#N/A,FALSE,"Funded_WFTE";#N/A,#N/A,FALSE,"PYADJ96"}</definedName>
    <definedName name="CAP" localSheetId="32" hidden="1">{#N/A,#N/A,FALSE,"Summation";#N/A,#N/A,FALSE,"BSA";#N/A,#N/A,FALSE,"Detail1";#N/A,#N/A,FALSE,"Detail2";#N/A,#N/A,FALSE,"Detail3";#N/A,#N/A,FALSE,"WFTE_Summary";#N/A,#N/A,FALSE,"Funded_WFTE";#N/A,#N/A,FALSE,"PYADJ96"}</definedName>
    <definedName name="CAP" localSheetId="33" hidden="1">{#N/A,#N/A,FALSE,"Summation";#N/A,#N/A,FALSE,"BSA";#N/A,#N/A,FALSE,"Detail1";#N/A,#N/A,FALSE,"Detail2";#N/A,#N/A,FALSE,"Detail3";#N/A,#N/A,FALSE,"WFTE_Summary";#N/A,#N/A,FALSE,"Funded_WFTE";#N/A,#N/A,FALSE,"PYADJ96"}</definedName>
    <definedName name="CAP" localSheetId="34" hidden="1">{#N/A,#N/A,FALSE,"Summation";#N/A,#N/A,FALSE,"BSA";#N/A,#N/A,FALSE,"Detail1";#N/A,#N/A,FALSE,"Detail2";#N/A,#N/A,FALSE,"Detail3";#N/A,#N/A,FALSE,"WFTE_Summary";#N/A,#N/A,FALSE,"Funded_WFTE";#N/A,#N/A,FALSE,"PYADJ96"}</definedName>
    <definedName name="CAP" localSheetId="35" hidden="1">{#N/A,#N/A,FALSE,"Summation";#N/A,#N/A,FALSE,"BSA";#N/A,#N/A,FALSE,"Detail1";#N/A,#N/A,FALSE,"Detail2";#N/A,#N/A,FALSE,"Detail3";#N/A,#N/A,FALSE,"WFTE_Summary";#N/A,#N/A,FALSE,"Funded_WFTE";#N/A,#N/A,FALSE,"PYADJ96"}</definedName>
    <definedName name="CAP" localSheetId="36" hidden="1">{#N/A,#N/A,FALSE,"Summation";#N/A,#N/A,FALSE,"BSA";#N/A,#N/A,FALSE,"Detail1";#N/A,#N/A,FALSE,"Detail2";#N/A,#N/A,FALSE,"Detail3";#N/A,#N/A,FALSE,"WFTE_Summary";#N/A,#N/A,FALSE,"Funded_WFTE";#N/A,#N/A,FALSE,"PYADJ96"}</definedName>
    <definedName name="CAP" localSheetId="37" hidden="1">{#N/A,#N/A,FALSE,"Summation";#N/A,#N/A,FALSE,"BSA";#N/A,#N/A,FALSE,"Detail1";#N/A,#N/A,FALSE,"Detail2";#N/A,#N/A,FALSE,"Detail3";#N/A,#N/A,FALSE,"WFTE_Summary";#N/A,#N/A,FALSE,"Funded_WFTE";#N/A,#N/A,FALSE,"PYADJ96"}</definedName>
    <definedName name="CAP" localSheetId="38" hidden="1">{#N/A,#N/A,FALSE,"Summation";#N/A,#N/A,FALSE,"BSA";#N/A,#N/A,FALSE,"Detail1";#N/A,#N/A,FALSE,"Detail2";#N/A,#N/A,FALSE,"Detail3";#N/A,#N/A,FALSE,"WFTE_Summary";#N/A,#N/A,FALSE,"Funded_WFTE";#N/A,#N/A,FALSE,"PYADJ96"}</definedName>
    <definedName name="CAP" localSheetId="39" hidden="1">{#N/A,#N/A,FALSE,"Summation";#N/A,#N/A,FALSE,"BSA";#N/A,#N/A,FALSE,"Detail1";#N/A,#N/A,FALSE,"Detail2";#N/A,#N/A,FALSE,"Detail3";#N/A,#N/A,FALSE,"WFTE_Summary";#N/A,#N/A,FALSE,"Funded_WFTE";#N/A,#N/A,FALSE,"PYADJ96"}</definedName>
    <definedName name="CAP" localSheetId="40" hidden="1">{#N/A,#N/A,FALSE,"Summation";#N/A,#N/A,FALSE,"BSA";#N/A,#N/A,FALSE,"Detail1";#N/A,#N/A,FALSE,"Detail2";#N/A,#N/A,FALSE,"Detail3";#N/A,#N/A,FALSE,"WFTE_Summary";#N/A,#N/A,FALSE,"Funded_WFTE";#N/A,#N/A,FALSE,"PYADJ96"}</definedName>
    <definedName name="CAP" localSheetId="41" hidden="1">{#N/A,#N/A,FALSE,"Summation";#N/A,#N/A,FALSE,"BSA";#N/A,#N/A,FALSE,"Detail1";#N/A,#N/A,FALSE,"Detail2";#N/A,#N/A,FALSE,"Detail3";#N/A,#N/A,FALSE,"WFTE_Summary";#N/A,#N/A,FALSE,"Funded_WFTE";#N/A,#N/A,FALSE,"PYADJ96"}</definedName>
    <definedName name="CAP" localSheetId="42" hidden="1">{#N/A,#N/A,FALSE,"Summation";#N/A,#N/A,FALSE,"BSA";#N/A,#N/A,FALSE,"Detail1";#N/A,#N/A,FALSE,"Detail2";#N/A,#N/A,FALSE,"Detail3";#N/A,#N/A,FALSE,"WFTE_Summary";#N/A,#N/A,FALSE,"Funded_WFTE";#N/A,#N/A,FALSE,"PYADJ96"}</definedName>
    <definedName name="CAP" localSheetId="43" hidden="1">{#N/A,#N/A,FALSE,"Summation";#N/A,#N/A,FALSE,"BSA";#N/A,#N/A,FALSE,"Detail1";#N/A,#N/A,FALSE,"Detail2";#N/A,#N/A,FALSE,"Detail3";#N/A,#N/A,FALSE,"WFTE_Summary";#N/A,#N/A,FALSE,"Funded_WFTE";#N/A,#N/A,FALSE,"PYADJ96"}</definedName>
    <definedName name="CAP" localSheetId="44" hidden="1">{#N/A,#N/A,FALSE,"Summation";#N/A,#N/A,FALSE,"BSA";#N/A,#N/A,FALSE,"Detail1";#N/A,#N/A,FALSE,"Detail2";#N/A,#N/A,FALSE,"Detail3";#N/A,#N/A,FALSE,"WFTE_Summary";#N/A,#N/A,FALSE,"Funded_WFTE";#N/A,#N/A,FALSE,"PYADJ96"}</definedName>
    <definedName name="CAP" localSheetId="45" hidden="1">{#N/A,#N/A,FALSE,"Summation";#N/A,#N/A,FALSE,"BSA";#N/A,#N/A,FALSE,"Detail1";#N/A,#N/A,FALSE,"Detail2";#N/A,#N/A,FALSE,"Detail3";#N/A,#N/A,FALSE,"WFTE_Summary";#N/A,#N/A,FALSE,"Funded_WFTE";#N/A,#N/A,FALSE,"PYADJ96"}</definedName>
    <definedName name="CAP" localSheetId="46" hidden="1">{#N/A,#N/A,FALSE,"Summation";#N/A,#N/A,FALSE,"BSA";#N/A,#N/A,FALSE,"Detail1";#N/A,#N/A,FALSE,"Detail2";#N/A,#N/A,FALSE,"Detail3";#N/A,#N/A,FALSE,"WFTE_Summary";#N/A,#N/A,FALSE,"Funded_WFTE";#N/A,#N/A,FALSE,"PYADJ96"}</definedName>
    <definedName name="CAP" localSheetId="47" hidden="1">{#N/A,#N/A,FALSE,"Summation";#N/A,#N/A,FALSE,"BSA";#N/A,#N/A,FALSE,"Detail1";#N/A,#N/A,FALSE,"Detail2";#N/A,#N/A,FALSE,"Detail3";#N/A,#N/A,FALSE,"WFTE_Summary";#N/A,#N/A,FALSE,"Funded_WFTE";#N/A,#N/A,FALSE,"PYADJ96"}</definedName>
    <definedName name="CAP" localSheetId="48" hidden="1">{#N/A,#N/A,FALSE,"Summation";#N/A,#N/A,FALSE,"BSA";#N/A,#N/A,FALSE,"Detail1";#N/A,#N/A,FALSE,"Detail2";#N/A,#N/A,FALSE,"Detail3";#N/A,#N/A,FALSE,"WFTE_Summary";#N/A,#N/A,FALSE,"Funded_WFTE";#N/A,#N/A,FALSE,"PYADJ96"}</definedName>
    <definedName name="CAP" localSheetId="49" hidden="1">{#N/A,#N/A,FALSE,"Summation";#N/A,#N/A,FALSE,"BSA";#N/A,#N/A,FALSE,"Detail1";#N/A,#N/A,FALSE,"Detail2";#N/A,#N/A,FALSE,"Detail3";#N/A,#N/A,FALSE,"WFTE_Summary";#N/A,#N/A,FALSE,"Funded_WFTE";#N/A,#N/A,FALSE,"PYADJ96"}</definedName>
    <definedName name="CAP" localSheetId="50" hidden="1">{#N/A,#N/A,FALSE,"Summation";#N/A,#N/A,FALSE,"BSA";#N/A,#N/A,FALSE,"Detail1";#N/A,#N/A,FALSE,"Detail2";#N/A,#N/A,FALSE,"Detail3";#N/A,#N/A,FALSE,"WFTE_Summary";#N/A,#N/A,FALSE,"Funded_WFTE";#N/A,#N/A,FALSE,"PYADJ96"}</definedName>
    <definedName name="CAP" localSheetId="2" hidden="1">{#N/A,#N/A,FALSE,"Summation";#N/A,#N/A,FALSE,"BSA";#N/A,#N/A,FALSE,"Detail1";#N/A,#N/A,FALSE,"Detail2";#N/A,#N/A,FALSE,"Detail3";#N/A,#N/A,FALSE,"WFTE_Summary";#N/A,#N/A,FALSE,"Funded_WFTE";#N/A,#N/A,FALSE,"PYADJ96"}</definedName>
    <definedName name="CAP" hidden="1">{#N/A,#N/A,FALSE,"Summation";#N/A,#N/A,FALSE,"BSA";#N/A,#N/A,FALSE,"Detail1";#N/A,#N/A,FALSE,"Detail2";#N/A,#N/A,FALSE,"Detail3";#N/A,#N/A,FALSE,"WFTE_Summary";#N/A,#N/A,FALSE,"Funded_WFTE";#N/A,#N/A,FALSE,"PYADJ96"}</definedName>
    <definedName name="HTML_CodePage" hidden="1">1252</definedName>
    <definedName name="HTML_Control" hidden="1">{"'AssumptionsHTML'!$B$9:$E$357","'SummationHTML'!$A$4:$J$93","'Difference'!$A$11:$K$101","'DifferenceFTE'!$A$11:$K$101","'Detail1'!$A$11:$I$97","'Detail2'!$A$11:$J$97","'Detail3'!$A$11:$J$97","'Categorical1'!$A$11:$L$97"}</definedName>
    <definedName name="HTML_Description" hidden="1">""</definedName>
    <definedName name="HTML_Email" hidden="1">""</definedName>
    <definedName name="HTML_Header" hidden="1">""</definedName>
    <definedName name="HTML_LastUpdate" hidden="1">"9/4/97"</definedName>
    <definedName name="HTML_LineAfter" hidden="1">FALSE</definedName>
    <definedName name="HTML_LineBefore" hidden="1">FALSE</definedName>
    <definedName name="HTML_Name" hidden="1">"David Montford"</definedName>
    <definedName name="HTML_OBDlg2" hidden="1">TRUE</definedName>
    <definedName name="HTML_OBDlg4" hidden="1">TRUE</definedName>
    <definedName name="HTML_OS" hidden="1">0</definedName>
    <definedName name="HTML_PathFile" hidden="1">"H:\XLFILES\test.htm"</definedName>
    <definedName name="HTML_Title" hidden="1">""</definedName>
    <definedName name="PRACTICE" localSheetId="3" hidden="1">{#N/A,#N/A,FALSE,"Summation";#N/A,#N/A,FALSE,"BSA";#N/A,#N/A,FALSE,"Detail1";#N/A,#N/A,FALSE,"Detail2";#N/A,#N/A,FALSE,"Detail3";#N/A,#N/A,FALSE,"WFTE_Summary";#N/A,#N/A,FALSE,"Funded_WFTE";#N/A,#N/A,FALSE,"PYADJ96"}</definedName>
    <definedName name="PRACTICE" localSheetId="4" hidden="1">{#N/A,#N/A,FALSE,"Summation";#N/A,#N/A,FALSE,"BSA";#N/A,#N/A,FALSE,"Detail1";#N/A,#N/A,FALSE,"Detail2";#N/A,#N/A,FALSE,"Detail3";#N/A,#N/A,FALSE,"WFTE_Summary";#N/A,#N/A,FALSE,"Funded_WFTE";#N/A,#N/A,FALSE,"PYADJ96"}</definedName>
    <definedName name="PRACTICE" localSheetId="5" hidden="1">{#N/A,#N/A,FALSE,"Summation";#N/A,#N/A,FALSE,"BSA";#N/A,#N/A,FALSE,"Detail1";#N/A,#N/A,FALSE,"Detail2";#N/A,#N/A,FALSE,"Detail3";#N/A,#N/A,FALSE,"WFTE_Summary";#N/A,#N/A,FALSE,"Funded_WFTE";#N/A,#N/A,FALSE,"PYADJ96"}</definedName>
    <definedName name="PRACTICE" localSheetId="6" hidden="1">{#N/A,#N/A,FALSE,"Summation";#N/A,#N/A,FALSE,"BSA";#N/A,#N/A,FALSE,"Detail1";#N/A,#N/A,FALSE,"Detail2";#N/A,#N/A,FALSE,"Detail3";#N/A,#N/A,FALSE,"WFTE_Summary";#N/A,#N/A,FALSE,"Funded_WFTE";#N/A,#N/A,FALSE,"PYADJ96"}</definedName>
    <definedName name="PRACTICE" localSheetId="7" hidden="1">{#N/A,#N/A,FALSE,"Summation";#N/A,#N/A,FALSE,"BSA";#N/A,#N/A,FALSE,"Detail1";#N/A,#N/A,FALSE,"Detail2";#N/A,#N/A,FALSE,"Detail3";#N/A,#N/A,FALSE,"WFTE_Summary";#N/A,#N/A,FALSE,"Funded_WFTE";#N/A,#N/A,FALSE,"PYADJ96"}</definedName>
    <definedName name="PRACTICE" localSheetId="8" hidden="1">{#N/A,#N/A,FALSE,"Summation";#N/A,#N/A,FALSE,"BSA";#N/A,#N/A,FALSE,"Detail1";#N/A,#N/A,FALSE,"Detail2";#N/A,#N/A,FALSE,"Detail3";#N/A,#N/A,FALSE,"WFTE_Summary";#N/A,#N/A,FALSE,"Funded_WFTE";#N/A,#N/A,FALSE,"PYADJ96"}</definedName>
    <definedName name="PRACTICE" localSheetId="9" hidden="1">{#N/A,#N/A,FALSE,"Summation";#N/A,#N/A,FALSE,"BSA";#N/A,#N/A,FALSE,"Detail1";#N/A,#N/A,FALSE,"Detail2";#N/A,#N/A,FALSE,"Detail3";#N/A,#N/A,FALSE,"WFTE_Summary";#N/A,#N/A,FALSE,"Funded_WFTE";#N/A,#N/A,FALSE,"PYADJ96"}</definedName>
    <definedName name="PRACTICE" localSheetId="10" hidden="1">{#N/A,#N/A,FALSE,"Summation";#N/A,#N/A,FALSE,"BSA";#N/A,#N/A,FALSE,"Detail1";#N/A,#N/A,FALSE,"Detail2";#N/A,#N/A,FALSE,"Detail3";#N/A,#N/A,FALSE,"WFTE_Summary";#N/A,#N/A,FALSE,"Funded_WFTE";#N/A,#N/A,FALSE,"PYADJ96"}</definedName>
    <definedName name="PRACTICE" localSheetId="11" hidden="1">{#N/A,#N/A,FALSE,"Summation";#N/A,#N/A,FALSE,"BSA";#N/A,#N/A,FALSE,"Detail1";#N/A,#N/A,FALSE,"Detail2";#N/A,#N/A,FALSE,"Detail3";#N/A,#N/A,FALSE,"WFTE_Summary";#N/A,#N/A,FALSE,"Funded_WFTE";#N/A,#N/A,FALSE,"PYADJ96"}</definedName>
    <definedName name="PRACTICE" localSheetId="12" hidden="1">{#N/A,#N/A,FALSE,"Summation";#N/A,#N/A,FALSE,"BSA";#N/A,#N/A,FALSE,"Detail1";#N/A,#N/A,FALSE,"Detail2";#N/A,#N/A,FALSE,"Detail3";#N/A,#N/A,FALSE,"WFTE_Summary";#N/A,#N/A,FALSE,"Funded_WFTE";#N/A,#N/A,FALSE,"PYADJ96"}</definedName>
    <definedName name="PRACTICE" localSheetId="13" hidden="1">{#N/A,#N/A,FALSE,"Summation";#N/A,#N/A,FALSE,"BSA";#N/A,#N/A,FALSE,"Detail1";#N/A,#N/A,FALSE,"Detail2";#N/A,#N/A,FALSE,"Detail3";#N/A,#N/A,FALSE,"WFTE_Summary";#N/A,#N/A,FALSE,"Funded_WFTE";#N/A,#N/A,FALSE,"PYADJ96"}</definedName>
    <definedName name="PRACTICE" localSheetId="14" hidden="1">{#N/A,#N/A,FALSE,"Summation";#N/A,#N/A,FALSE,"BSA";#N/A,#N/A,FALSE,"Detail1";#N/A,#N/A,FALSE,"Detail2";#N/A,#N/A,FALSE,"Detail3";#N/A,#N/A,FALSE,"WFTE_Summary";#N/A,#N/A,FALSE,"Funded_WFTE";#N/A,#N/A,FALSE,"PYADJ96"}</definedName>
    <definedName name="PRACTICE" localSheetId="15" hidden="1">{#N/A,#N/A,FALSE,"Summation";#N/A,#N/A,FALSE,"BSA";#N/A,#N/A,FALSE,"Detail1";#N/A,#N/A,FALSE,"Detail2";#N/A,#N/A,FALSE,"Detail3";#N/A,#N/A,FALSE,"WFTE_Summary";#N/A,#N/A,FALSE,"Funded_WFTE";#N/A,#N/A,FALSE,"PYADJ96"}</definedName>
    <definedName name="PRACTICE" localSheetId="16" hidden="1">{#N/A,#N/A,FALSE,"Summation";#N/A,#N/A,FALSE,"BSA";#N/A,#N/A,FALSE,"Detail1";#N/A,#N/A,FALSE,"Detail2";#N/A,#N/A,FALSE,"Detail3";#N/A,#N/A,FALSE,"WFTE_Summary";#N/A,#N/A,FALSE,"Funded_WFTE";#N/A,#N/A,FALSE,"PYADJ96"}</definedName>
    <definedName name="PRACTICE" localSheetId="17" hidden="1">{#N/A,#N/A,FALSE,"Summation";#N/A,#N/A,FALSE,"BSA";#N/A,#N/A,FALSE,"Detail1";#N/A,#N/A,FALSE,"Detail2";#N/A,#N/A,FALSE,"Detail3";#N/A,#N/A,FALSE,"WFTE_Summary";#N/A,#N/A,FALSE,"Funded_WFTE";#N/A,#N/A,FALSE,"PYADJ96"}</definedName>
    <definedName name="PRACTICE" localSheetId="18" hidden="1">{#N/A,#N/A,FALSE,"Summation";#N/A,#N/A,FALSE,"BSA";#N/A,#N/A,FALSE,"Detail1";#N/A,#N/A,FALSE,"Detail2";#N/A,#N/A,FALSE,"Detail3";#N/A,#N/A,FALSE,"WFTE_Summary";#N/A,#N/A,FALSE,"Funded_WFTE";#N/A,#N/A,FALSE,"PYADJ96"}</definedName>
    <definedName name="PRACTICE" localSheetId="19" hidden="1">{#N/A,#N/A,FALSE,"Summation";#N/A,#N/A,FALSE,"BSA";#N/A,#N/A,FALSE,"Detail1";#N/A,#N/A,FALSE,"Detail2";#N/A,#N/A,FALSE,"Detail3";#N/A,#N/A,FALSE,"WFTE_Summary";#N/A,#N/A,FALSE,"Funded_WFTE";#N/A,#N/A,FALSE,"PYADJ96"}</definedName>
    <definedName name="PRACTICE" localSheetId="20" hidden="1">{#N/A,#N/A,FALSE,"Summation";#N/A,#N/A,FALSE,"BSA";#N/A,#N/A,FALSE,"Detail1";#N/A,#N/A,FALSE,"Detail2";#N/A,#N/A,FALSE,"Detail3";#N/A,#N/A,FALSE,"WFTE_Summary";#N/A,#N/A,FALSE,"Funded_WFTE";#N/A,#N/A,FALSE,"PYADJ96"}</definedName>
    <definedName name="PRACTICE" localSheetId="21" hidden="1">{#N/A,#N/A,FALSE,"Summation";#N/A,#N/A,FALSE,"BSA";#N/A,#N/A,FALSE,"Detail1";#N/A,#N/A,FALSE,"Detail2";#N/A,#N/A,FALSE,"Detail3";#N/A,#N/A,FALSE,"WFTE_Summary";#N/A,#N/A,FALSE,"Funded_WFTE";#N/A,#N/A,FALSE,"PYADJ96"}</definedName>
    <definedName name="PRACTICE" localSheetId="22" hidden="1">{#N/A,#N/A,FALSE,"Summation";#N/A,#N/A,FALSE,"BSA";#N/A,#N/A,FALSE,"Detail1";#N/A,#N/A,FALSE,"Detail2";#N/A,#N/A,FALSE,"Detail3";#N/A,#N/A,FALSE,"WFTE_Summary";#N/A,#N/A,FALSE,"Funded_WFTE";#N/A,#N/A,FALSE,"PYADJ96"}</definedName>
    <definedName name="PRACTICE" localSheetId="23" hidden="1">{#N/A,#N/A,FALSE,"Summation";#N/A,#N/A,FALSE,"BSA";#N/A,#N/A,FALSE,"Detail1";#N/A,#N/A,FALSE,"Detail2";#N/A,#N/A,FALSE,"Detail3";#N/A,#N/A,FALSE,"WFTE_Summary";#N/A,#N/A,FALSE,"Funded_WFTE";#N/A,#N/A,FALSE,"PYADJ96"}</definedName>
    <definedName name="PRACTICE" localSheetId="24" hidden="1">{#N/A,#N/A,FALSE,"Summation";#N/A,#N/A,FALSE,"BSA";#N/A,#N/A,FALSE,"Detail1";#N/A,#N/A,FALSE,"Detail2";#N/A,#N/A,FALSE,"Detail3";#N/A,#N/A,FALSE,"WFTE_Summary";#N/A,#N/A,FALSE,"Funded_WFTE";#N/A,#N/A,FALSE,"PYADJ96"}</definedName>
    <definedName name="PRACTICE" localSheetId="25" hidden="1">{#N/A,#N/A,FALSE,"Summation";#N/A,#N/A,FALSE,"BSA";#N/A,#N/A,FALSE,"Detail1";#N/A,#N/A,FALSE,"Detail2";#N/A,#N/A,FALSE,"Detail3";#N/A,#N/A,FALSE,"WFTE_Summary";#N/A,#N/A,FALSE,"Funded_WFTE";#N/A,#N/A,FALSE,"PYADJ96"}</definedName>
    <definedName name="PRACTICE" localSheetId="26" hidden="1">{#N/A,#N/A,FALSE,"Summation";#N/A,#N/A,FALSE,"BSA";#N/A,#N/A,FALSE,"Detail1";#N/A,#N/A,FALSE,"Detail2";#N/A,#N/A,FALSE,"Detail3";#N/A,#N/A,FALSE,"WFTE_Summary";#N/A,#N/A,FALSE,"Funded_WFTE";#N/A,#N/A,FALSE,"PYADJ96"}</definedName>
    <definedName name="PRACTICE" localSheetId="27" hidden="1">{#N/A,#N/A,FALSE,"Summation";#N/A,#N/A,FALSE,"BSA";#N/A,#N/A,FALSE,"Detail1";#N/A,#N/A,FALSE,"Detail2";#N/A,#N/A,FALSE,"Detail3";#N/A,#N/A,FALSE,"WFTE_Summary";#N/A,#N/A,FALSE,"Funded_WFTE";#N/A,#N/A,FALSE,"PYADJ96"}</definedName>
    <definedName name="PRACTICE" localSheetId="28" hidden="1">{#N/A,#N/A,FALSE,"Summation";#N/A,#N/A,FALSE,"BSA";#N/A,#N/A,FALSE,"Detail1";#N/A,#N/A,FALSE,"Detail2";#N/A,#N/A,FALSE,"Detail3";#N/A,#N/A,FALSE,"WFTE_Summary";#N/A,#N/A,FALSE,"Funded_WFTE";#N/A,#N/A,FALSE,"PYADJ96"}</definedName>
    <definedName name="PRACTICE" localSheetId="29" hidden="1">{#N/A,#N/A,FALSE,"Summation";#N/A,#N/A,FALSE,"BSA";#N/A,#N/A,FALSE,"Detail1";#N/A,#N/A,FALSE,"Detail2";#N/A,#N/A,FALSE,"Detail3";#N/A,#N/A,FALSE,"WFTE_Summary";#N/A,#N/A,FALSE,"Funded_WFTE";#N/A,#N/A,FALSE,"PYADJ96"}</definedName>
    <definedName name="PRACTICE" localSheetId="30" hidden="1">{#N/A,#N/A,FALSE,"Summation";#N/A,#N/A,FALSE,"BSA";#N/A,#N/A,FALSE,"Detail1";#N/A,#N/A,FALSE,"Detail2";#N/A,#N/A,FALSE,"Detail3";#N/A,#N/A,FALSE,"WFTE_Summary";#N/A,#N/A,FALSE,"Funded_WFTE";#N/A,#N/A,FALSE,"PYADJ96"}</definedName>
    <definedName name="PRACTICE" localSheetId="31" hidden="1">{#N/A,#N/A,FALSE,"Summation";#N/A,#N/A,FALSE,"BSA";#N/A,#N/A,FALSE,"Detail1";#N/A,#N/A,FALSE,"Detail2";#N/A,#N/A,FALSE,"Detail3";#N/A,#N/A,FALSE,"WFTE_Summary";#N/A,#N/A,FALSE,"Funded_WFTE";#N/A,#N/A,FALSE,"PYADJ96"}</definedName>
    <definedName name="PRACTICE" localSheetId="32" hidden="1">{#N/A,#N/A,FALSE,"Summation";#N/A,#N/A,FALSE,"BSA";#N/A,#N/A,FALSE,"Detail1";#N/A,#N/A,FALSE,"Detail2";#N/A,#N/A,FALSE,"Detail3";#N/A,#N/A,FALSE,"WFTE_Summary";#N/A,#N/A,FALSE,"Funded_WFTE";#N/A,#N/A,FALSE,"PYADJ96"}</definedName>
    <definedName name="PRACTICE" localSheetId="33" hidden="1">{#N/A,#N/A,FALSE,"Summation";#N/A,#N/A,FALSE,"BSA";#N/A,#N/A,FALSE,"Detail1";#N/A,#N/A,FALSE,"Detail2";#N/A,#N/A,FALSE,"Detail3";#N/A,#N/A,FALSE,"WFTE_Summary";#N/A,#N/A,FALSE,"Funded_WFTE";#N/A,#N/A,FALSE,"PYADJ96"}</definedName>
    <definedName name="PRACTICE" localSheetId="34" hidden="1">{#N/A,#N/A,FALSE,"Summation";#N/A,#N/A,FALSE,"BSA";#N/A,#N/A,FALSE,"Detail1";#N/A,#N/A,FALSE,"Detail2";#N/A,#N/A,FALSE,"Detail3";#N/A,#N/A,FALSE,"WFTE_Summary";#N/A,#N/A,FALSE,"Funded_WFTE";#N/A,#N/A,FALSE,"PYADJ96"}</definedName>
    <definedName name="PRACTICE" localSheetId="35" hidden="1">{#N/A,#N/A,FALSE,"Summation";#N/A,#N/A,FALSE,"BSA";#N/A,#N/A,FALSE,"Detail1";#N/A,#N/A,FALSE,"Detail2";#N/A,#N/A,FALSE,"Detail3";#N/A,#N/A,FALSE,"WFTE_Summary";#N/A,#N/A,FALSE,"Funded_WFTE";#N/A,#N/A,FALSE,"PYADJ96"}</definedName>
    <definedName name="PRACTICE" localSheetId="36" hidden="1">{#N/A,#N/A,FALSE,"Summation";#N/A,#N/A,FALSE,"BSA";#N/A,#N/A,FALSE,"Detail1";#N/A,#N/A,FALSE,"Detail2";#N/A,#N/A,FALSE,"Detail3";#N/A,#N/A,FALSE,"WFTE_Summary";#N/A,#N/A,FALSE,"Funded_WFTE";#N/A,#N/A,FALSE,"PYADJ96"}</definedName>
    <definedName name="PRACTICE" localSheetId="37" hidden="1">{#N/A,#N/A,FALSE,"Summation";#N/A,#N/A,FALSE,"BSA";#N/A,#N/A,FALSE,"Detail1";#N/A,#N/A,FALSE,"Detail2";#N/A,#N/A,FALSE,"Detail3";#N/A,#N/A,FALSE,"WFTE_Summary";#N/A,#N/A,FALSE,"Funded_WFTE";#N/A,#N/A,FALSE,"PYADJ96"}</definedName>
    <definedName name="PRACTICE" localSheetId="38" hidden="1">{#N/A,#N/A,FALSE,"Summation";#N/A,#N/A,FALSE,"BSA";#N/A,#N/A,FALSE,"Detail1";#N/A,#N/A,FALSE,"Detail2";#N/A,#N/A,FALSE,"Detail3";#N/A,#N/A,FALSE,"WFTE_Summary";#N/A,#N/A,FALSE,"Funded_WFTE";#N/A,#N/A,FALSE,"PYADJ96"}</definedName>
    <definedName name="PRACTICE" localSheetId="39" hidden="1">{#N/A,#N/A,FALSE,"Summation";#N/A,#N/A,FALSE,"BSA";#N/A,#N/A,FALSE,"Detail1";#N/A,#N/A,FALSE,"Detail2";#N/A,#N/A,FALSE,"Detail3";#N/A,#N/A,FALSE,"WFTE_Summary";#N/A,#N/A,FALSE,"Funded_WFTE";#N/A,#N/A,FALSE,"PYADJ96"}</definedName>
    <definedName name="PRACTICE" localSheetId="40" hidden="1">{#N/A,#N/A,FALSE,"Summation";#N/A,#N/A,FALSE,"BSA";#N/A,#N/A,FALSE,"Detail1";#N/A,#N/A,FALSE,"Detail2";#N/A,#N/A,FALSE,"Detail3";#N/A,#N/A,FALSE,"WFTE_Summary";#N/A,#N/A,FALSE,"Funded_WFTE";#N/A,#N/A,FALSE,"PYADJ96"}</definedName>
    <definedName name="PRACTICE" localSheetId="41" hidden="1">{#N/A,#N/A,FALSE,"Summation";#N/A,#N/A,FALSE,"BSA";#N/A,#N/A,FALSE,"Detail1";#N/A,#N/A,FALSE,"Detail2";#N/A,#N/A,FALSE,"Detail3";#N/A,#N/A,FALSE,"WFTE_Summary";#N/A,#N/A,FALSE,"Funded_WFTE";#N/A,#N/A,FALSE,"PYADJ96"}</definedName>
    <definedName name="PRACTICE" localSheetId="42" hidden="1">{#N/A,#N/A,FALSE,"Summation";#N/A,#N/A,FALSE,"BSA";#N/A,#N/A,FALSE,"Detail1";#N/A,#N/A,FALSE,"Detail2";#N/A,#N/A,FALSE,"Detail3";#N/A,#N/A,FALSE,"WFTE_Summary";#N/A,#N/A,FALSE,"Funded_WFTE";#N/A,#N/A,FALSE,"PYADJ96"}</definedName>
    <definedName name="PRACTICE" localSheetId="43" hidden="1">{#N/A,#N/A,FALSE,"Summation";#N/A,#N/A,FALSE,"BSA";#N/A,#N/A,FALSE,"Detail1";#N/A,#N/A,FALSE,"Detail2";#N/A,#N/A,FALSE,"Detail3";#N/A,#N/A,FALSE,"WFTE_Summary";#N/A,#N/A,FALSE,"Funded_WFTE";#N/A,#N/A,FALSE,"PYADJ96"}</definedName>
    <definedName name="PRACTICE" localSheetId="44" hidden="1">{#N/A,#N/A,FALSE,"Summation";#N/A,#N/A,FALSE,"BSA";#N/A,#N/A,FALSE,"Detail1";#N/A,#N/A,FALSE,"Detail2";#N/A,#N/A,FALSE,"Detail3";#N/A,#N/A,FALSE,"WFTE_Summary";#N/A,#N/A,FALSE,"Funded_WFTE";#N/A,#N/A,FALSE,"PYADJ96"}</definedName>
    <definedName name="PRACTICE" localSheetId="45" hidden="1">{#N/A,#N/A,FALSE,"Summation";#N/A,#N/A,FALSE,"BSA";#N/A,#N/A,FALSE,"Detail1";#N/A,#N/A,FALSE,"Detail2";#N/A,#N/A,FALSE,"Detail3";#N/A,#N/A,FALSE,"WFTE_Summary";#N/A,#N/A,FALSE,"Funded_WFTE";#N/A,#N/A,FALSE,"PYADJ96"}</definedName>
    <definedName name="PRACTICE" localSheetId="46" hidden="1">{#N/A,#N/A,FALSE,"Summation";#N/A,#N/A,FALSE,"BSA";#N/A,#N/A,FALSE,"Detail1";#N/A,#N/A,FALSE,"Detail2";#N/A,#N/A,FALSE,"Detail3";#N/A,#N/A,FALSE,"WFTE_Summary";#N/A,#N/A,FALSE,"Funded_WFTE";#N/A,#N/A,FALSE,"PYADJ96"}</definedName>
    <definedName name="PRACTICE" localSheetId="47" hidden="1">{#N/A,#N/A,FALSE,"Summation";#N/A,#N/A,FALSE,"BSA";#N/A,#N/A,FALSE,"Detail1";#N/A,#N/A,FALSE,"Detail2";#N/A,#N/A,FALSE,"Detail3";#N/A,#N/A,FALSE,"WFTE_Summary";#N/A,#N/A,FALSE,"Funded_WFTE";#N/A,#N/A,FALSE,"PYADJ96"}</definedName>
    <definedName name="PRACTICE" localSheetId="48" hidden="1">{#N/A,#N/A,FALSE,"Summation";#N/A,#N/A,FALSE,"BSA";#N/A,#N/A,FALSE,"Detail1";#N/A,#N/A,FALSE,"Detail2";#N/A,#N/A,FALSE,"Detail3";#N/A,#N/A,FALSE,"WFTE_Summary";#N/A,#N/A,FALSE,"Funded_WFTE";#N/A,#N/A,FALSE,"PYADJ96"}</definedName>
    <definedName name="PRACTICE" localSheetId="49" hidden="1">{#N/A,#N/A,FALSE,"Summation";#N/A,#N/A,FALSE,"BSA";#N/A,#N/A,FALSE,"Detail1";#N/A,#N/A,FALSE,"Detail2";#N/A,#N/A,FALSE,"Detail3";#N/A,#N/A,FALSE,"WFTE_Summary";#N/A,#N/A,FALSE,"Funded_WFTE";#N/A,#N/A,FALSE,"PYADJ96"}</definedName>
    <definedName name="PRACTICE" localSheetId="50" hidden="1">{#N/A,#N/A,FALSE,"Summation";#N/A,#N/A,FALSE,"BSA";#N/A,#N/A,FALSE,"Detail1";#N/A,#N/A,FALSE,"Detail2";#N/A,#N/A,FALSE,"Detail3";#N/A,#N/A,FALSE,"WFTE_Summary";#N/A,#N/A,FALSE,"Funded_WFTE";#N/A,#N/A,FALSE,"PYADJ96"}</definedName>
    <definedName name="PRACTICE" localSheetId="2" hidden="1">{#N/A,#N/A,FALSE,"Summation";#N/A,#N/A,FALSE,"BSA";#N/A,#N/A,FALSE,"Detail1";#N/A,#N/A,FALSE,"Detail2";#N/A,#N/A,FALSE,"Detail3";#N/A,#N/A,FALSE,"WFTE_Summary";#N/A,#N/A,FALSE,"Funded_WFTE";#N/A,#N/A,FALSE,"PYADJ96"}</definedName>
    <definedName name="PRACTICE" hidden="1">{#N/A,#N/A,FALSE,"Summation";#N/A,#N/A,FALSE,"BSA";#N/A,#N/A,FALSE,"Detail1";#N/A,#N/A,FALSE,"Detail2";#N/A,#N/A,FALSE,"Detail3";#N/A,#N/A,FALSE,"WFTE_Summary";#N/A,#N/A,FALSE,"Funded_WFTE";#N/A,#N/A,FALSE,"PYADJ96"}</definedName>
    <definedName name="PRACTOCE" localSheetId="3" hidden="1">{#N/A,#N/A,FALSE,"Summation";#N/A,#N/A,FALSE,"BSA";#N/A,#N/A,FALSE,"Detail1";#N/A,#N/A,FALSE,"Detail2";#N/A,#N/A,FALSE,"Detail3";#N/A,#N/A,FALSE,"WFTE_Summary";#N/A,#N/A,FALSE,"Funded_WFTE";#N/A,#N/A,FALSE,"PYADJ96"}</definedName>
    <definedName name="PRACTOCE" localSheetId="4" hidden="1">{#N/A,#N/A,FALSE,"Summation";#N/A,#N/A,FALSE,"BSA";#N/A,#N/A,FALSE,"Detail1";#N/A,#N/A,FALSE,"Detail2";#N/A,#N/A,FALSE,"Detail3";#N/A,#N/A,FALSE,"WFTE_Summary";#N/A,#N/A,FALSE,"Funded_WFTE";#N/A,#N/A,FALSE,"PYADJ96"}</definedName>
    <definedName name="PRACTOCE" localSheetId="5" hidden="1">{#N/A,#N/A,FALSE,"Summation";#N/A,#N/A,FALSE,"BSA";#N/A,#N/A,FALSE,"Detail1";#N/A,#N/A,FALSE,"Detail2";#N/A,#N/A,FALSE,"Detail3";#N/A,#N/A,FALSE,"WFTE_Summary";#N/A,#N/A,FALSE,"Funded_WFTE";#N/A,#N/A,FALSE,"PYADJ96"}</definedName>
    <definedName name="PRACTOCE" localSheetId="6" hidden="1">{#N/A,#N/A,FALSE,"Summation";#N/A,#N/A,FALSE,"BSA";#N/A,#N/A,FALSE,"Detail1";#N/A,#N/A,FALSE,"Detail2";#N/A,#N/A,FALSE,"Detail3";#N/A,#N/A,FALSE,"WFTE_Summary";#N/A,#N/A,FALSE,"Funded_WFTE";#N/A,#N/A,FALSE,"PYADJ96"}</definedName>
    <definedName name="PRACTOCE" localSheetId="7" hidden="1">{#N/A,#N/A,FALSE,"Summation";#N/A,#N/A,FALSE,"BSA";#N/A,#N/A,FALSE,"Detail1";#N/A,#N/A,FALSE,"Detail2";#N/A,#N/A,FALSE,"Detail3";#N/A,#N/A,FALSE,"WFTE_Summary";#N/A,#N/A,FALSE,"Funded_WFTE";#N/A,#N/A,FALSE,"PYADJ96"}</definedName>
    <definedName name="PRACTOCE" localSheetId="8" hidden="1">{#N/A,#N/A,FALSE,"Summation";#N/A,#N/A,FALSE,"BSA";#N/A,#N/A,FALSE,"Detail1";#N/A,#N/A,FALSE,"Detail2";#N/A,#N/A,FALSE,"Detail3";#N/A,#N/A,FALSE,"WFTE_Summary";#N/A,#N/A,FALSE,"Funded_WFTE";#N/A,#N/A,FALSE,"PYADJ96"}</definedName>
    <definedName name="PRACTOCE" localSheetId="9" hidden="1">{#N/A,#N/A,FALSE,"Summation";#N/A,#N/A,FALSE,"BSA";#N/A,#N/A,FALSE,"Detail1";#N/A,#N/A,FALSE,"Detail2";#N/A,#N/A,FALSE,"Detail3";#N/A,#N/A,FALSE,"WFTE_Summary";#N/A,#N/A,FALSE,"Funded_WFTE";#N/A,#N/A,FALSE,"PYADJ96"}</definedName>
    <definedName name="PRACTOCE" localSheetId="10" hidden="1">{#N/A,#N/A,FALSE,"Summation";#N/A,#N/A,FALSE,"BSA";#N/A,#N/A,FALSE,"Detail1";#N/A,#N/A,FALSE,"Detail2";#N/A,#N/A,FALSE,"Detail3";#N/A,#N/A,FALSE,"WFTE_Summary";#N/A,#N/A,FALSE,"Funded_WFTE";#N/A,#N/A,FALSE,"PYADJ96"}</definedName>
    <definedName name="PRACTOCE" localSheetId="11" hidden="1">{#N/A,#N/A,FALSE,"Summation";#N/A,#N/A,FALSE,"BSA";#N/A,#N/A,FALSE,"Detail1";#N/A,#N/A,FALSE,"Detail2";#N/A,#N/A,FALSE,"Detail3";#N/A,#N/A,FALSE,"WFTE_Summary";#N/A,#N/A,FALSE,"Funded_WFTE";#N/A,#N/A,FALSE,"PYADJ96"}</definedName>
    <definedName name="PRACTOCE" localSheetId="12" hidden="1">{#N/A,#N/A,FALSE,"Summation";#N/A,#N/A,FALSE,"BSA";#N/A,#N/A,FALSE,"Detail1";#N/A,#N/A,FALSE,"Detail2";#N/A,#N/A,FALSE,"Detail3";#N/A,#N/A,FALSE,"WFTE_Summary";#N/A,#N/A,FALSE,"Funded_WFTE";#N/A,#N/A,FALSE,"PYADJ96"}</definedName>
    <definedName name="PRACTOCE" localSheetId="13" hidden="1">{#N/A,#N/A,FALSE,"Summation";#N/A,#N/A,FALSE,"BSA";#N/A,#N/A,FALSE,"Detail1";#N/A,#N/A,FALSE,"Detail2";#N/A,#N/A,FALSE,"Detail3";#N/A,#N/A,FALSE,"WFTE_Summary";#N/A,#N/A,FALSE,"Funded_WFTE";#N/A,#N/A,FALSE,"PYADJ96"}</definedName>
    <definedName name="PRACTOCE" localSheetId="14" hidden="1">{#N/A,#N/A,FALSE,"Summation";#N/A,#N/A,FALSE,"BSA";#N/A,#N/A,FALSE,"Detail1";#N/A,#N/A,FALSE,"Detail2";#N/A,#N/A,FALSE,"Detail3";#N/A,#N/A,FALSE,"WFTE_Summary";#N/A,#N/A,FALSE,"Funded_WFTE";#N/A,#N/A,FALSE,"PYADJ96"}</definedName>
    <definedName name="PRACTOCE" localSheetId="15" hidden="1">{#N/A,#N/A,FALSE,"Summation";#N/A,#N/A,FALSE,"BSA";#N/A,#N/A,FALSE,"Detail1";#N/A,#N/A,FALSE,"Detail2";#N/A,#N/A,FALSE,"Detail3";#N/A,#N/A,FALSE,"WFTE_Summary";#N/A,#N/A,FALSE,"Funded_WFTE";#N/A,#N/A,FALSE,"PYADJ96"}</definedName>
    <definedName name="PRACTOCE" localSheetId="16" hidden="1">{#N/A,#N/A,FALSE,"Summation";#N/A,#N/A,FALSE,"BSA";#N/A,#N/A,FALSE,"Detail1";#N/A,#N/A,FALSE,"Detail2";#N/A,#N/A,FALSE,"Detail3";#N/A,#N/A,FALSE,"WFTE_Summary";#N/A,#N/A,FALSE,"Funded_WFTE";#N/A,#N/A,FALSE,"PYADJ96"}</definedName>
    <definedName name="PRACTOCE" localSheetId="17" hidden="1">{#N/A,#N/A,FALSE,"Summation";#N/A,#N/A,FALSE,"BSA";#N/A,#N/A,FALSE,"Detail1";#N/A,#N/A,FALSE,"Detail2";#N/A,#N/A,FALSE,"Detail3";#N/A,#N/A,FALSE,"WFTE_Summary";#N/A,#N/A,FALSE,"Funded_WFTE";#N/A,#N/A,FALSE,"PYADJ96"}</definedName>
    <definedName name="PRACTOCE" localSheetId="18" hidden="1">{#N/A,#N/A,FALSE,"Summation";#N/A,#N/A,FALSE,"BSA";#N/A,#N/A,FALSE,"Detail1";#N/A,#N/A,FALSE,"Detail2";#N/A,#N/A,FALSE,"Detail3";#N/A,#N/A,FALSE,"WFTE_Summary";#N/A,#N/A,FALSE,"Funded_WFTE";#N/A,#N/A,FALSE,"PYADJ96"}</definedName>
    <definedName name="PRACTOCE" localSheetId="19" hidden="1">{#N/A,#N/A,FALSE,"Summation";#N/A,#N/A,FALSE,"BSA";#N/A,#N/A,FALSE,"Detail1";#N/A,#N/A,FALSE,"Detail2";#N/A,#N/A,FALSE,"Detail3";#N/A,#N/A,FALSE,"WFTE_Summary";#N/A,#N/A,FALSE,"Funded_WFTE";#N/A,#N/A,FALSE,"PYADJ96"}</definedName>
    <definedName name="PRACTOCE" localSheetId="20" hidden="1">{#N/A,#N/A,FALSE,"Summation";#N/A,#N/A,FALSE,"BSA";#N/A,#N/A,FALSE,"Detail1";#N/A,#N/A,FALSE,"Detail2";#N/A,#N/A,FALSE,"Detail3";#N/A,#N/A,FALSE,"WFTE_Summary";#N/A,#N/A,FALSE,"Funded_WFTE";#N/A,#N/A,FALSE,"PYADJ96"}</definedName>
    <definedName name="PRACTOCE" localSheetId="21" hidden="1">{#N/A,#N/A,FALSE,"Summation";#N/A,#N/A,FALSE,"BSA";#N/A,#N/A,FALSE,"Detail1";#N/A,#N/A,FALSE,"Detail2";#N/A,#N/A,FALSE,"Detail3";#N/A,#N/A,FALSE,"WFTE_Summary";#N/A,#N/A,FALSE,"Funded_WFTE";#N/A,#N/A,FALSE,"PYADJ96"}</definedName>
    <definedName name="PRACTOCE" localSheetId="22" hidden="1">{#N/A,#N/A,FALSE,"Summation";#N/A,#N/A,FALSE,"BSA";#N/A,#N/A,FALSE,"Detail1";#N/A,#N/A,FALSE,"Detail2";#N/A,#N/A,FALSE,"Detail3";#N/A,#N/A,FALSE,"WFTE_Summary";#N/A,#N/A,FALSE,"Funded_WFTE";#N/A,#N/A,FALSE,"PYADJ96"}</definedName>
    <definedName name="PRACTOCE" localSheetId="23" hidden="1">{#N/A,#N/A,FALSE,"Summation";#N/A,#N/A,FALSE,"BSA";#N/A,#N/A,FALSE,"Detail1";#N/A,#N/A,FALSE,"Detail2";#N/A,#N/A,FALSE,"Detail3";#N/A,#N/A,FALSE,"WFTE_Summary";#N/A,#N/A,FALSE,"Funded_WFTE";#N/A,#N/A,FALSE,"PYADJ96"}</definedName>
    <definedName name="PRACTOCE" localSheetId="24" hidden="1">{#N/A,#N/A,FALSE,"Summation";#N/A,#N/A,FALSE,"BSA";#N/A,#N/A,FALSE,"Detail1";#N/A,#N/A,FALSE,"Detail2";#N/A,#N/A,FALSE,"Detail3";#N/A,#N/A,FALSE,"WFTE_Summary";#N/A,#N/A,FALSE,"Funded_WFTE";#N/A,#N/A,FALSE,"PYADJ96"}</definedName>
    <definedName name="PRACTOCE" localSheetId="25" hidden="1">{#N/A,#N/A,FALSE,"Summation";#N/A,#N/A,FALSE,"BSA";#N/A,#N/A,FALSE,"Detail1";#N/A,#N/A,FALSE,"Detail2";#N/A,#N/A,FALSE,"Detail3";#N/A,#N/A,FALSE,"WFTE_Summary";#N/A,#N/A,FALSE,"Funded_WFTE";#N/A,#N/A,FALSE,"PYADJ96"}</definedName>
    <definedName name="PRACTOCE" localSheetId="26" hidden="1">{#N/A,#N/A,FALSE,"Summation";#N/A,#N/A,FALSE,"BSA";#N/A,#N/A,FALSE,"Detail1";#N/A,#N/A,FALSE,"Detail2";#N/A,#N/A,FALSE,"Detail3";#N/A,#N/A,FALSE,"WFTE_Summary";#N/A,#N/A,FALSE,"Funded_WFTE";#N/A,#N/A,FALSE,"PYADJ96"}</definedName>
    <definedName name="PRACTOCE" localSheetId="27" hidden="1">{#N/A,#N/A,FALSE,"Summation";#N/A,#N/A,FALSE,"BSA";#N/A,#N/A,FALSE,"Detail1";#N/A,#N/A,FALSE,"Detail2";#N/A,#N/A,FALSE,"Detail3";#N/A,#N/A,FALSE,"WFTE_Summary";#N/A,#N/A,FALSE,"Funded_WFTE";#N/A,#N/A,FALSE,"PYADJ96"}</definedName>
    <definedName name="PRACTOCE" localSheetId="28" hidden="1">{#N/A,#N/A,FALSE,"Summation";#N/A,#N/A,FALSE,"BSA";#N/A,#N/A,FALSE,"Detail1";#N/A,#N/A,FALSE,"Detail2";#N/A,#N/A,FALSE,"Detail3";#N/A,#N/A,FALSE,"WFTE_Summary";#N/A,#N/A,FALSE,"Funded_WFTE";#N/A,#N/A,FALSE,"PYADJ96"}</definedName>
    <definedName name="PRACTOCE" localSheetId="29" hidden="1">{#N/A,#N/A,FALSE,"Summation";#N/A,#N/A,FALSE,"BSA";#N/A,#N/A,FALSE,"Detail1";#N/A,#N/A,FALSE,"Detail2";#N/A,#N/A,FALSE,"Detail3";#N/A,#N/A,FALSE,"WFTE_Summary";#N/A,#N/A,FALSE,"Funded_WFTE";#N/A,#N/A,FALSE,"PYADJ96"}</definedName>
    <definedName name="PRACTOCE" localSheetId="30" hidden="1">{#N/A,#N/A,FALSE,"Summation";#N/A,#N/A,FALSE,"BSA";#N/A,#N/A,FALSE,"Detail1";#N/A,#N/A,FALSE,"Detail2";#N/A,#N/A,FALSE,"Detail3";#N/A,#N/A,FALSE,"WFTE_Summary";#N/A,#N/A,FALSE,"Funded_WFTE";#N/A,#N/A,FALSE,"PYADJ96"}</definedName>
    <definedName name="PRACTOCE" localSheetId="31" hidden="1">{#N/A,#N/A,FALSE,"Summation";#N/A,#N/A,FALSE,"BSA";#N/A,#N/A,FALSE,"Detail1";#N/A,#N/A,FALSE,"Detail2";#N/A,#N/A,FALSE,"Detail3";#N/A,#N/A,FALSE,"WFTE_Summary";#N/A,#N/A,FALSE,"Funded_WFTE";#N/A,#N/A,FALSE,"PYADJ96"}</definedName>
    <definedName name="PRACTOCE" localSheetId="32" hidden="1">{#N/A,#N/A,FALSE,"Summation";#N/A,#N/A,FALSE,"BSA";#N/A,#N/A,FALSE,"Detail1";#N/A,#N/A,FALSE,"Detail2";#N/A,#N/A,FALSE,"Detail3";#N/A,#N/A,FALSE,"WFTE_Summary";#N/A,#N/A,FALSE,"Funded_WFTE";#N/A,#N/A,FALSE,"PYADJ96"}</definedName>
    <definedName name="PRACTOCE" localSheetId="33" hidden="1">{#N/A,#N/A,FALSE,"Summation";#N/A,#N/A,FALSE,"BSA";#N/A,#N/A,FALSE,"Detail1";#N/A,#N/A,FALSE,"Detail2";#N/A,#N/A,FALSE,"Detail3";#N/A,#N/A,FALSE,"WFTE_Summary";#N/A,#N/A,FALSE,"Funded_WFTE";#N/A,#N/A,FALSE,"PYADJ96"}</definedName>
    <definedName name="PRACTOCE" localSheetId="34" hidden="1">{#N/A,#N/A,FALSE,"Summation";#N/A,#N/A,FALSE,"BSA";#N/A,#N/A,FALSE,"Detail1";#N/A,#N/A,FALSE,"Detail2";#N/A,#N/A,FALSE,"Detail3";#N/A,#N/A,FALSE,"WFTE_Summary";#N/A,#N/A,FALSE,"Funded_WFTE";#N/A,#N/A,FALSE,"PYADJ96"}</definedName>
    <definedName name="PRACTOCE" localSheetId="35" hidden="1">{#N/A,#N/A,FALSE,"Summation";#N/A,#N/A,FALSE,"BSA";#N/A,#N/A,FALSE,"Detail1";#N/A,#N/A,FALSE,"Detail2";#N/A,#N/A,FALSE,"Detail3";#N/A,#N/A,FALSE,"WFTE_Summary";#N/A,#N/A,FALSE,"Funded_WFTE";#N/A,#N/A,FALSE,"PYADJ96"}</definedName>
    <definedName name="PRACTOCE" localSheetId="36" hidden="1">{#N/A,#N/A,FALSE,"Summation";#N/A,#N/A,FALSE,"BSA";#N/A,#N/A,FALSE,"Detail1";#N/A,#N/A,FALSE,"Detail2";#N/A,#N/A,FALSE,"Detail3";#N/A,#N/A,FALSE,"WFTE_Summary";#N/A,#N/A,FALSE,"Funded_WFTE";#N/A,#N/A,FALSE,"PYADJ96"}</definedName>
    <definedName name="PRACTOCE" localSheetId="37" hidden="1">{#N/A,#N/A,FALSE,"Summation";#N/A,#N/A,FALSE,"BSA";#N/A,#N/A,FALSE,"Detail1";#N/A,#N/A,FALSE,"Detail2";#N/A,#N/A,FALSE,"Detail3";#N/A,#N/A,FALSE,"WFTE_Summary";#N/A,#N/A,FALSE,"Funded_WFTE";#N/A,#N/A,FALSE,"PYADJ96"}</definedName>
    <definedName name="PRACTOCE" localSheetId="38" hidden="1">{#N/A,#N/A,FALSE,"Summation";#N/A,#N/A,FALSE,"BSA";#N/A,#N/A,FALSE,"Detail1";#N/A,#N/A,FALSE,"Detail2";#N/A,#N/A,FALSE,"Detail3";#N/A,#N/A,FALSE,"WFTE_Summary";#N/A,#N/A,FALSE,"Funded_WFTE";#N/A,#N/A,FALSE,"PYADJ96"}</definedName>
    <definedName name="PRACTOCE" localSheetId="39" hidden="1">{#N/A,#N/A,FALSE,"Summation";#N/A,#N/A,FALSE,"BSA";#N/A,#N/A,FALSE,"Detail1";#N/A,#N/A,FALSE,"Detail2";#N/A,#N/A,FALSE,"Detail3";#N/A,#N/A,FALSE,"WFTE_Summary";#N/A,#N/A,FALSE,"Funded_WFTE";#N/A,#N/A,FALSE,"PYADJ96"}</definedName>
    <definedName name="PRACTOCE" localSheetId="40" hidden="1">{#N/A,#N/A,FALSE,"Summation";#N/A,#N/A,FALSE,"BSA";#N/A,#N/A,FALSE,"Detail1";#N/A,#N/A,FALSE,"Detail2";#N/A,#N/A,FALSE,"Detail3";#N/A,#N/A,FALSE,"WFTE_Summary";#N/A,#N/A,FALSE,"Funded_WFTE";#N/A,#N/A,FALSE,"PYADJ96"}</definedName>
    <definedName name="PRACTOCE" localSheetId="41" hidden="1">{#N/A,#N/A,FALSE,"Summation";#N/A,#N/A,FALSE,"BSA";#N/A,#N/A,FALSE,"Detail1";#N/A,#N/A,FALSE,"Detail2";#N/A,#N/A,FALSE,"Detail3";#N/A,#N/A,FALSE,"WFTE_Summary";#N/A,#N/A,FALSE,"Funded_WFTE";#N/A,#N/A,FALSE,"PYADJ96"}</definedName>
    <definedName name="PRACTOCE" localSheetId="42" hidden="1">{#N/A,#N/A,FALSE,"Summation";#N/A,#N/A,FALSE,"BSA";#N/A,#N/A,FALSE,"Detail1";#N/A,#N/A,FALSE,"Detail2";#N/A,#N/A,FALSE,"Detail3";#N/A,#N/A,FALSE,"WFTE_Summary";#N/A,#N/A,FALSE,"Funded_WFTE";#N/A,#N/A,FALSE,"PYADJ96"}</definedName>
    <definedName name="PRACTOCE" localSheetId="43" hidden="1">{#N/A,#N/A,FALSE,"Summation";#N/A,#N/A,FALSE,"BSA";#N/A,#N/A,FALSE,"Detail1";#N/A,#N/A,FALSE,"Detail2";#N/A,#N/A,FALSE,"Detail3";#N/A,#N/A,FALSE,"WFTE_Summary";#N/A,#N/A,FALSE,"Funded_WFTE";#N/A,#N/A,FALSE,"PYADJ96"}</definedName>
    <definedName name="PRACTOCE" localSheetId="44" hidden="1">{#N/A,#N/A,FALSE,"Summation";#N/A,#N/A,FALSE,"BSA";#N/A,#N/A,FALSE,"Detail1";#N/A,#N/A,FALSE,"Detail2";#N/A,#N/A,FALSE,"Detail3";#N/A,#N/A,FALSE,"WFTE_Summary";#N/A,#N/A,FALSE,"Funded_WFTE";#N/A,#N/A,FALSE,"PYADJ96"}</definedName>
    <definedName name="PRACTOCE" localSheetId="45" hidden="1">{#N/A,#N/A,FALSE,"Summation";#N/A,#N/A,FALSE,"BSA";#N/A,#N/A,FALSE,"Detail1";#N/A,#N/A,FALSE,"Detail2";#N/A,#N/A,FALSE,"Detail3";#N/A,#N/A,FALSE,"WFTE_Summary";#N/A,#N/A,FALSE,"Funded_WFTE";#N/A,#N/A,FALSE,"PYADJ96"}</definedName>
    <definedName name="PRACTOCE" localSheetId="46" hidden="1">{#N/A,#N/A,FALSE,"Summation";#N/A,#N/A,FALSE,"BSA";#N/A,#N/A,FALSE,"Detail1";#N/A,#N/A,FALSE,"Detail2";#N/A,#N/A,FALSE,"Detail3";#N/A,#N/A,FALSE,"WFTE_Summary";#N/A,#N/A,FALSE,"Funded_WFTE";#N/A,#N/A,FALSE,"PYADJ96"}</definedName>
    <definedName name="PRACTOCE" localSheetId="47" hidden="1">{#N/A,#N/A,FALSE,"Summation";#N/A,#N/A,FALSE,"BSA";#N/A,#N/A,FALSE,"Detail1";#N/A,#N/A,FALSE,"Detail2";#N/A,#N/A,FALSE,"Detail3";#N/A,#N/A,FALSE,"WFTE_Summary";#N/A,#N/A,FALSE,"Funded_WFTE";#N/A,#N/A,FALSE,"PYADJ96"}</definedName>
    <definedName name="PRACTOCE" localSheetId="48" hidden="1">{#N/A,#N/A,FALSE,"Summation";#N/A,#N/A,FALSE,"BSA";#N/A,#N/A,FALSE,"Detail1";#N/A,#N/A,FALSE,"Detail2";#N/A,#N/A,FALSE,"Detail3";#N/A,#N/A,FALSE,"WFTE_Summary";#N/A,#N/A,FALSE,"Funded_WFTE";#N/A,#N/A,FALSE,"PYADJ96"}</definedName>
    <definedName name="PRACTOCE" localSheetId="49" hidden="1">{#N/A,#N/A,FALSE,"Summation";#N/A,#N/A,FALSE,"BSA";#N/A,#N/A,FALSE,"Detail1";#N/A,#N/A,FALSE,"Detail2";#N/A,#N/A,FALSE,"Detail3";#N/A,#N/A,FALSE,"WFTE_Summary";#N/A,#N/A,FALSE,"Funded_WFTE";#N/A,#N/A,FALSE,"PYADJ96"}</definedName>
    <definedName name="PRACTOCE" localSheetId="50" hidden="1">{#N/A,#N/A,FALSE,"Summation";#N/A,#N/A,FALSE,"BSA";#N/A,#N/A,FALSE,"Detail1";#N/A,#N/A,FALSE,"Detail2";#N/A,#N/A,FALSE,"Detail3";#N/A,#N/A,FALSE,"WFTE_Summary";#N/A,#N/A,FALSE,"Funded_WFTE";#N/A,#N/A,FALSE,"PYADJ96"}</definedName>
    <definedName name="PRACTOCE" localSheetId="2" hidden="1">{#N/A,#N/A,FALSE,"Summation";#N/A,#N/A,FALSE,"BSA";#N/A,#N/A,FALSE,"Detail1";#N/A,#N/A,FALSE,"Detail2";#N/A,#N/A,FALSE,"Detail3";#N/A,#N/A,FALSE,"WFTE_Summary";#N/A,#N/A,FALSE,"Funded_WFTE";#N/A,#N/A,FALSE,"PYADJ96"}</definedName>
    <definedName name="PRACTOCE" hidden="1">{#N/A,#N/A,FALSE,"Summation";#N/A,#N/A,FALSE,"BSA";#N/A,#N/A,FALSE,"Detail1";#N/A,#N/A,FALSE,"Detail2";#N/A,#N/A,FALSE,"Detail3";#N/A,#N/A,FALSE,"WFTE_Summary";#N/A,#N/A,FALSE,"Funded_WFTE";#N/A,#N/A,FALSE,"PYADJ96"}</definedName>
    <definedName name="_xlnm.Print_Area" localSheetId="3">'0664'!$A$6:$I$133</definedName>
    <definedName name="_xlnm.Print_Area" localSheetId="7">'2531'!$A$1:$I$136</definedName>
    <definedName name="_xlnm.Print_Area" localSheetId="11">'2941'!$A$1:$I$137</definedName>
    <definedName name="_xlnm.Print_Area" localSheetId="44">'4090'!$A$1:$I$136</definedName>
    <definedName name="_xlnm.Print_Area" localSheetId="45">'4091'!$A$1:$I$136</definedName>
    <definedName name="_xlnm.Print_Area" localSheetId="46">'4100'!$A$1:$I$136</definedName>
    <definedName name="_xlnm.Print_Area" localSheetId="47">'4102'!$A$1:$I$136</definedName>
    <definedName name="_xlnm.Print_Area" localSheetId="48">'4103'!$A$1:$I$136</definedName>
    <definedName name="_xlnm.Print_Area" localSheetId="49">'4111'!$A$1:$I$136</definedName>
    <definedName name="_xlnm.Print_Area" localSheetId="2">Consolidated!$A$1:$I$134</definedName>
    <definedName name="_xlnm.Print_Area" localSheetId="0">'Net Payment'!$A$5:$G$513</definedName>
    <definedName name="_xlnm.Print_Area" localSheetId="51">Virtual!$B$2:$G$38</definedName>
    <definedName name="_xlnm.Print_Titles" localSheetId="3">'0664'!$2:$5</definedName>
    <definedName name="_xlnm.Print_Titles" localSheetId="2">Consolidated!$2:$5</definedName>
    <definedName name="_xlnm.Print_Titles" localSheetId="0">'Net Payment'!$1:$4</definedName>
    <definedName name="wrn.Base._.Data._.Comparison." localSheetId="3" hidden="1">{#N/A,#N/A,FALSE,"Summation";#N/A,#N/A,FALSE,"BSA";#N/A,#N/A,FALSE,"Detail1";#N/A,#N/A,FALSE,"Detail2";#N/A,#N/A,FALSE,"Detail3";#N/A,#N/A,FALSE,"WFTE_Summary";#N/A,#N/A,FALSE,"Funded_WFTE";#N/A,#N/A,FALSE,"PYADJ96"}</definedName>
    <definedName name="wrn.Base._.Data._.Comparison." localSheetId="4" hidden="1">{#N/A,#N/A,FALSE,"Summation";#N/A,#N/A,FALSE,"BSA";#N/A,#N/A,FALSE,"Detail1";#N/A,#N/A,FALSE,"Detail2";#N/A,#N/A,FALSE,"Detail3";#N/A,#N/A,FALSE,"WFTE_Summary";#N/A,#N/A,FALSE,"Funded_WFTE";#N/A,#N/A,FALSE,"PYADJ96"}</definedName>
    <definedName name="wrn.Base._.Data._.Comparison." localSheetId="5" hidden="1">{#N/A,#N/A,FALSE,"Summation";#N/A,#N/A,FALSE,"BSA";#N/A,#N/A,FALSE,"Detail1";#N/A,#N/A,FALSE,"Detail2";#N/A,#N/A,FALSE,"Detail3";#N/A,#N/A,FALSE,"WFTE_Summary";#N/A,#N/A,FALSE,"Funded_WFTE";#N/A,#N/A,FALSE,"PYADJ96"}</definedName>
    <definedName name="wrn.Base._.Data._.Comparison." localSheetId="6" hidden="1">{#N/A,#N/A,FALSE,"Summation";#N/A,#N/A,FALSE,"BSA";#N/A,#N/A,FALSE,"Detail1";#N/A,#N/A,FALSE,"Detail2";#N/A,#N/A,FALSE,"Detail3";#N/A,#N/A,FALSE,"WFTE_Summary";#N/A,#N/A,FALSE,"Funded_WFTE";#N/A,#N/A,FALSE,"PYADJ96"}</definedName>
    <definedName name="wrn.Base._.Data._.Comparison." localSheetId="7" hidden="1">{#N/A,#N/A,FALSE,"Summation";#N/A,#N/A,FALSE,"BSA";#N/A,#N/A,FALSE,"Detail1";#N/A,#N/A,FALSE,"Detail2";#N/A,#N/A,FALSE,"Detail3";#N/A,#N/A,FALSE,"WFTE_Summary";#N/A,#N/A,FALSE,"Funded_WFTE";#N/A,#N/A,FALSE,"PYADJ96"}</definedName>
    <definedName name="wrn.Base._.Data._.Comparison." localSheetId="8" hidden="1">{#N/A,#N/A,FALSE,"Summation";#N/A,#N/A,FALSE,"BSA";#N/A,#N/A,FALSE,"Detail1";#N/A,#N/A,FALSE,"Detail2";#N/A,#N/A,FALSE,"Detail3";#N/A,#N/A,FALSE,"WFTE_Summary";#N/A,#N/A,FALSE,"Funded_WFTE";#N/A,#N/A,FALSE,"PYADJ96"}</definedName>
    <definedName name="wrn.Base._.Data._.Comparison." localSheetId="9" hidden="1">{#N/A,#N/A,FALSE,"Summation";#N/A,#N/A,FALSE,"BSA";#N/A,#N/A,FALSE,"Detail1";#N/A,#N/A,FALSE,"Detail2";#N/A,#N/A,FALSE,"Detail3";#N/A,#N/A,FALSE,"WFTE_Summary";#N/A,#N/A,FALSE,"Funded_WFTE";#N/A,#N/A,FALSE,"PYADJ96"}</definedName>
    <definedName name="wrn.Base._.Data._.Comparison." localSheetId="10" hidden="1">{#N/A,#N/A,FALSE,"Summation";#N/A,#N/A,FALSE,"BSA";#N/A,#N/A,FALSE,"Detail1";#N/A,#N/A,FALSE,"Detail2";#N/A,#N/A,FALSE,"Detail3";#N/A,#N/A,FALSE,"WFTE_Summary";#N/A,#N/A,FALSE,"Funded_WFTE";#N/A,#N/A,FALSE,"PYADJ96"}</definedName>
    <definedName name="wrn.Base._.Data._.Comparison." localSheetId="11" hidden="1">{#N/A,#N/A,FALSE,"Summation";#N/A,#N/A,FALSE,"BSA";#N/A,#N/A,FALSE,"Detail1";#N/A,#N/A,FALSE,"Detail2";#N/A,#N/A,FALSE,"Detail3";#N/A,#N/A,FALSE,"WFTE_Summary";#N/A,#N/A,FALSE,"Funded_WFTE";#N/A,#N/A,FALSE,"PYADJ96"}</definedName>
    <definedName name="wrn.Base._.Data._.Comparison." localSheetId="12" hidden="1">{#N/A,#N/A,FALSE,"Summation";#N/A,#N/A,FALSE,"BSA";#N/A,#N/A,FALSE,"Detail1";#N/A,#N/A,FALSE,"Detail2";#N/A,#N/A,FALSE,"Detail3";#N/A,#N/A,FALSE,"WFTE_Summary";#N/A,#N/A,FALSE,"Funded_WFTE";#N/A,#N/A,FALSE,"PYADJ96"}</definedName>
    <definedName name="wrn.Base._.Data._.Comparison." localSheetId="13" hidden="1">{#N/A,#N/A,FALSE,"Summation";#N/A,#N/A,FALSE,"BSA";#N/A,#N/A,FALSE,"Detail1";#N/A,#N/A,FALSE,"Detail2";#N/A,#N/A,FALSE,"Detail3";#N/A,#N/A,FALSE,"WFTE_Summary";#N/A,#N/A,FALSE,"Funded_WFTE";#N/A,#N/A,FALSE,"PYADJ96"}</definedName>
    <definedName name="wrn.Base._.Data._.Comparison." localSheetId="14" hidden="1">{#N/A,#N/A,FALSE,"Summation";#N/A,#N/A,FALSE,"BSA";#N/A,#N/A,FALSE,"Detail1";#N/A,#N/A,FALSE,"Detail2";#N/A,#N/A,FALSE,"Detail3";#N/A,#N/A,FALSE,"WFTE_Summary";#N/A,#N/A,FALSE,"Funded_WFTE";#N/A,#N/A,FALSE,"PYADJ96"}</definedName>
    <definedName name="wrn.Base._.Data._.Comparison." localSheetId="15" hidden="1">{#N/A,#N/A,FALSE,"Summation";#N/A,#N/A,FALSE,"BSA";#N/A,#N/A,FALSE,"Detail1";#N/A,#N/A,FALSE,"Detail2";#N/A,#N/A,FALSE,"Detail3";#N/A,#N/A,FALSE,"WFTE_Summary";#N/A,#N/A,FALSE,"Funded_WFTE";#N/A,#N/A,FALSE,"PYADJ96"}</definedName>
    <definedName name="wrn.Base._.Data._.Comparison." localSheetId="16" hidden="1">{#N/A,#N/A,FALSE,"Summation";#N/A,#N/A,FALSE,"BSA";#N/A,#N/A,FALSE,"Detail1";#N/A,#N/A,FALSE,"Detail2";#N/A,#N/A,FALSE,"Detail3";#N/A,#N/A,FALSE,"WFTE_Summary";#N/A,#N/A,FALSE,"Funded_WFTE";#N/A,#N/A,FALSE,"PYADJ96"}</definedName>
    <definedName name="wrn.Base._.Data._.Comparison." localSheetId="17" hidden="1">{#N/A,#N/A,FALSE,"Summation";#N/A,#N/A,FALSE,"BSA";#N/A,#N/A,FALSE,"Detail1";#N/A,#N/A,FALSE,"Detail2";#N/A,#N/A,FALSE,"Detail3";#N/A,#N/A,FALSE,"WFTE_Summary";#N/A,#N/A,FALSE,"Funded_WFTE";#N/A,#N/A,FALSE,"PYADJ96"}</definedName>
    <definedName name="wrn.Base._.Data._.Comparison." localSheetId="18" hidden="1">{#N/A,#N/A,FALSE,"Summation";#N/A,#N/A,FALSE,"BSA";#N/A,#N/A,FALSE,"Detail1";#N/A,#N/A,FALSE,"Detail2";#N/A,#N/A,FALSE,"Detail3";#N/A,#N/A,FALSE,"WFTE_Summary";#N/A,#N/A,FALSE,"Funded_WFTE";#N/A,#N/A,FALSE,"PYADJ96"}</definedName>
    <definedName name="wrn.Base._.Data._.Comparison." localSheetId="19" hidden="1">{#N/A,#N/A,FALSE,"Summation";#N/A,#N/A,FALSE,"BSA";#N/A,#N/A,FALSE,"Detail1";#N/A,#N/A,FALSE,"Detail2";#N/A,#N/A,FALSE,"Detail3";#N/A,#N/A,FALSE,"WFTE_Summary";#N/A,#N/A,FALSE,"Funded_WFTE";#N/A,#N/A,FALSE,"PYADJ96"}</definedName>
    <definedName name="wrn.Base._.Data._.Comparison." localSheetId="20" hidden="1">{#N/A,#N/A,FALSE,"Summation";#N/A,#N/A,FALSE,"BSA";#N/A,#N/A,FALSE,"Detail1";#N/A,#N/A,FALSE,"Detail2";#N/A,#N/A,FALSE,"Detail3";#N/A,#N/A,FALSE,"WFTE_Summary";#N/A,#N/A,FALSE,"Funded_WFTE";#N/A,#N/A,FALSE,"PYADJ96"}</definedName>
    <definedName name="wrn.Base._.Data._.Comparison." localSheetId="21" hidden="1">{#N/A,#N/A,FALSE,"Summation";#N/A,#N/A,FALSE,"BSA";#N/A,#N/A,FALSE,"Detail1";#N/A,#N/A,FALSE,"Detail2";#N/A,#N/A,FALSE,"Detail3";#N/A,#N/A,FALSE,"WFTE_Summary";#N/A,#N/A,FALSE,"Funded_WFTE";#N/A,#N/A,FALSE,"PYADJ96"}</definedName>
    <definedName name="wrn.Base._.Data._.Comparison." localSheetId="22" hidden="1">{#N/A,#N/A,FALSE,"Summation";#N/A,#N/A,FALSE,"BSA";#N/A,#N/A,FALSE,"Detail1";#N/A,#N/A,FALSE,"Detail2";#N/A,#N/A,FALSE,"Detail3";#N/A,#N/A,FALSE,"WFTE_Summary";#N/A,#N/A,FALSE,"Funded_WFTE";#N/A,#N/A,FALSE,"PYADJ96"}</definedName>
    <definedName name="wrn.Base._.Data._.Comparison." localSheetId="23" hidden="1">{#N/A,#N/A,FALSE,"Summation";#N/A,#N/A,FALSE,"BSA";#N/A,#N/A,FALSE,"Detail1";#N/A,#N/A,FALSE,"Detail2";#N/A,#N/A,FALSE,"Detail3";#N/A,#N/A,FALSE,"WFTE_Summary";#N/A,#N/A,FALSE,"Funded_WFTE";#N/A,#N/A,FALSE,"PYADJ96"}</definedName>
    <definedName name="wrn.Base._.Data._.Comparison." localSheetId="24" hidden="1">{#N/A,#N/A,FALSE,"Summation";#N/A,#N/A,FALSE,"BSA";#N/A,#N/A,FALSE,"Detail1";#N/A,#N/A,FALSE,"Detail2";#N/A,#N/A,FALSE,"Detail3";#N/A,#N/A,FALSE,"WFTE_Summary";#N/A,#N/A,FALSE,"Funded_WFTE";#N/A,#N/A,FALSE,"PYADJ96"}</definedName>
    <definedName name="wrn.Base._.Data._.Comparison." localSheetId="25" hidden="1">{#N/A,#N/A,FALSE,"Summation";#N/A,#N/A,FALSE,"BSA";#N/A,#N/A,FALSE,"Detail1";#N/A,#N/A,FALSE,"Detail2";#N/A,#N/A,FALSE,"Detail3";#N/A,#N/A,FALSE,"WFTE_Summary";#N/A,#N/A,FALSE,"Funded_WFTE";#N/A,#N/A,FALSE,"PYADJ96"}</definedName>
    <definedName name="wrn.Base._.Data._.Comparison." localSheetId="26" hidden="1">{#N/A,#N/A,FALSE,"Summation";#N/A,#N/A,FALSE,"BSA";#N/A,#N/A,FALSE,"Detail1";#N/A,#N/A,FALSE,"Detail2";#N/A,#N/A,FALSE,"Detail3";#N/A,#N/A,FALSE,"WFTE_Summary";#N/A,#N/A,FALSE,"Funded_WFTE";#N/A,#N/A,FALSE,"PYADJ96"}</definedName>
    <definedName name="wrn.Base._.Data._.Comparison." localSheetId="27" hidden="1">{#N/A,#N/A,FALSE,"Summation";#N/A,#N/A,FALSE,"BSA";#N/A,#N/A,FALSE,"Detail1";#N/A,#N/A,FALSE,"Detail2";#N/A,#N/A,FALSE,"Detail3";#N/A,#N/A,FALSE,"WFTE_Summary";#N/A,#N/A,FALSE,"Funded_WFTE";#N/A,#N/A,FALSE,"PYADJ96"}</definedName>
    <definedName name="wrn.Base._.Data._.Comparison." localSheetId="28" hidden="1">{#N/A,#N/A,FALSE,"Summation";#N/A,#N/A,FALSE,"BSA";#N/A,#N/A,FALSE,"Detail1";#N/A,#N/A,FALSE,"Detail2";#N/A,#N/A,FALSE,"Detail3";#N/A,#N/A,FALSE,"WFTE_Summary";#N/A,#N/A,FALSE,"Funded_WFTE";#N/A,#N/A,FALSE,"PYADJ96"}</definedName>
    <definedName name="wrn.Base._.Data._.Comparison." localSheetId="29" hidden="1">{#N/A,#N/A,FALSE,"Summation";#N/A,#N/A,FALSE,"BSA";#N/A,#N/A,FALSE,"Detail1";#N/A,#N/A,FALSE,"Detail2";#N/A,#N/A,FALSE,"Detail3";#N/A,#N/A,FALSE,"WFTE_Summary";#N/A,#N/A,FALSE,"Funded_WFTE";#N/A,#N/A,FALSE,"PYADJ96"}</definedName>
    <definedName name="wrn.Base._.Data._.Comparison." localSheetId="30" hidden="1">{#N/A,#N/A,FALSE,"Summation";#N/A,#N/A,FALSE,"BSA";#N/A,#N/A,FALSE,"Detail1";#N/A,#N/A,FALSE,"Detail2";#N/A,#N/A,FALSE,"Detail3";#N/A,#N/A,FALSE,"WFTE_Summary";#N/A,#N/A,FALSE,"Funded_WFTE";#N/A,#N/A,FALSE,"PYADJ96"}</definedName>
    <definedName name="wrn.Base._.Data._.Comparison." localSheetId="31" hidden="1">{#N/A,#N/A,FALSE,"Summation";#N/A,#N/A,FALSE,"BSA";#N/A,#N/A,FALSE,"Detail1";#N/A,#N/A,FALSE,"Detail2";#N/A,#N/A,FALSE,"Detail3";#N/A,#N/A,FALSE,"WFTE_Summary";#N/A,#N/A,FALSE,"Funded_WFTE";#N/A,#N/A,FALSE,"PYADJ96"}</definedName>
    <definedName name="wrn.Base._.Data._.Comparison." localSheetId="32" hidden="1">{#N/A,#N/A,FALSE,"Summation";#N/A,#N/A,FALSE,"BSA";#N/A,#N/A,FALSE,"Detail1";#N/A,#N/A,FALSE,"Detail2";#N/A,#N/A,FALSE,"Detail3";#N/A,#N/A,FALSE,"WFTE_Summary";#N/A,#N/A,FALSE,"Funded_WFTE";#N/A,#N/A,FALSE,"PYADJ96"}</definedName>
    <definedName name="wrn.Base._.Data._.Comparison." localSheetId="33" hidden="1">{#N/A,#N/A,FALSE,"Summation";#N/A,#N/A,FALSE,"BSA";#N/A,#N/A,FALSE,"Detail1";#N/A,#N/A,FALSE,"Detail2";#N/A,#N/A,FALSE,"Detail3";#N/A,#N/A,FALSE,"WFTE_Summary";#N/A,#N/A,FALSE,"Funded_WFTE";#N/A,#N/A,FALSE,"PYADJ96"}</definedName>
    <definedName name="wrn.Base._.Data._.Comparison." localSheetId="34" hidden="1">{#N/A,#N/A,FALSE,"Summation";#N/A,#N/A,FALSE,"BSA";#N/A,#N/A,FALSE,"Detail1";#N/A,#N/A,FALSE,"Detail2";#N/A,#N/A,FALSE,"Detail3";#N/A,#N/A,FALSE,"WFTE_Summary";#N/A,#N/A,FALSE,"Funded_WFTE";#N/A,#N/A,FALSE,"PYADJ96"}</definedName>
    <definedName name="wrn.Base._.Data._.Comparison." localSheetId="35" hidden="1">{#N/A,#N/A,FALSE,"Summation";#N/A,#N/A,FALSE,"BSA";#N/A,#N/A,FALSE,"Detail1";#N/A,#N/A,FALSE,"Detail2";#N/A,#N/A,FALSE,"Detail3";#N/A,#N/A,FALSE,"WFTE_Summary";#N/A,#N/A,FALSE,"Funded_WFTE";#N/A,#N/A,FALSE,"PYADJ96"}</definedName>
    <definedName name="wrn.Base._.Data._.Comparison." localSheetId="36" hidden="1">{#N/A,#N/A,FALSE,"Summation";#N/A,#N/A,FALSE,"BSA";#N/A,#N/A,FALSE,"Detail1";#N/A,#N/A,FALSE,"Detail2";#N/A,#N/A,FALSE,"Detail3";#N/A,#N/A,FALSE,"WFTE_Summary";#N/A,#N/A,FALSE,"Funded_WFTE";#N/A,#N/A,FALSE,"PYADJ96"}</definedName>
    <definedName name="wrn.Base._.Data._.Comparison." localSheetId="37" hidden="1">{#N/A,#N/A,FALSE,"Summation";#N/A,#N/A,FALSE,"BSA";#N/A,#N/A,FALSE,"Detail1";#N/A,#N/A,FALSE,"Detail2";#N/A,#N/A,FALSE,"Detail3";#N/A,#N/A,FALSE,"WFTE_Summary";#N/A,#N/A,FALSE,"Funded_WFTE";#N/A,#N/A,FALSE,"PYADJ96"}</definedName>
    <definedName name="wrn.Base._.Data._.Comparison." localSheetId="38" hidden="1">{#N/A,#N/A,FALSE,"Summation";#N/A,#N/A,FALSE,"BSA";#N/A,#N/A,FALSE,"Detail1";#N/A,#N/A,FALSE,"Detail2";#N/A,#N/A,FALSE,"Detail3";#N/A,#N/A,FALSE,"WFTE_Summary";#N/A,#N/A,FALSE,"Funded_WFTE";#N/A,#N/A,FALSE,"PYADJ96"}</definedName>
    <definedName name="wrn.Base._.Data._.Comparison." localSheetId="39" hidden="1">{#N/A,#N/A,FALSE,"Summation";#N/A,#N/A,FALSE,"BSA";#N/A,#N/A,FALSE,"Detail1";#N/A,#N/A,FALSE,"Detail2";#N/A,#N/A,FALSE,"Detail3";#N/A,#N/A,FALSE,"WFTE_Summary";#N/A,#N/A,FALSE,"Funded_WFTE";#N/A,#N/A,FALSE,"PYADJ96"}</definedName>
    <definedName name="wrn.Base._.Data._.Comparison." localSheetId="40" hidden="1">{#N/A,#N/A,FALSE,"Summation";#N/A,#N/A,FALSE,"BSA";#N/A,#N/A,FALSE,"Detail1";#N/A,#N/A,FALSE,"Detail2";#N/A,#N/A,FALSE,"Detail3";#N/A,#N/A,FALSE,"WFTE_Summary";#N/A,#N/A,FALSE,"Funded_WFTE";#N/A,#N/A,FALSE,"PYADJ96"}</definedName>
    <definedName name="wrn.Base._.Data._.Comparison." localSheetId="41" hidden="1">{#N/A,#N/A,FALSE,"Summation";#N/A,#N/A,FALSE,"BSA";#N/A,#N/A,FALSE,"Detail1";#N/A,#N/A,FALSE,"Detail2";#N/A,#N/A,FALSE,"Detail3";#N/A,#N/A,FALSE,"WFTE_Summary";#N/A,#N/A,FALSE,"Funded_WFTE";#N/A,#N/A,FALSE,"PYADJ96"}</definedName>
    <definedName name="wrn.Base._.Data._.Comparison." localSheetId="42" hidden="1">{#N/A,#N/A,FALSE,"Summation";#N/A,#N/A,FALSE,"BSA";#N/A,#N/A,FALSE,"Detail1";#N/A,#N/A,FALSE,"Detail2";#N/A,#N/A,FALSE,"Detail3";#N/A,#N/A,FALSE,"WFTE_Summary";#N/A,#N/A,FALSE,"Funded_WFTE";#N/A,#N/A,FALSE,"PYADJ96"}</definedName>
    <definedName name="wrn.Base._.Data._.Comparison." localSheetId="43" hidden="1">{#N/A,#N/A,FALSE,"Summation";#N/A,#N/A,FALSE,"BSA";#N/A,#N/A,FALSE,"Detail1";#N/A,#N/A,FALSE,"Detail2";#N/A,#N/A,FALSE,"Detail3";#N/A,#N/A,FALSE,"WFTE_Summary";#N/A,#N/A,FALSE,"Funded_WFTE";#N/A,#N/A,FALSE,"PYADJ96"}</definedName>
    <definedName name="wrn.Base._.Data._.Comparison." localSheetId="44" hidden="1">{#N/A,#N/A,FALSE,"Summation";#N/A,#N/A,FALSE,"BSA";#N/A,#N/A,FALSE,"Detail1";#N/A,#N/A,FALSE,"Detail2";#N/A,#N/A,FALSE,"Detail3";#N/A,#N/A,FALSE,"WFTE_Summary";#N/A,#N/A,FALSE,"Funded_WFTE";#N/A,#N/A,FALSE,"PYADJ96"}</definedName>
    <definedName name="wrn.Base._.Data._.Comparison." localSheetId="45" hidden="1">{#N/A,#N/A,FALSE,"Summation";#N/A,#N/A,FALSE,"BSA";#N/A,#N/A,FALSE,"Detail1";#N/A,#N/A,FALSE,"Detail2";#N/A,#N/A,FALSE,"Detail3";#N/A,#N/A,FALSE,"WFTE_Summary";#N/A,#N/A,FALSE,"Funded_WFTE";#N/A,#N/A,FALSE,"PYADJ96"}</definedName>
    <definedName name="wrn.Base._.Data._.Comparison." localSheetId="46" hidden="1">{#N/A,#N/A,FALSE,"Summation";#N/A,#N/A,FALSE,"BSA";#N/A,#N/A,FALSE,"Detail1";#N/A,#N/A,FALSE,"Detail2";#N/A,#N/A,FALSE,"Detail3";#N/A,#N/A,FALSE,"WFTE_Summary";#N/A,#N/A,FALSE,"Funded_WFTE";#N/A,#N/A,FALSE,"PYADJ96"}</definedName>
    <definedName name="wrn.Base._.Data._.Comparison." localSheetId="47" hidden="1">{#N/A,#N/A,FALSE,"Summation";#N/A,#N/A,FALSE,"BSA";#N/A,#N/A,FALSE,"Detail1";#N/A,#N/A,FALSE,"Detail2";#N/A,#N/A,FALSE,"Detail3";#N/A,#N/A,FALSE,"WFTE_Summary";#N/A,#N/A,FALSE,"Funded_WFTE";#N/A,#N/A,FALSE,"PYADJ96"}</definedName>
    <definedName name="wrn.Base._.Data._.Comparison." localSheetId="48" hidden="1">{#N/A,#N/A,FALSE,"Summation";#N/A,#N/A,FALSE,"BSA";#N/A,#N/A,FALSE,"Detail1";#N/A,#N/A,FALSE,"Detail2";#N/A,#N/A,FALSE,"Detail3";#N/A,#N/A,FALSE,"WFTE_Summary";#N/A,#N/A,FALSE,"Funded_WFTE";#N/A,#N/A,FALSE,"PYADJ96"}</definedName>
    <definedName name="wrn.Base._.Data._.Comparison." localSheetId="49" hidden="1">{#N/A,#N/A,FALSE,"Summation";#N/A,#N/A,FALSE,"BSA";#N/A,#N/A,FALSE,"Detail1";#N/A,#N/A,FALSE,"Detail2";#N/A,#N/A,FALSE,"Detail3";#N/A,#N/A,FALSE,"WFTE_Summary";#N/A,#N/A,FALSE,"Funded_WFTE";#N/A,#N/A,FALSE,"PYADJ96"}</definedName>
    <definedName name="wrn.Base._.Data._.Comparison." localSheetId="50" hidden="1">{#N/A,#N/A,FALSE,"Summation";#N/A,#N/A,FALSE,"BSA";#N/A,#N/A,FALSE,"Detail1";#N/A,#N/A,FALSE,"Detail2";#N/A,#N/A,FALSE,"Detail3";#N/A,#N/A,FALSE,"WFTE_Summary";#N/A,#N/A,FALSE,"Funded_WFTE";#N/A,#N/A,FALSE,"PYADJ96"}</definedName>
    <definedName name="wrn.Base._.Data._.Comparison." localSheetId="2" hidden="1">{#N/A,#N/A,FALSE,"Summation";#N/A,#N/A,FALSE,"BSA";#N/A,#N/A,FALSE,"Detail1";#N/A,#N/A,FALSE,"Detail2";#N/A,#N/A,FALSE,"Detail3";#N/A,#N/A,FALSE,"WFTE_Summary";#N/A,#N/A,FALSE,"Funded_WFTE";#N/A,#N/A,FALSE,"PYADJ96"}</definedName>
    <definedName name="wrn.Base._.Data._.Comparison." hidden="1">{#N/A,#N/A,FALSE,"Summation";#N/A,#N/A,FALSE,"BSA";#N/A,#N/A,FALSE,"Detail1";#N/A,#N/A,FALSE,"Detail2";#N/A,#N/A,FALSE,"Detail3";#N/A,#N/A,FALSE,"WFTE_Summary";#N/A,#N/A,FALSE,"Funded_WFTE";#N/A,#N/A,FALSE,"PYADJ96"}</definedName>
    <definedName name="wrn.SecondCalc9798." localSheetId="3"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5"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6"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7"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8"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9"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0"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1"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2"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3"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4"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5"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6"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7"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8"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9"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0"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1"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2"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3"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4"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5"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6"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7"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8"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9"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0"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1"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2"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3"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4"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5"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6"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7"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8"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9"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0"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1"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2"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3"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4"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5"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6"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7"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8"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9"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50"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s>
  <calcPr calcId="162913"/>
</workbook>
</file>

<file path=xl/calcChain.xml><?xml version="1.0" encoding="utf-8"?>
<calcChain xmlns="http://schemas.openxmlformats.org/spreadsheetml/2006/main">
  <c r="H50" i="32" l="1"/>
  <c r="H51" i="32"/>
  <c r="H52" i="32"/>
  <c r="H53" i="32"/>
  <c r="H54" i="32"/>
  <c r="H55" i="32"/>
  <c r="H56" i="32"/>
  <c r="H57" i="32"/>
  <c r="H58" i="32"/>
  <c r="C59" i="32"/>
  <c r="D59" i="32"/>
  <c r="E50" i="32" s="1"/>
  <c r="H62" i="32"/>
  <c r="H65" i="32"/>
  <c r="E53" i="32" l="1"/>
  <c r="I53" i="32" s="1"/>
  <c r="E52" i="32"/>
  <c r="I52" i="32" s="1"/>
  <c r="E57" i="32"/>
  <c r="I57" i="32" s="1"/>
  <c r="E56" i="32"/>
  <c r="I56" i="32" s="1"/>
  <c r="I50" i="32"/>
  <c r="E55" i="32"/>
  <c r="I55" i="32" s="1"/>
  <c r="E51" i="32"/>
  <c r="I51" i="32" s="1"/>
  <c r="E58" i="32"/>
  <c r="I58" i="32" s="1"/>
  <c r="E54" i="32"/>
  <c r="I54" i="32" s="1"/>
  <c r="I9" i="16"/>
  <c r="I9" i="17"/>
  <c r="I9" i="18"/>
  <c r="I9" i="20"/>
  <c r="I9" i="21"/>
  <c r="I9" i="25"/>
  <c r="I9" i="24"/>
  <c r="I9" i="22"/>
  <c r="I9" i="26"/>
  <c r="I9" i="27"/>
  <c r="I9" i="28"/>
  <c r="I9" i="31"/>
  <c r="I9" i="32"/>
  <c r="I9" i="33"/>
  <c r="I9" i="34"/>
  <c r="I9" i="35"/>
  <c r="I9" i="23"/>
  <c r="I9" i="36"/>
  <c r="I9" i="37"/>
  <c r="I9" i="38"/>
  <c r="I9" i="39"/>
  <c r="I9" i="40"/>
  <c r="I9" i="42"/>
  <c r="I9" i="43"/>
  <c r="I9" i="44"/>
  <c r="I9" i="45"/>
  <c r="I9" i="47"/>
  <c r="I9" i="48"/>
  <c r="I9" i="50"/>
  <c r="I9" i="51"/>
  <c r="I9" i="52"/>
  <c r="I9" i="75"/>
  <c r="I9" i="76"/>
  <c r="I9" i="55"/>
  <c r="I9" i="56"/>
  <c r="I9" i="57"/>
  <c r="I9" i="58"/>
  <c r="I9" i="66"/>
  <c r="I9" i="67"/>
  <c r="I9" i="69"/>
  <c r="I9" i="70"/>
  <c r="I9" i="71"/>
  <c r="I9" i="68"/>
  <c r="I9" i="77"/>
  <c r="I9" i="78"/>
  <c r="I9" i="30"/>
  <c r="I9" i="15"/>
  <c r="E59" i="32" l="1"/>
  <c r="I59" i="32"/>
  <c r="E100" i="15"/>
  <c r="E100" i="16"/>
  <c r="E100" i="17"/>
  <c r="E100" i="18"/>
  <c r="E100" i="20"/>
  <c r="E100" i="21"/>
  <c r="E100" i="25"/>
  <c r="E100" i="24"/>
  <c r="E100" i="22"/>
  <c r="E100" i="26"/>
  <c r="E100" i="27"/>
  <c r="E100" i="28"/>
  <c r="E100" i="31"/>
  <c r="E100" i="32"/>
  <c r="E100" i="33"/>
  <c r="E100" i="34"/>
  <c r="E100" i="35"/>
  <c r="E100" i="23"/>
  <c r="E100" i="36"/>
  <c r="E100" i="37"/>
  <c r="E100" i="38"/>
  <c r="E100" i="39"/>
  <c r="E100" i="40"/>
  <c r="E100" i="42"/>
  <c r="E100" i="43"/>
  <c r="E100" i="44"/>
  <c r="E100" i="45"/>
  <c r="E100" i="47"/>
  <c r="E100" i="48"/>
  <c r="E100" i="50"/>
  <c r="E100" i="51"/>
  <c r="E100" i="52"/>
  <c r="E100" i="75"/>
  <c r="E100" i="76"/>
  <c r="E100" i="55"/>
  <c r="E100" i="56"/>
  <c r="E100" i="57"/>
  <c r="E100" i="58"/>
  <c r="E100" i="66"/>
  <c r="E100" i="67"/>
  <c r="E100" i="69"/>
  <c r="E100" i="70"/>
  <c r="E100" i="71"/>
  <c r="E100" i="68"/>
  <c r="E100" i="77"/>
  <c r="E100" i="78"/>
  <c r="E100" i="30"/>
  <c r="E100" i="7"/>
  <c r="E99" i="15"/>
  <c r="E99" i="16"/>
  <c r="E99" i="17"/>
  <c r="E99" i="18"/>
  <c r="E99" i="20"/>
  <c r="E99" i="21"/>
  <c r="E99" i="25"/>
  <c r="E99" i="24"/>
  <c r="E99" i="22"/>
  <c r="E99" i="26"/>
  <c r="E99" i="27"/>
  <c r="E99" i="28"/>
  <c r="E99" i="31"/>
  <c r="E99" i="32"/>
  <c r="E99" i="33"/>
  <c r="E99" i="34"/>
  <c r="E99" i="35"/>
  <c r="E99" i="23"/>
  <c r="E99" i="36"/>
  <c r="E99" i="37"/>
  <c r="E99" i="38"/>
  <c r="E99" i="39"/>
  <c r="E99" i="40"/>
  <c r="E99" i="42"/>
  <c r="E99" i="43"/>
  <c r="E99" i="44"/>
  <c r="E99" i="45"/>
  <c r="E99" i="47"/>
  <c r="E99" i="48"/>
  <c r="E99" i="50"/>
  <c r="E99" i="51"/>
  <c r="E99" i="52"/>
  <c r="E99" i="75"/>
  <c r="E99" i="76"/>
  <c r="E99" i="55"/>
  <c r="E99" i="56"/>
  <c r="E99" i="57"/>
  <c r="E99" i="58"/>
  <c r="E99" i="66"/>
  <c r="E99" i="67"/>
  <c r="E99" i="69"/>
  <c r="E99" i="70"/>
  <c r="E99" i="71"/>
  <c r="E99" i="68"/>
  <c r="E99" i="77"/>
  <c r="E99" i="78"/>
  <c r="E99" i="30"/>
  <c r="E99" i="7"/>
  <c r="E3" i="62" l="1"/>
  <c r="E14" i="62"/>
  <c r="E18" i="62" s="1"/>
  <c r="E24" i="62"/>
  <c r="N1" i="30"/>
  <c r="A3" i="30"/>
  <c r="N3" i="30" s="1"/>
  <c r="F4" i="30"/>
  <c r="P4" i="30"/>
  <c r="A7" i="30"/>
  <c r="C8" i="30"/>
  <c r="H8" i="30"/>
  <c r="F13" i="30"/>
  <c r="F14" i="30"/>
  <c r="F15" i="30"/>
  <c r="F16" i="30"/>
  <c r="F17" i="30"/>
  <c r="E18" i="30"/>
  <c r="F18" i="30"/>
  <c r="F19" i="30"/>
  <c r="F20" i="30"/>
  <c r="F21" i="30"/>
  <c r="F22" i="30"/>
  <c r="F23" i="30"/>
  <c r="F24" i="30"/>
  <c r="F25" i="30"/>
  <c r="F26" i="30"/>
  <c r="F27" i="30"/>
  <c r="F28" i="30"/>
  <c r="C29" i="30"/>
  <c r="D29" i="30"/>
  <c r="C43" i="30"/>
  <c r="D43" i="30"/>
  <c r="E37" i="30" s="1"/>
  <c r="H50" i="30"/>
  <c r="T50" i="30" s="1"/>
  <c r="U50" i="30" s="1"/>
  <c r="H51" i="30"/>
  <c r="T51" i="30" s="1"/>
  <c r="U51" i="30" s="1"/>
  <c r="H52" i="30"/>
  <c r="T52" i="30" s="1"/>
  <c r="U52" i="30" s="1"/>
  <c r="H53" i="30"/>
  <c r="T53" i="30" s="1"/>
  <c r="U53" i="30" s="1"/>
  <c r="H54" i="30"/>
  <c r="T54" i="30" s="1"/>
  <c r="U54" i="30" s="1"/>
  <c r="H55" i="30"/>
  <c r="T55" i="30" s="1"/>
  <c r="U55" i="30" s="1"/>
  <c r="H56" i="30"/>
  <c r="T56" i="30" s="1"/>
  <c r="U56" i="30" s="1"/>
  <c r="H57" i="30"/>
  <c r="T57" i="30" s="1"/>
  <c r="U57" i="30" s="1"/>
  <c r="H58" i="30"/>
  <c r="T58" i="30" s="1"/>
  <c r="U58" i="30" s="1"/>
  <c r="C59" i="30"/>
  <c r="D59" i="30"/>
  <c r="P59" i="30"/>
  <c r="H62" i="30"/>
  <c r="T62" i="30" s="1"/>
  <c r="H65" i="30"/>
  <c r="T65" i="30" s="1"/>
  <c r="F68" i="30"/>
  <c r="F70" i="30"/>
  <c r="R70" i="30" s="1"/>
  <c r="F71" i="30"/>
  <c r="F72" i="30"/>
  <c r="R72" i="30" s="1"/>
  <c r="F76" i="30"/>
  <c r="R76" i="30" s="1"/>
  <c r="F77" i="30"/>
  <c r="R77" i="30" s="1"/>
  <c r="F78" i="30"/>
  <c r="R78" i="30" s="1"/>
  <c r="F79" i="30"/>
  <c r="R79" i="30" s="1"/>
  <c r="F80" i="30"/>
  <c r="R80" i="30" s="1"/>
  <c r="F82" i="30"/>
  <c r="R82" i="30" s="1"/>
  <c r="U82" i="30" s="1"/>
  <c r="F83" i="30"/>
  <c r="R83" i="30" s="1"/>
  <c r="U83" i="30" s="1"/>
  <c r="I84" i="30"/>
  <c r="F85" i="30"/>
  <c r="R85" i="30" s="1"/>
  <c r="F90" i="30"/>
  <c r="R90" i="30" s="1"/>
  <c r="F91" i="30"/>
  <c r="R91" i="30" s="1"/>
  <c r="F92" i="30"/>
  <c r="R92" i="30" s="1"/>
  <c r="G99" i="30"/>
  <c r="I99" i="30" s="1"/>
  <c r="G100" i="30"/>
  <c r="T100" i="30" s="1"/>
  <c r="U100" i="30" s="1"/>
  <c r="H107" i="30"/>
  <c r="R107" i="30"/>
  <c r="R108" i="30" s="1"/>
  <c r="F108" i="30"/>
  <c r="H108" i="30"/>
  <c r="H109" i="30"/>
  <c r="T109" i="30"/>
  <c r="I130" i="30"/>
  <c r="A139" i="30"/>
  <c r="A140" i="30"/>
  <c r="A141" i="30"/>
  <c r="A142" i="30"/>
  <c r="A143" i="30"/>
  <c r="A144" i="30"/>
  <c r="A145" i="30"/>
  <c r="A146" i="30"/>
  <c r="A147" i="30"/>
  <c r="A148" i="30"/>
  <c r="A149" i="30"/>
  <c r="A150" i="30"/>
  <c r="A151" i="30"/>
  <c r="A152" i="30"/>
  <c r="A153" i="30"/>
  <c r="A154" i="30"/>
  <c r="A155" i="30"/>
  <c r="A156" i="30"/>
  <c r="A158" i="30"/>
  <c r="A159" i="30"/>
  <c r="A160" i="30"/>
  <c r="A161" i="30"/>
  <c r="A163" i="30"/>
  <c r="A164" i="30"/>
  <c r="A165" i="30"/>
  <c r="A167" i="30"/>
  <c r="A168" i="30"/>
  <c r="A169" i="30"/>
  <c r="A170" i="30"/>
  <c r="N1" i="78"/>
  <c r="A3" i="78"/>
  <c r="N3" i="78" s="1"/>
  <c r="F4" i="78"/>
  <c r="P4" i="78"/>
  <c r="A7" i="78"/>
  <c r="C8" i="78"/>
  <c r="H8" i="78"/>
  <c r="T8" i="78" s="1"/>
  <c r="P91" i="78" s="1"/>
  <c r="F13" i="78"/>
  <c r="F14" i="78"/>
  <c r="F15" i="78"/>
  <c r="F16" i="78"/>
  <c r="F17" i="78"/>
  <c r="F18" i="78"/>
  <c r="F19" i="78"/>
  <c r="E20" i="78"/>
  <c r="F20" i="78"/>
  <c r="F21" i="78"/>
  <c r="E22" i="78"/>
  <c r="F22" i="78"/>
  <c r="F23" i="78"/>
  <c r="F24" i="78"/>
  <c r="F25" i="78"/>
  <c r="F26" i="78"/>
  <c r="E27" i="78"/>
  <c r="F27" i="78"/>
  <c r="F28" i="78"/>
  <c r="C29" i="78"/>
  <c r="D29" i="78"/>
  <c r="E23" i="78" s="1"/>
  <c r="C43" i="78"/>
  <c r="D43" i="78"/>
  <c r="H50" i="78"/>
  <c r="T50" i="78" s="1"/>
  <c r="U50" i="78" s="1"/>
  <c r="H51" i="78"/>
  <c r="T51" i="78" s="1"/>
  <c r="U51" i="78" s="1"/>
  <c r="H52" i="78"/>
  <c r="T52" i="78" s="1"/>
  <c r="U52" i="78" s="1"/>
  <c r="H53" i="78"/>
  <c r="T53" i="78" s="1"/>
  <c r="U53" i="78" s="1"/>
  <c r="H54" i="78"/>
  <c r="T54" i="78" s="1"/>
  <c r="U54" i="78" s="1"/>
  <c r="E55" i="78"/>
  <c r="H55" i="78"/>
  <c r="T55" i="78" s="1"/>
  <c r="U55" i="78" s="1"/>
  <c r="H56" i="78"/>
  <c r="T56" i="78" s="1"/>
  <c r="U56" i="78" s="1"/>
  <c r="H57" i="78"/>
  <c r="T57" i="78" s="1"/>
  <c r="U57" i="78" s="1"/>
  <c r="H58" i="78"/>
  <c r="T58" i="78" s="1"/>
  <c r="U58" i="78" s="1"/>
  <c r="C59" i="78"/>
  <c r="D59" i="78"/>
  <c r="E58" i="78" s="1"/>
  <c r="P59" i="78"/>
  <c r="H62" i="78"/>
  <c r="T62" i="78" s="1"/>
  <c r="H65" i="78"/>
  <c r="T65" i="78" s="1"/>
  <c r="F68" i="78"/>
  <c r="F70" i="78"/>
  <c r="F71" i="78"/>
  <c r="F72" i="78"/>
  <c r="F76" i="78"/>
  <c r="F77" i="78"/>
  <c r="R77" i="78" s="1"/>
  <c r="F78" i="78"/>
  <c r="F79" i="78"/>
  <c r="R79" i="78" s="1"/>
  <c r="F80" i="78"/>
  <c r="F82" i="78"/>
  <c r="R82" i="78" s="1"/>
  <c r="U82" i="78" s="1"/>
  <c r="F83" i="78"/>
  <c r="R83" i="78" s="1"/>
  <c r="U83" i="78" s="1"/>
  <c r="I84" i="78"/>
  <c r="F85" i="78"/>
  <c r="E90" i="78"/>
  <c r="F90" i="78"/>
  <c r="R90" i="78" s="1"/>
  <c r="F91" i="78"/>
  <c r="R91" i="78" s="1"/>
  <c r="F92" i="78"/>
  <c r="R92" i="78" s="1"/>
  <c r="G99" i="78"/>
  <c r="T99" i="78" s="1"/>
  <c r="G100" i="78"/>
  <c r="I100" i="78" s="1"/>
  <c r="E107" i="78"/>
  <c r="H107" i="78"/>
  <c r="R107" i="78"/>
  <c r="R108" i="78" s="1"/>
  <c r="F108" i="78"/>
  <c r="H108" i="78"/>
  <c r="I130" i="78"/>
  <c r="A139" i="78"/>
  <c r="A140" i="78"/>
  <c r="A141" i="78"/>
  <c r="A142" i="78"/>
  <c r="A143" i="78"/>
  <c r="A144" i="78"/>
  <c r="A145" i="78"/>
  <c r="A146" i="78"/>
  <c r="A147" i="78"/>
  <c r="A148" i="78"/>
  <c r="A149" i="78"/>
  <c r="A150" i="78"/>
  <c r="A151" i="78"/>
  <c r="A152" i="78"/>
  <c r="A153" i="78"/>
  <c r="A154" i="78"/>
  <c r="A155" i="78"/>
  <c r="A156" i="78"/>
  <c r="A158" i="78"/>
  <c r="A159" i="78"/>
  <c r="A160" i="78"/>
  <c r="A161" i="78"/>
  <c r="A163" i="78"/>
  <c r="A164" i="78"/>
  <c r="A165" i="78"/>
  <c r="A167" i="78"/>
  <c r="A168" i="78"/>
  <c r="A169" i="78"/>
  <c r="A170" i="78"/>
  <c r="N1" i="77"/>
  <c r="A3" i="77"/>
  <c r="N3" i="77" s="1"/>
  <c r="F4" i="77"/>
  <c r="P4" i="77"/>
  <c r="A7" i="77"/>
  <c r="C8" i="77"/>
  <c r="H8" i="77"/>
  <c r="T8" i="77" s="1"/>
  <c r="F13" i="77"/>
  <c r="F14" i="77"/>
  <c r="F15" i="77"/>
  <c r="F16" i="77"/>
  <c r="F17" i="77"/>
  <c r="F18" i="77"/>
  <c r="F19" i="77"/>
  <c r="F20" i="77"/>
  <c r="F21" i="77"/>
  <c r="F22" i="77"/>
  <c r="F23" i="77"/>
  <c r="F24" i="77"/>
  <c r="F25" i="77"/>
  <c r="F26" i="77"/>
  <c r="F27" i="77"/>
  <c r="F28" i="77"/>
  <c r="C29" i="77"/>
  <c r="D29" i="77"/>
  <c r="E38" i="77"/>
  <c r="E41" i="77"/>
  <c r="C43" i="77"/>
  <c r="D43" i="77"/>
  <c r="E39" i="77" s="1"/>
  <c r="H50" i="77"/>
  <c r="T50" i="77" s="1"/>
  <c r="U50" i="77" s="1"/>
  <c r="H51" i="77"/>
  <c r="T51" i="77" s="1"/>
  <c r="U51" i="77" s="1"/>
  <c r="H52" i="77"/>
  <c r="T52" i="77" s="1"/>
  <c r="U52" i="77" s="1"/>
  <c r="H53" i="77"/>
  <c r="T53" i="77" s="1"/>
  <c r="U53" i="77" s="1"/>
  <c r="H54" i="77"/>
  <c r="T54" i="77" s="1"/>
  <c r="U54" i="77" s="1"/>
  <c r="H55" i="77"/>
  <c r="T55" i="77" s="1"/>
  <c r="U55" i="77" s="1"/>
  <c r="H56" i="77"/>
  <c r="T56" i="77" s="1"/>
  <c r="U56" i="77" s="1"/>
  <c r="H57" i="77"/>
  <c r="T57" i="77" s="1"/>
  <c r="U57" i="77" s="1"/>
  <c r="H58" i="77"/>
  <c r="T58" i="77" s="1"/>
  <c r="U58" i="77" s="1"/>
  <c r="C59" i="77"/>
  <c r="D59" i="77"/>
  <c r="E109" i="77" s="1"/>
  <c r="P59" i="77"/>
  <c r="H62" i="77"/>
  <c r="T62" i="77" s="1"/>
  <c r="H65" i="77"/>
  <c r="T65" i="77" s="1"/>
  <c r="F68" i="77"/>
  <c r="R68" i="77" s="1"/>
  <c r="F70" i="77"/>
  <c r="F71" i="77"/>
  <c r="R71" i="77" s="1"/>
  <c r="F72" i="77"/>
  <c r="F76" i="77"/>
  <c r="R76" i="77" s="1"/>
  <c r="F77" i="77"/>
  <c r="F78" i="77"/>
  <c r="R78" i="77" s="1"/>
  <c r="F79" i="77"/>
  <c r="F80" i="77"/>
  <c r="R80" i="77" s="1"/>
  <c r="F82" i="77"/>
  <c r="R82" i="77" s="1"/>
  <c r="U82" i="77" s="1"/>
  <c r="F83" i="77"/>
  <c r="R83" i="77" s="1"/>
  <c r="U83" i="77" s="1"/>
  <c r="I84" i="77"/>
  <c r="F85" i="77"/>
  <c r="F90" i="77"/>
  <c r="R90" i="77" s="1"/>
  <c r="F91" i="77"/>
  <c r="R91" i="77" s="1"/>
  <c r="F92" i="77"/>
  <c r="R92" i="77" s="1"/>
  <c r="G99" i="77"/>
  <c r="T99" i="77" s="1"/>
  <c r="G100" i="77"/>
  <c r="I100" i="77" s="1"/>
  <c r="H107" i="77"/>
  <c r="R107" i="77"/>
  <c r="F108" i="77"/>
  <c r="H108" i="77"/>
  <c r="R108" i="77"/>
  <c r="T108" i="77"/>
  <c r="I130" i="77"/>
  <c r="A139" i="77"/>
  <c r="A140" i="77"/>
  <c r="A141" i="77"/>
  <c r="A142" i="77"/>
  <c r="A143" i="77"/>
  <c r="A144" i="77"/>
  <c r="A145" i="77"/>
  <c r="A146" i="77"/>
  <c r="A147" i="77"/>
  <c r="A148" i="77"/>
  <c r="A149" i="77"/>
  <c r="A150" i="77"/>
  <c r="A151" i="77"/>
  <c r="A152" i="77"/>
  <c r="A153" i="77"/>
  <c r="A154" i="77"/>
  <c r="A155" i="77"/>
  <c r="A156" i="77"/>
  <c r="A158" i="77"/>
  <c r="A159" i="77"/>
  <c r="A160" i="77"/>
  <c r="A161" i="77"/>
  <c r="A163" i="77"/>
  <c r="A164" i="77"/>
  <c r="A165" i="77"/>
  <c r="A167" i="77"/>
  <c r="A168" i="77"/>
  <c r="A169" i="77"/>
  <c r="A170" i="77"/>
  <c r="N1" i="68"/>
  <c r="A3" i="68"/>
  <c r="N3" i="68" s="1"/>
  <c r="F4" i="68"/>
  <c r="P4" i="68"/>
  <c r="A7" i="68"/>
  <c r="C8" i="68"/>
  <c r="H8" i="68"/>
  <c r="E90" i="68" s="1"/>
  <c r="F13" i="68"/>
  <c r="F14" i="68"/>
  <c r="F15" i="68"/>
  <c r="F16" i="68"/>
  <c r="F17" i="68"/>
  <c r="F18" i="68"/>
  <c r="F19" i="68"/>
  <c r="F20" i="68"/>
  <c r="F21" i="68"/>
  <c r="F22" i="68"/>
  <c r="F23" i="68"/>
  <c r="F24" i="68"/>
  <c r="F25" i="68"/>
  <c r="F26" i="68"/>
  <c r="F27" i="68"/>
  <c r="F28" i="68"/>
  <c r="C29" i="68"/>
  <c r="D29" i="68"/>
  <c r="E23" i="68" s="1"/>
  <c r="E37" i="68"/>
  <c r="E38" i="68"/>
  <c r="E39" i="68"/>
  <c r="E40" i="68"/>
  <c r="E41" i="68"/>
  <c r="E42" i="68"/>
  <c r="C43" i="68"/>
  <c r="D43" i="68"/>
  <c r="H50" i="68"/>
  <c r="T50" i="68" s="1"/>
  <c r="U50" i="68" s="1"/>
  <c r="H51" i="68"/>
  <c r="T51" i="68" s="1"/>
  <c r="U51" i="68" s="1"/>
  <c r="H52" i="68"/>
  <c r="T52" i="68" s="1"/>
  <c r="U52" i="68" s="1"/>
  <c r="H53" i="68"/>
  <c r="T53" i="68" s="1"/>
  <c r="U53" i="68" s="1"/>
  <c r="H54" i="68"/>
  <c r="T54" i="68" s="1"/>
  <c r="U54" i="68" s="1"/>
  <c r="H55" i="68"/>
  <c r="T55" i="68" s="1"/>
  <c r="U55" i="68" s="1"/>
  <c r="H56" i="68"/>
  <c r="T56" i="68" s="1"/>
  <c r="U56" i="68" s="1"/>
  <c r="H57" i="68"/>
  <c r="T57" i="68" s="1"/>
  <c r="U57" i="68" s="1"/>
  <c r="H58" i="68"/>
  <c r="T58" i="68" s="1"/>
  <c r="U58" i="68" s="1"/>
  <c r="C59" i="68"/>
  <c r="D59" i="68"/>
  <c r="P59" i="68"/>
  <c r="H62" i="68"/>
  <c r="T62" i="68" s="1"/>
  <c r="H65" i="68"/>
  <c r="T65" i="68" s="1"/>
  <c r="F68" i="68"/>
  <c r="R68" i="68" s="1"/>
  <c r="F70" i="68"/>
  <c r="R70" i="68" s="1"/>
  <c r="F71" i="68"/>
  <c r="R71" i="68" s="1"/>
  <c r="F72" i="68"/>
  <c r="R72" i="68" s="1"/>
  <c r="F76" i="68"/>
  <c r="R76" i="68" s="1"/>
  <c r="F77" i="68"/>
  <c r="R77" i="68" s="1"/>
  <c r="F78" i="68"/>
  <c r="R78" i="68"/>
  <c r="F79" i="68"/>
  <c r="R79" i="68" s="1"/>
  <c r="F80" i="68"/>
  <c r="R80" i="68" s="1"/>
  <c r="F82" i="68"/>
  <c r="R82" i="68" s="1"/>
  <c r="U82" i="68" s="1"/>
  <c r="F83" i="68"/>
  <c r="R83" i="68" s="1"/>
  <c r="U83" i="68" s="1"/>
  <c r="I84" i="68"/>
  <c r="F85" i="68"/>
  <c r="R85" i="68" s="1"/>
  <c r="F90" i="68"/>
  <c r="R90" i="68" s="1"/>
  <c r="F91" i="68"/>
  <c r="R91" i="68" s="1"/>
  <c r="F92" i="68"/>
  <c r="R92" i="68" s="1"/>
  <c r="G99" i="68"/>
  <c r="G100" i="68"/>
  <c r="H107" i="68"/>
  <c r="T107" i="68" s="1"/>
  <c r="R107" i="68"/>
  <c r="R108" i="68" s="1"/>
  <c r="F108" i="68"/>
  <c r="H108" i="68"/>
  <c r="T108" i="68"/>
  <c r="H109" i="68"/>
  <c r="I130" i="68"/>
  <c r="A139" i="68"/>
  <c r="A140" i="68"/>
  <c r="A141" i="68"/>
  <c r="A142" i="68"/>
  <c r="A143" i="68"/>
  <c r="A144" i="68"/>
  <c r="A145" i="68"/>
  <c r="A146" i="68"/>
  <c r="A147" i="68"/>
  <c r="A148" i="68"/>
  <c r="A149" i="68"/>
  <c r="A150" i="68"/>
  <c r="A151" i="68"/>
  <c r="A152" i="68"/>
  <c r="A153" i="68"/>
  <c r="A154" i="68"/>
  <c r="A155" i="68"/>
  <c r="A156" i="68"/>
  <c r="A158" i="68"/>
  <c r="A159" i="68"/>
  <c r="A160" i="68"/>
  <c r="A161" i="68"/>
  <c r="A163" i="68"/>
  <c r="A164" i="68"/>
  <c r="A165" i="68"/>
  <c r="A167" i="68"/>
  <c r="A168" i="68"/>
  <c r="A169" i="68"/>
  <c r="A170" i="68"/>
  <c r="N1" i="71"/>
  <c r="A3" i="71"/>
  <c r="N3" i="71" s="1"/>
  <c r="F4" i="71"/>
  <c r="P4" i="71"/>
  <c r="A7" i="71"/>
  <c r="C8" i="71"/>
  <c r="H8" i="71"/>
  <c r="F13" i="71"/>
  <c r="F14" i="71"/>
  <c r="F15" i="71"/>
  <c r="F16" i="71"/>
  <c r="F17" i="71"/>
  <c r="F18" i="71"/>
  <c r="F19" i="71"/>
  <c r="E20" i="71"/>
  <c r="F20" i="71"/>
  <c r="F21" i="71"/>
  <c r="F22" i="71"/>
  <c r="F23" i="71"/>
  <c r="F24" i="71"/>
  <c r="F25" i="71"/>
  <c r="F26" i="71"/>
  <c r="F27" i="71"/>
  <c r="F28" i="71"/>
  <c r="C29" i="71"/>
  <c r="D29" i="71"/>
  <c r="E21" i="71" s="1"/>
  <c r="C43" i="71"/>
  <c r="D43" i="71"/>
  <c r="H50" i="71"/>
  <c r="T50" i="71" s="1"/>
  <c r="U50" i="71" s="1"/>
  <c r="H51" i="71"/>
  <c r="T51" i="71" s="1"/>
  <c r="U51" i="71" s="1"/>
  <c r="H52" i="71"/>
  <c r="T52" i="71" s="1"/>
  <c r="U52" i="71" s="1"/>
  <c r="H53" i="71"/>
  <c r="T53" i="71" s="1"/>
  <c r="U53" i="71" s="1"/>
  <c r="H54" i="71"/>
  <c r="T54" i="71" s="1"/>
  <c r="U54" i="71" s="1"/>
  <c r="H55" i="71"/>
  <c r="T55" i="71" s="1"/>
  <c r="U55" i="71" s="1"/>
  <c r="H56" i="71"/>
  <c r="T56" i="71" s="1"/>
  <c r="U56" i="71" s="1"/>
  <c r="H57" i="71"/>
  <c r="H58" i="71"/>
  <c r="T58" i="71" s="1"/>
  <c r="U58" i="71" s="1"/>
  <c r="C59" i="71"/>
  <c r="D59" i="71"/>
  <c r="E50" i="71" s="1"/>
  <c r="P59" i="71"/>
  <c r="H62" i="71"/>
  <c r="T62" i="71" s="1"/>
  <c r="H65" i="71"/>
  <c r="T65" i="71" s="1"/>
  <c r="F68" i="71"/>
  <c r="R68" i="71" s="1"/>
  <c r="F70" i="71"/>
  <c r="R70" i="71" s="1"/>
  <c r="F71" i="71"/>
  <c r="R71" i="71" s="1"/>
  <c r="F72" i="71"/>
  <c r="R72" i="71" s="1"/>
  <c r="F76" i="71"/>
  <c r="F77" i="71"/>
  <c r="R77" i="71" s="1"/>
  <c r="F78" i="71"/>
  <c r="F79" i="71"/>
  <c r="R79" i="71" s="1"/>
  <c r="F80" i="71"/>
  <c r="F82" i="71"/>
  <c r="R82" i="71" s="1"/>
  <c r="U82" i="71" s="1"/>
  <c r="F83" i="71"/>
  <c r="R83" i="71" s="1"/>
  <c r="U83" i="71" s="1"/>
  <c r="I84" i="71"/>
  <c r="F85" i="71"/>
  <c r="R85" i="71" s="1"/>
  <c r="F90" i="71"/>
  <c r="R90" i="71" s="1"/>
  <c r="F91" i="71"/>
  <c r="R91" i="71" s="1"/>
  <c r="F92" i="71"/>
  <c r="R92" i="71" s="1"/>
  <c r="G99" i="71"/>
  <c r="I99" i="71" s="1"/>
  <c r="G100" i="71"/>
  <c r="T100" i="71" s="1"/>
  <c r="U100" i="71" s="1"/>
  <c r="H107" i="71"/>
  <c r="R107" i="71"/>
  <c r="R108" i="71" s="1"/>
  <c r="T107" i="71"/>
  <c r="F108" i="71"/>
  <c r="H108" i="71"/>
  <c r="T108" i="71" s="1"/>
  <c r="H109" i="71"/>
  <c r="T109" i="71"/>
  <c r="I130" i="71"/>
  <c r="A139" i="71"/>
  <c r="A140" i="71"/>
  <c r="A141" i="71"/>
  <c r="A142" i="71"/>
  <c r="A143" i="71"/>
  <c r="A144" i="71"/>
  <c r="A145" i="71"/>
  <c r="A146" i="71"/>
  <c r="A147" i="71"/>
  <c r="A148" i="71"/>
  <c r="A149" i="71"/>
  <c r="A150" i="71"/>
  <c r="A151" i="71"/>
  <c r="A152" i="71"/>
  <c r="A153" i="71"/>
  <c r="A154" i="71"/>
  <c r="A155" i="71"/>
  <c r="A156" i="71"/>
  <c r="A158" i="71"/>
  <c r="A159" i="71"/>
  <c r="A160" i="71"/>
  <c r="A161" i="71"/>
  <c r="A163" i="71"/>
  <c r="A164" i="71"/>
  <c r="A165" i="71"/>
  <c r="A167" i="71"/>
  <c r="A168" i="71"/>
  <c r="A169" i="71"/>
  <c r="A170" i="71"/>
  <c r="N1" i="70"/>
  <c r="A3" i="70"/>
  <c r="N3" i="70" s="1"/>
  <c r="F4" i="70"/>
  <c r="P4" i="70"/>
  <c r="A7" i="70"/>
  <c r="C8" i="70"/>
  <c r="H8" i="70"/>
  <c r="T8" i="70" s="1"/>
  <c r="F13" i="70"/>
  <c r="F14" i="70"/>
  <c r="F15" i="70"/>
  <c r="F16" i="70"/>
  <c r="F17" i="70"/>
  <c r="F18" i="70"/>
  <c r="F19" i="70"/>
  <c r="F20" i="70"/>
  <c r="F21" i="70"/>
  <c r="F22" i="70"/>
  <c r="F23" i="70"/>
  <c r="F24" i="70"/>
  <c r="E25" i="70"/>
  <c r="F25" i="70"/>
  <c r="F26" i="70"/>
  <c r="F27" i="70"/>
  <c r="F28" i="70"/>
  <c r="C29" i="70"/>
  <c r="D29" i="70"/>
  <c r="E27" i="70" s="1"/>
  <c r="C43" i="70"/>
  <c r="D43" i="70"/>
  <c r="H50" i="70"/>
  <c r="T50" i="70" s="1"/>
  <c r="U50" i="70" s="1"/>
  <c r="H51" i="70"/>
  <c r="T51" i="70" s="1"/>
  <c r="U51" i="70" s="1"/>
  <c r="H52" i="70"/>
  <c r="T52" i="70" s="1"/>
  <c r="U52" i="70" s="1"/>
  <c r="E53" i="70"/>
  <c r="H53" i="70"/>
  <c r="T53" i="70" s="1"/>
  <c r="U53" i="70" s="1"/>
  <c r="H54" i="70"/>
  <c r="T54" i="70"/>
  <c r="U54" i="70" s="1"/>
  <c r="H55" i="70"/>
  <c r="T55" i="70" s="1"/>
  <c r="U55" i="70" s="1"/>
  <c r="H56" i="70"/>
  <c r="T56" i="70" s="1"/>
  <c r="U56" i="70" s="1"/>
  <c r="H57" i="70"/>
  <c r="H58" i="70"/>
  <c r="T58" i="70" s="1"/>
  <c r="U58" i="70" s="1"/>
  <c r="C59" i="70"/>
  <c r="D59" i="70"/>
  <c r="E52" i="70" s="1"/>
  <c r="P59" i="70"/>
  <c r="H62" i="70"/>
  <c r="T62" i="70" s="1"/>
  <c r="H65" i="70"/>
  <c r="T65" i="70" s="1"/>
  <c r="F68" i="70"/>
  <c r="R68" i="70" s="1"/>
  <c r="F70" i="70"/>
  <c r="R70" i="70" s="1"/>
  <c r="F71" i="70"/>
  <c r="R71" i="70" s="1"/>
  <c r="F72" i="70"/>
  <c r="R72" i="70" s="1"/>
  <c r="F76" i="70"/>
  <c r="R76" i="70" s="1"/>
  <c r="F77" i="70"/>
  <c r="R77" i="70" s="1"/>
  <c r="F78" i="70"/>
  <c r="R78" i="70"/>
  <c r="F79" i="70"/>
  <c r="R79" i="70" s="1"/>
  <c r="F80" i="70"/>
  <c r="R80" i="70" s="1"/>
  <c r="F82" i="70"/>
  <c r="R82" i="70" s="1"/>
  <c r="U82" i="70" s="1"/>
  <c r="F83" i="70"/>
  <c r="R83" i="70" s="1"/>
  <c r="U83" i="70" s="1"/>
  <c r="I84" i="70"/>
  <c r="F85" i="70"/>
  <c r="R85" i="70" s="1"/>
  <c r="F90" i="70"/>
  <c r="R90" i="70" s="1"/>
  <c r="F91" i="70"/>
  <c r="R91" i="70" s="1"/>
  <c r="F92" i="70"/>
  <c r="R92" i="70" s="1"/>
  <c r="G99" i="70"/>
  <c r="T99" i="70" s="1"/>
  <c r="G100" i="70"/>
  <c r="I100" i="70" s="1"/>
  <c r="H107" i="70"/>
  <c r="R107" i="70"/>
  <c r="R108" i="70" s="1"/>
  <c r="F108" i="70"/>
  <c r="H108" i="70"/>
  <c r="T108" i="70" s="1"/>
  <c r="I130" i="70"/>
  <c r="A139" i="70"/>
  <c r="A140" i="70"/>
  <c r="A141" i="70"/>
  <c r="A142" i="70"/>
  <c r="A143" i="70"/>
  <c r="A144" i="70"/>
  <c r="A145" i="70"/>
  <c r="A146" i="70"/>
  <c r="A147" i="70"/>
  <c r="A148" i="70"/>
  <c r="A149" i="70"/>
  <c r="A150" i="70"/>
  <c r="A151" i="70"/>
  <c r="A152" i="70"/>
  <c r="A153" i="70"/>
  <c r="A154" i="70"/>
  <c r="A155" i="70"/>
  <c r="A156" i="70"/>
  <c r="A158" i="70"/>
  <c r="A159" i="70"/>
  <c r="A160" i="70"/>
  <c r="A161" i="70"/>
  <c r="A163" i="70"/>
  <c r="A164" i="70"/>
  <c r="A165" i="70"/>
  <c r="A167" i="70"/>
  <c r="A168" i="70"/>
  <c r="A169" i="70"/>
  <c r="A170" i="70"/>
  <c r="N1" i="69"/>
  <c r="A3" i="69"/>
  <c r="N3" i="69" s="1"/>
  <c r="F4" i="69"/>
  <c r="P4" i="69"/>
  <c r="A7" i="69"/>
  <c r="C8" i="69"/>
  <c r="H8" i="69"/>
  <c r="F13" i="69"/>
  <c r="F14" i="69"/>
  <c r="F15" i="69"/>
  <c r="F16" i="69"/>
  <c r="F17" i="69"/>
  <c r="F18" i="69"/>
  <c r="F19" i="69"/>
  <c r="F20" i="69"/>
  <c r="F21" i="69"/>
  <c r="E22" i="69"/>
  <c r="F22" i="69"/>
  <c r="F23" i="69"/>
  <c r="F24" i="69"/>
  <c r="F25" i="69"/>
  <c r="F26" i="69"/>
  <c r="F27" i="69"/>
  <c r="F28" i="69"/>
  <c r="C29" i="69"/>
  <c r="D29" i="69"/>
  <c r="E23" i="69" s="1"/>
  <c r="C43" i="69"/>
  <c r="D43" i="69"/>
  <c r="H50" i="69"/>
  <c r="T50" i="69" s="1"/>
  <c r="U50" i="69" s="1"/>
  <c r="H51" i="69"/>
  <c r="T51" i="69" s="1"/>
  <c r="U51" i="69" s="1"/>
  <c r="H52" i="69"/>
  <c r="T52" i="69" s="1"/>
  <c r="U52" i="69" s="1"/>
  <c r="H53" i="69"/>
  <c r="H54" i="69"/>
  <c r="T54" i="69" s="1"/>
  <c r="U54" i="69" s="1"/>
  <c r="H55" i="69"/>
  <c r="T55" i="69" s="1"/>
  <c r="U55" i="69" s="1"/>
  <c r="H56" i="69"/>
  <c r="T56" i="69" s="1"/>
  <c r="U56" i="69" s="1"/>
  <c r="H57" i="69"/>
  <c r="H58" i="69"/>
  <c r="T58" i="69" s="1"/>
  <c r="U58" i="69" s="1"/>
  <c r="C59" i="69"/>
  <c r="D59" i="69"/>
  <c r="P59" i="69"/>
  <c r="H62" i="69"/>
  <c r="T62" i="69" s="1"/>
  <c r="H65" i="69"/>
  <c r="T65" i="69" s="1"/>
  <c r="F68" i="69"/>
  <c r="R68" i="69" s="1"/>
  <c r="F70" i="69"/>
  <c r="R70" i="69" s="1"/>
  <c r="F71" i="69"/>
  <c r="R71" i="69" s="1"/>
  <c r="F72" i="69"/>
  <c r="R72" i="69" s="1"/>
  <c r="F76" i="69"/>
  <c r="F77" i="69"/>
  <c r="R77" i="69"/>
  <c r="F78" i="69"/>
  <c r="F79" i="69"/>
  <c r="R79" i="69" s="1"/>
  <c r="F80" i="69"/>
  <c r="F82" i="69"/>
  <c r="R82" i="69" s="1"/>
  <c r="U82" i="69" s="1"/>
  <c r="F83" i="69"/>
  <c r="R83" i="69" s="1"/>
  <c r="U83" i="69" s="1"/>
  <c r="I84" i="69"/>
  <c r="F85" i="69"/>
  <c r="R85" i="69" s="1"/>
  <c r="F90" i="69"/>
  <c r="R90" i="69" s="1"/>
  <c r="F91" i="69"/>
  <c r="R91" i="69" s="1"/>
  <c r="F92" i="69"/>
  <c r="R92" i="69" s="1"/>
  <c r="G99" i="69"/>
  <c r="I99" i="69" s="1"/>
  <c r="G100" i="69"/>
  <c r="T100" i="69" s="1"/>
  <c r="U100" i="69" s="1"/>
  <c r="I100" i="69"/>
  <c r="H107" i="69"/>
  <c r="R107" i="69"/>
  <c r="T107" i="69"/>
  <c r="F108" i="69"/>
  <c r="H108" i="69"/>
  <c r="T108" i="69" s="1"/>
  <c r="R108" i="69"/>
  <c r="H109" i="69"/>
  <c r="T109" i="69" s="1"/>
  <c r="I130" i="69"/>
  <c r="A139" i="69"/>
  <c r="A140" i="69"/>
  <c r="A141" i="69"/>
  <c r="A142" i="69"/>
  <c r="A143" i="69"/>
  <c r="A144" i="69"/>
  <c r="A145" i="69"/>
  <c r="A146" i="69"/>
  <c r="A147" i="69"/>
  <c r="A148" i="69"/>
  <c r="A149" i="69"/>
  <c r="A150" i="69"/>
  <c r="A151" i="69"/>
  <c r="A152" i="69"/>
  <c r="A153" i="69"/>
  <c r="A154" i="69"/>
  <c r="A155" i="69"/>
  <c r="A156" i="69"/>
  <c r="A158" i="69"/>
  <c r="A159" i="69"/>
  <c r="A160" i="69"/>
  <c r="A161" i="69"/>
  <c r="A163" i="69"/>
  <c r="A164" i="69"/>
  <c r="A165" i="69"/>
  <c r="A167" i="69"/>
  <c r="A168" i="69"/>
  <c r="A169" i="69"/>
  <c r="A170" i="69"/>
  <c r="N1" i="67"/>
  <c r="A3" i="67"/>
  <c r="N3" i="67" s="1"/>
  <c r="F4" i="67"/>
  <c r="P4" i="67"/>
  <c r="A7" i="67"/>
  <c r="C8" i="67"/>
  <c r="H8" i="67"/>
  <c r="E90" i="67" s="1"/>
  <c r="F13" i="67"/>
  <c r="F14" i="67"/>
  <c r="F15" i="67"/>
  <c r="F16" i="67"/>
  <c r="F17" i="67"/>
  <c r="F18" i="67"/>
  <c r="F19" i="67"/>
  <c r="F20" i="67"/>
  <c r="F21" i="67"/>
  <c r="F22" i="67"/>
  <c r="F23" i="67"/>
  <c r="F24" i="67"/>
  <c r="F25" i="67"/>
  <c r="F26" i="67"/>
  <c r="F27" i="67"/>
  <c r="F28" i="67"/>
  <c r="C29" i="67"/>
  <c r="D29" i="67"/>
  <c r="C43" i="67"/>
  <c r="D43" i="67"/>
  <c r="E38" i="67" s="1"/>
  <c r="H50" i="67"/>
  <c r="T50" i="67" s="1"/>
  <c r="U50" i="67" s="1"/>
  <c r="H51" i="67"/>
  <c r="T51" i="67" s="1"/>
  <c r="U51" i="67" s="1"/>
  <c r="H52" i="67"/>
  <c r="T52" i="67" s="1"/>
  <c r="U52" i="67" s="1"/>
  <c r="H53" i="67"/>
  <c r="H54" i="67"/>
  <c r="T54" i="67" s="1"/>
  <c r="U54" i="67" s="1"/>
  <c r="H55" i="67"/>
  <c r="T55" i="67" s="1"/>
  <c r="U55" i="67" s="1"/>
  <c r="H56" i="67"/>
  <c r="H57" i="67"/>
  <c r="T57" i="67" s="1"/>
  <c r="U57" i="67" s="1"/>
  <c r="H58" i="67"/>
  <c r="C59" i="67"/>
  <c r="D59" i="67"/>
  <c r="E51" i="67" s="1"/>
  <c r="P59" i="67"/>
  <c r="H62" i="67"/>
  <c r="T62" i="67" s="1"/>
  <c r="H65" i="67"/>
  <c r="T65" i="67" s="1"/>
  <c r="F68" i="67"/>
  <c r="R68" i="67" s="1"/>
  <c r="F70" i="67"/>
  <c r="R70" i="67" s="1"/>
  <c r="F71" i="67"/>
  <c r="R71" i="67" s="1"/>
  <c r="F72" i="67"/>
  <c r="F76" i="67"/>
  <c r="R76" i="67" s="1"/>
  <c r="F77" i="67"/>
  <c r="R77" i="67" s="1"/>
  <c r="F78" i="67"/>
  <c r="R78" i="67" s="1"/>
  <c r="F79" i="67"/>
  <c r="R79" i="67" s="1"/>
  <c r="F80" i="67"/>
  <c r="R80" i="67" s="1"/>
  <c r="F82" i="67"/>
  <c r="R82" i="67" s="1"/>
  <c r="U82" i="67" s="1"/>
  <c r="F83" i="67"/>
  <c r="R83" i="67" s="1"/>
  <c r="U83" i="67" s="1"/>
  <c r="I84" i="67"/>
  <c r="F85" i="67"/>
  <c r="R85" i="67" s="1"/>
  <c r="F90" i="67"/>
  <c r="R90" i="67" s="1"/>
  <c r="F91" i="67"/>
  <c r="R91" i="67" s="1"/>
  <c r="F92" i="67"/>
  <c r="R92" i="67" s="1"/>
  <c r="G99" i="67"/>
  <c r="T99" i="67" s="1"/>
  <c r="G100" i="67"/>
  <c r="T100" i="67" s="1"/>
  <c r="U100" i="67" s="1"/>
  <c r="H107" i="67"/>
  <c r="H109" i="67" s="1"/>
  <c r="R107" i="67"/>
  <c r="R108" i="67" s="1"/>
  <c r="T107" i="67"/>
  <c r="F108" i="67"/>
  <c r="H108" i="67"/>
  <c r="T108" i="67"/>
  <c r="T109" i="67"/>
  <c r="I130" i="67"/>
  <c r="A139" i="67"/>
  <c r="A140" i="67"/>
  <c r="A141" i="67"/>
  <c r="A142" i="67"/>
  <c r="A143" i="67"/>
  <c r="A144" i="67"/>
  <c r="A145" i="67"/>
  <c r="A146" i="67"/>
  <c r="A147" i="67"/>
  <c r="A148" i="67"/>
  <c r="A149" i="67"/>
  <c r="A150" i="67"/>
  <c r="A151" i="67"/>
  <c r="A152" i="67"/>
  <c r="A153" i="67"/>
  <c r="A154" i="67"/>
  <c r="A155" i="67"/>
  <c r="A156" i="67"/>
  <c r="A158" i="67"/>
  <c r="A159" i="67"/>
  <c r="A160" i="67"/>
  <c r="A161" i="67"/>
  <c r="A163" i="67"/>
  <c r="A164" i="67"/>
  <c r="A165" i="67"/>
  <c r="A167" i="67"/>
  <c r="A168" i="67"/>
  <c r="A169" i="67"/>
  <c r="A170" i="67"/>
  <c r="N1" i="66"/>
  <c r="A3" i="66"/>
  <c r="N3" i="66" s="1"/>
  <c r="F4" i="66"/>
  <c r="P4" i="66"/>
  <c r="A7" i="66"/>
  <c r="C8" i="66"/>
  <c r="H8" i="66"/>
  <c r="E91" i="66" s="1"/>
  <c r="F13" i="66"/>
  <c r="F14" i="66"/>
  <c r="F15" i="66"/>
  <c r="F16" i="66"/>
  <c r="F17" i="66"/>
  <c r="F18" i="66"/>
  <c r="F19" i="66"/>
  <c r="F20" i="66"/>
  <c r="F21" i="66"/>
  <c r="E22" i="66"/>
  <c r="F22" i="66"/>
  <c r="F23" i="66"/>
  <c r="F24" i="66"/>
  <c r="F25" i="66"/>
  <c r="F26" i="66"/>
  <c r="F27" i="66"/>
  <c r="F28" i="66"/>
  <c r="C29" i="66"/>
  <c r="D29" i="66"/>
  <c r="E17" i="66" s="1"/>
  <c r="C43" i="66"/>
  <c r="D43" i="66"/>
  <c r="E38" i="66" s="1"/>
  <c r="H50" i="66"/>
  <c r="T50" i="66" s="1"/>
  <c r="U50" i="66" s="1"/>
  <c r="H51" i="66"/>
  <c r="H52" i="66"/>
  <c r="T52" i="66" s="1"/>
  <c r="U52" i="66" s="1"/>
  <c r="H53" i="66"/>
  <c r="T53" i="66" s="1"/>
  <c r="U53" i="66" s="1"/>
  <c r="H54" i="66"/>
  <c r="T54" i="66" s="1"/>
  <c r="U54" i="66" s="1"/>
  <c r="H55" i="66"/>
  <c r="T55" i="66" s="1"/>
  <c r="U55" i="66" s="1"/>
  <c r="H56" i="66"/>
  <c r="T56" i="66" s="1"/>
  <c r="U56" i="66" s="1"/>
  <c r="H57" i="66"/>
  <c r="T57" i="66" s="1"/>
  <c r="U57" i="66" s="1"/>
  <c r="H58" i="66"/>
  <c r="T58" i="66" s="1"/>
  <c r="U58" i="66" s="1"/>
  <c r="C59" i="66"/>
  <c r="D59" i="66"/>
  <c r="E50" i="66" s="1"/>
  <c r="P59" i="66"/>
  <c r="H62" i="66"/>
  <c r="T62" i="66" s="1"/>
  <c r="H65" i="66"/>
  <c r="T65" i="66" s="1"/>
  <c r="F68" i="66"/>
  <c r="R68" i="66" s="1"/>
  <c r="F70" i="66"/>
  <c r="R70" i="66" s="1"/>
  <c r="F71" i="66"/>
  <c r="R71" i="66" s="1"/>
  <c r="F72" i="66"/>
  <c r="R72" i="66" s="1"/>
  <c r="F76" i="66"/>
  <c r="R76" i="66" s="1"/>
  <c r="F77" i="66"/>
  <c r="R77" i="66" s="1"/>
  <c r="F78" i="66"/>
  <c r="R78" i="66" s="1"/>
  <c r="F79" i="66"/>
  <c r="R79" i="66" s="1"/>
  <c r="F80" i="66"/>
  <c r="R80" i="66" s="1"/>
  <c r="F82" i="66"/>
  <c r="R82" i="66" s="1"/>
  <c r="U82" i="66" s="1"/>
  <c r="F83" i="66"/>
  <c r="R83" i="66" s="1"/>
  <c r="U83" i="66" s="1"/>
  <c r="I84" i="66"/>
  <c r="F85" i="66"/>
  <c r="R85" i="66" s="1"/>
  <c r="F90" i="66"/>
  <c r="R90" i="66" s="1"/>
  <c r="F91" i="66"/>
  <c r="R91" i="66" s="1"/>
  <c r="F92" i="66"/>
  <c r="R92" i="66" s="1"/>
  <c r="G99" i="66"/>
  <c r="T99" i="66" s="1"/>
  <c r="G100" i="66"/>
  <c r="T100" i="66" s="1"/>
  <c r="U100" i="66" s="1"/>
  <c r="H107" i="66"/>
  <c r="R107" i="66"/>
  <c r="R108" i="66" s="1"/>
  <c r="F108" i="66"/>
  <c r="H108" i="66"/>
  <c r="T108" i="66"/>
  <c r="I130" i="66"/>
  <c r="A139" i="66"/>
  <c r="A140" i="66"/>
  <c r="A141" i="66"/>
  <c r="A142" i="66"/>
  <c r="A143" i="66"/>
  <c r="A144" i="66"/>
  <c r="A145" i="66"/>
  <c r="A146" i="66"/>
  <c r="A147" i="66"/>
  <c r="A148" i="66"/>
  <c r="A149" i="66"/>
  <c r="A150" i="66"/>
  <c r="A151" i="66"/>
  <c r="A152" i="66"/>
  <c r="A153" i="66"/>
  <c r="A154" i="66"/>
  <c r="A155" i="66"/>
  <c r="A156" i="66"/>
  <c r="A158" i="66"/>
  <c r="A159" i="66"/>
  <c r="A160" i="66"/>
  <c r="A161" i="66"/>
  <c r="A163" i="66"/>
  <c r="A164" i="66"/>
  <c r="A165" i="66"/>
  <c r="A167" i="66"/>
  <c r="A168" i="66"/>
  <c r="A169" i="66"/>
  <c r="A170" i="66"/>
  <c r="N1" i="58"/>
  <c r="A3" i="58"/>
  <c r="N3" i="58" s="1"/>
  <c r="F4" i="58"/>
  <c r="P4" i="58"/>
  <c r="A7" i="58"/>
  <c r="C8" i="58"/>
  <c r="H8" i="58"/>
  <c r="T8" i="58" s="1"/>
  <c r="F13" i="58"/>
  <c r="F14" i="58"/>
  <c r="F15" i="58"/>
  <c r="F16" i="58"/>
  <c r="F17" i="58"/>
  <c r="F18" i="58"/>
  <c r="F19" i="58"/>
  <c r="F20" i="58"/>
  <c r="F21" i="58"/>
  <c r="F22" i="58"/>
  <c r="F23" i="58"/>
  <c r="F24" i="58"/>
  <c r="F25" i="58"/>
  <c r="F26" i="58"/>
  <c r="E27" i="58"/>
  <c r="F27" i="58"/>
  <c r="F28" i="58"/>
  <c r="C29" i="58"/>
  <c r="D29" i="58"/>
  <c r="E24" i="58" s="1"/>
  <c r="C43" i="58"/>
  <c r="D43" i="58"/>
  <c r="H50" i="58"/>
  <c r="T50" i="58" s="1"/>
  <c r="U50" i="58" s="1"/>
  <c r="H51" i="58"/>
  <c r="T51" i="58" s="1"/>
  <c r="U51" i="58" s="1"/>
  <c r="H52" i="58"/>
  <c r="T52" i="58" s="1"/>
  <c r="U52" i="58" s="1"/>
  <c r="H53" i="58"/>
  <c r="T53" i="58" s="1"/>
  <c r="U53" i="58" s="1"/>
  <c r="H54" i="58"/>
  <c r="T54" i="58" s="1"/>
  <c r="U54" i="58" s="1"/>
  <c r="H55" i="58"/>
  <c r="T55" i="58" s="1"/>
  <c r="U55" i="58" s="1"/>
  <c r="H56" i="58"/>
  <c r="T56" i="58" s="1"/>
  <c r="U56" i="58" s="1"/>
  <c r="H57" i="58"/>
  <c r="T57" i="58" s="1"/>
  <c r="U57" i="58" s="1"/>
  <c r="H58" i="58"/>
  <c r="T58" i="58" s="1"/>
  <c r="U58" i="58" s="1"/>
  <c r="C59" i="58"/>
  <c r="D59" i="58"/>
  <c r="P59" i="58"/>
  <c r="H62" i="58"/>
  <c r="T62" i="58" s="1"/>
  <c r="H65" i="58"/>
  <c r="T65" i="58" s="1"/>
  <c r="F68" i="58"/>
  <c r="F70" i="58"/>
  <c r="R70" i="58" s="1"/>
  <c r="F71" i="58"/>
  <c r="F72" i="58"/>
  <c r="R72" i="58" s="1"/>
  <c r="F76" i="58"/>
  <c r="R76" i="58" s="1"/>
  <c r="F77" i="58"/>
  <c r="R77" i="58" s="1"/>
  <c r="F78" i="58"/>
  <c r="R78" i="58" s="1"/>
  <c r="F79" i="58"/>
  <c r="R79" i="58" s="1"/>
  <c r="F80" i="58"/>
  <c r="R80" i="58" s="1"/>
  <c r="F82" i="58"/>
  <c r="R82" i="58" s="1"/>
  <c r="U82" i="58" s="1"/>
  <c r="F83" i="58"/>
  <c r="R83" i="58" s="1"/>
  <c r="U83" i="58" s="1"/>
  <c r="I84" i="58"/>
  <c r="F85" i="58"/>
  <c r="R85" i="58" s="1"/>
  <c r="F90" i="58"/>
  <c r="R90" i="58" s="1"/>
  <c r="F91" i="58"/>
  <c r="R91" i="58" s="1"/>
  <c r="F92" i="58"/>
  <c r="R92" i="58" s="1"/>
  <c r="G99" i="58"/>
  <c r="I99" i="58" s="1"/>
  <c r="G100" i="58"/>
  <c r="T100" i="58" s="1"/>
  <c r="U100" i="58" s="1"/>
  <c r="H107" i="58"/>
  <c r="T107" i="58" s="1"/>
  <c r="R107" i="58"/>
  <c r="R108" i="58" s="1"/>
  <c r="F108" i="58"/>
  <c r="H108" i="58"/>
  <c r="T108" i="58"/>
  <c r="I130" i="58"/>
  <c r="A139" i="58"/>
  <c r="A140" i="58"/>
  <c r="A141" i="58"/>
  <c r="A142" i="58"/>
  <c r="A143" i="58"/>
  <c r="A144" i="58"/>
  <c r="A145" i="58"/>
  <c r="A146" i="58"/>
  <c r="A147" i="58"/>
  <c r="A148" i="58"/>
  <c r="A149" i="58"/>
  <c r="A150" i="58"/>
  <c r="A151" i="58"/>
  <c r="A152" i="58"/>
  <c r="A153" i="58"/>
  <c r="A154" i="58"/>
  <c r="A155" i="58"/>
  <c r="A156" i="58"/>
  <c r="A158" i="58"/>
  <c r="A159" i="58"/>
  <c r="A160" i="58"/>
  <c r="A161" i="58"/>
  <c r="A163" i="58"/>
  <c r="A164" i="58"/>
  <c r="A165" i="58"/>
  <c r="A167" i="58"/>
  <c r="A168" i="58"/>
  <c r="A169" i="58"/>
  <c r="A170" i="58"/>
  <c r="N1" i="57"/>
  <c r="A3" i="57"/>
  <c r="N3" i="57" s="1"/>
  <c r="F4" i="57"/>
  <c r="P4" i="57"/>
  <c r="A7" i="57"/>
  <c r="C8" i="57"/>
  <c r="H8" i="57"/>
  <c r="E91" i="57" s="1"/>
  <c r="F13" i="57"/>
  <c r="F14" i="57"/>
  <c r="F15" i="57"/>
  <c r="F16" i="57"/>
  <c r="F17" i="57"/>
  <c r="F18" i="57"/>
  <c r="F19" i="57"/>
  <c r="F20" i="57"/>
  <c r="F21" i="57"/>
  <c r="F22" i="57"/>
  <c r="F23" i="57"/>
  <c r="F24" i="57"/>
  <c r="F25" i="57"/>
  <c r="F26" i="57"/>
  <c r="F27" i="57"/>
  <c r="F28" i="57"/>
  <c r="C29" i="57"/>
  <c r="D29" i="57"/>
  <c r="E37" i="57"/>
  <c r="E38" i="57"/>
  <c r="E40" i="57"/>
  <c r="E41" i="57"/>
  <c r="C43" i="57"/>
  <c r="D43" i="57"/>
  <c r="E39" i="57" s="1"/>
  <c r="E50" i="57"/>
  <c r="H50" i="57"/>
  <c r="T50" i="57" s="1"/>
  <c r="U50" i="57" s="1"/>
  <c r="H51" i="57"/>
  <c r="T51" i="57" s="1"/>
  <c r="U51" i="57" s="1"/>
  <c r="H52" i="57"/>
  <c r="T52" i="57" s="1"/>
  <c r="U52" i="57" s="1"/>
  <c r="E53" i="57"/>
  <c r="H53" i="57"/>
  <c r="T53" i="57" s="1"/>
  <c r="U53" i="57" s="1"/>
  <c r="H54" i="57"/>
  <c r="T54" i="57" s="1"/>
  <c r="U54" i="57" s="1"/>
  <c r="H55" i="57"/>
  <c r="T55" i="57" s="1"/>
  <c r="U55" i="57" s="1"/>
  <c r="E56" i="57"/>
  <c r="H56" i="57"/>
  <c r="T56" i="57" s="1"/>
  <c r="U56" i="57" s="1"/>
  <c r="E57" i="57"/>
  <c r="H57" i="57"/>
  <c r="T57" i="57" s="1"/>
  <c r="U57" i="57" s="1"/>
  <c r="H58" i="57"/>
  <c r="T58" i="57" s="1"/>
  <c r="U58" i="57" s="1"/>
  <c r="C59" i="57"/>
  <c r="D59" i="57"/>
  <c r="E54" i="57" s="1"/>
  <c r="P59" i="57"/>
  <c r="H62" i="57"/>
  <c r="T62" i="57" s="1"/>
  <c r="H65" i="57"/>
  <c r="T65" i="57" s="1"/>
  <c r="F68" i="57"/>
  <c r="R68" i="57" s="1"/>
  <c r="F70" i="57"/>
  <c r="R70" i="57" s="1"/>
  <c r="F71" i="57"/>
  <c r="R71" i="57" s="1"/>
  <c r="F72" i="57"/>
  <c r="F76" i="57"/>
  <c r="R76" i="57" s="1"/>
  <c r="F77" i="57"/>
  <c r="R77" i="57" s="1"/>
  <c r="F78" i="57"/>
  <c r="R78" i="57" s="1"/>
  <c r="F79" i="57"/>
  <c r="R79" i="57" s="1"/>
  <c r="F80" i="57"/>
  <c r="R80" i="57" s="1"/>
  <c r="F82" i="57"/>
  <c r="R82" i="57" s="1"/>
  <c r="U82" i="57" s="1"/>
  <c r="F83" i="57"/>
  <c r="R83" i="57" s="1"/>
  <c r="U83" i="57" s="1"/>
  <c r="I84" i="57"/>
  <c r="F85" i="57"/>
  <c r="R85" i="57" s="1"/>
  <c r="F90" i="57"/>
  <c r="R90" i="57" s="1"/>
  <c r="F91" i="57"/>
  <c r="R91" i="57" s="1"/>
  <c r="F92" i="57"/>
  <c r="R92" i="57" s="1"/>
  <c r="G99" i="57"/>
  <c r="T99" i="57" s="1"/>
  <c r="G100" i="57"/>
  <c r="E107" i="57"/>
  <c r="H107" i="57"/>
  <c r="R107" i="57"/>
  <c r="R108" i="57" s="1"/>
  <c r="E108" i="57"/>
  <c r="F108" i="57"/>
  <c r="H108" i="57"/>
  <c r="T108" i="57" s="1"/>
  <c r="E109" i="57"/>
  <c r="I130" i="57"/>
  <c r="A139" i="57"/>
  <c r="A140" i="57"/>
  <c r="A141" i="57"/>
  <c r="A142" i="57"/>
  <c r="A143" i="57"/>
  <c r="A144" i="57"/>
  <c r="A145" i="57"/>
  <c r="A146" i="57"/>
  <c r="A147" i="57"/>
  <c r="A148" i="57"/>
  <c r="A149" i="57"/>
  <c r="A150" i="57"/>
  <c r="A151" i="57"/>
  <c r="A152" i="57"/>
  <c r="A153" i="57"/>
  <c r="A154" i="57"/>
  <c r="A155" i="57"/>
  <c r="A156" i="57"/>
  <c r="A158" i="57"/>
  <c r="A159" i="57"/>
  <c r="A160" i="57"/>
  <c r="A161" i="57"/>
  <c r="A163" i="57"/>
  <c r="A164" i="57"/>
  <c r="A165" i="57"/>
  <c r="A167" i="57"/>
  <c r="A168" i="57"/>
  <c r="A169" i="57"/>
  <c r="A170" i="57"/>
  <c r="N1" i="56"/>
  <c r="A3" i="56"/>
  <c r="N3" i="56" s="1"/>
  <c r="F4" i="56"/>
  <c r="P4" i="56"/>
  <c r="A7" i="56"/>
  <c r="C8" i="56"/>
  <c r="H8" i="56"/>
  <c r="T8" i="56" s="1"/>
  <c r="F13" i="56"/>
  <c r="F14" i="56"/>
  <c r="F15" i="56"/>
  <c r="F16" i="56"/>
  <c r="E17" i="56"/>
  <c r="F17" i="56"/>
  <c r="F18" i="56"/>
  <c r="F19" i="56"/>
  <c r="F20" i="56"/>
  <c r="F21" i="56"/>
  <c r="F22" i="56"/>
  <c r="F23" i="56"/>
  <c r="F24" i="56"/>
  <c r="F25" i="56"/>
  <c r="F26" i="56"/>
  <c r="F27" i="56"/>
  <c r="F28" i="56"/>
  <c r="C29" i="56"/>
  <c r="D29" i="56"/>
  <c r="C43" i="56"/>
  <c r="D43" i="56"/>
  <c r="H50" i="56"/>
  <c r="T50" i="56" s="1"/>
  <c r="U50" i="56" s="1"/>
  <c r="H51" i="56"/>
  <c r="T51" i="56" s="1"/>
  <c r="U51" i="56" s="1"/>
  <c r="H52" i="56"/>
  <c r="T52" i="56" s="1"/>
  <c r="U52" i="56" s="1"/>
  <c r="H53" i="56"/>
  <c r="T53" i="56" s="1"/>
  <c r="U53" i="56" s="1"/>
  <c r="H54" i="56"/>
  <c r="T54" i="56" s="1"/>
  <c r="U54" i="56" s="1"/>
  <c r="H55" i="56"/>
  <c r="T55" i="56" s="1"/>
  <c r="U55" i="56" s="1"/>
  <c r="H56" i="56"/>
  <c r="T56" i="56" s="1"/>
  <c r="U56" i="56" s="1"/>
  <c r="H57" i="56"/>
  <c r="T57" i="56" s="1"/>
  <c r="U57" i="56" s="1"/>
  <c r="H58" i="56"/>
  <c r="T58" i="56" s="1"/>
  <c r="U58" i="56" s="1"/>
  <c r="C59" i="56"/>
  <c r="D59" i="56"/>
  <c r="P59" i="56"/>
  <c r="H62" i="56"/>
  <c r="T62" i="56" s="1"/>
  <c r="H65" i="56"/>
  <c r="T65" i="56" s="1"/>
  <c r="F68" i="56"/>
  <c r="R68" i="56" s="1"/>
  <c r="F70" i="56"/>
  <c r="R70" i="56" s="1"/>
  <c r="F71" i="56"/>
  <c r="R71" i="56" s="1"/>
  <c r="F72" i="56"/>
  <c r="R72" i="56" s="1"/>
  <c r="F76" i="56"/>
  <c r="F77" i="56"/>
  <c r="R77" i="56" s="1"/>
  <c r="F78" i="56"/>
  <c r="F79" i="56"/>
  <c r="F80" i="56"/>
  <c r="F82" i="56"/>
  <c r="R82" i="56" s="1"/>
  <c r="U82" i="56" s="1"/>
  <c r="F83" i="56"/>
  <c r="R83" i="56" s="1"/>
  <c r="U83" i="56" s="1"/>
  <c r="I84" i="56"/>
  <c r="F85" i="56"/>
  <c r="R85" i="56" s="1"/>
  <c r="F90" i="56"/>
  <c r="R90" i="56" s="1"/>
  <c r="F91" i="56"/>
  <c r="R91" i="56" s="1"/>
  <c r="F92" i="56"/>
  <c r="R92" i="56" s="1"/>
  <c r="G99" i="56"/>
  <c r="I99" i="56" s="1"/>
  <c r="G100" i="56"/>
  <c r="T100" i="56" s="1"/>
  <c r="U100" i="56" s="1"/>
  <c r="H107" i="56"/>
  <c r="T107" i="56" s="1"/>
  <c r="R107" i="56"/>
  <c r="F108" i="56"/>
  <c r="H108" i="56"/>
  <c r="R108" i="56"/>
  <c r="H109" i="56"/>
  <c r="I130" i="56"/>
  <c r="A139" i="56"/>
  <c r="A140" i="56"/>
  <c r="A141" i="56"/>
  <c r="A142" i="56"/>
  <c r="A143" i="56"/>
  <c r="A144" i="56"/>
  <c r="A145" i="56"/>
  <c r="A146" i="56"/>
  <c r="A147" i="56"/>
  <c r="A148" i="56"/>
  <c r="A149" i="56"/>
  <c r="A150" i="56"/>
  <c r="A151" i="56"/>
  <c r="A152" i="56"/>
  <c r="A153" i="56"/>
  <c r="A154" i="56"/>
  <c r="A155" i="56"/>
  <c r="A156" i="56"/>
  <c r="A158" i="56"/>
  <c r="A159" i="56"/>
  <c r="A160" i="56"/>
  <c r="A161" i="56"/>
  <c r="A163" i="56"/>
  <c r="A164" i="56"/>
  <c r="A165" i="56"/>
  <c r="A167" i="56"/>
  <c r="A168" i="56"/>
  <c r="A169" i="56"/>
  <c r="A170" i="56"/>
  <c r="N1" i="55"/>
  <c r="A3" i="55"/>
  <c r="N3" i="55" s="1"/>
  <c r="F4" i="55"/>
  <c r="P4" i="55"/>
  <c r="A7" i="55"/>
  <c r="C8" i="55"/>
  <c r="H8" i="55"/>
  <c r="F13" i="55"/>
  <c r="F14" i="55"/>
  <c r="F15" i="55"/>
  <c r="F16" i="55"/>
  <c r="F17" i="55"/>
  <c r="F18" i="55"/>
  <c r="F19" i="55"/>
  <c r="F20" i="55"/>
  <c r="F21" i="55"/>
  <c r="F22" i="55"/>
  <c r="F23" i="55"/>
  <c r="F24" i="55"/>
  <c r="F25" i="55"/>
  <c r="F26" i="55"/>
  <c r="F27" i="55"/>
  <c r="F28" i="55"/>
  <c r="C29" i="55"/>
  <c r="D29" i="55"/>
  <c r="E18" i="55" s="1"/>
  <c r="C43" i="55"/>
  <c r="D43" i="55"/>
  <c r="E37" i="55" s="1"/>
  <c r="H50" i="55"/>
  <c r="T50" i="55" s="1"/>
  <c r="U50" i="55" s="1"/>
  <c r="H51" i="55"/>
  <c r="T51" i="55" s="1"/>
  <c r="U51" i="55" s="1"/>
  <c r="H52" i="55"/>
  <c r="T52" i="55" s="1"/>
  <c r="U52" i="55" s="1"/>
  <c r="H53" i="55"/>
  <c r="T53" i="55" s="1"/>
  <c r="U53" i="55" s="1"/>
  <c r="H54" i="55"/>
  <c r="T54" i="55" s="1"/>
  <c r="U54" i="55" s="1"/>
  <c r="H55" i="55"/>
  <c r="T55" i="55" s="1"/>
  <c r="U55" i="55" s="1"/>
  <c r="H56" i="55"/>
  <c r="H57" i="55"/>
  <c r="T57" i="55" s="1"/>
  <c r="U57" i="55" s="1"/>
  <c r="H58" i="55"/>
  <c r="T58" i="55"/>
  <c r="U58" i="55" s="1"/>
  <c r="C59" i="55"/>
  <c r="D59" i="55"/>
  <c r="E107" i="55" s="1"/>
  <c r="P59" i="55"/>
  <c r="H62" i="55"/>
  <c r="T62" i="55" s="1"/>
  <c r="H65" i="55"/>
  <c r="T65" i="55" s="1"/>
  <c r="F68" i="55"/>
  <c r="F70" i="55"/>
  <c r="R70" i="55" s="1"/>
  <c r="F71" i="55"/>
  <c r="F72" i="55"/>
  <c r="R72" i="55" s="1"/>
  <c r="F76" i="55"/>
  <c r="R76" i="55" s="1"/>
  <c r="F77" i="55"/>
  <c r="F78" i="55"/>
  <c r="R78" i="55" s="1"/>
  <c r="F79" i="55"/>
  <c r="F80" i="55"/>
  <c r="R80" i="55" s="1"/>
  <c r="F82" i="55"/>
  <c r="R82" i="55" s="1"/>
  <c r="U82" i="55" s="1"/>
  <c r="F83" i="55"/>
  <c r="R83" i="55" s="1"/>
  <c r="U83" i="55" s="1"/>
  <c r="I84" i="55"/>
  <c r="F85" i="55"/>
  <c r="R85" i="55" s="1"/>
  <c r="F90" i="55"/>
  <c r="R90" i="55" s="1"/>
  <c r="F91" i="55"/>
  <c r="R91" i="55" s="1"/>
  <c r="F92" i="55"/>
  <c r="R92" i="55" s="1"/>
  <c r="G99" i="55"/>
  <c r="T99" i="55" s="1"/>
  <c r="G100" i="55"/>
  <c r="T100" i="55" s="1"/>
  <c r="U100" i="55" s="1"/>
  <c r="H107" i="55"/>
  <c r="R107" i="55"/>
  <c r="R108" i="55" s="1"/>
  <c r="T107" i="55"/>
  <c r="F108" i="55"/>
  <c r="H108" i="55"/>
  <c r="T108" i="55"/>
  <c r="I130" i="55"/>
  <c r="A139" i="55"/>
  <c r="A140" i="55"/>
  <c r="A141" i="55"/>
  <c r="A142" i="55"/>
  <c r="A143" i="55"/>
  <c r="A144" i="55"/>
  <c r="A145" i="55"/>
  <c r="A146" i="55"/>
  <c r="A147" i="55"/>
  <c r="A148" i="55"/>
  <c r="A149" i="55"/>
  <c r="A150" i="55"/>
  <c r="A151" i="55"/>
  <c r="A152" i="55"/>
  <c r="A153" i="55"/>
  <c r="A154" i="55"/>
  <c r="A155" i="55"/>
  <c r="A156" i="55"/>
  <c r="A158" i="55"/>
  <c r="A159" i="55"/>
  <c r="A160" i="55"/>
  <c r="A161" i="55"/>
  <c r="A163" i="55"/>
  <c r="A164" i="55"/>
  <c r="A165" i="55"/>
  <c r="A167" i="55"/>
  <c r="A168" i="55"/>
  <c r="A169" i="55"/>
  <c r="A170" i="55"/>
  <c r="N1" i="76"/>
  <c r="A3" i="76"/>
  <c r="N3" i="76" s="1"/>
  <c r="F4" i="76"/>
  <c r="P4" i="76"/>
  <c r="A7" i="76"/>
  <c r="C8" i="76"/>
  <c r="H8" i="76"/>
  <c r="F13" i="76"/>
  <c r="F14" i="76"/>
  <c r="F15" i="76"/>
  <c r="F16" i="76"/>
  <c r="F17" i="76"/>
  <c r="F18" i="76"/>
  <c r="F19" i="76"/>
  <c r="F20" i="76"/>
  <c r="F21" i="76"/>
  <c r="F22" i="76"/>
  <c r="F23" i="76"/>
  <c r="F24" i="76"/>
  <c r="F25" i="76"/>
  <c r="F26" i="76"/>
  <c r="F27" i="76"/>
  <c r="F28" i="76"/>
  <c r="C29" i="76"/>
  <c r="D29" i="76"/>
  <c r="E21" i="76" s="1"/>
  <c r="E37" i="76"/>
  <c r="E38" i="76"/>
  <c r="E39" i="76"/>
  <c r="C43" i="76"/>
  <c r="D43" i="76"/>
  <c r="E40" i="76" s="1"/>
  <c r="H50" i="76"/>
  <c r="T50" i="76" s="1"/>
  <c r="U50" i="76" s="1"/>
  <c r="H51" i="76"/>
  <c r="T51" i="76" s="1"/>
  <c r="U51" i="76" s="1"/>
  <c r="H52" i="76"/>
  <c r="T52" i="76" s="1"/>
  <c r="U52" i="76" s="1"/>
  <c r="H53" i="76"/>
  <c r="T53" i="76" s="1"/>
  <c r="U53" i="76" s="1"/>
  <c r="H54" i="76"/>
  <c r="T54" i="76" s="1"/>
  <c r="U54" i="76" s="1"/>
  <c r="H55" i="76"/>
  <c r="T55" i="76" s="1"/>
  <c r="U55" i="76" s="1"/>
  <c r="H56" i="76"/>
  <c r="T56" i="76" s="1"/>
  <c r="U56" i="76" s="1"/>
  <c r="H57" i="76"/>
  <c r="T57" i="76" s="1"/>
  <c r="U57" i="76" s="1"/>
  <c r="H58" i="76"/>
  <c r="T58" i="76" s="1"/>
  <c r="U58" i="76" s="1"/>
  <c r="C59" i="76"/>
  <c r="D59" i="76"/>
  <c r="E50" i="76" s="1"/>
  <c r="P59" i="76"/>
  <c r="H62" i="76"/>
  <c r="T62" i="76" s="1"/>
  <c r="H65" i="76"/>
  <c r="T65" i="76" s="1"/>
  <c r="F68" i="76"/>
  <c r="R68" i="76" s="1"/>
  <c r="F70" i="76"/>
  <c r="R70" i="76" s="1"/>
  <c r="F71" i="76"/>
  <c r="R71" i="76" s="1"/>
  <c r="F72" i="76"/>
  <c r="R72" i="76"/>
  <c r="F76" i="76"/>
  <c r="F77" i="76"/>
  <c r="R77" i="76"/>
  <c r="F78" i="76"/>
  <c r="F79" i="76"/>
  <c r="R79" i="76" s="1"/>
  <c r="F80" i="76"/>
  <c r="F82" i="76"/>
  <c r="R82" i="76" s="1"/>
  <c r="U82" i="76" s="1"/>
  <c r="F83" i="76"/>
  <c r="R83" i="76" s="1"/>
  <c r="U83" i="76" s="1"/>
  <c r="I84" i="76"/>
  <c r="F85" i="76"/>
  <c r="R85" i="76" s="1"/>
  <c r="F90" i="76"/>
  <c r="R90" i="76" s="1"/>
  <c r="F91" i="76"/>
  <c r="R91" i="76" s="1"/>
  <c r="F92" i="76"/>
  <c r="R92" i="76" s="1"/>
  <c r="G99" i="76"/>
  <c r="I99" i="76" s="1"/>
  <c r="G100" i="76"/>
  <c r="H107" i="76"/>
  <c r="R107" i="76"/>
  <c r="T107" i="76"/>
  <c r="F108" i="76"/>
  <c r="H108" i="76"/>
  <c r="R108" i="76"/>
  <c r="T108" i="76"/>
  <c r="H109" i="76"/>
  <c r="I130" i="76"/>
  <c r="A139" i="76"/>
  <c r="A140" i="76"/>
  <c r="A141" i="76"/>
  <c r="A142" i="76"/>
  <c r="A143" i="76"/>
  <c r="A144" i="76"/>
  <c r="A145" i="76"/>
  <c r="A146" i="76"/>
  <c r="A147" i="76"/>
  <c r="A148" i="76"/>
  <c r="A149" i="76"/>
  <c r="A150" i="76"/>
  <c r="A151" i="76"/>
  <c r="A152" i="76"/>
  <c r="A153" i="76"/>
  <c r="A154" i="76"/>
  <c r="A155" i="76"/>
  <c r="A156" i="76"/>
  <c r="A158" i="76"/>
  <c r="A159" i="76"/>
  <c r="A160" i="76"/>
  <c r="A161" i="76"/>
  <c r="A163" i="76"/>
  <c r="A164" i="76"/>
  <c r="A165" i="76"/>
  <c r="A167" i="76"/>
  <c r="A168" i="76"/>
  <c r="A169" i="76"/>
  <c r="A170" i="76"/>
  <c r="N1" i="75"/>
  <c r="A3" i="75"/>
  <c r="N3" i="75" s="1"/>
  <c r="F4" i="75"/>
  <c r="P4" i="75"/>
  <c r="A7" i="75"/>
  <c r="C8" i="75"/>
  <c r="H8" i="75"/>
  <c r="F13" i="75"/>
  <c r="F14" i="75"/>
  <c r="F15" i="75"/>
  <c r="F16" i="75"/>
  <c r="E17" i="75"/>
  <c r="F17" i="75"/>
  <c r="F18" i="75"/>
  <c r="F19" i="75"/>
  <c r="F20" i="75"/>
  <c r="F21" i="75"/>
  <c r="F22" i="75"/>
  <c r="F23" i="75"/>
  <c r="F24" i="75"/>
  <c r="F25" i="75"/>
  <c r="F26" i="75"/>
  <c r="F27" i="75"/>
  <c r="F28" i="75"/>
  <c r="C29" i="75"/>
  <c r="D29" i="75"/>
  <c r="E21" i="75" s="1"/>
  <c r="C43" i="75"/>
  <c r="D43" i="75"/>
  <c r="H50" i="75"/>
  <c r="H51" i="75"/>
  <c r="T51" i="75" s="1"/>
  <c r="U51" i="75" s="1"/>
  <c r="H52" i="75"/>
  <c r="T52" i="75" s="1"/>
  <c r="U52" i="75" s="1"/>
  <c r="H53" i="75"/>
  <c r="T53" i="75" s="1"/>
  <c r="U53" i="75" s="1"/>
  <c r="H54" i="75"/>
  <c r="T54" i="75" s="1"/>
  <c r="U54" i="75" s="1"/>
  <c r="H55" i="75"/>
  <c r="T55" i="75" s="1"/>
  <c r="U55" i="75" s="1"/>
  <c r="H56" i="75"/>
  <c r="H57" i="75"/>
  <c r="H58" i="75"/>
  <c r="T58" i="75" s="1"/>
  <c r="U58" i="75" s="1"/>
  <c r="C59" i="75"/>
  <c r="D59" i="75"/>
  <c r="P59" i="75"/>
  <c r="H62" i="75"/>
  <c r="T62" i="75" s="1"/>
  <c r="H65" i="75"/>
  <c r="T65" i="75" s="1"/>
  <c r="F68" i="75"/>
  <c r="F70" i="75"/>
  <c r="R70" i="75" s="1"/>
  <c r="F71" i="75"/>
  <c r="F72" i="75"/>
  <c r="R72" i="75" s="1"/>
  <c r="F76" i="75"/>
  <c r="R76" i="75" s="1"/>
  <c r="F77" i="75"/>
  <c r="R77" i="75" s="1"/>
  <c r="F78" i="75"/>
  <c r="R78" i="75" s="1"/>
  <c r="F79" i="75"/>
  <c r="R79" i="75" s="1"/>
  <c r="F80" i="75"/>
  <c r="R80" i="75" s="1"/>
  <c r="F82" i="75"/>
  <c r="R82" i="75" s="1"/>
  <c r="U82" i="75" s="1"/>
  <c r="F83" i="75"/>
  <c r="R83" i="75" s="1"/>
  <c r="U83" i="75" s="1"/>
  <c r="I84" i="75"/>
  <c r="F85" i="75"/>
  <c r="R85" i="75" s="1"/>
  <c r="F90" i="75"/>
  <c r="R90" i="75" s="1"/>
  <c r="F91" i="75"/>
  <c r="R91" i="75" s="1"/>
  <c r="F92" i="75"/>
  <c r="R92" i="75" s="1"/>
  <c r="G99" i="75"/>
  <c r="I99" i="75" s="1"/>
  <c r="G100" i="75"/>
  <c r="T100" i="75" s="1"/>
  <c r="U100" i="75" s="1"/>
  <c r="H107" i="75"/>
  <c r="R107" i="75"/>
  <c r="T107" i="75"/>
  <c r="F108" i="75"/>
  <c r="H108" i="75"/>
  <c r="R108" i="75"/>
  <c r="H109" i="75"/>
  <c r="T109" i="75"/>
  <c r="I130" i="75"/>
  <c r="A139" i="75"/>
  <c r="A140" i="75"/>
  <c r="A141" i="75"/>
  <c r="A142" i="75"/>
  <c r="A143" i="75"/>
  <c r="A144" i="75"/>
  <c r="A145" i="75"/>
  <c r="A146" i="75"/>
  <c r="A147" i="75"/>
  <c r="A148" i="75"/>
  <c r="A149" i="75"/>
  <c r="A150" i="75"/>
  <c r="A151" i="75"/>
  <c r="A152" i="75"/>
  <c r="A153" i="75"/>
  <c r="A154" i="75"/>
  <c r="A155" i="75"/>
  <c r="A156" i="75"/>
  <c r="A158" i="75"/>
  <c r="A159" i="75"/>
  <c r="A160" i="75"/>
  <c r="A161" i="75"/>
  <c r="A163" i="75"/>
  <c r="A164" i="75"/>
  <c r="A165" i="75"/>
  <c r="A167" i="75"/>
  <c r="A168" i="75"/>
  <c r="A169" i="75"/>
  <c r="A170" i="75"/>
  <c r="N1" i="52"/>
  <c r="A3" i="52"/>
  <c r="N3" i="52" s="1"/>
  <c r="F4" i="52"/>
  <c r="P4" i="52"/>
  <c r="A7" i="52"/>
  <c r="C8" i="52"/>
  <c r="H8" i="52"/>
  <c r="T8" i="52" s="1"/>
  <c r="F13" i="52"/>
  <c r="F14" i="52"/>
  <c r="E15" i="52"/>
  <c r="F15" i="52"/>
  <c r="F16" i="52"/>
  <c r="F17" i="52"/>
  <c r="F18" i="52"/>
  <c r="F19" i="52"/>
  <c r="F20" i="52"/>
  <c r="F21" i="52"/>
  <c r="E22" i="52"/>
  <c r="F22" i="52"/>
  <c r="F23" i="52"/>
  <c r="F24" i="52"/>
  <c r="F25" i="52"/>
  <c r="F26" i="52"/>
  <c r="F27" i="52"/>
  <c r="E28" i="52"/>
  <c r="F28" i="52"/>
  <c r="C29" i="52"/>
  <c r="D29" i="52"/>
  <c r="E24" i="52" s="1"/>
  <c r="E41" i="52"/>
  <c r="C43" i="52"/>
  <c r="D43" i="52"/>
  <c r="H50" i="52"/>
  <c r="T50" i="52" s="1"/>
  <c r="U50" i="52" s="1"/>
  <c r="H51" i="52"/>
  <c r="T51" i="52" s="1"/>
  <c r="U51" i="52" s="1"/>
  <c r="H52" i="52"/>
  <c r="T52" i="52" s="1"/>
  <c r="U52" i="52" s="1"/>
  <c r="H53" i="52"/>
  <c r="H54" i="52"/>
  <c r="T54" i="52" s="1"/>
  <c r="U54" i="52" s="1"/>
  <c r="H55" i="52"/>
  <c r="H56" i="52"/>
  <c r="T56" i="52" s="1"/>
  <c r="U56" i="52" s="1"/>
  <c r="H57" i="52"/>
  <c r="T57" i="52" s="1"/>
  <c r="U57" i="52" s="1"/>
  <c r="H58" i="52"/>
  <c r="T58" i="52" s="1"/>
  <c r="U58" i="52" s="1"/>
  <c r="C59" i="52"/>
  <c r="D59" i="52"/>
  <c r="E53" i="52" s="1"/>
  <c r="P59" i="52"/>
  <c r="H62" i="52"/>
  <c r="T62" i="52" s="1"/>
  <c r="H65" i="52"/>
  <c r="T65" i="52" s="1"/>
  <c r="F68" i="52"/>
  <c r="R68" i="52" s="1"/>
  <c r="F70" i="52"/>
  <c r="R70" i="52" s="1"/>
  <c r="F71" i="52"/>
  <c r="R71" i="52" s="1"/>
  <c r="F72" i="52"/>
  <c r="R72" i="52" s="1"/>
  <c r="F76" i="52"/>
  <c r="F77" i="52"/>
  <c r="F78" i="52"/>
  <c r="F79" i="52"/>
  <c r="F80" i="52"/>
  <c r="F82" i="52"/>
  <c r="R82" i="52" s="1"/>
  <c r="U82" i="52" s="1"/>
  <c r="F83" i="52"/>
  <c r="R83" i="52" s="1"/>
  <c r="U83" i="52" s="1"/>
  <c r="I84" i="52"/>
  <c r="F85" i="52"/>
  <c r="R85" i="52" s="1"/>
  <c r="E90" i="52"/>
  <c r="F90" i="52"/>
  <c r="R90" i="52" s="1"/>
  <c r="F91" i="52"/>
  <c r="R91" i="52" s="1"/>
  <c r="F92" i="52"/>
  <c r="R92" i="52" s="1"/>
  <c r="G99" i="52"/>
  <c r="I99" i="52" s="1"/>
  <c r="G100" i="52"/>
  <c r="I100" i="52" s="1"/>
  <c r="H107" i="52"/>
  <c r="R107" i="52"/>
  <c r="T107" i="52"/>
  <c r="F108" i="52"/>
  <c r="H108" i="52"/>
  <c r="T108" i="52" s="1"/>
  <c r="R108" i="52"/>
  <c r="H109" i="52"/>
  <c r="T109" i="52" s="1"/>
  <c r="I130" i="52"/>
  <c r="A139" i="52"/>
  <c r="A140" i="52"/>
  <c r="A141" i="52"/>
  <c r="A142" i="52"/>
  <c r="A143" i="52"/>
  <c r="A144" i="52"/>
  <c r="A145" i="52"/>
  <c r="A146" i="52"/>
  <c r="A147" i="52"/>
  <c r="A148" i="52"/>
  <c r="A149" i="52"/>
  <c r="A150" i="52"/>
  <c r="A151" i="52"/>
  <c r="A152" i="52"/>
  <c r="A153" i="52"/>
  <c r="A154" i="52"/>
  <c r="A155" i="52"/>
  <c r="A156" i="52"/>
  <c r="A158" i="52"/>
  <c r="A159" i="52"/>
  <c r="A160" i="52"/>
  <c r="A161" i="52"/>
  <c r="A163" i="52"/>
  <c r="A164" i="52"/>
  <c r="A165" i="52"/>
  <c r="A167" i="52"/>
  <c r="A168" i="52"/>
  <c r="A169" i="52"/>
  <c r="A170" i="52"/>
  <c r="N1" i="51"/>
  <c r="A3" i="51"/>
  <c r="N3" i="51" s="1"/>
  <c r="F4" i="51"/>
  <c r="P4" i="51"/>
  <c r="A7" i="51"/>
  <c r="C8" i="51"/>
  <c r="H8" i="51"/>
  <c r="T8" i="51" s="1"/>
  <c r="P90" i="51" s="1"/>
  <c r="F13" i="51"/>
  <c r="F14" i="51"/>
  <c r="F15" i="51"/>
  <c r="F16" i="51"/>
  <c r="F17" i="51"/>
  <c r="F18" i="51"/>
  <c r="F19" i="51"/>
  <c r="F20" i="51"/>
  <c r="F21" i="51"/>
  <c r="F22" i="51"/>
  <c r="F23" i="51"/>
  <c r="F24" i="51"/>
  <c r="F25" i="51"/>
  <c r="F26" i="51"/>
  <c r="F27" i="51"/>
  <c r="F28" i="51"/>
  <c r="C29" i="51"/>
  <c r="D29" i="51"/>
  <c r="E16" i="51" s="1"/>
  <c r="E37" i="51"/>
  <c r="C43" i="51"/>
  <c r="D43" i="51"/>
  <c r="E39" i="51" s="1"/>
  <c r="H50" i="51"/>
  <c r="T50" i="51" s="1"/>
  <c r="U50" i="51" s="1"/>
  <c r="H51" i="51"/>
  <c r="T51" i="51" s="1"/>
  <c r="U51" i="51" s="1"/>
  <c r="H52" i="51"/>
  <c r="T52" i="51" s="1"/>
  <c r="U52" i="51" s="1"/>
  <c r="H53" i="51"/>
  <c r="T53" i="51" s="1"/>
  <c r="U53" i="51" s="1"/>
  <c r="H54" i="51"/>
  <c r="T54" i="51" s="1"/>
  <c r="U54" i="51" s="1"/>
  <c r="H55" i="51"/>
  <c r="T55" i="51" s="1"/>
  <c r="U55" i="51" s="1"/>
  <c r="H56" i="51"/>
  <c r="T56" i="51" s="1"/>
  <c r="U56" i="51" s="1"/>
  <c r="H57" i="51"/>
  <c r="T57" i="51" s="1"/>
  <c r="U57" i="51" s="1"/>
  <c r="H58" i="51"/>
  <c r="T58" i="51" s="1"/>
  <c r="U58" i="51" s="1"/>
  <c r="C59" i="51"/>
  <c r="D59" i="51"/>
  <c r="E58" i="51" s="1"/>
  <c r="P59" i="51"/>
  <c r="H62" i="51"/>
  <c r="T62" i="51" s="1"/>
  <c r="H65" i="51"/>
  <c r="T65" i="51" s="1"/>
  <c r="F68" i="51"/>
  <c r="R68" i="51" s="1"/>
  <c r="F70" i="51"/>
  <c r="R70" i="51" s="1"/>
  <c r="F71" i="51"/>
  <c r="R71" i="51" s="1"/>
  <c r="F72" i="51"/>
  <c r="F76" i="51"/>
  <c r="R76" i="51" s="1"/>
  <c r="F77" i="51"/>
  <c r="F78" i="51"/>
  <c r="R78" i="51" s="1"/>
  <c r="F79" i="51"/>
  <c r="F80" i="51"/>
  <c r="R80" i="51" s="1"/>
  <c r="F82" i="51"/>
  <c r="R82" i="51" s="1"/>
  <c r="U82" i="51" s="1"/>
  <c r="F83" i="51"/>
  <c r="R83" i="51" s="1"/>
  <c r="U83" i="51" s="1"/>
  <c r="I84" i="51"/>
  <c r="F85" i="51"/>
  <c r="F90" i="51"/>
  <c r="R90" i="51" s="1"/>
  <c r="F91" i="51"/>
  <c r="R91" i="51" s="1"/>
  <c r="F92" i="51"/>
  <c r="R92" i="51" s="1"/>
  <c r="G99" i="51"/>
  <c r="I99" i="51" s="1"/>
  <c r="G100" i="51"/>
  <c r="T100" i="51" s="1"/>
  <c r="U100" i="51" s="1"/>
  <c r="I100" i="51"/>
  <c r="E107" i="51"/>
  <c r="H107" i="51"/>
  <c r="R107" i="51"/>
  <c r="R108" i="51" s="1"/>
  <c r="T107" i="51"/>
  <c r="F108" i="51"/>
  <c r="H108" i="51"/>
  <c r="T108" i="51" s="1"/>
  <c r="I130" i="51"/>
  <c r="A139" i="51"/>
  <c r="A140" i="51"/>
  <c r="A141" i="51"/>
  <c r="A142" i="51"/>
  <c r="A143" i="51"/>
  <c r="A144" i="51"/>
  <c r="A145" i="51"/>
  <c r="A146" i="51"/>
  <c r="A147" i="51"/>
  <c r="A148" i="51"/>
  <c r="A149" i="51"/>
  <c r="A150" i="51"/>
  <c r="A151" i="51"/>
  <c r="A152" i="51"/>
  <c r="A153" i="51"/>
  <c r="A154" i="51"/>
  <c r="A155" i="51"/>
  <c r="A156" i="51"/>
  <c r="A158" i="51"/>
  <c r="A159" i="51"/>
  <c r="A160" i="51"/>
  <c r="A161" i="51"/>
  <c r="A163" i="51"/>
  <c r="A164" i="51"/>
  <c r="A165" i="51"/>
  <c r="A167" i="51"/>
  <c r="A168" i="51"/>
  <c r="A169" i="51"/>
  <c r="A170" i="51"/>
  <c r="N1" i="50"/>
  <c r="A3" i="50"/>
  <c r="N3" i="50" s="1"/>
  <c r="F4" i="50"/>
  <c r="P4" i="50"/>
  <c r="A7" i="50"/>
  <c r="C8" i="50"/>
  <c r="H8" i="50"/>
  <c r="E90" i="50" s="1"/>
  <c r="F13" i="50"/>
  <c r="F14" i="50"/>
  <c r="F15" i="50"/>
  <c r="F16" i="50"/>
  <c r="F17" i="50"/>
  <c r="F18" i="50"/>
  <c r="F19" i="50"/>
  <c r="F20" i="50"/>
  <c r="F21" i="50"/>
  <c r="F22" i="50"/>
  <c r="F23" i="50"/>
  <c r="F24" i="50"/>
  <c r="F25" i="50"/>
  <c r="F26" i="50"/>
  <c r="F27" i="50"/>
  <c r="F28" i="50"/>
  <c r="C29" i="50"/>
  <c r="D29" i="50"/>
  <c r="E24" i="50" s="1"/>
  <c r="C43" i="50"/>
  <c r="D43" i="50"/>
  <c r="E39" i="50" s="1"/>
  <c r="H50" i="50"/>
  <c r="T50" i="50" s="1"/>
  <c r="U50" i="50" s="1"/>
  <c r="H51" i="50"/>
  <c r="T51" i="50" s="1"/>
  <c r="U51" i="50" s="1"/>
  <c r="H52" i="50"/>
  <c r="T52" i="50"/>
  <c r="U52" i="50" s="1"/>
  <c r="H53" i="50"/>
  <c r="T53" i="50" s="1"/>
  <c r="U53" i="50" s="1"/>
  <c r="H54" i="50"/>
  <c r="T54" i="50" s="1"/>
  <c r="U54" i="50" s="1"/>
  <c r="H55" i="50"/>
  <c r="T55" i="50" s="1"/>
  <c r="U55" i="50" s="1"/>
  <c r="H56" i="50"/>
  <c r="T56" i="50" s="1"/>
  <c r="U56" i="50" s="1"/>
  <c r="H57" i="50"/>
  <c r="T57" i="50" s="1"/>
  <c r="U57" i="50" s="1"/>
  <c r="H58" i="50"/>
  <c r="T58" i="50" s="1"/>
  <c r="U58" i="50" s="1"/>
  <c r="C59" i="50"/>
  <c r="D59" i="50"/>
  <c r="E56" i="50" s="1"/>
  <c r="P59" i="50"/>
  <c r="H62" i="50"/>
  <c r="T62" i="50" s="1"/>
  <c r="H65" i="50"/>
  <c r="T65" i="50" s="1"/>
  <c r="F68" i="50"/>
  <c r="R68" i="50" s="1"/>
  <c r="F70" i="50"/>
  <c r="R70" i="50" s="1"/>
  <c r="F71" i="50"/>
  <c r="R71" i="50" s="1"/>
  <c r="F72" i="50"/>
  <c r="R72" i="50" s="1"/>
  <c r="F76" i="50"/>
  <c r="R76" i="50" s="1"/>
  <c r="F77" i="50"/>
  <c r="R77" i="50" s="1"/>
  <c r="F78" i="50"/>
  <c r="R78" i="50" s="1"/>
  <c r="F79" i="50"/>
  <c r="R79" i="50" s="1"/>
  <c r="F80" i="50"/>
  <c r="R80" i="50" s="1"/>
  <c r="F82" i="50"/>
  <c r="R82" i="50" s="1"/>
  <c r="U82" i="50" s="1"/>
  <c r="F83" i="50"/>
  <c r="R83" i="50" s="1"/>
  <c r="U83" i="50" s="1"/>
  <c r="I84" i="50"/>
  <c r="F85" i="50"/>
  <c r="R85" i="50" s="1"/>
  <c r="F90" i="50"/>
  <c r="R90" i="50" s="1"/>
  <c r="F91" i="50"/>
  <c r="R91" i="50" s="1"/>
  <c r="F92" i="50"/>
  <c r="R92" i="50" s="1"/>
  <c r="G99" i="50"/>
  <c r="T99" i="50" s="1"/>
  <c r="G100" i="50"/>
  <c r="I100" i="50" s="1"/>
  <c r="H107" i="50"/>
  <c r="R107" i="50"/>
  <c r="F108" i="50"/>
  <c r="H108" i="50"/>
  <c r="R108" i="50"/>
  <c r="T108" i="50"/>
  <c r="I130" i="50"/>
  <c r="A139" i="50"/>
  <c r="A140" i="50"/>
  <c r="A141" i="50"/>
  <c r="A142" i="50"/>
  <c r="A143" i="50"/>
  <c r="A144" i="50"/>
  <c r="A145" i="50"/>
  <c r="A146" i="50"/>
  <c r="A147" i="50"/>
  <c r="A148" i="50"/>
  <c r="A149" i="50"/>
  <c r="A150" i="50"/>
  <c r="A151" i="50"/>
  <c r="A152" i="50"/>
  <c r="A153" i="50"/>
  <c r="A154" i="50"/>
  <c r="A155" i="50"/>
  <c r="A156" i="50"/>
  <c r="A158" i="50"/>
  <c r="A159" i="50"/>
  <c r="A160" i="50"/>
  <c r="A161" i="50"/>
  <c r="A163" i="50"/>
  <c r="A164" i="50"/>
  <c r="A165" i="50"/>
  <c r="A167" i="50"/>
  <c r="A168" i="50"/>
  <c r="A169" i="50"/>
  <c r="A170" i="50"/>
  <c r="N1" i="48"/>
  <c r="A3" i="48"/>
  <c r="N3" i="48" s="1"/>
  <c r="F4" i="48"/>
  <c r="P4" i="48"/>
  <c r="A7" i="48"/>
  <c r="C8" i="48"/>
  <c r="H8" i="48"/>
  <c r="F13" i="48"/>
  <c r="F14" i="48"/>
  <c r="F15" i="48"/>
  <c r="F16" i="48"/>
  <c r="F17" i="48"/>
  <c r="F18" i="48"/>
  <c r="F19" i="48"/>
  <c r="F20" i="48"/>
  <c r="F21" i="48"/>
  <c r="F22" i="48"/>
  <c r="F23" i="48"/>
  <c r="F24" i="48"/>
  <c r="F25" i="48"/>
  <c r="F26" i="48"/>
  <c r="F27" i="48"/>
  <c r="F28" i="48"/>
  <c r="C29" i="48"/>
  <c r="D29" i="48"/>
  <c r="E22" i="48" s="1"/>
  <c r="C43" i="48"/>
  <c r="D43" i="48"/>
  <c r="H50" i="48"/>
  <c r="T50" i="48" s="1"/>
  <c r="U50" i="48" s="1"/>
  <c r="H51" i="48"/>
  <c r="T51" i="48" s="1"/>
  <c r="U51" i="48" s="1"/>
  <c r="H52" i="48"/>
  <c r="T52" i="48" s="1"/>
  <c r="U52" i="48" s="1"/>
  <c r="H53" i="48"/>
  <c r="T53" i="48" s="1"/>
  <c r="U53" i="48" s="1"/>
  <c r="H54" i="48"/>
  <c r="T54" i="48" s="1"/>
  <c r="U54" i="48" s="1"/>
  <c r="H55" i="48"/>
  <c r="T55" i="48" s="1"/>
  <c r="U55" i="48" s="1"/>
  <c r="H56" i="48"/>
  <c r="T56" i="48" s="1"/>
  <c r="U56" i="48" s="1"/>
  <c r="H57" i="48"/>
  <c r="T57" i="48" s="1"/>
  <c r="U57" i="48" s="1"/>
  <c r="H58" i="48"/>
  <c r="T58" i="48" s="1"/>
  <c r="U58" i="48" s="1"/>
  <c r="C59" i="48"/>
  <c r="D59" i="48"/>
  <c r="P59" i="48"/>
  <c r="H62" i="48"/>
  <c r="T62" i="48" s="1"/>
  <c r="H65" i="48"/>
  <c r="T65" i="48" s="1"/>
  <c r="F68" i="48"/>
  <c r="R68" i="48" s="1"/>
  <c r="F70" i="48"/>
  <c r="F71" i="48"/>
  <c r="R71" i="48" s="1"/>
  <c r="F72" i="48"/>
  <c r="F76" i="48"/>
  <c r="F77" i="48"/>
  <c r="R77" i="48" s="1"/>
  <c r="F78" i="48"/>
  <c r="F79" i="48"/>
  <c r="R79" i="48" s="1"/>
  <c r="F80" i="48"/>
  <c r="F82" i="48"/>
  <c r="R82" i="48" s="1"/>
  <c r="U82" i="48" s="1"/>
  <c r="F83" i="48"/>
  <c r="R83" i="48" s="1"/>
  <c r="U83" i="48" s="1"/>
  <c r="I84" i="48"/>
  <c r="F85" i="48"/>
  <c r="F90" i="48"/>
  <c r="R90" i="48" s="1"/>
  <c r="F91" i="48"/>
  <c r="R91" i="48" s="1"/>
  <c r="F92" i="48"/>
  <c r="R92" i="48" s="1"/>
  <c r="G99" i="48"/>
  <c r="T99" i="48" s="1"/>
  <c r="G100" i="48"/>
  <c r="I100" i="48" s="1"/>
  <c r="H107" i="48"/>
  <c r="R107" i="48"/>
  <c r="R108" i="48" s="1"/>
  <c r="F108" i="48"/>
  <c r="H108" i="48"/>
  <c r="I130" i="48"/>
  <c r="A139" i="48"/>
  <c r="A140" i="48"/>
  <c r="A141" i="48"/>
  <c r="A142" i="48"/>
  <c r="A143" i="48"/>
  <c r="A144" i="48"/>
  <c r="A145" i="48"/>
  <c r="A146" i="48"/>
  <c r="A147" i="48"/>
  <c r="A148" i="48"/>
  <c r="A149" i="48"/>
  <c r="A150" i="48"/>
  <c r="A151" i="48"/>
  <c r="A152" i="48"/>
  <c r="A153" i="48"/>
  <c r="A154" i="48"/>
  <c r="A155" i="48"/>
  <c r="A156" i="48"/>
  <c r="A158" i="48"/>
  <c r="A159" i="48"/>
  <c r="A160" i="48"/>
  <c r="A161" i="48"/>
  <c r="A163" i="48"/>
  <c r="A164" i="48"/>
  <c r="A165" i="48"/>
  <c r="A167" i="48"/>
  <c r="A168" i="48"/>
  <c r="A169" i="48"/>
  <c r="A170" i="48"/>
  <c r="N1" i="47"/>
  <c r="A3" i="47"/>
  <c r="N3" i="47" s="1"/>
  <c r="F4" i="47"/>
  <c r="P4" i="47"/>
  <c r="A7" i="47"/>
  <c r="C8" i="47"/>
  <c r="H8" i="47"/>
  <c r="F13" i="47"/>
  <c r="F14" i="47"/>
  <c r="F15" i="47"/>
  <c r="F16" i="47"/>
  <c r="F17" i="47"/>
  <c r="F18" i="47"/>
  <c r="E19" i="47"/>
  <c r="H19" i="47" s="1"/>
  <c r="F19" i="47"/>
  <c r="F20" i="47"/>
  <c r="F21" i="47"/>
  <c r="F22" i="47"/>
  <c r="F23" i="47"/>
  <c r="F24" i="47"/>
  <c r="F25" i="47"/>
  <c r="E26" i="47"/>
  <c r="F26" i="47"/>
  <c r="F27" i="47"/>
  <c r="F28" i="47"/>
  <c r="C29" i="47"/>
  <c r="D29" i="47"/>
  <c r="E21" i="47" s="1"/>
  <c r="H21" i="47" s="1"/>
  <c r="C43" i="47"/>
  <c r="D43" i="47"/>
  <c r="E50" i="47"/>
  <c r="H50" i="47"/>
  <c r="T50" i="47" s="1"/>
  <c r="U50" i="47" s="1"/>
  <c r="H51" i="47"/>
  <c r="T51" i="47" s="1"/>
  <c r="U51" i="47" s="1"/>
  <c r="E52" i="47"/>
  <c r="H52" i="47"/>
  <c r="T52" i="47" s="1"/>
  <c r="U52" i="47" s="1"/>
  <c r="H53" i="47"/>
  <c r="T53" i="47" s="1"/>
  <c r="U53" i="47" s="1"/>
  <c r="H54" i="47"/>
  <c r="T54" i="47" s="1"/>
  <c r="U54" i="47" s="1"/>
  <c r="H55" i="47"/>
  <c r="T55" i="47" s="1"/>
  <c r="U55" i="47" s="1"/>
  <c r="H56" i="47"/>
  <c r="H57" i="47"/>
  <c r="H58" i="47"/>
  <c r="T58" i="47" s="1"/>
  <c r="U58" i="47" s="1"/>
  <c r="C59" i="47"/>
  <c r="D59" i="47"/>
  <c r="E109" i="47" s="1"/>
  <c r="P59" i="47"/>
  <c r="H62" i="47"/>
  <c r="T62" i="47" s="1"/>
  <c r="H65" i="47"/>
  <c r="T65" i="47" s="1"/>
  <c r="F68" i="47"/>
  <c r="R68" i="47" s="1"/>
  <c r="F70" i="47"/>
  <c r="R70" i="47" s="1"/>
  <c r="F71" i="47"/>
  <c r="R71" i="47" s="1"/>
  <c r="F72" i="47"/>
  <c r="R72" i="47" s="1"/>
  <c r="F76" i="47"/>
  <c r="F77" i="47"/>
  <c r="R77" i="47" s="1"/>
  <c r="F78" i="47"/>
  <c r="F79" i="47"/>
  <c r="R79" i="47" s="1"/>
  <c r="F80" i="47"/>
  <c r="F82" i="47"/>
  <c r="R82" i="47" s="1"/>
  <c r="U82" i="47" s="1"/>
  <c r="F83" i="47"/>
  <c r="R83" i="47" s="1"/>
  <c r="U83" i="47" s="1"/>
  <c r="I84" i="47"/>
  <c r="F85" i="47"/>
  <c r="R85" i="47" s="1"/>
  <c r="F90" i="47"/>
  <c r="R90" i="47" s="1"/>
  <c r="F91" i="47"/>
  <c r="R91" i="47" s="1"/>
  <c r="F92" i="47"/>
  <c r="R92" i="47" s="1"/>
  <c r="G99" i="47"/>
  <c r="T99" i="47" s="1"/>
  <c r="G100" i="47"/>
  <c r="I100" i="47" s="1"/>
  <c r="E107" i="47"/>
  <c r="H107" i="47"/>
  <c r="R107" i="47"/>
  <c r="F108" i="47"/>
  <c r="H108" i="47"/>
  <c r="T108" i="47" s="1"/>
  <c r="R108" i="47"/>
  <c r="I130" i="47"/>
  <c r="A139" i="47"/>
  <c r="A140" i="47"/>
  <c r="A141" i="47"/>
  <c r="A142" i="47"/>
  <c r="A143" i="47"/>
  <c r="A144" i="47"/>
  <c r="A145" i="47"/>
  <c r="A146" i="47"/>
  <c r="A147" i="47"/>
  <c r="A148" i="47"/>
  <c r="A149" i="47"/>
  <c r="A150" i="47"/>
  <c r="A151" i="47"/>
  <c r="A152" i="47"/>
  <c r="A153" i="47"/>
  <c r="A154" i="47"/>
  <c r="A155" i="47"/>
  <c r="A156" i="47"/>
  <c r="A158" i="47"/>
  <c r="A159" i="47"/>
  <c r="A160" i="47"/>
  <c r="A161" i="47"/>
  <c r="A163" i="47"/>
  <c r="A164" i="47"/>
  <c r="A165" i="47"/>
  <c r="A167" i="47"/>
  <c r="A168" i="47"/>
  <c r="A169" i="47"/>
  <c r="A170" i="47"/>
  <c r="N1" i="45"/>
  <c r="A3" i="45"/>
  <c r="N3" i="45" s="1"/>
  <c r="F4" i="45"/>
  <c r="P4" i="45"/>
  <c r="A7" i="45"/>
  <c r="C8" i="45"/>
  <c r="H8" i="45"/>
  <c r="T8" i="45" s="1"/>
  <c r="P90" i="45" s="1"/>
  <c r="F13" i="45"/>
  <c r="F14" i="45"/>
  <c r="F15" i="45"/>
  <c r="F16" i="45"/>
  <c r="F17" i="45"/>
  <c r="F18" i="45"/>
  <c r="F19" i="45"/>
  <c r="F20" i="45"/>
  <c r="F21" i="45"/>
  <c r="F22" i="45"/>
  <c r="F23" i="45"/>
  <c r="F24" i="45"/>
  <c r="F25" i="45"/>
  <c r="F26" i="45"/>
  <c r="F27" i="45"/>
  <c r="F28" i="45"/>
  <c r="C29" i="45"/>
  <c r="D29" i="45"/>
  <c r="E24" i="45" s="1"/>
  <c r="C43" i="45"/>
  <c r="D43" i="45"/>
  <c r="E39" i="45" s="1"/>
  <c r="H50" i="45"/>
  <c r="T50" i="45" s="1"/>
  <c r="U50" i="45" s="1"/>
  <c r="H51" i="45"/>
  <c r="H52" i="45"/>
  <c r="T52" i="45" s="1"/>
  <c r="U52" i="45" s="1"/>
  <c r="H53" i="45"/>
  <c r="H54" i="45"/>
  <c r="T54" i="45" s="1"/>
  <c r="U54" i="45" s="1"/>
  <c r="H55" i="45"/>
  <c r="T55" i="45" s="1"/>
  <c r="U55" i="45" s="1"/>
  <c r="H56" i="45"/>
  <c r="H57" i="45"/>
  <c r="T57" i="45" s="1"/>
  <c r="U57" i="45" s="1"/>
  <c r="H58" i="45"/>
  <c r="C59" i="45"/>
  <c r="D59" i="45"/>
  <c r="P59" i="45"/>
  <c r="H62" i="45"/>
  <c r="T62" i="45" s="1"/>
  <c r="H65" i="45"/>
  <c r="T65" i="45" s="1"/>
  <c r="F68" i="45"/>
  <c r="R68" i="45" s="1"/>
  <c r="F70" i="45"/>
  <c r="R70" i="45" s="1"/>
  <c r="F71" i="45"/>
  <c r="R71" i="45" s="1"/>
  <c r="F72" i="45"/>
  <c r="R72" i="45" s="1"/>
  <c r="F76" i="45"/>
  <c r="F77" i="45"/>
  <c r="F78" i="45"/>
  <c r="F79" i="45"/>
  <c r="F80" i="45"/>
  <c r="R80" i="45" s="1"/>
  <c r="F82" i="45"/>
  <c r="R82" i="45" s="1"/>
  <c r="U82" i="45" s="1"/>
  <c r="F83" i="45"/>
  <c r="R83" i="45" s="1"/>
  <c r="U83" i="45" s="1"/>
  <c r="I84" i="45"/>
  <c r="F85" i="45"/>
  <c r="R85" i="45" s="1"/>
  <c r="F90" i="45"/>
  <c r="R90" i="45" s="1"/>
  <c r="F91" i="45"/>
  <c r="R91" i="45" s="1"/>
  <c r="F92" i="45"/>
  <c r="R92" i="45" s="1"/>
  <c r="G99" i="45"/>
  <c r="G100" i="45"/>
  <c r="I100" i="45" s="1"/>
  <c r="H107" i="45"/>
  <c r="R107" i="45"/>
  <c r="R108" i="45" s="1"/>
  <c r="F108" i="45"/>
  <c r="H108" i="45"/>
  <c r="T108" i="45"/>
  <c r="I130" i="45"/>
  <c r="A139" i="45"/>
  <c r="A140" i="45"/>
  <c r="A141" i="45"/>
  <c r="A142" i="45"/>
  <c r="A143" i="45"/>
  <c r="A144" i="45"/>
  <c r="A145" i="45"/>
  <c r="A146" i="45"/>
  <c r="A147" i="45"/>
  <c r="A148" i="45"/>
  <c r="A149" i="45"/>
  <c r="A150" i="45"/>
  <c r="A151" i="45"/>
  <c r="A152" i="45"/>
  <c r="A153" i="45"/>
  <c r="A154" i="45"/>
  <c r="A155" i="45"/>
  <c r="A156" i="45"/>
  <c r="A158" i="45"/>
  <c r="A159" i="45"/>
  <c r="A160" i="45"/>
  <c r="A161" i="45"/>
  <c r="A163" i="45"/>
  <c r="A164" i="45"/>
  <c r="A165" i="45"/>
  <c r="A167" i="45"/>
  <c r="A168" i="45"/>
  <c r="A169" i="45"/>
  <c r="A170" i="45"/>
  <c r="N1" i="44"/>
  <c r="A3" i="44"/>
  <c r="N3" i="44" s="1"/>
  <c r="F4" i="44"/>
  <c r="P4" i="44"/>
  <c r="A7" i="44"/>
  <c r="C8" i="44"/>
  <c r="H8" i="44"/>
  <c r="F13" i="44"/>
  <c r="E14" i="44"/>
  <c r="F14" i="44"/>
  <c r="F15" i="44"/>
  <c r="F16" i="44"/>
  <c r="F17" i="44"/>
  <c r="F18" i="44"/>
  <c r="F19" i="44"/>
  <c r="E20" i="44"/>
  <c r="F20" i="44"/>
  <c r="F21" i="44"/>
  <c r="F22" i="44"/>
  <c r="F23" i="44"/>
  <c r="F24" i="44"/>
  <c r="F25" i="44"/>
  <c r="E26" i="44"/>
  <c r="F26" i="44"/>
  <c r="F27" i="44"/>
  <c r="F28" i="44"/>
  <c r="C29" i="44"/>
  <c r="D29" i="44"/>
  <c r="E18" i="44" s="1"/>
  <c r="C43" i="44"/>
  <c r="D43" i="44"/>
  <c r="H50" i="44"/>
  <c r="T50" i="44" s="1"/>
  <c r="U50" i="44" s="1"/>
  <c r="H51" i="44"/>
  <c r="T51" i="44" s="1"/>
  <c r="U51" i="44" s="1"/>
  <c r="H52" i="44"/>
  <c r="T52" i="44" s="1"/>
  <c r="U52" i="44" s="1"/>
  <c r="H53" i="44"/>
  <c r="T53" i="44" s="1"/>
  <c r="U53" i="44" s="1"/>
  <c r="H54" i="44"/>
  <c r="T54" i="44" s="1"/>
  <c r="U54" i="44" s="1"/>
  <c r="H55" i="44"/>
  <c r="T55" i="44" s="1"/>
  <c r="U55" i="44" s="1"/>
  <c r="H56" i="44"/>
  <c r="T56" i="44" s="1"/>
  <c r="U56" i="44" s="1"/>
  <c r="H57" i="44"/>
  <c r="T57" i="44" s="1"/>
  <c r="U57" i="44" s="1"/>
  <c r="H58" i="44"/>
  <c r="T58" i="44" s="1"/>
  <c r="U58" i="44" s="1"/>
  <c r="C59" i="44"/>
  <c r="D59" i="44"/>
  <c r="E57" i="44" s="1"/>
  <c r="P59" i="44"/>
  <c r="H62" i="44"/>
  <c r="T62" i="44" s="1"/>
  <c r="H65" i="44"/>
  <c r="T65" i="44" s="1"/>
  <c r="F68" i="44"/>
  <c r="R68" i="44" s="1"/>
  <c r="F70" i="44"/>
  <c r="F71" i="44"/>
  <c r="R71" i="44" s="1"/>
  <c r="F72" i="44"/>
  <c r="R72" i="44" s="1"/>
  <c r="F76" i="44"/>
  <c r="R76" i="44" s="1"/>
  <c r="F77" i="44"/>
  <c r="R77" i="44" s="1"/>
  <c r="F78" i="44"/>
  <c r="R78" i="44" s="1"/>
  <c r="F79" i="44"/>
  <c r="R79" i="44" s="1"/>
  <c r="F80" i="44"/>
  <c r="R80" i="44" s="1"/>
  <c r="F82" i="44"/>
  <c r="R82" i="44" s="1"/>
  <c r="U82" i="44" s="1"/>
  <c r="F83" i="44"/>
  <c r="R83" i="44" s="1"/>
  <c r="U83" i="44" s="1"/>
  <c r="I84" i="44"/>
  <c r="F85" i="44"/>
  <c r="R85" i="44" s="1"/>
  <c r="F90" i="44"/>
  <c r="R90" i="44" s="1"/>
  <c r="F91" i="44"/>
  <c r="R91" i="44" s="1"/>
  <c r="F92" i="44"/>
  <c r="R92" i="44" s="1"/>
  <c r="G99" i="44"/>
  <c r="I99" i="44" s="1"/>
  <c r="G100" i="44"/>
  <c r="T100" i="44" s="1"/>
  <c r="U100" i="44" s="1"/>
  <c r="H107" i="44"/>
  <c r="H109" i="44" s="1"/>
  <c r="R107" i="44"/>
  <c r="R108" i="44" s="1"/>
  <c r="T107" i="44"/>
  <c r="F108" i="44"/>
  <c r="H108" i="44"/>
  <c r="I130" i="44"/>
  <c r="A139" i="44"/>
  <c r="A140" i="44"/>
  <c r="A141" i="44"/>
  <c r="A142" i="44"/>
  <c r="A143" i="44"/>
  <c r="A144" i="44"/>
  <c r="A145" i="44"/>
  <c r="A146" i="44"/>
  <c r="A147" i="44"/>
  <c r="A148" i="44"/>
  <c r="A149" i="44"/>
  <c r="A150" i="44"/>
  <c r="A151" i="44"/>
  <c r="A152" i="44"/>
  <c r="A153" i="44"/>
  <c r="A154" i="44"/>
  <c r="A155" i="44"/>
  <c r="A156" i="44"/>
  <c r="A158" i="44"/>
  <c r="A159" i="44"/>
  <c r="A160" i="44"/>
  <c r="A161" i="44"/>
  <c r="A163" i="44"/>
  <c r="A164" i="44"/>
  <c r="A165" i="44"/>
  <c r="A167" i="44"/>
  <c r="A168" i="44"/>
  <c r="A169" i="44"/>
  <c r="A170" i="44"/>
  <c r="N1" i="43"/>
  <c r="A3" i="43"/>
  <c r="N3" i="43" s="1"/>
  <c r="F4" i="43"/>
  <c r="P4" i="43"/>
  <c r="A7" i="43"/>
  <c r="C8" i="43"/>
  <c r="H8" i="43"/>
  <c r="T8" i="43" s="1"/>
  <c r="F13" i="43"/>
  <c r="F14" i="43"/>
  <c r="F15" i="43"/>
  <c r="F16" i="43"/>
  <c r="F17" i="43"/>
  <c r="F18" i="43"/>
  <c r="F19" i="43"/>
  <c r="F20" i="43"/>
  <c r="F21" i="43"/>
  <c r="F22" i="43"/>
  <c r="F23" i="43"/>
  <c r="F24" i="43"/>
  <c r="F25" i="43"/>
  <c r="F26" i="43"/>
  <c r="F27" i="43"/>
  <c r="F28" i="43"/>
  <c r="C29" i="43"/>
  <c r="D29" i="43"/>
  <c r="E17" i="43" s="1"/>
  <c r="E37" i="43"/>
  <c r="E42" i="43"/>
  <c r="C43" i="43"/>
  <c r="D43" i="43"/>
  <c r="H50" i="43"/>
  <c r="T50" i="43" s="1"/>
  <c r="U50" i="43" s="1"/>
  <c r="H51" i="43"/>
  <c r="T51" i="43" s="1"/>
  <c r="U51" i="43" s="1"/>
  <c r="H52" i="43"/>
  <c r="T52" i="43" s="1"/>
  <c r="U52" i="43" s="1"/>
  <c r="H53" i="43"/>
  <c r="T53" i="43" s="1"/>
  <c r="U53" i="43" s="1"/>
  <c r="H54" i="43"/>
  <c r="T54" i="43" s="1"/>
  <c r="U54" i="43" s="1"/>
  <c r="H55" i="43"/>
  <c r="T55" i="43" s="1"/>
  <c r="U55" i="43" s="1"/>
  <c r="H56" i="43"/>
  <c r="T56" i="43" s="1"/>
  <c r="U56" i="43" s="1"/>
  <c r="H57" i="43"/>
  <c r="T57" i="43" s="1"/>
  <c r="U57" i="43" s="1"/>
  <c r="H58" i="43"/>
  <c r="T58" i="43" s="1"/>
  <c r="U58" i="43" s="1"/>
  <c r="C59" i="43"/>
  <c r="D59" i="43"/>
  <c r="E50" i="43" s="1"/>
  <c r="P59" i="43"/>
  <c r="H62" i="43"/>
  <c r="T62" i="43" s="1"/>
  <c r="H65" i="43"/>
  <c r="T65" i="43" s="1"/>
  <c r="F68" i="43"/>
  <c r="R68" i="43" s="1"/>
  <c r="F70" i="43"/>
  <c r="R70" i="43" s="1"/>
  <c r="F71" i="43"/>
  <c r="R71" i="43" s="1"/>
  <c r="F72" i="43"/>
  <c r="R72" i="43" s="1"/>
  <c r="F76" i="43"/>
  <c r="R76" i="43" s="1"/>
  <c r="F77" i="43"/>
  <c r="R77" i="43" s="1"/>
  <c r="F78" i="43"/>
  <c r="R78" i="43" s="1"/>
  <c r="F79" i="43"/>
  <c r="R79" i="43" s="1"/>
  <c r="F80" i="43"/>
  <c r="R80" i="43" s="1"/>
  <c r="F82" i="43"/>
  <c r="R82" i="43" s="1"/>
  <c r="U82" i="43" s="1"/>
  <c r="F83" i="43"/>
  <c r="R83" i="43" s="1"/>
  <c r="U83" i="43" s="1"/>
  <c r="I84" i="43"/>
  <c r="F85" i="43"/>
  <c r="R85" i="43" s="1"/>
  <c r="F90" i="43"/>
  <c r="R90" i="43" s="1"/>
  <c r="F91" i="43"/>
  <c r="R91" i="43" s="1"/>
  <c r="E92" i="43"/>
  <c r="F92" i="43"/>
  <c r="R92" i="43" s="1"/>
  <c r="G99" i="43"/>
  <c r="G100" i="43"/>
  <c r="I100" i="43" s="1"/>
  <c r="H107" i="43"/>
  <c r="H109" i="43" s="1"/>
  <c r="R107" i="43"/>
  <c r="T107" i="43"/>
  <c r="F108" i="43"/>
  <c r="H108" i="43"/>
  <c r="R108" i="43"/>
  <c r="T108" i="43"/>
  <c r="I130" i="43"/>
  <c r="A139" i="43"/>
  <c r="A140" i="43"/>
  <c r="A141" i="43"/>
  <c r="A142" i="43"/>
  <c r="A143" i="43"/>
  <c r="A144" i="43"/>
  <c r="A145" i="43"/>
  <c r="A146" i="43"/>
  <c r="A147" i="43"/>
  <c r="A148" i="43"/>
  <c r="A149" i="43"/>
  <c r="A150" i="43"/>
  <c r="A151" i="43"/>
  <c r="A152" i="43"/>
  <c r="A153" i="43"/>
  <c r="A154" i="43"/>
  <c r="A155" i="43"/>
  <c r="A156" i="43"/>
  <c r="A158" i="43"/>
  <c r="A159" i="43"/>
  <c r="A160" i="43"/>
  <c r="A161" i="43"/>
  <c r="A163" i="43"/>
  <c r="A164" i="43"/>
  <c r="A165" i="43"/>
  <c r="A167" i="43"/>
  <c r="A168" i="43"/>
  <c r="A169" i="43"/>
  <c r="A170" i="43"/>
  <c r="N1" i="42"/>
  <c r="A3" i="42"/>
  <c r="N3" i="42" s="1"/>
  <c r="F4" i="42"/>
  <c r="P4" i="42"/>
  <c r="A7" i="42"/>
  <c r="C8" i="42"/>
  <c r="H8" i="42"/>
  <c r="E92" i="42" s="1"/>
  <c r="F13" i="42"/>
  <c r="F14" i="42"/>
  <c r="F15" i="42"/>
  <c r="F16" i="42"/>
  <c r="F17" i="42"/>
  <c r="F18" i="42"/>
  <c r="F19" i="42"/>
  <c r="F20" i="42"/>
  <c r="F21" i="42"/>
  <c r="F22" i="42"/>
  <c r="F23" i="42"/>
  <c r="F24" i="42"/>
  <c r="F25" i="42"/>
  <c r="F26" i="42"/>
  <c r="F27" i="42"/>
  <c r="F28" i="42"/>
  <c r="C29" i="42"/>
  <c r="D29" i="42"/>
  <c r="E21" i="42" s="1"/>
  <c r="C43" i="42"/>
  <c r="D43" i="42"/>
  <c r="E38" i="42" s="1"/>
  <c r="H50" i="42"/>
  <c r="T50" i="42" s="1"/>
  <c r="U50" i="42" s="1"/>
  <c r="H51" i="42"/>
  <c r="T51" i="42" s="1"/>
  <c r="U51" i="42" s="1"/>
  <c r="H52" i="42"/>
  <c r="T52" i="42" s="1"/>
  <c r="U52" i="42" s="1"/>
  <c r="H53" i="42"/>
  <c r="T53" i="42" s="1"/>
  <c r="U53" i="42" s="1"/>
  <c r="H54" i="42"/>
  <c r="T54" i="42" s="1"/>
  <c r="U54" i="42" s="1"/>
  <c r="H55" i="42"/>
  <c r="T55" i="42" s="1"/>
  <c r="U55" i="42" s="1"/>
  <c r="H56" i="42"/>
  <c r="T56" i="42" s="1"/>
  <c r="U56" i="42" s="1"/>
  <c r="E57" i="42"/>
  <c r="H57" i="42"/>
  <c r="T57" i="42"/>
  <c r="U57" i="42" s="1"/>
  <c r="H58" i="42"/>
  <c r="T58" i="42" s="1"/>
  <c r="U58" i="42" s="1"/>
  <c r="C59" i="42"/>
  <c r="D59" i="42"/>
  <c r="E107" i="42" s="1"/>
  <c r="I107" i="42" s="1"/>
  <c r="P59" i="42"/>
  <c r="H62" i="42"/>
  <c r="T62" i="42" s="1"/>
  <c r="H65" i="42"/>
  <c r="T65" i="42" s="1"/>
  <c r="F68" i="42"/>
  <c r="F70" i="42"/>
  <c r="R70" i="42" s="1"/>
  <c r="F71" i="42"/>
  <c r="F72" i="42"/>
  <c r="R72" i="42" s="1"/>
  <c r="F76" i="42"/>
  <c r="R76" i="42" s="1"/>
  <c r="F77" i="42"/>
  <c r="F78" i="42"/>
  <c r="R78" i="42" s="1"/>
  <c r="F79" i="42"/>
  <c r="F80" i="42"/>
  <c r="R80" i="42" s="1"/>
  <c r="F82" i="42"/>
  <c r="R82" i="42" s="1"/>
  <c r="U82" i="42" s="1"/>
  <c r="F83" i="42"/>
  <c r="R83" i="42" s="1"/>
  <c r="U83" i="42" s="1"/>
  <c r="I84" i="42"/>
  <c r="F85" i="42"/>
  <c r="R85" i="42" s="1"/>
  <c r="F90" i="42"/>
  <c r="R90" i="42" s="1"/>
  <c r="F91" i="42"/>
  <c r="R91" i="42" s="1"/>
  <c r="F92" i="42"/>
  <c r="R92" i="42" s="1"/>
  <c r="G99" i="42"/>
  <c r="I99" i="42" s="1"/>
  <c r="G100" i="42"/>
  <c r="I100" i="42" s="1"/>
  <c r="H107" i="42"/>
  <c r="H109" i="42" s="1"/>
  <c r="T109" i="42" s="1"/>
  <c r="R107" i="42"/>
  <c r="R108" i="42" s="1"/>
  <c r="T107" i="42"/>
  <c r="F108" i="42"/>
  <c r="H108" i="42"/>
  <c r="T108" i="42" s="1"/>
  <c r="I130" i="42"/>
  <c r="A139" i="42"/>
  <c r="A140" i="42"/>
  <c r="A141" i="42"/>
  <c r="A142" i="42"/>
  <c r="A143" i="42"/>
  <c r="A144" i="42"/>
  <c r="A145" i="42"/>
  <c r="A146" i="42"/>
  <c r="A147" i="42"/>
  <c r="A148" i="42"/>
  <c r="A149" i="42"/>
  <c r="A150" i="42"/>
  <c r="A151" i="42"/>
  <c r="A152" i="42"/>
  <c r="A153" i="42"/>
  <c r="A154" i="42"/>
  <c r="A155" i="42"/>
  <c r="A156" i="42"/>
  <c r="A158" i="42"/>
  <c r="A159" i="42"/>
  <c r="A160" i="42"/>
  <c r="A161" i="42"/>
  <c r="A163" i="42"/>
  <c r="A164" i="42"/>
  <c r="A165" i="42"/>
  <c r="A167" i="42"/>
  <c r="A168" i="42"/>
  <c r="A169" i="42"/>
  <c r="A170" i="42"/>
  <c r="N1" i="40"/>
  <c r="A3" i="40"/>
  <c r="N3" i="40" s="1"/>
  <c r="F4" i="40"/>
  <c r="P4" i="40"/>
  <c r="A7" i="40"/>
  <c r="C8" i="40"/>
  <c r="H8" i="40"/>
  <c r="F13" i="40"/>
  <c r="F14" i="40"/>
  <c r="F15" i="40"/>
  <c r="F16" i="40"/>
  <c r="F17" i="40"/>
  <c r="F18" i="40"/>
  <c r="F19" i="40"/>
  <c r="F20" i="40"/>
  <c r="F21" i="40"/>
  <c r="F22" i="40"/>
  <c r="F23" i="40"/>
  <c r="F24" i="40"/>
  <c r="F25" i="40"/>
  <c r="F26" i="40"/>
  <c r="F27" i="40"/>
  <c r="F28" i="40"/>
  <c r="C29" i="40"/>
  <c r="D29" i="40"/>
  <c r="E38" i="40"/>
  <c r="E39" i="40"/>
  <c r="C43" i="40"/>
  <c r="D43" i="40"/>
  <c r="E37" i="40" s="1"/>
  <c r="H50" i="40"/>
  <c r="T50" i="40" s="1"/>
  <c r="U50" i="40" s="1"/>
  <c r="H51" i="40"/>
  <c r="T51" i="40" s="1"/>
  <c r="U51" i="40" s="1"/>
  <c r="H52" i="40"/>
  <c r="T52" i="40" s="1"/>
  <c r="U52" i="40" s="1"/>
  <c r="H53" i="40"/>
  <c r="T53" i="40" s="1"/>
  <c r="U53" i="40" s="1"/>
  <c r="H54" i="40"/>
  <c r="T54" i="40" s="1"/>
  <c r="U54" i="40" s="1"/>
  <c r="H55" i="40"/>
  <c r="T55" i="40" s="1"/>
  <c r="U55" i="40" s="1"/>
  <c r="H56" i="40"/>
  <c r="T56" i="40" s="1"/>
  <c r="U56" i="40" s="1"/>
  <c r="H57" i="40"/>
  <c r="T57" i="40" s="1"/>
  <c r="U57" i="40" s="1"/>
  <c r="H58" i="40"/>
  <c r="T58" i="40" s="1"/>
  <c r="U58" i="40" s="1"/>
  <c r="C59" i="40"/>
  <c r="D59" i="40"/>
  <c r="E50" i="40" s="1"/>
  <c r="P59" i="40"/>
  <c r="H62" i="40"/>
  <c r="T62" i="40" s="1"/>
  <c r="H65" i="40"/>
  <c r="T65" i="40" s="1"/>
  <c r="F68" i="40"/>
  <c r="R68" i="40" s="1"/>
  <c r="F70" i="40"/>
  <c r="R70" i="40" s="1"/>
  <c r="F71" i="40"/>
  <c r="R71" i="40" s="1"/>
  <c r="F72" i="40"/>
  <c r="R72" i="40" s="1"/>
  <c r="F76" i="40"/>
  <c r="R76" i="40" s="1"/>
  <c r="F77" i="40"/>
  <c r="F78" i="40"/>
  <c r="R78" i="40" s="1"/>
  <c r="F79" i="40"/>
  <c r="F80" i="40"/>
  <c r="R80" i="40" s="1"/>
  <c r="F82" i="40"/>
  <c r="R82" i="40" s="1"/>
  <c r="U82" i="40" s="1"/>
  <c r="F83" i="40"/>
  <c r="R83" i="40" s="1"/>
  <c r="U83" i="40" s="1"/>
  <c r="I84" i="40"/>
  <c r="F85" i="40"/>
  <c r="R85" i="40" s="1"/>
  <c r="F90" i="40"/>
  <c r="R90" i="40" s="1"/>
  <c r="F91" i="40"/>
  <c r="R91" i="40" s="1"/>
  <c r="F92" i="40"/>
  <c r="R92" i="40" s="1"/>
  <c r="G99" i="40"/>
  <c r="I99" i="40" s="1"/>
  <c r="G100" i="40"/>
  <c r="I100" i="40" s="1"/>
  <c r="H107" i="40"/>
  <c r="R107" i="40"/>
  <c r="R108" i="40" s="1"/>
  <c r="T107" i="40"/>
  <c r="F108" i="40"/>
  <c r="H108" i="40"/>
  <c r="H109" i="40"/>
  <c r="T109" i="40" s="1"/>
  <c r="I130" i="40"/>
  <c r="A139" i="40"/>
  <c r="A140" i="40"/>
  <c r="A141" i="40"/>
  <c r="A142" i="40"/>
  <c r="A143" i="40"/>
  <c r="A144" i="40"/>
  <c r="A145" i="40"/>
  <c r="A146" i="40"/>
  <c r="A147" i="40"/>
  <c r="A148" i="40"/>
  <c r="A149" i="40"/>
  <c r="A150" i="40"/>
  <c r="A151" i="40"/>
  <c r="A152" i="40"/>
  <c r="A153" i="40"/>
  <c r="A154" i="40"/>
  <c r="A155" i="40"/>
  <c r="A156" i="40"/>
  <c r="A158" i="40"/>
  <c r="A159" i="40"/>
  <c r="A160" i="40"/>
  <c r="A161" i="40"/>
  <c r="A163" i="40"/>
  <c r="A164" i="40"/>
  <c r="A165" i="40"/>
  <c r="A167" i="40"/>
  <c r="A168" i="40"/>
  <c r="A169" i="40"/>
  <c r="A170" i="40"/>
  <c r="N1" i="39"/>
  <c r="A3" i="39"/>
  <c r="N3" i="39" s="1"/>
  <c r="F4" i="39"/>
  <c r="P4" i="39"/>
  <c r="A7" i="39"/>
  <c r="C8" i="39"/>
  <c r="H8" i="39"/>
  <c r="E90" i="39" s="1"/>
  <c r="F13" i="39"/>
  <c r="F14" i="39"/>
  <c r="F15" i="39"/>
  <c r="F16" i="39"/>
  <c r="F17" i="39"/>
  <c r="F18" i="39"/>
  <c r="F19" i="39"/>
  <c r="F20" i="39"/>
  <c r="F21" i="39"/>
  <c r="F22" i="39"/>
  <c r="F23" i="39"/>
  <c r="F24" i="39"/>
  <c r="F25" i="39"/>
  <c r="F26" i="39"/>
  <c r="F27" i="39"/>
  <c r="F28" i="39"/>
  <c r="C29" i="39"/>
  <c r="D29" i="39"/>
  <c r="E25" i="39" s="1"/>
  <c r="E37" i="39"/>
  <c r="E40" i="39"/>
  <c r="C43" i="39"/>
  <c r="D43" i="39"/>
  <c r="E38" i="39" s="1"/>
  <c r="H50" i="39"/>
  <c r="T50" i="39" s="1"/>
  <c r="U50" i="39" s="1"/>
  <c r="H51" i="39"/>
  <c r="T51" i="39" s="1"/>
  <c r="U51" i="39" s="1"/>
  <c r="H52" i="39"/>
  <c r="T52" i="39" s="1"/>
  <c r="U52" i="39" s="1"/>
  <c r="H53" i="39"/>
  <c r="T53" i="39" s="1"/>
  <c r="U53" i="39" s="1"/>
  <c r="H54" i="39"/>
  <c r="T54" i="39" s="1"/>
  <c r="U54" i="39" s="1"/>
  <c r="E55" i="39"/>
  <c r="H55" i="39"/>
  <c r="T55" i="39" s="1"/>
  <c r="U55" i="39" s="1"/>
  <c r="H56" i="39"/>
  <c r="T56" i="39" s="1"/>
  <c r="U56" i="39" s="1"/>
  <c r="H57" i="39"/>
  <c r="H58" i="39"/>
  <c r="T58" i="39" s="1"/>
  <c r="U58" i="39" s="1"/>
  <c r="C59" i="39"/>
  <c r="D59" i="39"/>
  <c r="E58" i="39" s="1"/>
  <c r="P59" i="39"/>
  <c r="H62" i="39"/>
  <c r="T62" i="39" s="1"/>
  <c r="H65" i="39"/>
  <c r="T65" i="39" s="1"/>
  <c r="F68" i="39"/>
  <c r="F70" i="39"/>
  <c r="R70" i="39" s="1"/>
  <c r="F71" i="39"/>
  <c r="F72" i="39"/>
  <c r="R72" i="39" s="1"/>
  <c r="F76" i="39"/>
  <c r="R76" i="39" s="1"/>
  <c r="F77" i="39"/>
  <c r="R77" i="39" s="1"/>
  <c r="F78" i="39"/>
  <c r="R78" i="39" s="1"/>
  <c r="F79" i="39"/>
  <c r="R79" i="39" s="1"/>
  <c r="F80" i="39"/>
  <c r="R80" i="39" s="1"/>
  <c r="F82" i="39"/>
  <c r="R82" i="39" s="1"/>
  <c r="U82" i="39" s="1"/>
  <c r="F83" i="39"/>
  <c r="R83" i="39" s="1"/>
  <c r="U83" i="39" s="1"/>
  <c r="I84" i="39"/>
  <c r="F85" i="39"/>
  <c r="R85" i="39" s="1"/>
  <c r="F90" i="39"/>
  <c r="R90" i="39" s="1"/>
  <c r="F91" i="39"/>
  <c r="R91" i="39" s="1"/>
  <c r="F92" i="39"/>
  <c r="R92" i="39" s="1"/>
  <c r="G99" i="39"/>
  <c r="I99" i="39" s="1"/>
  <c r="G100" i="39"/>
  <c r="H107" i="39"/>
  <c r="R107" i="39"/>
  <c r="T107" i="39"/>
  <c r="F108" i="39"/>
  <c r="H108" i="39"/>
  <c r="R108" i="39"/>
  <c r="I130" i="39"/>
  <c r="A139" i="39"/>
  <c r="A140" i="39"/>
  <c r="A141" i="39"/>
  <c r="A142" i="39"/>
  <c r="A143" i="39"/>
  <c r="A144" i="39"/>
  <c r="A145" i="39"/>
  <c r="A146" i="39"/>
  <c r="A147" i="39"/>
  <c r="A148" i="39"/>
  <c r="A149" i="39"/>
  <c r="A150" i="39"/>
  <c r="A151" i="39"/>
  <c r="A152" i="39"/>
  <c r="A153" i="39"/>
  <c r="A154" i="39"/>
  <c r="A155" i="39"/>
  <c r="A156" i="39"/>
  <c r="A158" i="39"/>
  <c r="A159" i="39"/>
  <c r="A160" i="39"/>
  <c r="A161" i="39"/>
  <c r="A163" i="39"/>
  <c r="A164" i="39"/>
  <c r="A165" i="39"/>
  <c r="A167" i="39"/>
  <c r="A168" i="39"/>
  <c r="A169" i="39"/>
  <c r="A170" i="39"/>
  <c r="N1" i="38"/>
  <c r="A3" i="38"/>
  <c r="N3" i="38" s="1"/>
  <c r="F4" i="38"/>
  <c r="P4" i="38"/>
  <c r="A7" i="38"/>
  <c r="C8" i="38"/>
  <c r="H8" i="38"/>
  <c r="E90" i="38" s="1"/>
  <c r="F13" i="38"/>
  <c r="F14" i="38"/>
  <c r="F15" i="38"/>
  <c r="F16" i="38"/>
  <c r="F17" i="38"/>
  <c r="F18" i="38"/>
  <c r="F19" i="38"/>
  <c r="F20" i="38"/>
  <c r="F21" i="38"/>
  <c r="F22" i="38"/>
  <c r="F23" i="38"/>
  <c r="F24" i="38"/>
  <c r="F25" i="38"/>
  <c r="F26" i="38"/>
  <c r="F27" i="38"/>
  <c r="F28" i="38"/>
  <c r="C29" i="38"/>
  <c r="D29" i="38"/>
  <c r="E24" i="38" s="1"/>
  <c r="C43" i="38"/>
  <c r="D43" i="38"/>
  <c r="E39" i="38" s="1"/>
  <c r="H50" i="38"/>
  <c r="H51" i="38"/>
  <c r="T51" i="38" s="1"/>
  <c r="U51" i="38" s="1"/>
  <c r="H52" i="38"/>
  <c r="T52" i="38" s="1"/>
  <c r="U52" i="38" s="1"/>
  <c r="H53" i="38"/>
  <c r="T53" i="38" s="1"/>
  <c r="U53" i="38" s="1"/>
  <c r="H54" i="38"/>
  <c r="T54" i="38" s="1"/>
  <c r="U54" i="38" s="1"/>
  <c r="H55" i="38"/>
  <c r="T55" i="38" s="1"/>
  <c r="U55" i="38" s="1"/>
  <c r="E56" i="38"/>
  <c r="H56" i="38"/>
  <c r="T56" i="38" s="1"/>
  <c r="U56" i="38" s="1"/>
  <c r="H57" i="38"/>
  <c r="T57" i="38" s="1"/>
  <c r="U57" i="38" s="1"/>
  <c r="H58" i="38"/>
  <c r="T58" i="38" s="1"/>
  <c r="U58" i="38" s="1"/>
  <c r="C59" i="38"/>
  <c r="D59" i="38"/>
  <c r="E58" i="38" s="1"/>
  <c r="P59" i="38"/>
  <c r="H62" i="38"/>
  <c r="T62" i="38" s="1"/>
  <c r="H65" i="38"/>
  <c r="T65" i="38" s="1"/>
  <c r="F68" i="38"/>
  <c r="R68" i="38" s="1"/>
  <c r="F70" i="38"/>
  <c r="R70" i="38" s="1"/>
  <c r="F71" i="38"/>
  <c r="R71" i="38" s="1"/>
  <c r="F72" i="38"/>
  <c r="R72" i="38" s="1"/>
  <c r="F76" i="38"/>
  <c r="R76" i="38" s="1"/>
  <c r="F77" i="38"/>
  <c r="R77" i="38" s="1"/>
  <c r="F78" i="38"/>
  <c r="R78" i="38" s="1"/>
  <c r="F79" i="38"/>
  <c r="R79" i="38" s="1"/>
  <c r="F80" i="38"/>
  <c r="R80" i="38" s="1"/>
  <c r="F82" i="38"/>
  <c r="R82" i="38" s="1"/>
  <c r="U82" i="38" s="1"/>
  <c r="F83" i="38"/>
  <c r="R83" i="38" s="1"/>
  <c r="U83" i="38" s="1"/>
  <c r="I84" i="38"/>
  <c r="F85" i="38"/>
  <c r="R85" i="38" s="1"/>
  <c r="F90" i="38"/>
  <c r="R90" i="38" s="1"/>
  <c r="F91" i="38"/>
  <c r="R91" i="38" s="1"/>
  <c r="F92" i="38"/>
  <c r="R92" i="38" s="1"/>
  <c r="G99" i="38"/>
  <c r="G100" i="38"/>
  <c r="I100" i="38" s="1"/>
  <c r="H107" i="38"/>
  <c r="R107" i="38"/>
  <c r="R108" i="38" s="1"/>
  <c r="E108" i="38"/>
  <c r="F108" i="38"/>
  <c r="H108" i="38"/>
  <c r="I130" i="38"/>
  <c r="A139" i="38"/>
  <c r="A140" i="38"/>
  <c r="A141" i="38"/>
  <c r="A142" i="38"/>
  <c r="A143" i="38"/>
  <c r="A144" i="38"/>
  <c r="A145" i="38"/>
  <c r="A146" i="38"/>
  <c r="A147" i="38"/>
  <c r="A148" i="38"/>
  <c r="A149" i="38"/>
  <c r="A150" i="38"/>
  <c r="A151" i="38"/>
  <c r="A152" i="38"/>
  <c r="A153" i="38"/>
  <c r="A154" i="38"/>
  <c r="A155" i="38"/>
  <c r="A156" i="38"/>
  <c r="A158" i="38"/>
  <c r="A159" i="38"/>
  <c r="A160" i="38"/>
  <c r="A161" i="38"/>
  <c r="A163" i="38"/>
  <c r="A164" i="38"/>
  <c r="A165" i="38"/>
  <c r="A167" i="38"/>
  <c r="A168" i="38"/>
  <c r="A169" i="38"/>
  <c r="A170" i="38"/>
  <c r="N1" i="37"/>
  <c r="A3" i="37"/>
  <c r="N3" i="37" s="1"/>
  <c r="F4" i="37"/>
  <c r="P4" i="37"/>
  <c r="A7" i="37"/>
  <c r="C8" i="37"/>
  <c r="H8" i="37"/>
  <c r="F13" i="37"/>
  <c r="F14" i="37"/>
  <c r="F15" i="37"/>
  <c r="F16" i="37"/>
  <c r="F17" i="37"/>
  <c r="F18" i="37"/>
  <c r="F19" i="37"/>
  <c r="F20" i="37"/>
  <c r="F21" i="37"/>
  <c r="F22" i="37"/>
  <c r="F23" i="37"/>
  <c r="F24" i="37"/>
  <c r="F25" i="37"/>
  <c r="F26" i="37"/>
  <c r="F27" i="37"/>
  <c r="F28" i="37"/>
  <c r="C29" i="37"/>
  <c r="D29" i="37"/>
  <c r="E21" i="37" s="1"/>
  <c r="C43" i="37"/>
  <c r="D43" i="37"/>
  <c r="H50" i="37"/>
  <c r="T50" i="37" s="1"/>
  <c r="U50" i="37" s="1"/>
  <c r="H51" i="37"/>
  <c r="T51" i="37" s="1"/>
  <c r="U51" i="37" s="1"/>
  <c r="H52" i="37"/>
  <c r="T52" i="37" s="1"/>
  <c r="U52" i="37" s="1"/>
  <c r="H53" i="37"/>
  <c r="T53" i="37" s="1"/>
  <c r="U53" i="37" s="1"/>
  <c r="H54" i="37"/>
  <c r="T54" i="37" s="1"/>
  <c r="U54" i="37" s="1"/>
  <c r="H55" i="37"/>
  <c r="T55" i="37" s="1"/>
  <c r="U55" i="37" s="1"/>
  <c r="H56" i="37"/>
  <c r="T56" i="37" s="1"/>
  <c r="U56" i="37" s="1"/>
  <c r="H57" i="37"/>
  <c r="T57" i="37" s="1"/>
  <c r="U57" i="37" s="1"/>
  <c r="H58" i="37"/>
  <c r="T58" i="37" s="1"/>
  <c r="U58" i="37" s="1"/>
  <c r="C59" i="37"/>
  <c r="D59" i="37"/>
  <c r="P59" i="37"/>
  <c r="H62" i="37"/>
  <c r="T62" i="37" s="1"/>
  <c r="H65" i="37"/>
  <c r="T65" i="37" s="1"/>
  <c r="F68" i="37"/>
  <c r="R68" i="37" s="1"/>
  <c r="F70" i="37"/>
  <c r="F71" i="37"/>
  <c r="R71" i="37" s="1"/>
  <c r="F72" i="37"/>
  <c r="F76" i="37"/>
  <c r="R76" i="37" s="1"/>
  <c r="F77" i="37"/>
  <c r="F78" i="37"/>
  <c r="R78" i="37" s="1"/>
  <c r="F79" i="37"/>
  <c r="F80" i="37"/>
  <c r="F82" i="37"/>
  <c r="R82" i="37" s="1"/>
  <c r="U82" i="37" s="1"/>
  <c r="F83" i="37"/>
  <c r="R83" i="37" s="1"/>
  <c r="U83" i="37" s="1"/>
  <c r="I84" i="37"/>
  <c r="F85" i="37"/>
  <c r="F90" i="37"/>
  <c r="R90" i="37" s="1"/>
  <c r="F91" i="37"/>
  <c r="R91" i="37" s="1"/>
  <c r="F92" i="37"/>
  <c r="R92" i="37" s="1"/>
  <c r="G99" i="37"/>
  <c r="G100" i="37"/>
  <c r="I100" i="37" s="1"/>
  <c r="H107" i="37"/>
  <c r="R107" i="37"/>
  <c r="R108" i="37" s="1"/>
  <c r="F108" i="37"/>
  <c r="H108" i="37"/>
  <c r="T108" i="37" s="1"/>
  <c r="I130" i="37"/>
  <c r="A139" i="37"/>
  <c r="A140" i="37"/>
  <c r="A141" i="37"/>
  <c r="A142" i="37"/>
  <c r="A143" i="37"/>
  <c r="A144" i="37"/>
  <c r="A145" i="37"/>
  <c r="A146" i="37"/>
  <c r="A147" i="37"/>
  <c r="A148" i="37"/>
  <c r="A149" i="37"/>
  <c r="A150" i="37"/>
  <c r="A151" i="37"/>
  <c r="A152" i="37"/>
  <c r="A153" i="37"/>
  <c r="A154" i="37"/>
  <c r="A155" i="37"/>
  <c r="A156" i="37"/>
  <c r="A158" i="37"/>
  <c r="A159" i="37"/>
  <c r="A160" i="37"/>
  <c r="A161" i="37"/>
  <c r="A163" i="37"/>
  <c r="A164" i="37"/>
  <c r="A165" i="37"/>
  <c r="A167" i="37"/>
  <c r="A168" i="37"/>
  <c r="A169" i="37"/>
  <c r="A170" i="37"/>
  <c r="N1" i="36"/>
  <c r="A3" i="36"/>
  <c r="N3" i="36" s="1"/>
  <c r="F4" i="36"/>
  <c r="P4" i="36"/>
  <c r="A7" i="36"/>
  <c r="C8" i="36"/>
  <c r="H8" i="36"/>
  <c r="F13" i="36"/>
  <c r="F14" i="36"/>
  <c r="F15" i="36"/>
  <c r="F16" i="36"/>
  <c r="F17" i="36"/>
  <c r="F18" i="36"/>
  <c r="F19" i="36"/>
  <c r="F20" i="36"/>
  <c r="F21" i="36"/>
  <c r="F22" i="36"/>
  <c r="F23" i="36"/>
  <c r="F24" i="36"/>
  <c r="F25" i="36"/>
  <c r="F26" i="36"/>
  <c r="F27" i="36"/>
  <c r="F28" i="36"/>
  <c r="C29" i="36"/>
  <c r="D29" i="36"/>
  <c r="C43" i="36"/>
  <c r="D43" i="36"/>
  <c r="H50" i="36"/>
  <c r="T50" i="36" s="1"/>
  <c r="U50" i="36" s="1"/>
  <c r="H51" i="36"/>
  <c r="T51" i="36" s="1"/>
  <c r="U51" i="36" s="1"/>
  <c r="H52" i="36"/>
  <c r="T52" i="36" s="1"/>
  <c r="U52" i="36" s="1"/>
  <c r="H53" i="36"/>
  <c r="T53" i="36" s="1"/>
  <c r="U53" i="36" s="1"/>
  <c r="H54" i="36"/>
  <c r="T54" i="36" s="1"/>
  <c r="U54" i="36" s="1"/>
  <c r="H55" i="36"/>
  <c r="T55" i="36" s="1"/>
  <c r="U55" i="36" s="1"/>
  <c r="H56" i="36"/>
  <c r="T56" i="36" s="1"/>
  <c r="U56" i="36" s="1"/>
  <c r="H57" i="36"/>
  <c r="T57" i="36" s="1"/>
  <c r="U57" i="36" s="1"/>
  <c r="H58" i="36"/>
  <c r="T58" i="36" s="1"/>
  <c r="U58" i="36" s="1"/>
  <c r="C59" i="36"/>
  <c r="D59" i="36"/>
  <c r="E50" i="36" s="1"/>
  <c r="P59" i="36"/>
  <c r="H62" i="36"/>
  <c r="T62" i="36" s="1"/>
  <c r="H65" i="36"/>
  <c r="T65" i="36"/>
  <c r="F68" i="36"/>
  <c r="R68" i="36" s="1"/>
  <c r="F70" i="36"/>
  <c r="R70" i="36" s="1"/>
  <c r="F71" i="36"/>
  <c r="R71" i="36" s="1"/>
  <c r="F72" i="36"/>
  <c r="R72" i="36" s="1"/>
  <c r="F76" i="36"/>
  <c r="R76" i="36" s="1"/>
  <c r="F77" i="36"/>
  <c r="F78" i="36"/>
  <c r="F79" i="36"/>
  <c r="R79" i="36" s="1"/>
  <c r="F80" i="36"/>
  <c r="F82" i="36"/>
  <c r="R82" i="36" s="1"/>
  <c r="U82" i="36" s="1"/>
  <c r="F83" i="36"/>
  <c r="R83" i="36" s="1"/>
  <c r="U83" i="36" s="1"/>
  <c r="I84" i="36"/>
  <c r="F85" i="36"/>
  <c r="R85" i="36" s="1"/>
  <c r="F90" i="36"/>
  <c r="R90" i="36" s="1"/>
  <c r="F91" i="36"/>
  <c r="R91" i="36" s="1"/>
  <c r="F92" i="36"/>
  <c r="R92" i="36"/>
  <c r="G99" i="36"/>
  <c r="T99" i="36" s="1"/>
  <c r="G100" i="36"/>
  <c r="H107" i="36"/>
  <c r="R107" i="36"/>
  <c r="F108" i="36"/>
  <c r="H108" i="36"/>
  <c r="R108" i="36"/>
  <c r="T108" i="36"/>
  <c r="I130" i="36"/>
  <c r="A139" i="36"/>
  <c r="A140" i="36"/>
  <c r="A141" i="36"/>
  <c r="A142" i="36"/>
  <c r="A143" i="36"/>
  <c r="A144" i="36"/>
  <c r="A145" i="36"/>
  <c r="A146" i="36"/>
  <c r="A147" i="36"/>
  <c r="A148" i="36"/>
  <c r="A149" i="36"/>
  <c r="A150" i="36"/>
  <c r="A151" i="36"/>
  <c r="A152" i="36"/>
  <c r="A153" i="36"/>
  <c r="A154" i="36"/>
  <c r="A155" i="36"/>
  <c r="A156" i="36"/>
  <c r="A158" i="36"/>
  <c r="A159" i="36"/>
  <c r="A160" i="36"/>
  <c r="A161" i="36"/>
  <c r="A163" i="36"/>
  <c r="A164" i="36"/>
  <c r="A165" i="36"/>
  <c r="A167" i="36"/>
  <c r="A168" i="36"/>
  <c r="A169" i="36"/>
  <c r="A170" i="36"/>
  <c r="N1" i="23"/>
  <c r="A3" i="23"/>
  <c r="N3" i="23" s="1"/>
  <c r="F4" i="23"/>
  <c r="P4" i="23"/>
  <c r="A7" i="23"/>
  <c r="C8" i="23"/>
  <c r="H8" i="23"/>
  <c r="E91" i="23" s="1"/>
  <c r="F13" i="23"/>
  <c r="F14" i="23"/>
  <c r="F15" i="23"/>
  <c r="F16" i="23"/>
  <c r="F17" i="23"/>
  <c r="F18" i="23"/>
  <c r="E19" i="23"/>
  <c r="F19" i="23"/>
  <c r="F20" i="23"/>
  <c r="F21" i="23"/>
  <c r="F22" i="23"/>
  <c r="F23" i="23"/>
  <c r="F24" i="23"/>
  <c r="F25" i="23"/>
  <c r="F26" i="23"/>
  <c r="F27" i="23"/>
  <c r="F28" i="23"/>
  <c r="C29" i="23"/>
  <c r="D29" i="23"/>
  <c r="E16" i="23" s="1"/>
  <c r="C43" i="23"/>
  <c r="D43" i="23"/>
  <c r="E38" i="23" s="1"/>
  <c r="H50" i="23"/>
  <c r="T50" i="23" s="1"/>
  <c r="U50" i="23" s="1"/>
  <c r="H51" i="23"/>
  <c r="T51" i="23" s="1"/>
  <c r="U51" i="23" s="1"/>
  <c r="H52" i="23"/>
  <c r="T52" i="23" s="1"/>
  <c r="U52" i="23" s="1"/>
  <c r="H53" i="23"/>
  <c r="T53" i="23" s="1"/>
  <c r="U53" i="23" s="1"/>
  <c r="H54" i="23"/>
  <c r="T54" i="23" s="1"/>
  <c r="U54" i="23" s="1"/>
  <c r="H55" i="23"/>
  <c r="T55" i="23" s="1"/>
  <c r="U55" i="23" s="1"/>
  <c r="H56" i="23"/>
  <c r="T56" i="23" s="1"/>
  <c r="U56" i="23" s="1"/>
  <c r="H57" i="23"/>
  <c r="T57" i="23" s="1"/>
  <c r="U57" i="23" s="1"/>
  <c r="H58" i="23"/>
  <c r="T58" i="23" s="1"/>
  <c r="U58" i="23" s="1"/>
  <c r="C59" i="23"/>
  <c r="D59" i="23"/>
  <c r="E56" i="23" s="1"/>
  <c r="P59" i="23"/>
  <c r="H62" i="23"/>
  <c r="T62" i="23" s="1"/>
  <c r="H65" i="23"/>
  <c r="T65" i="23" s="1"/>
  <c r="F68" i="23"/>
  <c r="R68" i="23" s="1"/>
  <c r="F70" i="23"/>
  <c r="F71" i="23"/>
  <c r="R71" i="23" s="1"/>
  <c r="F72" i="23"/>
  <c r="F76" i="23"/>
  <c r="F77" i="23"/>
  <c r="R77" i="23" s="1"/>
  <c r="F78" i="23"/>
  <c r="F79" i="23"/>
  <c r="R79" i="23" s="1"/>
  <c r="F80" i="23"/>
  <c r="F82" i="23"/>
  <c r="R82" i="23" s="1"/>
  <c r="U82" i="23" s="1"/>
  <c r="F83" i="23"/>
  <c r="R83" i="23"/>
  <c r="U83" i="23" s="1"/>
  <c r="I84" i="23"/>
  <c r="F85" i="23"/>
  <c r="F90" i="23"/>
  <c r="R90" i="23" s="1"/>
  <c r="F91" i="23"/>
  <c r="R91" i="23" s="1"/>
  <c r="E92" i="23"/>
  <c r="F92" i="23"/>
  <c r="R92" i="23" s="1"/>
  <c r="G99" i="23"/>
  <c r="T99" i="23" s="1"/>
  <c r="G100" i="23"/>
  <c r="I100" i="23" s="1"/>
  <c r="H107" i="23"/>
  <c r="T107" i="23" s="1"/>
  <c r="R107" i="23"/>
  <c r="R108" i="23" s="1"/>
  <c r="F108" i="23"/>
  <c r="H108" i="23"/>
  <c r="T108" i="23" s="1"/>
  <c r="H109" i="23"/>
  <c r="I130" i="23"/>
  <c r="A139" i="23"/>
  <c r="A140" i="23"/>
  <c r="A141" i="23"/>
  <c r="A142" i="23"/>
  <c r="A143" i="23"/>
  <c r="A144" i="23"/>
  <c r="A145" i="23"/>
  <c r="A146" i="23"/>
  <c r="A147" i="23"/>
  <c r="A148" i="23"/>
  <c r="A149" i="23"/>
  <c r="A150" i="23"/>
  <c r="A151" i="23"/>
  <c r="A152" i="23"/>
  <c r="A153" i="23"/>
  <c r="A154" i="23"/>
  <c r="A155" i="23"/>
  <c r="A156" i="23"/>
  <c r="A158" i="23"/>
  <c r="A159" i="23"/>
  <c r="A160" i="23"/>
  <c r="A161" i="23"/>
  <c r="A163" i="23"/>
  <c r="A164" i="23"/>
  <c r="A165" i="23"/>
  <c r="A167" i="23"/>
  <c r="A168" i="23"/>
  <c r="A169" i="23"/>
  <c r="A170" i="23"/>
  <c r="N1" i="35"/>
  <c r="A3" i="35"/>
  <c r="N3" i="35" s="1"/>
  <c r="F4" i="35"/>
  <c r="P4" i="35"/>
  <c r="A7" i="35"/>
  <c r="C8" i="35"/>
  <c r="H8" i="35"/>
  <c r="T8" i="35" s="1"/>
  <c r="F13" i="35"/>
  <c r="F14" i="35"/>
  <c r="F15" i="35"/>
  <c r="F16" i="35"/>
  <c r="F17" i="35"/>
  <c r="F18" i="35"/>
  <c r="F19" i="35"/>
  <c r="F20" i="35"/>
  <c r="F21" i="35"/>
  <c r="F22" i="35"/>
  <c r="E23" i="35"/>
  <c r="F23" i="35"/>
  <c r="F24" i="35"/>
  <c r="F25" i="35"/>
  <c r="F26" i="35"/>
  <c r="F27" i="35"/>
  <c r="F28" i="35"/>
  <c r="C29" i="35"/>
  <c r="D29" i="35"/>
  <c r="E18" i="35" s="1"/>
  <c r="C43" i="35"/>
  <c r="D43" i="35"/>
  <c r="E39" i="35" s="1"/>
  <c r="H50" i="35"/>
  <c r="T50" i="35" s="1"/>
  <c r="U50" i="35" s="1"/>
  <c r="H51" i="35"/>
  <c r="T51" i="35" s="1"/>
  <c r="U51" i="35" s="1"/>
  <c r="H52" i="35"/>
  <c r="T52" i="35" s="1"/>
  <c r="U52" i="35" s="1"/>
  <c r="H53" i="35"/>
  <c r="T53" i="35" s="1"/>
  <c r="U53" i="35" s="1"/>
  <c r="H54" i="35"/>
  <c r="T54" i="35" s="1"/>
  <c r="U54" i="35" s="1"/>
  <c r="H55" i="35"/>
  <c r="T55" i="35" s="1"/>
  <c r="U55" i="35" s="1"/>
  <c r="H56" i="35"/>
  <c r="T56" i="35" s="1"/>
  <c r="U56" i="35" s="1"/>
  <c r="H57" i="35"/>
  <c r="T57" i="35" s="1"/>
  <c r="U57" i="35" s="1"/>
  <c r="H58" i="35"/>
  <c r="T58" i="35" s="1"/>
  <c r="U58" i="35" s="1"/>
  <c r="C59" i="35"/>
  <c r="D59" i="35"/>
  <c r="E50" i="35" s="1"/>
  <c r="P59" i="35"/>
  <c r="H62" i="35"/>
  <c r="T62" i="35" s="1"/>
  <c r="H65" i="35"/>
  <c r="T65" i="35" s="1"/>
  <c r="F68" i="35"/>
  <c r="R68" i="35" s="1"/>
  <c r="F70" i="35"/>
  <c r="R70" i="35" s="1"/>
  <c r="F71" i="35"/>
  <c r="R71" i="35" s="1"/>
  <c r="F72" i="35"/>
  <c r="R72" i="35" s="1"/>
  <c r="F76" i="35"/>
  <c r="R76" i="35" s="1"/>
  <c r="F77" i="35"/>
  <c r="R77" i="35" s="1"/>
  <c r="F78" i="35"/>
  <c r="R78" i="35" s="1"/>
  <c r="F79" i="35"/>
  <c r="R79" i="35" s="1"/>
  <c r="F80" i="35"/>
  <c r="R80" i="35" s="1"/>
  <c r="F82" i="35"/>
  <c r="R82" i="35" s="1"/>
  <c r="U82" i="35" s="1"/>
  <c r="F83" i="35"/>
  <c r="R83" i="35" s="1"/>
  <c r="U83" i="35" s="1"/>
  <c r="I84" i="35"/>
  <c r="F85" i="35"/>
  <c r="R85" i="35" s="1"/>
  <c r="F90" i="35"/>
  <c r="R90" i="35" s="1"/>
  <c r="E91" i="35"/>
  <c r="F91" i="35"/>
  <c r="R91" i="35" s="1"/>
  <c r="F92" i="35"/>
  <c r="R92" i="35" s="1"/>
  <c r="G99" i="35"/>
  <c r="G100" i="35"/>
  <c r="T100" i="35" s="1"/>
  <c r="U100" i="35" s="1"/>
  <c r="H107" i="35"/>
  <c r="R107" i="35"/>
  <c r="F108" i="35"/>
  <c r="H108" i="35"/>
  <c r="R108" i="35"/>
  <c r="T108" i="35"/>
  <c r="E109" i="35"/>
  <c r="I130" i="35"/>
  <c r="A139" i="35"/>
  <c r="A140" i="35"/>
  <c r="A141" i="35"/>
  <c r="A142" i="35"/>
  <c r="A143" i="35"/>
  <c r="A144" i="35"/>
  <c r="A145" i="35"/>
  <c r="A146" i="35"/>
  <c r="A147" i="35"/>
  <c r="A148" i="35"/>
  <c r="A149" i="35"/>
  <c r="A150" i="35"/>
  <c r="A151" i="35"/>
  <c r="A152" i="35"/>
  <c r="A153" i="35"/>
  <c r="A154" i="35"/>
  <c r="A155" i="35"/>
  <c r="A156" i="35"/>
  <c r="A158" i="35"/>
  <c r="A159" i="35"/>
  <c r="A160" i="35"/>
  <c r="A161" i="35"/>
  <c r="A163" i="35"/>
  <c r="A164" i="35"/>
  <c r="A165" i="35"/>
  <c r="A167" i="35"/>
  <c r="A168" i="35"/>
  <c r="A169" i="35"/>
  <c r="A170" i="35"/>
  <c r="N1" i="34"/>
  <c r="A3" i="34"/>
  <c r="N3" i="34" s="1"/>
  <c r="F4" i="34"/>
  <c r="P4" i="34"/>
  <c r="A7" i="34"/>
  <c r="C8" i="34"/>
  <c r="H8" i="34"/>
  <c r="E92" i="34" s="1"/>
  <c r="F13" i="34"/>
  <c r="F14" i="34"/>
  <c r="F15" i="34"/>
  <c r="F16" i="34"/>
  <c r="F17" i="34"/>
  <c r="F18" i="34"/>
  <c r="F19" i="34"/>
  <c r="F20" i="34"/>
  <c r="F21" i="34"/>
  <c r="F22" i="34"/>
  <c r="F23" i="34"/>
  <c r="F24" i="34"/>
  <c r="F25" i="34"/>
  <c r="F26" i="34"/>
  <c r="F27" i="34"/>
  <c r="F28" i="34"/>
  <c r="C29" i="34"/>
  <c r="D29" i="34"/>
  <c r="E13" i="34" s="1"/>
  <c r="C43" i="34"/>
  <c r="D43" i="34"/>
  <c r="H50" i="34"/>
  <c r="T50" i="34" s="1"/>
  <c r="U50" i="34" s="1"/>
  <c r="H51" i="34"/>
  <c r="T51" i="34" s="1"/>
  <c r="U51" i="34" s="1"/>
  <c r="H52" i="34"/>
  <c r="T52" i="34" s="1"/>
  <c r="U52" i="34" s="1"/>
  <c r="H53" i="34"/>
  <c r="T53" i="34" s="1"/>
  <c r="U53" i="34" s="1"/>
  <c r="H54" i="34"/>
  <c r="T54" i="34" s="1"/>
  <c r="U54" i="34" s="1"/>
  <c r="H55" i="34"/>
  <c r="T55" i="34" s="1"/>
  <c r="U55" i="34" s="1"/>
  <c r="H56" i="34"/>
  <c r="T56" i="34" s="1"/>
  <c r="U56" i="34" s="1"/>
  <c r="H57" i="34"/>
  <c r="T57" i="34" s="1"/>
  <c r="U57" i="34" s="1"/>
  <c r="H58" i="34"/>
  <c r="T58" i="34" s="1"/>
  <c r="U58" i="34" s="1"/>
  <c r="C59" i="34"/>
  <c r="D59" i="34"/>
  <c r="E58" i="34" s="1"/>
  <c r="P59" i="34"/>
  <c r="H62" i="34"/>
  <c r="T62" i="34" s="1"/>
  <c r="H65" i="34"/>
  <c r="T65" i="34" s="1"/>
  <c r="F68" i="34"/>
  <c r="F70" i="34"/>
  <c r="R70" i="34" s="1"/>
  <c r="F71" i="34"/>
  <c r="F72" i="34"/>
  <c r="R72" i="34" s="1"/>
  <c r="F76" i="34"/>
  <c r="R76" i="34" s="1"/>
  <c r="F77" i="34"/>
  <c r="F78" i="34"/>
  <c r="R78" i="34" s="1"/>
  <c r="F79" i="34"/>
  <c r="F80" i="34"/>
  <c r="R80" i="34" s="1"/>
  <c r="F82" i="34"/>
  <c r="R82" i="34" s="1"/>
  <c r="U82" i="34" s="1"/>
  <c r="F83" i="34"/>
  <c r="F85" i="34"/>
  <c r="F90" i="34"/>
  <c r="R90" i="34" s="1"/>
  <c r="F91" i="34"/>
  <c r="R91" i="34" s="1"/>
  <c r="F92" i="34"/>
  <c r="R92" i="34" s="1"/>
  <c r="G99" i="34"/>
  <c r="G100" i="34"/>
  <c r="T100" i="34" s="1"/>
  <c r="U100" i="34" s="1"/>
  <c r="H107" i="34"/>
  <c r="R107" i="34"/>
  <c r="R108" i="34" s="1"/>
  <c r="F108" i="34"/>
  <c r="H108" i="34"/>
  <c r="T108" i="34"/>
  <c r="I130" i="34"/>
  <c r="A139" i="34"/>
  <c r="A140" i="34"/>
  <c r="A141" i="34"/>
  <c r="A142" i="34"/>
  <c r="A143" i="34"/>
  <c r="A144" i="34"/>
  <c r="A145" i="34"/>
  <c r="A146" i="34"/>
  <c r="A147" i="34"/>
  <c r="A148" i="34"/>
  <c r="A149" i="34"/>
  <c r="A150" i="34"/>
  <c r="A151" i="34"/>
  <c r="A152" i="34"/>
  <c r="A153" i="34"/>
  <c r="A154" i="34"/>
  <c r="A155" i="34"/>
  <c r="A156" i="34"/>
  <c r="A158" i="34"/>
  <c r="A159" i="34"/>
  <c r="A160" i="34"/>
  <c r="A161" i="34"/>
  <c r="A163" i="34"/>
  <c r="A164" i="34"/>
  <c r="A165" i="34"/>
  <c r="A167" i="34"/>
  <c r="A168" i="34"/>
  <c r="A169" i="34"/>
  <c r="A170" i="34"/>
  <c r="N1" i="33"/>
  <c r="A3" i="33"/>
  <c r="N3" i="33" s="1"/>
  <c r="F4" i="33"/>
  <c r="P4" i="33"/>
  <c r="A7" i="33"/>
  <c r="C8" i="33"/>
  <c r="H8" i="33"/>
  <c r="E90" i="33" s="1"/>
  <c r="F13" i="33"/>
  <c r="F14" i="33"/>
  <c r="E15" i="33"/>
  <c r="F15" i="33"/>
  <c r="F16" i="33"/>
  <c r="F17" i="33"/>
  <c r="F18" i="33"/>
  <c r="F19" i="33"/>
  <c r="F20" i="33"/>
  <c r="F21" i="33"/>
  <c r="F22" i="33"/>
  <c r="E23" i="33"/>
  <c r="F23" i="33"/>
  <c r="F24" i="33"/>
  <c r="F25" i="33"/>
  <c r="F26" i="33"/>
  <c r="F27" i="33"/>
  <c r="F28" i="33"/>
  <c r="C29" i="33"/>
  <c r="D29" i="33"/>
  <c r="E18" i="33" s="1"/>
  <c r="E37" i="33"/>
  <c r="E38" i="33"/>
  <c r="E39" i="33"/>
  <c r="E40" i="33"/>
  <c r="E41" i="33"/>
  <c r="E42" i="33"/>
  <c r="C43" i="33"/>
  <c r="D43" i="33"/>
  <c r="H50" i="33"/>
  <c r="T50" i="33" s="1"/>
  <c r="U50" i="33" s="1"/>
  <c r="H51" i="33"/>
  <c r="T51" i="33" s="1"/>
  <c r="U51" i="33" s="1"/>
  <c r="H52" i="33"/>
  <c r="T52" i="33" s="1"/>
  <c r="U52" i="33" s="1"/>
  <c r="H53" i="33"/>
  <c r="T53" i="33" s="1"/>
  <c r="U53" i="33" s="1"/>
  <c r="H54" i="33"/>
  <c r="T54" i="33" s="1"/>
  <c r="U54" i="33" s="1"/>
  <c r="H55" i="33"/>
  <c r="T55" i="33" s="1"/>
  <c r="U55" i="33" s="1"/>
  <c r="H56" i="33"/>
  <c r="T56" i="33" s="1"/>
  <c r="U56" i="33" s="1"/>
  <c r="H57" i="33"/>
  <c r="H58" i="33"/>
  <c r="T58" i="33" s="1"/>
  <c r="U58" i="33" s="1"/>
  <c r="C59" i="33"/>
  <c r="D59" i="33"/>
  <c r="E52" i="33" s="1"/>
  <c r="P59" i="33"/>
  <c r="H62" i="33"/>
  <c r="T62" i="33" s="1"/>
  <c r="H65" i="33"/>
  <c r="T65" i="33" s="1"/>
  <c r="F68" i="33"/>
  <c r="R68" i="33" s="1"/>
  <c r="F70" i="33"/>
  <c r="R70" i="33" s="1"/>
  <c r="F71" i="33"/>
  <c r="R71" i="33" s="1"/>
  <c r="F72" i="33"/>
  <c r="R72" i="33" s="1"/>
  <c r="F76" i="33"/>
  <c r="F77" i="33"/>
  <c r="R77" i="33" s="1"/>
  <c r="F78" i="33"/>
  <c r="F79" i="33"/>
  <c r="R79" i="33" s="1"/>
  <c r="F80" i="33"/>
  <c r="F82" i="33"/>
  <c r="R82" i="33" s="1"/>
  <c r="U82" i="33" s="1"/>
  <c r="F83" i="33"/>
  <c r="R83" i="33" s="1"/>
  <c r="U83" i="33" s="1"/>
  <c r="I84" i="33"/>
  <c r="F85" i="33"/>
  <c r="R85" i="33" s="1"/>
  <c r="F90" i="33"/>
  <c r="R90" i="33" s="1"/>
  <c r="F91" i="33"/>
  <c r="R91" i="33" s="1"/>
  <c r="F92" i="33"/>
  <c r="R92" i="33" s="1"/>
  <c r="G99" i="33"/>
  <c r="I99" i="33" s="1"/>
  <c r="G100" i="33"/>
  <c r="H107" i="33"/>
  <c r="R107" i="33"/>
  <c r="R108" i="33" s="1"/>
  <c r="E108" i="33"/>
  <c r="F108" i="33"/>
  <c r="H108" i="33"/>
  <c r="T108" i="33"/>
  <c r="I130" i="33"/>
  <c r="A139" i="33"/>
  <c r="A140" i="33"/>
  <c r="A141" i="33"/>
  <c r="A142" i="33"/>
  <c r="A143" i="33"/>
  <c r="A144" i="33"/>
  <c r="A145" i="33"/>
  <c r="A146" i="33"/>
  <c r="A147" i="33"/>
  <c r="A148" i="33"/>
  <c r="A149" i="33"/>
  <c r="A150" i="33"/>
  <c r="A151" i="33"/>
  <c r="A152" i="33"/>
  <c r="A153" i="33"/>
  <c r="A154" i="33"/>
  <c r="A155" i="33"/>
  <c r="A156" i="33"/>
  <c r="A158" i="33"/>
  <c r="A159" i="33"/>
  <c r="A160" i="33"/>
  <c r="A161" i="33"/>
  <c r="A163" i="33"/>
  <c r="A164" i="33"/>
  <c r="A165" i="33"/>
  <c r="A167" i="33"/>
  <c r="A168" i="33"/>
  <c r="A169" i="33"/>
  <c r="A170" i="33"/>
  <c r="N1" i="32"/>
  <c r="A3" i="32"/>
  <c r="N3" i="32" s="1"/>
  <c r="F4" i="32"/>
  <c r="P4" i="32"/>
  <c r="A7" i="32"/>
  <c r="C8" i="32"/>
  <c r="H8" i="32"/>
  <c r="T8" i="32" s="1"/>
  <c r="P90" i="32" s="1"/>
  <c r="F13" i="32"/>
  <c r="F14" i="32"/>
  <c r="F15" i="32"/>
  <c r="F16" i="32"/>
  <c r="F17" i="32"/>
  <c r="F18" i="32"/>
  <c r="F19" i="32"/>
  <c r="F20" i="32"/>
  <c r="F21" i="32"/>
  <c r="F22" i="32"/>
  <c r="F23" i="32"/>
  <c r="F24" i="32"/>
  <c r="F25" i="32"/>
  <c r="F26" i="32"/>
  <c r="F27" i="32"/>
  <c r="F28" i="32"/>
  <c r="C29" i="32"/>
  <c r="D29" i="32"/>
  <c r="E25" i="32" s="1"/>
  <c r="C43" i="32"/>
  <c r="D43" i="32"/>
  <c r="T50" i="32"/>
  <c r="U50" i="32" s="1"/>
  <c r="T51" i="32"/>
  <c r="U51" i="32" s="1"/>
  <c r="T52" i="32"/>
  <c r="U52" i="32" s="1"/>
  <c r="T53" i="32"/>
  <c r="U53" i="32" s="1"/>
  <c r="T54" i="32"/>
  <c r="U54" i="32" s="1"/>
  <c r="T55" i="32"/>
  <c r="U55" i="32" s="1"/>
  <c r="T56" i="32"/>
  <c r="U56" i="32" s="1"/>
  <c r="T58" i="32"/>
  <c r="U58" i="32" s="1"/>
  <c r="P59" i="32"/>
  <c r="T62" i="32"/>
  <c r="T65" i="32"/>
  <c r="F68" i="32"/>
  <c r="R68" i="32" s="1"/>
  <c r="F70" i="32"/>
  <c r="R70" i="32" s="1"/>
  <c r="F71" i="32"/>
  <c r="R71" i="32" s="1"/>
  <c r="F72" i="32"/>
  <c r="R72" i="32" s="1"/>
  <c r="F76" i="32"/>
  <c r="F77" i="32"/>
  <c r="R77" i="32" s="1"/>
  <c r="F78" i="32"/>
  <c r="F79" i="32"/>
  <c r="R79" i="32" s="1"/>
  <c r="F80" i="32"/>
  <c r="F82" i="32"/>
  <c r="R82" i="32" s="1"/>
  <c r="U82" i="32" s="1"/>
  <c r="F83" i="32"/>
  <c r="R83" i="32" s="1"/>
  <c r="U83" i="32" s="1"/>
  <c r="I84" i="32"/>
  <c r="F85" i="32"/>
  <c r="R85" i="32" s="1"/>
  <c r="E90" i="32"/>
  <c r="F90" i="32"/>
  <c r="R90" i="32" s="1"/>
  <c r="E91" i="32"/>
  <c r="F91" i="32"/>
  <c r="R91" i="32" s="1"/>
  <c r="P91" i="32"/>
  <c r="E92" i="32"/>
  <c r="F92" i="32"/>
  <c r="R92" i="32" s="1"/>
  <c r="P92" i="32"/>
  <c r="G99" i="32"/>
  <c r="I99" i="32" s="1"/>
  <c r="G100" i="32"/>
  <c r="I100" i="32" s="1"/>
  <c r="H107" i="32"/>
  <c r="R107" i="32"/>
  <c r="R108" i="32" s="1"/>
  <c r="T107" i="32"/>
  <c r="F108" i="32"/>
  <c r="H108" i="32"/>
  <c r="T108" i="32" s="1"/>
  <c r="H109" i="32"/>
  <c r="T109" i="32"/>
  <c r="I130" i="32"/>
  <c r="A139" i="32"/>
  <c r="A140" i="32"/>
  <c r="A141" i="32"/>
  <c r="A142" i="32"/>
  <c r="A143" i="32"/>
  <c r="A144" i="32"/>
  <c r="A145" i="32"/>
  <c r="A146" i="32"/>
  <c r="A147" i="32"/>
  <c r="A148" i="32"/>
  <c r="A149" i="32"/>
  <c r="A150" i="32"/>
  <c r="A151" i="32"/>
  <c r="A152" i="32"/>
  <c r="A153" i="32"/>
  <c r="A154" i="32"/>
  <c r="A155" i="32"/>
  <c r="A156" i="32"/>
  <c r="A158" i="32"/>
  <c r="A159" i="32"/>
  <c r="A160" i="32"/>
  <c r="A161" i="32"/>
  <c r="A163" i="32"/>
  <c r="A164" i="32"/>
  <c r="A165" i="32"/>
  <c r="A167" i="32"/>
  <c r="A168" i="32"/>
  <c r="A169" i="32"/>
  <c r="A170" i="32"/>
  <c r="N1" i="31"/>
  <c r="A3" i="31"/>
  <c r="N3" i="31" s="1"/>
  <c r="F4" i="31"/>
  <c r="P4" i="31"/>
  <c r="A7" i="31"/>
  <c r="C8" i="31"/>
  <c r="H8" i="31"/>
  <c r="T8" i="31" s="1"/>
  <c r="F13" i="31"/>
  <c r="F14" i="31"/>
  <c r="F15" i="31"/>
  <c r="F16" i="31"/>
  <c r="F17" i="31"/>
  <c r="F18" i="31"/>
  <c r="F19" i="31"/>
  <c r="F20" i="31"/>
  <c r="F21" i="31"/>
  <c r="F22" i="31"/>
  <c r="F23" i="31"/>
  <c r="F24" i="31"/>
  <c r="F25" i="31"/>
  <c r="F26" i="31"/>
  <c r="F27" i="31"/>
  <c r="F28" i="31"/>
  <c r="C29" i="31"/>
  <c r="D29" i="31"/>
  <c r="E24" i="31" s="1"/>
  <c r="E41" i="31"/>
  <c r="C43" i="31"/>
  <c r="D43" i="31"/>
  <c r="H50" i="31"/>
  <c r="T50" i="31" s="1"/>
  <c r="U50" i="31" s="1"/>
  <c r="H51" i="31"/>
  <c r="T51" i="31" s="1"/>
  <c r="U51" i="31" s="1"/>
  <c r="H52" i="31"/>
  <c r="T52" i="31" s="1"/>
  <c r="U52" i="31" s="1"/>
  <c r="H53" i="31"/>
  <c r="T53" i="31" s="1"/>
  <c r="U53" i="31" s="1"/>
  <c r="H54" i="31"/>
  <c r="T54" i="31" s="1"/>
  <c r="U54" i="31" s="1"/>
  <c r="H55" i="31"/>
  <c r="T55" i="31" s="1"/>
  <c r="U55" i="31" s="1"/>
  <c r="H56" i="31"/>
  <c r="T56" i="31" s="1"/>
  <c r="U56" i="31" s="1"/>
  <c r="H57" i="31"/>
  <c r="H58" i="31"/>
  <c r="C59" i="31"/>
  <c r="D59" i="31"/>
  <c r="P59" i="31"/>
  <c r="H62" i="31"/>
  <c r="T62" i="31" s="1"/>
  <c r="H65" i="31"/>
  <c r="T65" i="31" s="1"/>
  <c r="F68" i="31"/>
  <c r="R68" i="31" s="1"/>
  <c r="F70" i="31"/>
  <c r="R70" i="31" s="1"/>
  <c r="F71" i="31"/>
  <c r="R71" i="31" s="1"/>
  <c r="F72" i="31"/>
  <c r="R72" i="31" s="1"/>
  <c r="F76" i="31"/>
  <c r="R76" i="31" s="1"/>
  <c r="F77" i="31"/>
  <c r="R77" i="31" s="1"/>
  <c r="F78" i="31"/>
  <c r="R78" i="31" s="1"/>
  <c r="F79" i="31"/>
  <c r="R79" i="31" s="1"/>
  <c r="F80" i="31"/>
  <c r="R80" i="31" s="1"/>
  <c r="F82" i="31"/>
  <c r="R82" i="31" s="1"/>
  <c r="U82" i="31" s="1"/>
  <c r="F83" i="31"/>
  <c r="R83" i="31" s="1"/>
  <c r="U83" i="31" s="1"/>
  <c r="F85" i="31"/>
  <c r="R85" i="31" s="1"/>
  <c r="F90" i="31"/>
  <c r="R90" i="31" s="1"/>
  <c r="F91" i="31"/>
  <c r="R91" i="31" s="1"/>
  <c r="F92" i="31"/>
  <c r="R92" i="31" s="1"/>
  <c r="G99" i="31"/>
  <c r="T99" i="31" s="1"/>
  <c r="G100" i="31"/>
  <c r="I100" i="31" s="1"/>
  <c r="H107" i="31"/>
  <c r="R107" i="31"/>
  <c r="R108" i="31" s="1"/>
  <c r="F108" i="31"/>
  <c r="H108" i="31"/>
  <c r="T108" i="31"/>
  <c r="I130" i="31"/>
  <c r="A139" i="31"/>
  <c r="A140" i="31"/>
  <c r="A141" i="31"/>
  <c r="A142" i="31"/>
  <c r="A143" i="31"/>
  <c r="A144" i="31"/>
  <c r="A145" i="31"/>
  <c r="A146" i="31"/>
  <c r="A147" i="31"/>
  <c r="A148" i="31"/>
  <c r="A149" i="31"/>
  <c r="A150" i="31"/>
  <c r="A151" i="31"/>
  <c r="A152" i="31"/>
  <c r="A153" i="31"/>
  <c r="A154" i="31"/>
  <c r="A155" i="31"/>
  <c r="A156" i="31"/>
  <c r="A158" i="31"/>
  <c r="A159" i="31"/>
  <c r="A160" i="31"/>
  <c r="A161" i="31"/>
  <c r="A163" i="31"/>
  <c r="A164" i="31"/>
  <c r="A165" i="31"/>
  <c r="A167" i="31"/>
  <c r="A168" i="31"/>
  <c r="A169" i="31"/>
  <c r="A170" i="31"/>
  <c r="N1" i="28"/>
  <c r="A3" i="28"/>
  <c r="N3" i="28" s="1"/>
  <c r="F4" i="28"/>
  <c r="P4" i="28"/>
  <c r="A7" i="28"/>
  <c r="C8" i="28"/>
  <c r="H8" i="28"/>
  <c r="F13" i="28"/>
  <c r="F14" i="28"/>
  <c r="F15" i="28"/>
  <c r="F16" i="28"/>
  <c r="F17" i="28"/>
  <c r="F18" i="28"/>
  <c r="F19" i="28"/>
  <c r="F20" i="28"/>
  <c r="F21" i="28"/>
  <c r="F22" i="28"/>
  <c r="F23" i="28"/>
  <c r="F24" i="28"/>
  <c r="F25" i="28"/>
  <c r="F26" i="28"/>
  <c r="F27" i="28"/>
  <c r="F28" i="28"/>
  <c r="C29" i="28"/>
  <c r="D29" i="28"/>
  <c r="E24" i="28" s="1"/>
  <c r="E38" i="28"/>
  <c r="C43" i="28"/>
  <c r="D43" i="28"/>
  <c r="E37" i="28" s="1"/>
  <c r="H50" i="28"/>
  <c r="T50" i="28" s="1"/>
  <c r="U50" i="28" s="1"/>
  <c r="H51" i="28"/>
  <c r="T51" i="28" s="1"/>
  <c r="U51" i="28" s="1"/>
  <c r="H52" i="28"/>
  <c r="T52" i="28" s="1"/>
  <c r="U52" i="28" s="1"/>
  <c r="H53" i="28"/>
  <c r="T53" i="28" s="1"/>
  <c r="U53" i="28" s="1"/>
  <c r="H54" i="28"/>
  <c r="T54" i="28" s="1"/>
  <c r="U54" i="28" s="1"/>
  <c r="H55" i="28"/>
  <c r="T55" i="28" s="1"/>
  <c r="U55" i="28" s="1"/>
  <c r="H56" i="28"/>
  <c r="T56" i="28" s="1"/>
  <c r="U56" i="28" s="1"/>
  <c r="H57" i="28"/>
  <c r="T57" i="28" s="1"/>
  <c r="U57" i="28" s="1"/>
  <c r="H58" i="28"/>
  <c r="T58" i="28" s="1"/>
  <c r="U58" i="28" s="1"/>
  <c r="C59" i="28"/>
  <c r="D59" i="28"/>
  <c r="E52" i="28" s="1"/>
  <c r="P59" i="28"/>
  <c r="H62" i="28"/>
  <c r="T62" i="28" s="1"/>
  <c r="H65" i="28"/>
  <c r="T65" i="28" s="1"/>
  <c r="F68" i="28"/>
  <c r="R68" i="28" s="1"/>
  <c r="F70" i="28"/>
  <c r="F71" i="28"/>
  <c r="R71" i="28" s="1"/>
  <c r="F72" i="28"/>
  <c r="F76" i="28"/>
  <c r="R76" i="28" s="1"/>
  <c r="F77" i="28"/>
  <c r="R77" i="28" s="1"/>
  <c r="F78" i="28"/>
  <c r="R78" i="28" s="1"/>
  <c r="F79" i="28"/>
  <c r="R79" i="28" s="1"/>
  <c r="F80" i="28"/>
  <c r="R80" i="28" s="1"/>
  <c r="F82" i="28"/>
  <c r="R82" i="28" s="1"/>
  <c r="U82" i="28" s="1"/>
  <c r="F83" i="28"/>
  <c r="R83" i="28" s="1"/>
  <c r="U83" i="28" s="1"/>
  <c r="I84" i="28"/>
  <c r="F85" i="28"/>
  <c r="F90" i="28"/>
  <c r="R90" i="28" s="1"/>
  <c r="F91" i="28"/>
  <c r="R91" i="28" s="1"/>
  <c r="F92" i="28"/>
  <c r="R92" i="28" s="1"/>
  <c r="G99" i="28"/>
  <c r="T99" i="28" s="1"/>
  <c r="G100" i="28"/>
  <c r="I100" i="28" s="1"/>
  <c r="H107" i="28"/>
  <c r="H109" i="28" s="1"/>
  <c r="R107" i="28"/>
  <c r="R108" i="28" s="1"/>
  <c r="F108" i="28"/>
  <c r="H108" i="28"/>
  <c r="T108" i="28" s="1"/>
  <c r="I130" i="28"/>
  <c r="A139" i="28"/>
  <c r="A140" i="28"/>
  <c r="A141" i="28"/>
  <c r="A142" i="28"/>
  <c r="A143" i="28"/>
  <c r="A144" i="28"/>
  <c r="A145" i="28"/>
  <c r="A146" i="28"/>
  <c r="A147" i="28"/>
  <c r="A148" i="28"/>
  <c r="A149" i="28"/>
  <c r="A150" i="28"/>
  <c r="A151" i="28"/>
  <c r="A152" i="28"/>
  <c r="A153" i="28"/>
  <c r="A154" i="28"/>
  <c r="A155" i="28"/>
  <c r="A156" i="28"/>
  <c r="A158" i="28"/>
  <c r="A159" i="28"/>
  <c r="A160" i="28"/>
  <c r="A161" i="28"/>
  <c r="A163" i="28"/>
  <c r="A164" i="28"/>
  <c r="A165" i="28"/>
  <c r="A167" i="28"/>
  <c r="A168" i="28"/>
  <c r="A169" i="28"/>
  <c r="A170" i="28"/>
  <c r="N1" i="27"/>
  <c r="A3" i="27"/>
  <c r="N3" i="27" s="1"/>
  <c r="F4" i="27"/>
  <c r="P4" i="27"/>
  <c r="A7" i="27"/>
  <c r="C8" i="27"/>
  <c r="H8" i="27"/>
  <c r="F13" i="27"/>
  <c r="F14" i="27"/>
  <c r="F15" i="27"/>
  <c r="E16" i="27"/>
  <c r="F16" i="27"/>
  <c r="F17" i="27"/>
  <c r="F18" i="27"/>
  <c r="F19" i="27"/>
  <c r="F20" i="27"/>
  <c r="F21" i="27"/>
  <c r="E22" i="27"/>
  <c r="F22" i="27"/>
  <c r="E23" i="27"/>
  <c r="F23" i="27"/>
  <c r="F24" i="27"/>
  <c r="F25" i="27"/>
  <c r="F26" i="27"/>
  <c r="F27" i="27"/>
  <c r="F28" i="27"/>
  <c r="C29" i="27"/>
  <c r="D29" i="27"/>
  <c r="E15" i="27" s="1"/>
  <c r="C43" i="27"/>
  <c r="D43" i="27"/>
  <c r="H50" i="27"/>
  <c r="T50" i="27" s="1"/>
  <c r="U50" i="27" s="1"/>
  <c r="H51" i="27"/>
  <c r="T51" i="27" s="1"/>
  <c r="U51" i="27" s="1"/>
  <c r="H52" i="27"/>
  <c r="T52" i="27" s="1"/>
  <c r="U52" i="27" s="1"/>
  <c r="H53" i="27"/>
  <c r="T53" i="27" s="1"/>
  <c r="U53" i="27" s="1"/>
  <c r="H54" i="27"/>
  <c r="T54" i="27" s="1"/>
  <c r="U54" i="27" s="1"/>
  <c r="E55" i="27"/>
  <c r="H55" i="27"/>
  <c r="T55" i="27" s="1"/>
  <c r="U55" i="27" s="1"/>
  <c r="H56" i="27"/>
  <c r="T56" i="27" s="1"/>
  <c r="U56" i="27" s="1"/>
  <c r="H57" i="27"/>
  <c r="T57" i="27" s="1"/>
  <c r="U57" i="27" s="1"/>
  <c r="H58" i="27"/>
  <c r="T58" i="27" s="1"/>
  <c r="U58" i="27" s="1"/>
  <c r="C59" i="27"/>
  <c r="D59" i="27"/>
  <c r="E52" i="27" s="1"/>
  <c r="P59" i="27"/>
  <c r="H62" i="27"/>
  <c r="T62" i="27" s="1"/>
  <c r="H65" i="27"/>
  <c r="T65" i="27" s="1"/>
  <c r="F68" i="27"/>
  <c r="R68" i="27" s="1"/>
  <c r="F70" i="27"/>
  <c r="R70" i="27" s="1"/>
  <c r="F71" i="27"/>
  <c r="R71" i="27" s="1"/>
  <c r="F72" i="27"/>
  <c r="R72" i="27" s="1"/>
  <c r="F76" i="27"/>
  <c r="F77" i="27"/>
  <c r="R77" i="27" s="1"/>
  <c r="F78" i="27"/>
  <c r="F79" i="27"/>
  <c r="R79" i="27" s="1"/>
  <c r="F80" i="27"/>
  <c r="F82" i="27"/>
  <c r="R82" i="27" s="1"/>
  <c r="U82" i="27" s="1"/>
  <c r="F83" i="27"/>
  <c r="R83" i="27" s="1"/>
  <c r="U83" i="27" s="1"/>
  <c r="I84" i="27"/>
  <c r="F85" i="27"/>
  <c r="R85" i="27" s="1"/>
  <c r="F90" i="27"/>
  <c r="R90" i="27" s="1"/>
  <c r="F91" i="27"/>
  <c r="R91" i="27" s="1"/>
  <c r="F92" i="27"/>
  <c r="R92" i="27" s="1"/>
  <c r="G99" i="27"/>
  <c r="I99" i="27" s="1"/>
  <c r="G100" i="27"/>
  <c r="I100" i="27" s="1"/>
  <c r="H107" i="27"/>
  <c r="H109" i="27" s="1"/>
  <c r="T109" i="27" s="1"/>
  <c r="R107" i="27"/>
  <c r="R108" i="27" s="1"/>
  <c r="T107" i="27"/>
  <c r="F108" i="27"/>
  <c r="H108" i="27"/>
  <c r="T108" i="27" s="1"/>
  <c r="I130" i="27"/>
  <c r="A139" i="27"/>
  <c r="A140" i="27"/>
  <c r="A141" i="27"/>
  <c r="A142" i="27"/>
  <c r="A143" i="27"/>
  <c r="A144" i="27"/>
  <c r="A145" i="27"/>
  <c r="A146" i="27"/>
  <c r="A147" i="27"/>
  <c r="A148" i="27"/>
  <c r="A149" i="27"/>
  <c r="A150" i="27"/>
  <c r="A151" i="27"/>
  <c r="A152" i="27"/>
  <c r="A153" i="27"/>
  <c r="A154" i="27"/>
  <c r="A155" i="27"/>
  <c r="A156" i="27"/>
  <c r="A158" i="27"/>
  <c r="A159" i="27"/>
  <c r="A160" i="27"/>
  <c r="A161" i="27"/>
  <c r="A163" i="27"/>
  <c r="A164" i="27"/>
  <c r="A165" i="27"/>
  <c r="A167" i="27"/>
  <c r="A168" i="27"/>
  <c r="A169" i="27"/>
  <c r="A170" i="27"/>
  <c r="N1" i="26"/>
  <c r="A3" i="26"/>
  <c r="N3" i="26" s="1"/>
  <c r="F4" i="26"/>
  <c r="P4" i="26"/>
  <c r="A7" i="26"/>
  <c r="C8" i="26"/>
  <c r="H8" i="26"/>
  <c r="T8" i="26" s="1"/>
  <c r="F13" i="26"/>
  <c r="F14" i="26"/>
  <c r="F15" i="26"/>
  <c r="F16" i="26"/>
  <c r="F17" i="26"/>
  <c r="F18" i="26"/>
  <c r="F19" i="26"/>
  <c r="F20" i="26"/>
  <c r="F21" i="26"/>
  <c r="F22" i="26"/>
  <c r="F23" i="26"/>
  <c r="F24" i="26"/>
  <c r="F25" i="26"/>
  <c r="F26" i="26"/>
  <c r="F27" i="26"/>
  <c r="F28" i="26"/>
  <c r="C29" i="26"/>
  <c r="D29" i="26"/>
  <c r="E17" i="26" s="1"/>
  <c r="E37" i="26"/>
  <c r="E38" i="26"/>
  <c r="C43" i="26"/>
  <c r="D43" i="26"/>
  <c r="E39" i="26" s="1"/>
  <c r="H50" i="26"/>
  <c r="T50" i="26" s="1"/>
  <c r="U50" i="26" s="1"/>
  <c r="H51" i="26"/>
  <c r="T51" i="26" s="1"/>
  <c r="U51" i="26" s="1"/>
  <c r="H52" i="26"/>
  <c r="T52" i="26" s="1"/>
  <c r="U52" i="26" s="1"/>
  <c r="H53" i="26"/>
  <c r="T53" i="26" s="1"/>
  <c r="U53" i="26" s="1"/>
  <c r="H54" i="26"/>
  <c r="T54" i="26" s="1"/>
  <c r="U54" i="26" s="1"/>
  <c r="H55" i="26"/>
  <c r="T55" i="26" s="1"/>
  <c r="U55" i="26" s="1"/>
  <c r="H56" i="26"/>
  <c r="T56" i="26" s="1"/>
  <c r="U56" i="26" s="1"/>
  <c r="H57" i="26"/>
  <c r="H58" i="26"/>
  <c r="T58" i="26" s="1"/>
  <c r="U58" i="26" s="1"/>
  <c r="C59" i="26"/>
  <c r="D59" i="26"/>
  <c r="E51" i="26" s="1"/>
  <c r="P59" i="26"/>
  <c r="H62" i="26"/>
  <c r="T62" i="26" s="1"/>
  <c r="H65" i="26"/>
  <c r="T65" i="26" s="1"/>
  <c r="F68" i="26"/>
  <c r="R68" i="26" s="1"/>
  <c r="F70" i="26"/>
  <c r="R70" i="26" s="1"/>
  <c r="F71" i="26"/>
  <c r="R71" i="26" s="1"/>
  <c r="F72" i="26"/>
  <c r="R72" i="26" s="1"/>
  <c r="F76" i="26"/>
  <c r="R76" i="26" s="1"/>
  <c r="F77" i="26"/>
  <c r="R77" i="26" s="1"/>
  <c r="F78" i="26"/>
  <c r="R78" i="26" s="1"/>
  <c r="F79" i="26"/>
  <c r="R79" i="26" s="1"/>
  <c r="F80" i="26"/>
  <c r="R80" i="26" s="1"/>
  <c r="F82" i="26"/>
  <c r="R82" i="26" s="1"/>
  <c r="U82" i="26" s="1"/>
  <c r="F83" i="26"/>
  <c r="R83" i="26" s="1"/>
  <c r="U83" i="26" s="1"/>
  <c r="I84" i="26"/>
  <c r="F85" i="26"/>
  <c r="R85" i="26" s="1"/>
  <c r="F90" i="26"/>
  <c r="R90" i="26" s="1"/>
  <c r="F91" i="26"/>
  <c r="R91" i="26" s="1"/>
  <c r="F92" i="26"/>
  <c r="R92" i="26" s="1"/>
  <c r="G99" i="26"/>
  <c r="I99" i="26" s="1"/>
  <c r="G100" i="26"/>
  <c r="I100" i="26" s="1"/>
  <c r="H107" i="26"/>
  <c r="R107" i="26"/>
  <c r="R108" i="26" s="1"/>
  <c r="F108" i="26"/>
  <c r="H108" i="26"/>
  <c r="T108" i="26" s="1"/>
  <c r="I130" i="26"/>
  <c r="A139" i="26"/>
  <c r="A140" i="26"/>
  <c r="A141" i="26"/>
  <c r="A142" i="26"/>
  <c r="A143" i="26"/>
  <c r="A144" i="26"/>
  <c r="A145" i="26"/>
  <c r="A146" i="26"/>
  <c r="A147" i="26"/>
  <c r="A148" i="26"/>
  <c r="A149" i="26"/>
  <c r="A150" i="26"/>
  <c r="A151" i="26"/>
  <c r="A152" i="26"/>
  <c r="A153" i="26"/>
  <c r="A154" i="26"/>
  <c r="A155" i="26"/>
  <c r="A156" i="26"/>
  <c r="A158" i="26"/>
  <c r="A159" i="26"/>
  <c r="A160" i="26"/>
  <c r="A161" i="26"/>
  <c r="A163" i="26"/>
  <c r="A164" i="26"/>
  <c r="A165" i="26"/>
  <c r="A167" i="26"/>
  <c r="A168" i="26"/>
  <c r="A169" i="26"/>
  <c r="A170" i="26"/>
  <c r="N1" i="22"/>
  <c r="A3" i="22"/>
  <c r="N3" i="22" s="1"/>
  <c r="F4" i="22"/>
  <c r="P4" i="22"/>
  <c r="A7" i="22"/>
  <c r="C8" i="22"/>
  <c r="H8" i="22"/>
  <c r="E90" i="22" s="1"/>
  <c r="F13" i="22"/>
  <c r="F14" i="22"/>
  <c r="F15" i="22"/>
  <c r="F16" i="22"/>
  <c r="F17" i="22"/>
  <c r="F18" i="22"/>
  <c r="F19" i="22"/>
  <c r="F20" i="22"/>
  <c r="F21" i="22"/>
  <c r="F22" i="22"/>
  <c r="F23" i="22"/>
  <c r="F24" i="22"/>
  <c r="F25" i="22"/>
  <c r="F26" i="22"/>
  <c r="F27" i="22"/>
  <c r="F28" i="22"/>
  <c r="C29" i="22"/>
  <c r="D29" i="22"/>
  <c r="E37" i="22"/>
  <c r="E38" i="22"/>
  <c r="E39" i="22"/>
  <c r="E40" i="22"/>
  <c r="E41" i="22"/>
  <c r="I41" i="22" s="1"/>
  <c r="C43" i="22"/>
  <c r="D43" i="22"/>
  <c r="E42" i="22" s="1"/>
  <c r="H50" i="22"/>
  <c r="T50" i="22" s="1"/>
  <c r="U50" i="22" s="1"/>
  <c r="E51" i="22"/>
  <c r="H51" i="22"/>
  <c r="T51" i="22" s="1"/>
  <c r="U51" i="22" s="1"/>
  <c r="H52" i="22"/>
  <c r="T52" i="22" s="1"/>
  <c r="U52" i="22" s="1"/>
  <c r="H53" i="22"/>
  <c r="T53" i="22" s="1"/>
  <c r="U53" i="22" s="1"/>
  <c r="H54" i="22"/>
  <c r="T54" i="22" s="1"/>
  <c r="U54" i="22" s="1"/>
  <c r="H55" i="22"/>
  <c r="T55" i="22" s="1"/>
  <c r="U55" i="22" s="1"/>
  <c r="H56" i="22"/>
  <c r="T56" i="22" s="1"/>
  <c r="U56" i="22" s="1"/>
  <c r="H57" i="22"/>
  <c r="T57" i="22" s="1"/>
  <c r="U57" i="22" s="1"/>
  <c r="H58" i="22"/>
  <c r="T58" i="22" s="1"/>
  <c r="U58" i="22" s="1"/>
  <c r="C59" i="22"/>
  <c r="D59" i="22"/>
  <c r="E58" i="22" s="1"/>
  <c r="P59" i="22"/>
  <c r="H62" i="22"/>
  <c r="T62" i="22" s="1"/>
  <c r="H65" i="22"/>
  <c r="T65" i="22" s="1"/>
  <c r="F68" i="22"/>
  <c r="R68" i="22" s="1"/>
  <c r="F70" i="22"/>
  <c r="F71" i="22"/>
  <c r="R71" i="22" s="1"/>
  <c r="F72" i="22"/>
  <c r="F76" i="22"/>
  <c r="R76" i="22" s="1"/>
  <c r="F77" i="22"/>
  <c r="R77" i="22" s="1"/>
  <c r="F78" i="22"/>
  <c r="R78" i="22" s="1"/>
  <c r="F79" i="22"/>
  <c r="R79" i="22" s="1"/>
  <c r="F80" i="22"/>
  <c r="R80" i="22" s="1"/>
  <c r="F82" i="22"/>
  <c r="R82" i="22" s="1"/>
  <c r="U82" i="22" s="1"/>
  <c r="F83" i="22"/>
  <c r="R83" i="22" s="1"/>
  <c r="U83" i="22" s="1"/>
  <c r="I84" i="22"/>
  <c r="F85" i="22"/>
  <c r="F90" i="22"/>
  <c r="R90" i="22" s="1"/>
  <c r="F91" i="22"/>
  <c r="R91" i="22" s="1"/>
  <c r="F92" i="22"/>
  <c r="R92" i="22" s="1"/>
  <c r="G99" i="22"/>
  <c r="G100" i="22"/>
  <c r="I100" i="22" s="1"/>
  <c r="H107" i="22"/>
  <c r="T107" i="22" s="1"/>
  <c r="R107" i="22"/>
  <c r="R108" i="22" s="1"/>
  <c r="F108" i="22"/>
  <c r="H108" i="22"/>
  <c r="T108" i="22"/>
  <c r="I130" i="22"/>
  <c r="A139" i="22"/>
  <c r="A140" i="22"/>
  <c r="A141" i="22"/>
  <c r="A142" i="22"/>
  <c r="A143" i="22"/>
  <c r="A144" i="22"/>
  <c r="A145" i="22"/>
  <c r="A146" i="22"/>
  <c r="A147" i="22"/>
  <c r="A148" i="22"/>
  <c r="A149" i="22"/>
  <c r="A150" i="22"/>
  <c r="A151" i="22"/>
  <c r="A152" i="22"/>
  <c r="A153" i="22"/>
  <c r="A154" i="22"/>
  <c r="A155" i="22"/>
  <c r="A156" i="22"/>
  <c r="A158" i="22"/>
  <c r="A159" i="22"/>
  <c r="A160" i="22"/>
  <c r="A161" i="22"/>
  <c r="A163" i="22"/>
  <c r="A164" i="22"/>
  <c r="A165" i="22"/>
  <c r="A167" i="22"/>
  <c r="A168" i="22"/>
  <c r="A169" i="22"/>
  <c r="A170" i="22"/>
  <c r="N1" i="24"/>
  <c r="A3" i="24"/>
  <c r="N3" i="24" s="1"/>
  <c r="F4" i="24"/>
  <c r="P4" i="24"/>
  <c r="A7" i="24"/>
  <c r="C8" i="24"/>
  <c r="H8" i="24"/>
  <c r="E91" i="24" s="1"/>
  <c r="F13" i="24"/>
  <c r="F14" i="24"/>
  <c r="F15" i="24"/>
  <c r="F16" i="24"/>
  <c r="F17" i="24"/>
  <c r="F18" i="24"/>
  <c r="F19" i="24"/>
  <c r="F20" i="24"/>
  <c r="F21" i="24"/>
  <c r="F22" i="24"/>
  <c r="F23" i="24"/>
  <c r="F24" i="24"/>
  <c r="F25" i="24"/>
  <c r="F26" i="24"/>
  <c r="F27" i="24"/>
  <c r="F28" i="24"/>
  <c r="C29" i="24"/>
  <c r="D29" i="24"/>
  <c r="E24" i="24" s="1"/>
  <c r="E37" i="24"/>
  <c r="E39" i="24"/>
  <c r="E40" i="24"/>
  <c r="E41" i="24"/>
  <c r="E42" i="24"/>
  <c r="C43" i="24"/>
  <c r="D43" i="24"/>
  <c r="E38" i="24" s="1"/>
  <c r="H50" i="24"/>
  <c r="T50" i="24" s="1"/>
  <c r="U50" i="24" s="1"/>
  <c r="H51" i="24"/>
  <c r="T51" i="24" s="1"/>
  <c r="U51" i="24" s="1"/>
  <c r="H52" i="24"/>
  <c r="T52" i="24" s="1"/>
  <c r="U52" i="24" s="1"/>
  <c r="H53" i="24"/>
  <c r="T53" i="24" s="1"/>
  <c r="U53" i="24" s="1"/>
  <c r="H54" i="24"/>
  <c r="T54" i="24" s="1"/>
  <c r="U54" i="24" s="1"/>
  <c r="H55" i="24"/>
  <c r="T55" i="24" s="1"/>
  <c r="U55" i="24" s="1"/>
  <c r="H56" i="24"/>
  <c r="T56" i="24" s="1"/>
  <c r="U56" i="24" s="1"/>
  <c r="H57" i="24"/>
  <c r="T57" i="24" s="1"/>
  <c r="U57" i="24" s="1"/>
  <c r="H58" i="24"/>
  <c r="T58" i="24" s="1"/>
  <c r="U58" i="24" s="1"/>
  <c r="C59" i="24"/>
  <c r="D59" i="24"/>
  <c r="P59" i="24"/>
  <c r="H62" i="24"/>
  <c r="T62" i="24" s="1"/>
  <c r="H65" i="24"/>
  <c r="T65" i="24" s="1"/>
  <c r="F68" i="24"/>
  <c r="R68" i="24" s="1"/>
  <c r="F70" i="24"/>
  <c r="R70" i="24" s="1"/>
  <c r="F71" i="24"/>
  <c r="R71" i="24" s="1"/>
  <c r="F72" i="24"/>
  <c r="R72" i="24" s="1"/>
  <c r="F76" i="24"/>
  <c r="R76" i="24" s="1"/>
  <c r="F77" i="24"/>
  <c r="R77" i="24" s="1"/>
  <c r="F78" i="24"/>
  <c r="R78" i="24" s="1"/>
  <c r="F79" i="24"/>
  <c r="R79" i="24" s="1"/>
  <c r="F80" i="24"/>
  <c r="F82" i="24"/>
  <c r="R82" i="24" s="1"/>
  <c r="U82" i="24" s="1"/>
  <c r="F83" i="24"/>
  <c r="R83" i="24" s="1"/>
  <c r="U83" i="24" s="1"/>
  <c r="I84" i="24"/>
  <c r="F85" i="24"/>
  <c r="R85" i="24" s="1"/>
  <c r="F90" i="24"/>
  <c r="R90" i="24" s="1"/>
  <c r="F91" i="24"/>
  <c r="R91" i="24" s="1"/>
  <c r="F92" i="24"/>
  <c r="R92" i="24" s="1"/>
  <c r="G99" i="24"/>
  <c r="T99" i="24" s="1"/>
  <c r="G100" i="24"/>
  <c r="I100" i="24" s="1"/>
  <c r="H107" i="24"/>
  <c r="H109" i="24" s="1"/>
  <c r="R107" i="24"/>
  <c r="R108" i="24" s="1"/>
  <c r="E108" i="24"/>
  <c r="F108" i="24"/>
  <c r="H108" i="24"/>
  <c r="T108" i="24"/>
  <c r="I130" i="24"/>
  <c r="A139" i="24"/>
  <c r="A140" i="24"/>
  <c r="A141" i="24"/>
  <c r="A142" i="24"/>
  <c r="A143" i="24"/>
  <c r="A144" i="24"/>
  <c r="A145" i="24"/>
  <c r="A146" i="24"/>
  <c r="A147" i="24"/>
  <c r="A148" i="24"/>
  <c r="A149" i="24"/>
  <c r="A150" i="24"/>
  <c r="A151" i="24"/>
  <c r="A152" i="24"/>
  <c r="A153" i="24"/>
  <c r="A154" i="24"/>
  <c r="A155" i="24"/>
  <c r="A156" i="24"/>
  <c r="A158" i="24"/>
  <c r="A159" i="24"/>
  <c r="A160" i="24"/>
  <c r="A161" i="24"/>
  <c r="A163" i="24"/>
  <c r="A164" i="24"/>
  <c r="A165" i="24"/>
  <c r="A167" i="24"/>
  <c r="A168" i="24"/>
  <c r="A169" i="24"/>
  <c r="A170" i="24"/>
  <c r="N1" i="25"/>
  <c r="A3" i="25"/>
  <c r="N3" i="25" s="1"/>
  <c r="F4" i="25"/>
  <c r="P4" i="25"/>
  <c r="A7" i="25"/>
  <c r="C8" i="25"/>
  <c r="H8" i="25"/>
  <c r="T8" i="25" s="1"/>
  <c r="P90" i="25" s="1"/>
  <c r="F13" i="25"/>
  <c r="F14" i="25"/>
  <c r="F15" i="25"/>
  <c r="F16" i="25"/>
  <c r="F17" i="25"/>
  <c r="F18" i="25"/>
  <c r="F19" i="25"/>
  <c r="F20" i="25"/>
  <c r="F21" i="25"/>
  <c r="F22" i="25"/>
  <c r="F23" i="25"/>
  <c r="F24" i="25"/>
  <c r="F25" i="25"/>
  <c r="F26" i="25"/>
  <c r="F27" i="25"/>
  <c r="F28" i="25"/>
  <c r="C29" i="25"/>
  <c r="D29" i="25"/>
  <c r="E21" i="25" s="1"/>
  <c r="H21" i="25" s="1"/>
  <c r="C43" i="25"/>
  <c r="D43" i="25"/>
  <c r="H50" i="25"/>
  <c r="T50" i="25"/>
  <c r="U50" i="25" s="1"/>
  <c r="H51" i="25"/>
  <c r="T51" i="25" s="1"/>
  <c r="U51" i="25" s="1"/>
  <c r="H52" i="25"/>
  <c r="T52" i="25" s="1"/>
  <c r="U52" i="25" s="1"/>
  <c r="H53" i="25"/>
  <c r="T53" i="25" s="1"/>
  <c r="U53" i="25" s="1"/>
  <c r="H54" i="25"/>
  <c r="T54" i="25" s="1"/>
  <c r="U54" i="25" s="1"/>
  <c r="H55" i="25"/>
  <c r="T55" i="25" s="1"/>
  <c r="U55" i="25" s="1"/>
  <c r="H56" i="25"/>
  <c r="T56" i="25" s="1"/>
  <c r="U56" i="25" s="1"/>
  <c r="H57" i="25"/>
  <c r="T57" i="25" s="1"/>
  <c r="U57" i="25" s="1"/>
  <c r="H58" i="25"/>
  <c r="T58" i="25" s="1"/>
  <c r="U58" i="25" s="1"/>
  <c r="C59" i="25"/>
  <c r="D59" i="25"/>
  <c r="P59" i="25"/>
  <c r="H62" i="25"/>
  <c r="T62" i="25" s="1"/>
  <c r="H65" i="25"/>
  <c r="T65" i="25" s="1"/>
  <c r="F68" i="25"/>
  <c r="R68" i="25" s="1"/>
  <c r="F70" i="25"/>
  <c r="R70" i="25" s="1"/>
  <c r="F71" i="25"/>
  <c r="R71" i="25" s="1"/>
  <c r="F72" i="25"/>
  <c r="R72" i="25" s="1"/>
  <c r="F76" i="25"/>
  <c r="R76" i="25" s="1"/>
  <c r="F77" i="25"/>
  <c r="R77" i="25" s="1"/>
  <c r="F78" i="25"/>
  <c r="R78" i="25" s="1"/>
  <c r="F79" i="25"/>
  <c r="R79" i="25"/>
  <c r="F80" i="25"/>
  <c r="R80" i="25" s="1"/>
  <c r="F82" i="25"/>
  <c r="R82" i="25" s="1"/>
  <c r="U82" i="25" s="1"/>
  <c r="F83" i="25"/>
  <c r="R83" i="25" s="1"/>
  <c r="U83" i="25" s="1"/>
  <c r="I84" i="25"/>
  <c r="F85" i="25"/>
  <c r="R85" i="25" s="1"/>
  <c r="E90" i="25"/>
  <c r="F90" i="25"/>
  <c r="R90" i="25" s="1"/>
  <c r="F91" i="25"/>
  <c r="R91" i="25" s="1"/>
  <c r="F92" i="25"/>
  <c r="R92" i="25" s="1"/>
  <c r="G99" i="25"/>
  <c r="T99" i="25" s="1"/>
  <c r="G100" i="25"/>
  <c r="I100" i="25" s="1"/>
  <c r="H107" i="25"/>
  <c r="R107" i="25"/>
  <c r="F108" i="25"/>
  <c r="H108" i="25"/>
  <c r="R108" i="25"/>
  <c r="T108" i="25"/>
  <c r="I130" i="25"/>
  <c r="A139" i="25"/>
  <c r="A140" i="25"/>
  <c r="A141" i="25"/>
  <c r="A142" i="25"/>
  <c r="A143" i="25"/>
  <c r="A144" i="25"/>
  <c r="A145" i="25"/>
  <c r="A146" i="25"/>
  <c r="A147" i="25"/>
  <c r="A148" i="25"/>
  <c r="A149" i="25"/>
  <c r="A150" i="25"/>
  <c r="A151" i="25"/>
  <c r="A152" i="25"/>
  <c r="A153" i="25"/>
  <c r="A154" i="25"/>
  <c r="A155" i="25"/>
  <c r="A156" i="25"/>
  <c r="A158" i="25"/>
  <c r="A159" i="25"/>
  <c r="A160" i="25"/>
  <c r="A161" i="25"/>
  <c r="A163" i="25"/>
  <c r="A164" i="25"/>
  <c r="A165" i="25"/>
  <c r="A167" i="25"/>
  <c r="A168" i="25"/>
  <c r="A169" i="25"/>
  <c r="A170" i="25"/>
  <c r="N1" i="21"/>
  <c r="A3" i="21"/>
  <c r="N3" i="21" s="1"/>
  <c r="F4" i="21"/>
  <c r="P4" i="21"/>
  <c r="A7" i="21"/>
  <c r="C8" i="21"/>
  <c r="H8" i="21"/>
  <c r="E90" i="21" s="1"/>
  <c r="F13" i="21"/>
  <c r="F14" i="21"/>
  <c r="F15" i="21"/>
  <c r="F16" i="21"/>
  <c r="F17" i="21"/>
  <c r="F18" i="21"/>
  <c r="F19" i="21"/>
  <c r="F20" i="21"/>
  <c r="F21" i="21"/>
  <c r="F22" i="21"/>
  <c r="F23" i="21"/>
  <c r="F24" i="21"/>
  <c r="F25" i="21"/>
  <c r="F26" i="21"/>
  <c r="F27" i="21"/>
  <c r="F28" i="21"/>
  <c r="C29" i="21"/>
  <c r="D29" i="21"/>
  <c r="E13" i="21" s="1"/>
  <c r="E39" i="21"/>
  <c r="E40" i="21"/>
  <c r="C43" i="21"/>
  <c r="D43" i="21"/>
  <c r="H50" i="21"/>
  <c r="T50" i="21" s="1"/>
  <c r="U50" i="21" s="1"/>
  <c r="H51" i="21"/>
  <c r="T51" i="21" s="1"/>
  <c r="U51" i="21" s="1"/>
  <c r="H52" i="21"/>
  <c r="T52" i="21" s="1"/>
  <c r="U52" i="21" s="1"/>
  <c r="H53" i="21"/>
  <c r="T53" i="21" s="1"/>
  <c r="U53" i="21" s="1"/>
  <c r="H54" i="21"/>
  <c r="T54" i="21" s="1"/>
  <c r="U54" i="21" s="1"/>
  <c r="H55" i="21"/>
  <c r="T55" i="21" s="1"/>
  <c r="U55" i="21" s="1"/>
  <c r="H56" i="21"/>
  <c r="T56" i="21" s="1"/>
  <c r="U56" i="21" s="1"/>
  <c r="H57" i="21"/>
  <c r="T57" i="21" s="1"/>
  <c r="U57" i="21" s="1"/>
  <c r="H58" i="21"/>
  <c r="T58" i="21" s="1"/>
  <c r="U58" i="21" s="1"/>
  <c r="C59" i="21"/>
  <c r="D59" i="21"/>
  <c r="P59" i="21"/>
  <c r="H62" i="21"/>
  <c r="T62" i="21" s="1"/>
  <c r="H65" i="21"/>
  <c r="T65" i="21" s="1"/>
  <c r="F68" i="21"/>
  <c r="R68" i="21" s="1"/>
  <c r="F70" i="21"/>
  <c r="F71" i="21"/>
  <c r="R71" i="21" s="1"/>
  <c r="F72" i="21"/>
  <c r="F76" i="21"/>
  <c r="F77" i="21"/>
  <c r="R77" i="21" s="1"/>
  <c r="F78" i="21"/>
  <c r="F79" i="21"/>
  <c r="R79" i="21" s="1"/>
  <c r="F80" i="21"/>
  <c r="F82" i="21"/>
  <c r="R82" i="21" s="1"/>
  <c r="U82" i="21" s="1"/>
  <c r="F83" i="21"/>
  <c r="R83" i="21" s="1"/>
  <c r="U83" i="21" s="1"/>
  <c r="I84" i="21"/>
  <c r="F85" i="21"/>
  <c r="F90" i="21"/>
  <c r="R90" i="21" s="1"/>
  <c r="F91" i="21"/>
  <c r="R91" i="21" s="1"/>
  <c r="F92" i="21"/>
  <c r="R92" i="21" s="1"/>
  <c r="G99" i="21"/>
  <c r="T99" i="21" s="1"/>
  <c r="G100" i="21"/>
  <c r="I100" i="21" s="1"/>
  <c r="H107" i="21"/>
  <c r="R107" i="21"/>
  <c r="R108" i="21" s="1"/>
  <c r="F108" i="21"/>
  <c r="H108" i="21"/>
  <c r="T108" i="21"/>
  <c r="I130" i="21"/>
  <c r="A139" i="21"/>
  <c r="A140" i="21"/>
  <c r="A141" i="21"/>
  <c r="A142" i="21"/>
  <c r="A143" i="21"/>
  <c r="A144" i="21"/>
  <c r="A145" i="21"/>
  <c r="A146" i="21"/>
  <c r="A147" i="21"/>
  <c r="A148" i="21"/>
  <c r="A149" i="21"/>
  <c r="A150" i="21"/>
  <c r="A151" i="21"/>
  <c r="A152" i="21"/>
  <c r="A153" i="21"/>
  <c r="A154" i="21"/>
  <c r="A155" i="21"/>
  <c r="A156" i="21"/>
  <c r="A158" i="21"/>
  <c r="A159" i="21"/>
  <c r="A160" i="21"/>
  <c r="A161" i="21"/>
  <c r="A163" i="21"/>
  <c r="A164" i="21"/>
  <c r="A165" i="21"/>
  <c r="A167" i="21"/>
  <c r="A168" i="21"/>
  <c r="A169" i="21"/>
  <c r="A170" i="21"/>
  <c r="N1" i="20"/>
  <c r="A3" i="20"/>
  <c r="N3" i="20" s="1"/>
  <c r="F4" i="20"/>
  <c r="P4" i="20"/>
  <c r="A7" i="20"/>
  <c r="C8" i="20"/>
  <c r="H8" i="20"/>
  <c r="T8" i="20" s="1"/>
  <c r="E13" i="20"/>
  <c r="F13" i="20"/>
  <c r="F14" i="20"/>
  <c r="F15" i="20"/>
  <c r="F16" i="20"/>
  <c r="F17" i="20"/>
  <c r="F18" i="20"/>
  <c r="F19" i="20"/>
  <c r="F20" i="20"/>
  <c r="F21" i="20"/>
  <c r="F22" i="20"/>
  <c r="F23" i="20"/>
  <c r="F24" i="20"/>
  <c r="F25" i="20"/>
  <c r="F26" i="20"/>
  <c r="F27" i="20"/>
  <c r="F28" i="20"/>
  <c r="C29" i="20"/>
  <c r="D29" i="20"/>
  <c r="E28" i="20" s="1"/>
  <c r="E38" i="20"/>
  <c r="E39" i="20"/>
  <c r="E41" i="20"/>
  <c r="E42" i="20"/>
  <c r="C43" i="20"/>
  <c r="D43" i="20"/>
  <c r="E37" i="20" s="1"/>
  <c r="H50" i="20"/>
  <c r="T50" i="20" s="1"/>
  <c r="U50" i="20" s="1"/>
  <c r="H51" i="20"/>
  <c r="T51" i="20" s="1"/>
  <c r="U51" i="20" s="1"/>
  <c r="H52" i="20"/>
  <c r="T52" i="20" s="1"/>
  <c r="U52" i="20" s="1"/>
  <c r="H53" i="20"/>
  <c r="T53" i="20" s="1"/>
  <c r="U53" i="20" s="1"/>
  <c r="E54" i="20"/>
  <c r="H54" i="20"/>
  <c r="T54" i="20" s="1"/>
  <c r="U54" i="20" s="1"/>
  <c r="E55" i="20"/>
  <c r="H55" i="20"/>
  <c r="T55" i="20" s="1"/>
  <c r="U55" i="20" s="1"/>
  <c r="H56" i="20"/>
  <c r="T56" i="20" s="1"/>
  <c r="U56" i="20" s="1"/>
  <c r="H57" i="20"/>
  <c r="T57" i="20" s="1"/>
  <c r="U57" i="20" s="1"/>
  <c r="H58" i="20"/>
  <c r="T58" i="20" s="1"/>
  <c r="U58" i="20"/>
  <c r="C59" i="20"/>
  <c r="D59" i="20"/>
  <c r="E53" i="20" s="1"/>
  <c r="P59" i="20"/>
  <c r="H62" i="20"/>
  <c r="T62" i="20" s="1"/>
  <c r="H65" i="20"/>
  <c r="T65" i="20" s="1"/>
  <c r="F68" i="20"/>
  <c r="R68" i="20" s="1"/>
  <c r="F70" i="20"/>
  <c r="R70" i="20" s="1"/>
  <c r="F71" i="20"/>
  <c r="R71" i="20" s="1"/>
  <c r="F72" i="20"/>
  <c r="R72" i="20" s="1"/>
  <c r="F76" i="20"/>
  <c r="R76" i="20" s="1"/>
  <c r="F77" i="20"/>
  <c r="R77" i="20" s="1"/>
  <c r="F78" i="20"/>
  <c r="R78" i="20" s="1"/>
  <c r="F79" i="20"/>
  <c r="R79" i="20" s="1"/>
  <c r="F80" i="20"/>
  <c r="R80" i="20" s="1"/>
  <c r="F82" i="20"/>
  <c r="R82" i="20" s="1"/>
  <c r="U82" i="20" s="1"/>
  <c r="F83" i="20"/>
  <c r="R83" i="20" s="1"/>
  <c r="U83" i="20" s="1"/>
  <c r="I84" i="20"/>
  <c r="F85" i="20"/>
  <c r="R85" i="20" s="1"/>
  <c r="F90" i="20"/>
  <c r="R90" i="20" s="1"/>
  <c r="F91" i="20"/>
  <c r="R91" i="20" s="1"/>
  <c r="F92" i="20"/>
  <c r="R92" i="20"/>
  <c r="G99" i="20"/>
  <c r="G100" i="20"/>
  <c r="H107" i="20"/>
  <c r="H109" i="20" s="1"/>
  <c r="T109" i="20" s="1"/>
  <c r="R107" i="20"/>
  <c r="R108" i="20" s="1"/>
  <c r="T107" i="20"/>
  <c r="E108" i="20"/>
  <c r="F108" i="20"/>
  <c r="H108" i="20"/>
  <c r="T108" i="20"/>
  <c r="I130" i="20"/>
  <c r="A139" i="20"/>
  <c r="A140" i="20"/>
  <c r="A141" i="20"/>
  <c r="A142" i="20"/>
  <c r="A143" i="20"/>
  <c r="A144" i="20"/>
  <c r="A145" i="20"/>
  <c r="A146" i="20"/>
  <c r="A147" i="20"/>
  <c r="A148" i="20"/>
  <c r="A149" i="20"/>
  <c r="A150" i="20"/>
  <c r="A151" i="20"/>
  <c r="A152" i="20"/>
  <c r="A153" i="20"/>
  <c r="A154" i="20"/>
  <c r="A155" i="20"/>
  <c r="A156" i="20"/>
  <c r="A158" i="20"/>
  <c r="A159" i="20"/>
  <c r="A160" i="20"/>
  <c r="A161" i="20"/>
  <c r="A163" i="20"/>
  <c r="A164" i="20"/>
  <c r="A165" i="20"/>
  <c r="A167" i="20"/>
  <c r="A168" i="20"/>
  <c r="A169" i="20"/>
  <c r="A170" i="20"/>
  <c r="N1" i="18"/>
  <c r="A3" i="18"/>
  <c r="N3" i="18" s="1"/>
  <c r="F4" i="18"/>
  <c r="P4" i="18"/>
  <c r="A7" i="18"/>
  <c r="C8" i="18"/>
  <c r="H8" i="18"/>
  <c r="T8" i="18" s="1"/>
  <c r="P92" i="18" s="1"/>
  <c r="F13" i="18"/>
  <c r="F14" i="18"/>
  <c r="F15" i="18"/>
  <c r="F16" i="18"/>
  <c r="F17" i="18"/>
  <c r="F18" i="18"/>
  <c r="F19" i="18"/>
  <c r="F20" i="18"/>
  <c r="F21" i="18"/>
  <c r="F22" i="18"/>
  <c r="F23" i="18"/>
  <c r="F24" i="18"/>
  <c r="F25" i="18"/>
  <c r="F26" i="18"/>
  <c r="F27" i="18"/>
  <c r="F28" i="18"/>
  <c r="C29" i="18"/>
  <c r="D29" i="18"/>
  <c r="E15" i="18" s="1"/>
  <c r="E37" i="18"/>
  <c r="E38" i="18"/>
  <c r="E39" i="18"/>
  <c r="C43" i="18"/>
  <c r="D43" i="18"/>
  <c r="H50" i="18"/>
  <c r="T50" i="18" s="1"/>
  <c r="U50" i="18" s="1"/>
  <c r="H51" i="18"/>
  <c r="T51" i="18" s="1"/>
  <c r="U51" i="18" s="1"/>
  <c r="H52" i="18"/>
  <c r="T52" i="18" s="1"/>
  <c r="U52" i="18" s="1"/>
  <c r="H53" i="18"/>
  <c r="T53" i="18" s="1"/>
  <c r="U53" i="18" s="1"/>
  <c r="H54" i="18"/>
  <c r="T54" i="18" s="1"/>
  <c r="U54" i="18" s="1"/>
  <c r="H55" i="18"/>
  <c r="T55" i="18" s="1"/>
  <c r="U55" i="18" s="1"/>
  <c r="H56" i="18"/>
  <c r="T56" i="18" s="1"/>
  <c r="U56" i="18" s="1"/>
  <c r="H57" i="18"/>
  <c r="H58" i="18"/>
  <c r="T58" i="18" s="1"/>
  <c r="U58" i="18" s="1"/>
  <c r="C59" i="18"/>
  <c r="D59" i="18"/>
  <c r="E54" i="18" s="1"/>
  <c r="P59" i="18"/>
  <c r="H62" i="18"/>
  <c r="T62" i="18" s="1"/>
  <c r="H65" i="18"/>
  <c r="T65" i="18" s="1"/>
  <c r="F68" i="18"/>
  <c r="R68" i="18" s="1"/>
  <c r="F70" i="18"/>
  <c r="R70" i="18" s="1"/>
  <c r="F71" i="18"/>
  <c r="R71" i="18" s="1"/>
  <c r="F72" i="18"/>
  <c r="R72" i="18" s="1"/>
  <c r="F76" i="18"/>
  <c r="R76" i="18" s="1"/>
  <c r="F77" i="18"/>
  <c r="F78" i="18"/>
  <c r="R78" i="18" s="1"/>
  <c r="F79" i="18"/>
  <c r="R79" i="18" s="1"/>
  <c r="F80" i="18"/>
  <c r="R80" i="18" s="1"/>
  <c r="F82" i="18"/>
  <c r="R82" i="18" s="1"/>
  <c r="U82" i="18" s="1"/>
  <c r="F83" i="18"/>
  <c r="R83" i="18" s="1"/>
  <c r="U83" i="18" s="1"/>
  <c r="F85" i="18"/>
  <c r="R85" i="18" s="1"/>
  <c r="E90" i="18"/>
  <c r="F90" i="18"/>
  <c r="R90" i="18" s="1"/>
  <c r="E91" i="18"/>
  <c r="F91" i="18"/>
  <c r="R91" i="18" s="1"/>
  <c r="E92" i="18"/>
  <c r="F92" i="18"/>
  <c r="R92" i="18"/>
  <c r="G99" i="18"/>
  <c r="T99" i="18" s="1"/>
  <c r="G100" i="18"/>
  <c r="I100" i="18" s="1"/>
  <c r="H107" i="18"/>
  <c r="R107" i="18"/>
  <c r="R108" i="18" s="1"/>
  <c r="F108" i="18"/>
  <c r="H108" i="18"/>
  <c r="I130" i="18"/>
  <c r="A139" i="18"/>
  <c r="A140" i="18"/>
  <c r="A141" i="18"/>
  <c r="A142" i="18"/>
  <c r="A143" i="18"/>
  <c r="A144" i="18"/>
  <c r="A145" i="18"/>
  <c r="A146" i="18"/>
  <c r="A147" i="18"/>
  <c r="A148" i="18"/>
  <c r="A149" i="18"/>
  <c r="A150" i="18"/>
  <c r="A151" i="18"/>
  <c r="A152" i="18"/>
  <c r="A153" i="18"/>
  <c r="A154" i="18"/>
  <c r="A155" i="18"/>
  <c r="A156" i="18"/>
  <c r="A158" i="18"/>
  <c r="A159" i="18"/>
  <c r="A160" i="18"/>
  <c r="A161" i="18"/>
  <c r="A163" i="18"/>
  <c r="A164" i="18"/>
  <c r="A165" i="18"/>
  <c r="A167" i="18"/>
  <c r="A168" i="18"/>
  <c r="A169" i="18"/>
  <c r="A170" i="18"/>
  <c r="N1" i="17"/>
  <c r="A3" i="17"/>
  <c r="N3" i="17" s="1"/>
  <c r="F4" i="17"/>
  <c r="P4" i="17"/>
  <c r="A7" i="17"/>
  <c r="C8" i="17"/>
  <c r="H8" i="17"/>
  <c r="E91" i="17" s="1"/>
  <c r="F13" i="17"/>
  <c r="F14" i="17"/>
  <c r="F15" i="17"/>
  <c r="F16" i="17"/>
  <c r="F17" i="17"/>
  <c r="F18" i="17"/>
  <c r="F19" i="17"/>
  <c r="F20" i="17"/>
  <c r="F21" i="17"/>
  <c r="F22" i="17"/>
  <c r="F23" i="17"/>
  <c r="F24" i="17"/>
  <c r="F25" i="17"/>
  <c r="F26" i="17"/>
  <c r="F27" i="17"/>
  <c r="F28" i="17"/>
  <c r="C29" i="17"/>
  <c r="D29" i="17"/>
  <c r="E24" i="17" s="1"/>
  <c r="C43" i="17"/>
  <c r="D43" i="17"/>
  <c r="E42" i="17" s="1"/>
  <c r="H50" i="17"/>
  <c r="T50" i="17" s="1"/>
  <c r="U50" i="17" s="1"/>
  <c r="H51" i="17"/>
  <c r="T51" i="17" s="1"/>
  <c r="U51" i="17" s="1"/>
  <c r="H52" i="17"/>
  <c r="T52" i="17" s="1"/>
  <c r="U52" i="17" s="1"/>
  <c r="H53" i="17"/>
  <c r="T53" i="17" s="1"/>
  <c r="U53" i="17" s="1"/>
  <c r="H54" i="17"/>
  <c r="T54" i="17" s="1"/>
  <c r="U54" i="17" s="1"/>
  <c r="H55" i="17"/>
  <c r="T55" i="17" s="1"/>
  <c r="U55" i="17" s="1"/>
  <c r="H56" i="17"/>
  <c r="T56" i="17" s="1"/>
  <c r="U56" i="17" s="1"/>
  <c r="H57" i="17"/>
  <c r="T57" i="17" s="1"/>
  <c r="U57" i="17" s="1"/>
  <c r="H58" i="17"/>
  <c r="T58" i="17" s="1"/>
  <c r="U58" i="17" s="1"/>
  <c r="C59" i="17"/>
  <c r="D59" i="17"/>
  <c r="E53" i="17" s="1"/>
  <c r="P59" i="17"/>
  <c r="H62" i="17"/>
  <c r="T62" i="17" s="1"/>
  <c r="H65" i="17"/>
  <c r="T65" i="17" s="1"/>
  <c r="F68" i="17"/>
  <c r="R68" i="17" s="1"/>
  <c r="F70" i="17"/>
  <c r="F71" i="17"/>
  <c r="R71" i="17" s="1"/>
  <c r="F72" i="17"/>
  <c r="F76" i="17"/>
  <c r="F77" i="17"/>
  <c r="R77" i="17" s="1"/>
  <c r="F78" i="17"/>
  <c r="F79" i="17"/>
  <c r="R79" i="17" s="1"/>
  <c r="F80" i="17"/>
  <c r="R80" i="17" s="1"/>
  <c r="F82" i="17"/>
  <c r="R82" i="17" s="1"/>
  <c r="U82" i="17" s="1"/>
  <c r="F83" i="17"/>
  <c r="R83" i="17" s="1"/>
  <c r="U83" i="17" s="1"/>
  <c r="I84" i="17"/>
  <c r="F85" i="17"/>
  <c r="F90" i="17"/>
  <c r="R90" i="17" s="1"/>
  <c r="F91" i="17"/>
  <c r="R91" i="17" s="1"/>
  <c r="F92" i="17"/>
  <c r="R92" i="17" s="1"/>
  <c r="G99" i="17"/>
  <c r="T99" i="17" s="1"/>
  <c r="G100" i="17"/>
  <c r="T100" i="17" s="1"/>
  <c r="U100" i="17" s="1"/>
  <c r="H107" i="17"/>
  <c r="R107" i="17"/>
  <c r="F108" i="17"/>
  <c r="H108" i="17"/>
  <c r="T108" i="17" s="1"/>
  <c r="R108" i="17"/>
  <c r="H109" i="17"/>
  <c r="I130" i="17"/>
  <c r="A139" i="17"/>
  <c r="A140" i="17"/>
  <c r="A141" i="17"/>
  <c r="A142" i="17"/>
  <c r="A143" i="17"/>
  <c r="A144" i="17"/>
  <c r="A145" i="17"/>
  <c r="A146" i="17"/>
  <c r="A147" i="17"/>
  <c r="A148" i="17"/>
  <c r="A149" i="17"/>
  <c r="A150" i="17"/>
  <c r="A151" i="17"/>
  <c r="A152" i="17"/>
  <c r="A153" i="17"/>
  <c r="A154" i="17"/>
  <c r="A155" i="17"/>
  <c r="A156" i="17"/>
  <c r="A158" i="17"/>
  <c r="A159" i="17"/>
  <c r="A160" i="17"/>
  <c r="A161" i="17"/>
  <c r="A163" i="17"/>
  <c r="A164" i="17"/>
  <c r="A165" i="17"/>
  <c r="A167" i="17"/>
  <c r="A168" i="17"/>
  <c r="A169" i="17"/>
  <c r="A170" i="17"/>
  <c r="N1" i="16"/>
  <c r="A3" i="16"/>
  <c r="N3" i="16" s="1"/>
  <c r="F4" i="16"/>
  <c r="P4" i="16"/>
  <c r="A7" i="16"/>
  <c r="C8" i="16"/>
  <c r="H8" i="16"/>
  <c r="F13" i="16"/>
  <c r="F14" i="16"/>
  <c r="F15" i="16"/>
  <c r="F16" i="16"/>
  <c r="F17" i="16"/>
  <c r="F18" i="16"/>
  <c r="F19" i="16"/>
  <c r="F20" i="16"/>
  <c r="F21" i="16"/>
  <c r="F22" i="16"/>
  <c r="F23" i="16"/>
  <c r="F24" i="16"/>
  <c r="F25" i="16"/>
  <c r="F26" i="16"/>
  <c r="F27" i="16"/>
  <c r="F28" i="16"/>
  <c r="C29" i="16"/>
  <c r="D29" i="16"/>
  <c r="E21" i="16" s="1"/>
  <c r="C43" i="16"/>
  <c r="D43" i="16"/>
  <c r="E38" i="16" s="1"/>
  <c r="H50" i="16"/>
  <c r="H51" i="16"/>
  <c r="T51" i="16" s="1"/>
  <c r="U51" i="16" s="1"/>
  <c r="H52" i="16"/>
  <c r="T52" i="16" s="1"/>
  <c r="U52" i="16" s="1"/>
  <c r="H53" i="16"/>
  <c r="T53" i="16" s="1"/>
  <c r="U53" i="16" s="1"/>
  <c r="H54" i="16"/>
  <c r="T54" i="16" s="1"/>
  <c r="U54" i="16" s="1"/>
  <c r="H55" i="16"/>
  <c r="T55" i="16" s="1"/>
  <c r="U55" i="16" s="1"/>
  <c r="H56" i="16"/>
  <c r="T56" i="16" s="1"/>
  <c r="U56" i="16" s="1"/>
  <c r="H57" i="16"/>
  <c r="T57" i="16" s="1"/>
  <c r="U57" i="16" s="1"/>
  <c r="H58" i="16"/>
  <c r="T58" i="16" s="1"/>
  <c r="U58" i="16" s="1"/>
  <c r="C59" i="16"/>
  <c r="P59" i="16"/>
  <c r="H62" i="16"/>
  <c r="T62" i="16" s="1"/>
  <c r="H65" i="16"/>
  <c r="T65" i="16" s="1"/>
  <c r="F68" i="16"/>
  <c r="F70" i="16"/>
  <c r="R70" i="16" s="1"/>
  <c r="F71" i="16"/>
  <c r="F72" i="16"/>
  <c r="R72" i="16" s="1"/>
  <c r="F76" i="16"/>
  <c r="R76" i="16" s="1"/>
  <c r="F77" i="16"/>
  <c r="R77" i="16" s="1"/>
  <c r="F78" i="16"/>
  <c r="R78" i="16" s="1"/>
  <c r="F79" i="16"/>
  <c r="R79" i="16" s="1"/>
  <c r="F80" i="16"/>
  <c r="R80" i="16" s="1"/>
  <c r="F82" i="16"/>
  <c r="R82" i="16" s="1"/>
  <c r="U82" i="16" s="1"/>
  <c r="F83" i="16"/>
  <c r="R83" i="16" s="1"/>
  <c r="U83" i="16" s="1"/>
  <c r="I84" i="16"/>
  <c r="F85" i="16"/>
  <c r="R85" i="16" s="1"/>
  <c r="F90" i="16"/>
  <c r="R90" i="16" s="1"/>
  <c r="F91" i="16"/>
  <c r="R91" i="16" s="1"/>
  <c r="F92" i="16"/>
  <c r="R92" i="16" s="1"/>
  <c r="G99" i="16"/>
  <c r="I99" i="16" s="1"/>
  <c r="G100" i="16"/>
  <c r="H107" i="16"/>
  <c r="R107" i="16"/>
  <c r="R108" i="16" s="1"/>
  <c r="F108" i="16"/>
  <c r="H108" i="16"/>
  <c r="I130" i="16"/>
  <c r="A139" i="16"/>
  <c r="A140" i="16"/>
  <c r="A141" i="16"/>
  <c r="A142" i="16"/>
  <c r="A143" i="16"/>
  <c r="A144" i="16"/>
  <c r="A145" i="16"/>
  <c r="A146" i="16"/>
  <c r="A147" i="16"/>
  <c r="A148" i="16"/>
  <c r="A149" i="16"/>
  <c r="A150" i="16"/>
  <c r="A151" i="16"/>
  <c r="A152" i="16"/>
  <c r="A153" i="16"/>
  <c r="A154" i="16"/>
  <c r="A155" i="16"/>
  <c r="A156" i="16"/>
  <c r="A158" i="16"/>
  <c r="A159" i="16"/>
  <c r="A160" i="16"/>
  <c r="A161" i="16"/>
  <c r="A163" i="16"/>
  <c r="A164" i="16"/>
  <c r="A165" i="16"/>
  <c r="A167" i="16"/>
  <c r="A168" i="16"/>
  <c r="A169" i="16"/>
  <c r="A170" i="16"/>
  <c r="N1" i="15"/>
  <c r="A3" i="15"/>
  <c r="N3" i="15" s="1"/>
  <c r="F4" i="15"/>
  <c r="P4" i="15"/>
  <c r="A7" i="15"/>
  <c r="C8" i="15"/>
  <c r="H8" i="15"/>
  <c r="E90" i="15" s="1"/>
  <c r="F13" i="15"/>
  <c r="F14" i="15"/>
  <c r="E15" i="15"/>
  <c r="F15" i="15"/>
  <c r="F16" i="15"/>
  <c r="F17" i="15"/>
  <c r="F18" i="15"/>
  <c r="F19" i="15"/>
  <c r="F20" i="15"/>
  <c r="F21" i="15"/>
  <c r="F22" i="15"/>
  <c r="F23" i="15"/>
  <c r="F24" i="15"/>
  <c r="E25" i="15"/>
  <c r="F25" i="15"/>
  <c r="F26" i="15"/>
  <c r="F27" i="15"/>
  <c r="F28" i="15"/>
  <c r="C29" i="15"/>
  <c r="D29" i="15"/>
  <c r="E28" i="15" s="1"/>
  <c r="C43" i="15"/>
  <c r="D43" i="15"/>
  <c r="H50" i="15"/>
  <c r="H51" i="15"/>
  <c r="T51" i="15" s="1"/>
  <c r="U51" i="15" s="1"/>
  <c r="H52" i="15"/>
  <c r="T52" i="15" s="1"/>
  <c r="U52" i="15" s="1"/>
  <c r="H53" i="15"/>
  <c r="H54" i="15"/>
  <c r="T54" i="15" s="1"/>
  <c r="U54" i="15" s="1"/>
  <c r="H55" i="15"/>
  <c r="T55" i="15" s="1"/>
  <c r="U55" i="15" s="1"/>
  <c r="E56" i="15"/>
  <c r="H56" i="15"/>
  <c r="T56" i="15" s="1"/>
  <c r="U56" i="15" s="1"/>
  <c r="H57" i="15"/>
  <c r="T57" i="15" s="1"/>
  <c r="U57" i="15" s="1"/>
  <c r="H58" i="15"/>
  <c r="T58" i="15" s="1"/>
  <c r="U58" i="15" s="1"/>
  <c r="C59" i="15"/>
  <c r="D59" i="15"/>
  <c r="E54" i="15" s="1"/>
  <c r="P59" i="15"/>
  <c r="H62" i="15"/>
  <c r="T62" i="15" s="1"/>
  <c r="H65" i="15"/>
  <c r="T65" i="15" s="1"/>
  <c r="F68" i="15"/>
  <c r="R68" i="15" s="1"/>
  <c r="F70" i="15"/>
  <c r="R70" i="15" s="1"/>
  <c r="F71" i="15"/>
  <c r="R71" i="15" s="1"/>
  <c r="F72" i="15"/>
  <c r="R72" i="15" s="1"/>
  <c r="F76" i="15"/>
  <c r="F77" i="15"/>
  <c r="R77" i="15" s="1"/>
  <c r="F78" i="15"/>
  <c r="F79" i="15"/>
  <c r="R79" i="15" s="1"/>
  <c r="F80" i="15"/>
  <c r="F82" i="15"/>
  <c r="R82" i="15" s="1"/>
  <c r="U82" i="15" s="1"/>
  <c r="F83" i="15"/>
  <c r="R83" i="15" s="1"/>
  <c r="U83" i="15" s="1"/>
  <c r="I84" i="15"/>
  <c r="F85" i="15"/>
  <c r="R85" i="15" s="1"/>
  <c r="F90" i="15"/>
  <c r="R90" i="15" s="1"/>
  <c r="F91" i="15"/>
  <c r="R91" i="15" s="1"/>
  <c r="F92" i="15"/>
  <c r="R92" i="15" s="1"/>
  <c r="G99" i="15"/>
  <c r="T99" i="15" s="1"/>
  <c r="G100" i="15"/>
  <c r="T100" i="15" s="1"/>
  <c r="U100" i="15" s="1"/>
  <c r="H107" i="15"/>
  <c r="R107" i="15"/>
  <c r="R108" i="15" s="1"/>
  <c r="T107" i="15"/>
  <c r="F108" i="15"/>
  <c r="H108" i="15"/>
  <c r="I130" i="15"/>
  <c r="A139" i="15"/>
  <c r="A140" i="15"/>
  <c r="A141" i="15"/>
  <c r="A142" i="15"/>
  <c r="A143" i="15"/>
  <c r="A144" i="15"/>
  <c r="A145" i="15"/>
  <c r="A146" i="15"/>
  <c r="A147" i="15"/>
  <c r="A148" i="15"/>
  <c r="A149" i="15"/>
  <c r="A150" i="15"/>
  <c r="A151" i="15"/>
  <c r="A152" i="15"/>
  <c r="A153" i="15"/>
  <c r="A154" i="15"/>
  <c r="A155" i="15"/>
  <c r="A156" i="15"/>
  <c r="A158" i="15"/>
  <c r="A159" i="15"/>
  <c r="A160" i="15"/>
  <c r="A161" i="15"/>
  <c r="A163" i="15"/>
  <c r="A164" i="15"/>
  <c r="A165" i="15"/>
  <c r="A167" i="15"/>
  <c r="A168" i="15"/>
  <c r="A169" i="15"/>
  <c r="A170" i="15"/>
  <c r="N1" i="7"/>
  <c r="N3" i="7"/>
  <c r="P4" i="7"/>
  <c r="T8" i="7"/>
  <c r="P90" i="7" s="1"/>
  <c r="C29" i="7"/>
  <c r="D29" i="7"/>
  <c r="E14" i="7" s="1"/>
  <c r="I34" i="7"/>
  <c r="C43" i="7"/>
  <c r="D43" i="7"/>
  <c r="E37" i="7" s="1"/>
  <c r="T50" i="7"/>
  <c r="U50" i="7" s="1"/>
  <c r="T51" i="7"/>
  <c r="U51" i="7" s="1"/>
  <c r="T52" i="7"/>
  <c r="U52" i="7" s="1"/>
  <c r="T53" i="7"/>
  <c r="U53" i="7" s="1"/>
  <c r="T54" i="7"/>
  <c r="U54" i="7" s="1"/>
  <c r="T55" i="7"/>
  <c r="U55" i="7" s="1"/>
  <c r="T56" i="7"/>
  <c r="U56" i="7" s="1"/>
  <c r="T57" i="7"/>
  <c r="U57" i="7" s="1"/>
  <c r="T58" i="7"/>
  <c r="U58" i="7" s="1"/>
  <c r="D59" i="7"/>
  <c r="E109" i="7" s="1"/>
  <c r="P59" i="7"/>
  <c r="T62" i="7"/>
  <c r="T65" i="7"/>
  <c r="R68" i="7"/>
  <c r="R70" i="7"/>
  <c r="R71" i="7"/>
  <c r="R72" i="7"/>
  <c r="R76" i="7"/>
  <c r="R77" i="7"/>
  <c r="R78" i="7"/>
  <c r="R79" i="7"/>
  <c r="R80" i="7"/>
  <c r="R82" i="7"/>
  <c r="U82" i="7" s="1"/>
  <c r="R83" i="7"/>
  <c r="U83" i="7" s="1"/>
  <c r="R85" i="7"/>
  <c r="E90" i="7"/>
  <c r="R90" i="7"/>
  <c r="E91" i="7"/>
  <c r="P91" i="7"/>
  <c r="R91" i="7"/>
  <c r="E92" i="7"/>
  <c r="R92" i="7"/>
  <c r="I99" i="7"/>
  <c r="T99" i="7"/>
  <c r="I100" i="7"/>
  <c r="T100" i="7"/>
  <c r="U100" i="7" s="1"/>
  <c r="H107" i="7"/>
  <c r="R107" i="7"/>
  <c r="R108" i="7" s="1"/>
  <c r="F108" i="7"/>
  <c r="H108" i="7"/>
  <c r="T108" i="7" s="1"/>
  <c r="A3" i="60"/>
  <c r="F4" i="60"/>
  <c r="A7" i="60"/>
  <c r="C8" i="60"/>
  <c r="H8" i="60"/>
  <c r="I9" i="60"/>
  <c r="C13" i="60"/>
  <c r="D13" i="60"/>
  <c r="F13" i="60"/>
  <c r="C14" i="60"/>
  <c r="D14" i="60"/>
  <c r="F14" i="60"/>
  <c r="C15" i="60"/>
  <c r="D15" i="60"/>
  <c r="F15" i="60"/>
  <c r="C16" i="60"/>
  <c r="D16" i="60"/>
  <c r="F16" i="60"/>
  <c r="C17" i="60"/>
  <c r="D17" i="60"/>
  <c r="F17" i="60"/>
  <c r="C18" i="60"/>
  <c r="D18" i="60"/>
  <c r="F18" i="60"/>
  <c r="C19" i="60"/>
  <c r="D19" i="60"/>
  <c r="F19" i="60"/>
  <c r="C20" i="60"/>
  <c r="D20" i="60"/>
  <c r="F20" i="60"/>
  <c r="C21" i="60"/>
  <c r="D21" i="60"/>
  <c r="F21" i="60"/>
  <c r="C22" i="60"/>
  <c r="D22" i="60"/>
  <c r="F22" i="60"/>
  <c r="C23" i="60"/>
  <c r="D23" i="60"/>
  <c r="F23" i="60"/>
  <c r="C24" i="60"/>
  <c r="D24" i="60"/>
  <c r="F24" i="60"/>
  <c r="C25" i="60"/>
  <c r="D25" i="60"/>
  <c r="F25" i="60"/>
  <c r="C26" i="60"/>
  <c r="D26" i="60"/>
  <c r="F26" i="60"/>
  <c r="C27" i="60"/>
  <c r="D27" i="60"/>
  <c r="F27" i="60"/>
  <c r="C28" i="60"/>
  <c r="D28" i="60"/>
  <c r="F28" i="60"/>
  <c r="C30" i="60"/>
  <c r="D30" i="60"/>
  <c r="C37" i="60"/>
  <c r="D37" i="60"/>
  <c r="C38" i="60"/>
  <c r="D38" i="60"/>
  <c r="C39" i="60"/>
  <c r="D39" i="60"/>
  <c r="C40" i="60"/>
  <c r="D40" i="60"/>
  <c r="C41" i="60"/>
  <c r="D41" i="60"/>
  <c r="C42" i="60"/>
  <c r="D42" i="60"/>
  <c r="H50" i="60"/>
  <c r="H51" i="60"/>
  <c r="H52" i="60"/>
  <c r="H53" i="60"/>
  <c r="H54" i="60"/>
  <c r="H55" i="60"/>
  <c r="H56" i="60"/>
  <c r="H57" i="60"/>
  <c r="H58" i="60"/>
  <c r="H62" i="60"/>
  <c r="H65" i="60"/>
  <c r="F68" i="60"/>
  <c r="F70" i="60"/>
  <c r="F71" i="60"/>
  <c r="F72" i="60"/>
  <c r="I73" i="60"/>
  <c r="I74" i="60"/>
  <c r="F76" i="60"/>
  <c r="F77" i="60"/>
  <c r="F78" i="60"/>
  <c r="F79" i="60"/>
  <c r="F80" i="60"/>
  <c r="I82" i="60"/>
  <c r="F85" i="60"/>
  <c r="F90" i="60"/>
  <c r="F91" i="60"/>
  <c r="F92" i="60"/>
  <c r="C99" i="60"/>
  <c r="E99" i="60" s="1"/>
  <c r="D99" i="60"/>
  <c r="G99" i="60"/>
  <c r="C100" i="60"/>
  <c r="E100" i="60" s="1"/>
  <c r="D100" i="60"/>
  <c r="G100" i="60"/>
  <c r="C107" i="60"/>
  <c r="H107" i="60" s="1"/>
  <c r="H109" i="60" s="1"/>
  <c r="D107" i="60"/>
  <c r="C108" i="60"/>
  <c r="H108" i="60" s="1"/>
  <c r="D108" i="60"/>
  <c r="F108" i="60"/>
  <c r="C109" i="60"/>
  <c r="D109" i="60"/>
  <c r="I112" i="60"/>
  <c r="I113" i="60"/>
  <c r="I126" i="60"/>
  <c r="K126" i="60" s="1"/>
  <c r="L126" i="60" s="1"/>
  <c r="I130" i="60"/>
  <c r="B2" i="64"/>
  <c r="A15" i="64"/>
  <c r="A37" i="64" s="1"/>
  <c r="A53" i="64" s="1"/>
  <c r="A60" i="64" s="1"/>
  <c r="A72" i="64" s="1"/>
  <c r="A80" i="64" s="1"/>
  <c r="A90" i="64" s="1"/>
  <c r="A100" i="64" s="1"/>
  <c r="A109" i="64" s="1"/>
  <c r="A117" i="64" s="1"/>
  <c r="A124" i="64" s="1"/>
  <c r="A133" i="64" s="1"/>
  <c r="A142" i="64" s="1"/>
  <c r="A151" i="64" s="1"/>
  <c r="A161" i="64" s="1"/>
  <c r="A170" i="64" s="1"/>
  <c r="A178" i="64" s="1"/>
  <c r="A185" i="64" s="1"/>
  <c r="A193" i="64" s="1"/>
  <c r="A204" i="64" s="1"/>
  <c r="A212" i="64" s="1"/>
  <c r="A223" i="64" s="1"/>
  <c r="A233" i="64" s="1"/>
  <c r="A242" i="64" s="1"/>
  <c r="A252" i="64" s="1"/>
  <c r="A262" i="64" s="1"/>
  <c r="A270" i="64" s="1"/>
  <c r="A278" i="64" s="1"/>
  <c r="A287" i="64" s="1"/>
  <c r="A297" i="64" s="1"/>
  <c r="A305" i="64" s="1"/>
  <c r="A314" i="64" s="1"/>
  <c r="A323" i="64" s="1"/>
  <c r="A333" i="64" s="1"/>
  <c r="A343" i="64" s="1"/>
  <c r="A354" i="64" s="1"/>
  <c r="A361" i="64" s="1"/>
  <c r="A370" i="64" s="1"/>
  <c r="A379" i="64" s="1"/>
  <c r="A386" i="64" s="1"/>
  <c r="A395" i="64" s="1"/>
  <c r="A405" i="64" s="1"/>
  <c r="A415" i="64" s="1"/>
  <c r="A424" i="64" s="1"/>
  <c r="A432" i="64" s="1"/>
  <c r="A442" i="64" s="1"/>
  <c r="A451" i="64" s="1"/>
  <c r="D15" i="64"/>
  <c r="L32" i="64"/>
  <c r="D37" i="64"/>
  <c r="D53" i="64"/>
  <c r="D60" i="64"/>
  <c r="D72" i="64"/>
  <c r="D80" i="64"/>
  <c r="D90" i="64"/>
  <c r="D100" i="64"/>
  <c r="D109" i="64"/>
  <c r="D117" i="64"/>
  <c r="D124" i="64"/>
  <c r="D133" i="64"/>
  <c r="D142" i="64"/>
  <c r="D151" i="64"/>
  <c r="D161" i="64"/>
  <c r="D170" i="64"/>
  <c r="D178" i="64"/>
  <c r="D185" i="64"/>
  <c r="D193" i="64"/>
  <c r="D204" i="64"/>
  <c r="D212" i="64"/>
  <c r="D223" i="64"/>
  <c r="D233" i="64"/>
  <c r="D242" i="64"/>
  <c r="D252" i="64"/>
  <c r="D262" i="64"/>
  <c r="D270" i="64"/>
  <c r="D278" i="64"/>
  <c r="D287" i="64"/>
  <c r="D297" i="64"/>
  <c r="D305" i="64"/>
  <c r="D314" i="64"/>
  <c r="D323" i="64"/>
  <c r="D333" i="64"/>
  <c r="D343" i="64"/>
  <c r="D354" i="64"/>
  <c r="D361" i="64"/>
  <c r="D370" i="64"/>
  <c r="D379" i="64"/>
  <c r="D386" i="64"/>
  <c r="D395" i="64"/>
  <c r="D405" i="64"/>
  <c r="D415" i="64"/>
  <c r="D424" i="64"/>
  <c r="D432" i="64"/>
  <c r="D442" i="64"/>
  <c r="D451" i="64"/>
  <c r="D460" i="64"/>
  <c r="G460" i="64"/>
  <c r="D462" i="64"/>
  <c r="G462" i="64"/>
  <c r="F465" i="64"/>
  <c r="I107" i="78" l="1"/>
  <c r="E51" i="78"/>
  <c r="I51" i="78" s="1"/>
  <c r="E56" i="78"/>
  <c r="E58" i="77"/>
  <c r="E22" i="68"/>
  <c r="H22" i="68" s="1"/>
  <c r="I22" i="68" s="1"/>
  <c r="E20" i="68"/>
  <c r="H20" i="68" s="1"/>
  <c r="I20" i="68" s="1"/>
  <c r="E51" i="71"/>
  <c r="E23" i="71"/>
  <c r="E22" i="71"/>
  <c r="H22" i="71" s="1"/>
  <c r="I22" i="71" s="1"/>
  <c r="E13" i="71"/>
  <c r="H13" i="71" s="1"/>
  <c r="I13" i="71" s="1"/>
  <c r="H21" i="71"/>
  <c r="E58" i="70"/>
  <c r="E57" i="70"/>
  <c r="E50" i="70"/>
  <c r="E109" i="70"/>
  <c r="E56" i="70"/>
  <c r="I57" i="70"/>
  <c r="E55" i="70"/>
  <c r="E108" i="70"/>
  <c r="I108" i="70" s="1"/>
  <c r="E54" i="70"/>
  <c r="E107" i="70"/>
  <c r="I107" i="70" s="1"/>
  <c r="E20" i="70"/>
  <c r="H27" i="70"/>
  <c r="I27" i="70" s="1"/>
  <c r="E19" i="70"/>
  <c r="H25" i="70"/>
  <c r="I25" i="70" s="1"/>
  <c r="E21" i="69"/>
  <c r="H21" i="69" s="1"/>
  <c r="I21" i="69" s="1"/>
  <c r="E20" i="69"/>
  <c r="H20" i="69" s="1"/>
  <c r="I20" i="69" s="1"/>
  <c r="E51" i="66"/>
  <c r="E23" i="66"/>
  <c r="E21" i="58"/>
  <c r="E20" i="58"/>
  <c r="H20" i="58" s="1"/>
  <c r="I20" i="58" s="1"/>
  <c r="E56" i="55"/>
  <c r="I56" i="55" s="1"/>
  <c r="E54" i="55"/>
  <c r="I54" i="55" s="1"/>
  <c r="E53" i="55"/>
  <c r="I53" i="55" s="1"/>
  <c r="I107" i="55"/>
  <c r="H26" i="55"/>
  <c r="E26" i="55"/>
  <c r="E13" i="55"/>
  <c r="H21" i="75"/>
  <c r="E51" i="52"/>
  <c r="E58" i="52"/>
  <c r="I58" i="52" s="1"/>
  <c r="E57" i="52"/>
  <c r="E109" i="52"/>
  <c r="I109" i="52" s="1"/>
  <c r="E54" i="52"/>
  <c r="J16" i="52" s="1"/>
  <c r="E108" i="52"/>
  <c r="H27" i="52"/>
  <c r="E27" i="52"/>
  <c r="E14" i="52"/>
  <c r="E26" i="52"/>
  <c r="H26" i="52" s="1"/>
  <c r="E19" i="52"/>
  <c r="H25" i="52"/>
  <c r="I25" i="52" s="1"/>
  <c r="E25" i="52"/>
  <c r="E18" i="52"/>
  <c r="E17" i="52"/>
  <c r="H16" i="52"/>
  <c r="I16" i="52" s="1"/>
  <c r="E23" i="52"/>
  <c r="H23" i="52" s="1"/>
  <c r="I23" i="52" s="1"/>
  <c r="E16" i="52"/>
  <c r="H15" i="52"/>
  <c r="E109" i="51"/>
  <c r="E56" i="51"/>
  <c r="E108" i="51"/>
  <c r="E54" i="51"/>
  <c r="E21" i="48"/>
  <c r="H21" i="48" s="1"/>
  <c r="I21" i="48" s="1"/>
  <c r="E20" i="48"/>
  <c r="E58" i="47"/>
  <c r="E55" i="47"/>
  <c r="I55" i="47" s="1"/>
  <c r="E18" i="47"/>
  <c r="E24" i="47"/>
  <c r="H24" i="47" s="1"/>
  <c r="I24" i="47" s="1"/>
  <c r="E23" i="47"/>
  <c r="H23" i="47" s="1"/>
  <c r="I23" i="47" s="1"/>
  <c r="E16" i="47"/>
  <c r="E14" i="47"/>
  <c r="E28" i="47"/>
  <c r="E107" i="44"/>
  <c r="I107" i="44" s="1"/>
  <c r="E56" i="44"/>
  <c r="E109" i="44"/>
  <c r="I109" i="44" s="1"/>
  <c r="E16" i="44"/>
  <c r="E21" i="44"/>
  <c r="H21" i="44" s="1"/>
  <c r="I21" i="44" s="1"/>
  <c r="E13" i="44"/>
  <c r="E51" i="43"/>
  <c r="E107" i="43"/>
  <c r="I107" i="43" s="1"/>
  <c r="E109" i="43"/>
  <c r="I109" i="43" s="1"/>
  <c r="E55" i="43"/>
  <c r="E54" i="43"/>
  <c r="E18" i="43"/>
  <c r="E108" i="42"/>
  <c r="E54" i="42"/>
  <c r="I54" i="42" s="1"/>
  <c r="E22" i="42"/>
  <c r="H22" i="42" s="1"/>
  <c r="I22" i="42" s="1"/>
  <c r="E13" i="42"/>
  <c r="E28" i="42"/>
  <c r="E19" i="42"/>
  <c r="H19" i="42" s="1"/>
  <c r="I19" i="42" s="1"/>
  <c r="E27" i="42"/>
  <c r="E26" i="42"/>
  <c r="H26" i="42" s="1"/>
  <c r="I26" i="42" s="1"/>
  <c r="E17" i="42"/>
  <c r="E108" i="39"/>
  <c r="E53" i="39"/>
  <c r="E107" i="39"/>
  <c r="I107" i="39" s="1"/>
  <c r="I57" i="39"/>
  <c r="E57" i="39"/>
  <c r="E109" i="39"/>
  <c r="E56" i="39"/>
  <c r="I108" i="39"/>
  <c r="E20" i="39"/>
  <c r="E54" i="38"/>
  <c r="E51" i="38"/>
  <c r="I50" i="38"/>
  <c r="E50" i="38"/>
  <c r="E19" i="37"/>
  <c r="H19" i="37" s="1"/>
  <c r="I19" i="37" s="1"/>
  <c r="E53" i="23"/>
  <c r="E51" i="23"/>
  <c r="E20" i="23"/>
  <c r="H20" i="23" s="1"/>
  <c r="I20" i="23" s="1"/>
  <c r="H19" i="23"/>
  <c r="E51" i="35"/>
  <c r="J14" i="35" s="1"/>
  <c r="E14" i="35"/>
  <c r="H14" i="35" s="1"/>
  <c r="E19" i="35"/>
  <c r="E107" i="34"/>
  <c r="I107" i="34" s="1"/>
  <c r="E54" i="34"/>
  <c r="E53" i="34"/>
  <c r="I53" i="34" s="1"/>
  <c r="E19" i="34"/>
  <c r="E26" i="34"/>
  <c r="H26" i="34" s="1"/>
  <c r="I26" i="34" s="1"/>
  <c r="E57" i="33"/>
  <c r="E55" i="33"/>
  <c r="I57" i="33"/>
  <c r="E22" i="33"/>
  <c r="E14" i="33"/>
  <c r="H13" i="33"/>
  <c r="I13" i="33" s="1"/>
  <c r="E21" i="33"/>
  <c r="E13" i="33"/>
  <c r="E28" i="33"/>
  <c r="E27" i="33"/>
  <c r="H27" i="33" s="1"/>
  <c r="I27" i="33" s="1"/>
  <c r="H23" i="33"/>
  <c r="I23" i="33" s="1"/>
  <c r="E26" i="32"/>
  <c r="H26" i="32" s="1"/>
  <c r="I26" i="32" s="1"/>
  <c r="H25" i="32"/>
  <c r="E15" i="32"/>
  <c r="H15" i="32" s="1"/>
  <c r="I15" i="32" s="1"/>
  <c r="E21" i="28"/>
  <c r="E108" i="27"/>
  <c r="H13" i="27"/>
  <c r="I13" i="27" s="1"/>
  <c r="E28" i="27"/>
  <c r="H28" i="27" s="1"/>
  <c r="I28" i="27" s="1"/>
  <c r="E21" i="27"/>
  <c r="E13" i="27"/>
  <c r="E27" i="27"/>
  <c r="E26" i="27"/>
  <c r="H26" i="27" s="1"/>
  <c r="I26" i="27" s="1"/>
  <c r="E18" i="27"/>
  <c r="H18" i="27" s="1"/>
  <c r="I18" i="27" s="1"/>
  <c r="E17" i="27"/>
  <c r="H17" i="27" s="1"/>
  <c r="I17" i="27" s="1"/>
  <c r="H16" i="27"/>
  <c r="E56" i="26"/>
  <c r="I56" i="26" s="1"/>
  <c r="E55" i="26"/>
  <c r="E54" i="26"/>
  <c r="I54" i="26" s="1"/>
  <c r="E108" i="26"/>
  <c r="I108" i="26" s="1"/>
  <c r="E107" i="26"/>
  <c r="E57" i="26"/>
  <c r="I57" i="26" s="1"/>
  <c r="E27" i="26"/>
  <c r="E25" i="26"/>
  <c r="H25" i="26" s="1"/>
  <c r="I25" i="26" s="1"/>
  <c r="E14" i="26"/>
  <c r="E19" i="26"/>
  <c r="E54" i="22"/>
  <c r="I54" i="22" s="1"/>
  <c r="E52" i="22"/>
  <c r="E22" i="24"/>
  <c r="E21" i="24"/>
  <c r="E19" i="24"/>
  <c r="E25" i="21"/>
  <c r="H25" i="21" s="1"/>
  <c r="I25" i="21" s="1"/>
  <c r="E22" i="21"/>
  <c r="E21" i="21"/>
  <c r="H21" i="21" s="1"/>
  <c r="I21" i="21" s="1"/>
  <c r="H19" i="21"/>
  <c r="I19" i="21" s="1"/>
  <c r="E19" i="21"/>
  <c r="E19" i="20"/>
  <c r="H13" i="20"/>
  <c r="E107" i="18"/>
  <c r="I107" i="18" s="1"/>
  <c r="E109" i="18"/>
  <c r="E55" i="18"/>
  <c r="I55" i="18" s="1"/>
  <c r="E19" i="18"/>
  <c r="E28" i="18"/>
  <c r="H28" i="18" s="1"/>
  <c r="I28" i="18" s="1"/>
  <c r="E27" i="18"/>
  <c r="E14" i="17"/>
  <c r="H14" i="17" s="1"/>
  <c r="I14" i="17" s="1"/>
  <c r="E21" i="17"/>
  <c r="E20" i="17"/>
  <c r="H20" i="17" s="1"/>
  <c r="I20" i="17" s="1"/>
  <c r="E27" i="17"/>
  <c r="E26" i="17"/>
  <c r="E16" i="17"/>
  <c r="E20" i="16"/>
  <c r="E25" i="16"/>
  <c r="E108" i="15"/>
  <c r="E53" i="15"/>
  <c r="I53" i="15" s="1"/>
  <c r="E107" i="15"/>
  <c r="I107" i="15" s="1"/>
  <c r="E51" i="15"/>
  <c r="E57" i="15"/>
  <c r="E109" i="15"/>
  <c r="E55" i="15"/>
  <c r="E14" i="15"/>
  <c r="E23" i="15"/>
  <c r="H23" i="15" s="1"/>
  <c r="I23" i="15" s="1"/>
  <c r="E13" i="15"/>
  <c r="H13" i="15" s="1"/>
  <c r="E91" i="60"/>
  <c r="E90" i="60"/>
  <c r="E92" i="60"/>
  <c r="E58" i="58"/>
  <c r="I58" i="58" s="1"/>
  <c r="E53" i="58"/>
  <c r="I53" i="58" s="1"/>
  <c r="E108" i="58"/>
  <c r="I108" i="58" s="1"/>
  <c r="E54" i="58"/>
  <c r="I54" i="58" s="1"/>
  <c r="E52" i="58"/>
  <c r="H17" i="43"/>
  <c r="E39" i="31"/>
  <c r="E38" i="31"/>
  <c r="I38" i="31" s="1"/>
  <c r="E54" i="69"/>
  <c r="I54" i="69" s="1"/>
  <c r="E53" i="69"/>
  <c r="I53" i="69" s="1"/>
  <c r="E55" i="69"/>
  <c r="I55" i="69" s="1"/>
  <c r="E107" i="69"/>
  <c r="I107" i="69" s="1"/>
  <c r="E50" i="69"/>
  <c r="E57" i="69"/>
  <c r="E58" i="69"/>
  <c r="I58" i="69" s="1"/>
  <c r="E51" i="69"/>
  <c r="E56" i="69"/>
  <c r="E108" i="69"/>
  <c r="I108" i="69" s="1"/>
  <c r="H109" i="18"/>
  <c r="E58" i="75"/>
  <c r="I58" i="75" s="1"/>
  <c r="E54" i="75"/>
  <c r="I54" i="75" s="1"/>
  <c r="E107" i="75"/>
  <c r="I107" i="75" s="1"/>
  <c r="E55" i="75"/>
  <c r="I55" i="75" s="1"/>
  <c r="E53" i="75"/>
  <c r="I53" i="75" s="1"/>
  <c r="E108" i="75"/>
  <c r="I108" i="75" s="1"/>
  <c r="E56" i="75"/>
  <c r="E57" i="75"/>
  <c r="I57" i="75" s="1"/>
  <c r="E109" i="75"/>
  <c r="I109" i="75" s="1"/>
  <c r="E50" i="75"/>
  <c r="I50" i="75" s="1"/>
  <c r="E52" i="31"/>
  <c r="E54" i="31"/>
  <c r="I54" i="31" s="1"/>
  <c r="E55" i="31"/>
  <c r="E107" i="31"/>
  <c r="I107" i="31" s="1"/>
  <c r="E57" i="31"/>
  <c r="I57" i="31" s="1"/>
  <c r="E108" i="31"/>
  <c r="I108" i="31" s="1"/>
  <c r="E56" i="31"/>
  <c r="I56" i="31" s="1"/>
  <c r="E50" i="31"/>
  <c r="I50" i="31" s="1"/>
  <c r="E51" i="31"/>
  <c r="I51" i="31" s="1"/>
  <c r="E53" i="31"/>
  <c r="I53" i="31" s="1"/>
  <c r="E109" i="31"/>
  <c r="E58" i="31"/>
  <c r="E52" i="45"/>
  <c r="I52" i="45" s="1"/>
  <c r="E57" i="45"/>
  <c r="E58" i="45"/>
  <c r="E54" i="45"/>
  <c r="E56" i="45"/>
  <c r="E108" i="45"/>
  <c r="I108" i="45" s="1"/>
  <c r="E50" i="45"/>
  <c r="E107" i="45"/>
  <c r="E51" i="45"/>
  <c r="E53" i="45"/>
  <c r="I53" i="45" s="1"/>
  <c r="E109" i="45"/>
  <c r="E15" i="30"/>
  <c r="H15" i="30" s="1"/>
  <c r="I15" i="30" s="1"/>
  <c r="E21" i="30"/>
  <c r="H21" i="30" s="1"/>
  <c r="I21" i="30" s="1"/>
  <c r="E20" i="30"/>
  <c r="H20" i="30" s="1"/>
  <c r="I20" i="30" s="1"/>
  <c r="E23" i="30"/>
  <c r="H23" i="30" s="1"/>
  <c r="I23" i="30" s="1"/>
  <c r="E17" i="51"/>
  <c r="H17" i="51" s="1"/>
  <c r="I17" i="51" s="1"/>
  <c r="E24" i="51"/>
  <c r="H24" i="51" s="1"/>
  <c r="I24" i="51" s="1"/>
  <c r="E15" i="51"/>
  <c r="H15" i="51" s="1"/>
  <c r="I15" i="51" s="1"/>
  <c r="E25" i="51"/>
  <c r="E19" i="51"/>
  <c r="H19" i="51" s="1"/>
  <c r="I19" i="51" s="1"/>
  <c r="E23" i="51"/>
  <c r="H23" i="51" s="1"/>
  <c r="I23" i="51" s="1"/>
  <c r="E18" i="51"/>
  <c r="E26" i="51"/>
  <c r="E23" i="57"/>
  <c r="H23" i="57" s="1"/>
  <c r="I23" i="57" s="1"/>
  <c r="E24" i="57"/>
  <c r="H24" i="57" s="1"/>
  <c r="I24" i="57" s="1"/>
  <c r="E18" i="57"/>
  <c r="T8" i="28"/>
  <c r="P92" i="28" s="1"/>
  <c r="E90" i="28"/>
  <c r="T8" i="27"/>
  <c r="P91" i="27" s="1"/>
  <c r="E90" i="27"/>
  <c r="T107" i="33"/>
  <c r="H109" i="33"/>
  <c r="T109" i="33" s="1"/>
  <c r="T8" i="40"/>
  <c r="E90" i="40"/>
  <c r="E92" i="40"/>
  <c r="E37" i="27"/>
  <c r="E39" i="27"/>
  <c r="E38" i="27"/>
  <c r="E42" i="27"/>
  <c r="I42" i="27" s="1"/>
  <c r="E41" i="27"/>
  <c r="I41" i="27" s="1"/>
  <c r="T107" i="34"/>
  <c r="H109" i="34"/>
  <c r="T109" i="34" s="1"/>
  <c r="E16" i="43"/>
  <c r="H16" i="43" s="1"/>
  <c r="I16" i="43" s="1"/>
  <c r="E22" i="43"/>
  <c r="H22" i="43" s="1"/>
  <c r="I22" i="43" s="1"/>
  <c r="E13" i="43"/>
  <c r="H13" i="43" s="1"/>
  <c r="I13" i="43" s="1"/>
  <c r="E23" i="43"/>
  <c r="H23" i="43" s="1"/>
  <c r="I23" i="43" s="1"/>
  <c r="E14" i="43"/>
  <c r="H14" i="43" s="1"/>
  <c r="I14" i="43" s="1"/>
  <c r="E28" i="43"/>
  <c r="H28" i="43" s="1"/>
  <c r="I28" i="43" s="1"/>
  <c r="E19" i="43"/>
  <c r="H19" i="43" s="1"/>
  <c r="I19" i="43" s="1"/>
  <c r="E39" i="69"/>
  <c r="E40" i="69"/>
  <c r="E37" i="69"/>
  <c r="E38" i="69"/>
  <c r="I38" i="69" s="1"/>
  <c r="E107" i="32"/>
  <c r="I107" i="32" s="1"/>
  <c r="E108" i="32"/>
  <c r="I108" i="32" s="1"/>
  <c r="E109" i="32"/>
  <c r="I109" i="32" s="1"/>
  <c r="E13" i="56"/>
  <c r="H13" i="56" s="1"/>
  <c r="E22" i="56"/>
  <c r="E21" i="56"/>
  <c r="E20" i="56"/>
  <c r="E23" i="56"/>
  <c r="H23" i="56" s="1"/>
  <c r="I23" i="56" s="1"/>
  <c r="E18" i="56"/>
  <c r="E14" i="56"/>
  <c r="H14" i="56" s="1"/>
  <c r="I14" i="56" s="1"/>
  <c r="E26" i="56"/>
  <c r="E16" i="56"/>
  <c r="H16" i="56" s="1"/>
  <c r="I16" i="56" s="1"/>
  <c r="E41" i="69"/>
  <c r="E91" i="36"/>
  <c r="E90" i="36"/>
  <c r="E92" i="36"/>
  <c r="H15" i="18"/>
  <c r="I15" i="18" s="1"/>
  <c r="E37" i="34"/>
  <c r="E40" i="34"/>
  <c r="I40" i="34" s="1"/>
  <c r="E17" i="23"/>
  <c r="E40" i="50"/>
  <c r="I40" i="50" s="1"/>
  <c r="E20" i="76"/>
  <c r="E26" i="76"/>
  <c r="H26" i="76" s="1"/>
  <c r="I26" i="76" s="1"/>
  <c r="E18" i="76"/>
  <c r="H18" i="76" s="1"/>
  <c r="I18" i="76" s="1"/>
  <c r="E28" i="76"/>
  <c r="H28" i="76" s="1"/>
  <c r="I28" i="76" s="1"/>
  <c r="E17" i="76"/>
  <c r="E27" i="76"/>
  <c r="H27" i="76" s="1"/>
  <c r="I27" i="76" s="1"/>
  <c r="E22" i="76"/>
  <c r="H22" i="76" s="1"/>
  <c r="I22" i="76" s="1"/>
  <c r="E14" i="76"/>
  <c r="E13" i="76"/>
  <c r="E23" i="76"/>
  <c r="E37" i="25"/>
  <c r="E38" i="25"/>
  <c r="I38" i="25" s="1"/>
  <c r="E39" i="25"/>
  <c r="E40" i="25"/>
  <c r="I40" i="25" s="1"/>
  <c r="E42" i="25"/>
  <c r="E43" i="25" s="1"/>
  <c r="E15" i="76"/>
  <c r="H15" i="76" s="1"/>
  <c r="I15" i="76" s="1"/>
  <c r="E52" i="67"/>
  <c r="I52" i="67" s="1"/>
  <c r="E53" i="67"/>
  <c r="E107" i="67"/>
  <c r="E55" i="67"/>
  <c r="E54" i="67"/>
  <c r="I54" i="67" s="1"/>
  <c r="E56" i="67"/>
  <c r="I56" i="67" s="1"/>
  <c r="E108" i="67"/>
  <c r="I108" i="67" s="1"/>
  <c r="E57" i="67"/>
  <c r="E58" i="67"/>
  <c r="E54" i="25"/>
  <c r="I54" i="25" s="1"/>
  <c r="E56" i="25"/>
  <c r="I56" i="25" s="1"/>
  <c r="E57" i="25"/>
  <c r="I57" i="25" s="1"/>
  <c r="E51" i="25"/>
  <c r="I51" i="25" s="1"/>
  <c r="E107" i="25"/>
  <c r="I107" i="25" s="1"/>
  <c r="E26" i="40"/>
  <c r="H26" i="40" s="1"/>
  <c r="I26" i="40" s="1"/>
  <c r="E22" i="40"/>
  <c r="H22" i="40" s="1"/>
  <c r="I22" i="40" s="1"/>
  <c r="E24" i="40"/>
  <c r="H24" i="40" s="1"/>
  <c r="I24" i="40" s="1"/>
  <c r="T107" i="48"/>
  <c r="H109" i="48"/>
  <c r="T107" i="21"/>
  <c r="H109" i="21"/>
  <c r="E22" i="36"/>
  <c r="H22" i="36" s="1"/>
  <c r="I22" i="36" s="1"/>
  <c r="E21" i="36"/>
  <c r="H21" i="36" s="1"/>
  <c r="I21" i="36" s="1"/>
  <c r="E23" i="36"/>
  <c r="H23" i="36" s="1"/>
  <c r="I23" i="36" s="1"/>
  <c r="I51" i="45"/>
  <c r="E56" i="71"/>
  <c r="I56" i="71" s="1"/>
  <c r="E53" i="71"/>
  <c r="E55" i="71"/>
  <c r="I55" i="71" s="1"/>
  <c r="E108" i="71"/>
  <c r="I108" i="71" s="1"/>
  <c r="E58" i="71"/>
  <c r="I58" i="71" s="1"/>
  <c r="E57" i="71"/>
  <c r="E109" i="71"/>
  <c r="I109" i="71" s="1"/>
  <c r="E23" i="16"/>
  <c r="H23" i="16" s="1"/>
  <c r="I23" i="16" s="1"/>
  <c r="E16" i="16"/>
  <c r="E26" i="16"/>
  <c r="H26" i="16" s="1"/>
  <c r="E19" i="16"/>
  <c r="H19" i="16" s="1"/>
  <c r="I19" i="16" s="1"/>
  <c r="E28" i="16"/>
  <c r="H28" i="16" s="1"/>
  <c r="E18" i="16"/>
  <c r="H18" i="16" s="1"/>
  <c r="I18" i="16" s="1"/>
  <c r="E27" i="16"/>
  <c r="H27" i="16" s="1"/>
  <c r="I27" i="16" s="1"/>
  <c r="I108" i="20"/>
  <c r="E15" i="20"/>
  <c r="H15" i="20" s="1"/>
  <c r="I15" i="20" s="1"/>
  <c r="E22" i="20"/>
  <c r="H22" i="20" s="1"/>
  <c r="I22" i="20" s="1"/>
  <c r="E21" i="20"/>
  <c r="H21" i="20" s="1"/>
  <c r="I21" i="20" s="1"/>
  <c r="E17" i="20"/>
  <c r="H17" i="20" s="1"/>
  <c r="I17" i="20" s="1"/>
  <c r="E38" i="21"/>
  <c r="I38" i="21" s="1"/>
  <c r="E37" i="21"/>
  <c r="E109" i="25"/>
  <c r="E14" i="40"/>
  <c r="H26" i="44"/>
  <c r="H14" i="44"/>
  <c r="E108" i="50"/>
  <c r="I108" i="50" s="1"/>
  <c r="E55" i="50"/>
  <c r="I55" i="50" s="1"/>
  <c r="E25" i="76"/>
  <c r="H25" i="76" s="1"/>
  <c r="I25" i="76" s="1"/>
  <c r="E40" i="58"/>
  <c r="I40" i="58" s="1"/>
  <c r="E39" i="58"/>
  <c r="I39" i="58" s="1"/>
  <c r="H23" i="69"/>
  <c r="I23" i="69" s="1"/>
  <c r="E13" i="69"/>
  <c r="H13" i="69" s="1"/>
  <c r="I13" i="69" s="1"/>
  <c r="E41" i="25"/>
  <c r="I41" i="25" s="1"/>
  <c r="E14" i="50"/>
  <c r="H14" i="50" s="1"/>
  <c r="I14" i="50" s="1"/>
  <c r="E58" i="25"/>
  <c r="I58" i="25" s="1"/>
  <c r="E38" i="32"/>
  <c r="I38" i="32" s="1"/>
  <c r="E37" i="32"/>
  <c r="E43" i="32" s="1"/>
  <c r="E42" i="32"/>
  <c r="I42" i="32" s="1"/>
  <c r="E39" i="32"/>
  <c r="E40" i="32"/>
  <c r="I40" i="32" s="1"/>
  <c r="E16" i="35"/>
  <c r="H16" i="35" s="1"/>
  <c r="I16" i="35" s="1"/>
  <c r="E13" i="35"/>
  <c r="H13" i="35" s="1"/>
  <c r="I13" i="35" s="1"/>
  <c r="E22" i="35"/>
  <c r="E17" i="35"/>
  <c r="H17" i="35" s="1"/>
  <c r="I17" i="35" s="1"/>
  <c r="E27" i="35"/>
  <c r="H27" i="35" s="1"/>
  <c r="I27" i="35" s="1"/>
  <c r="E28" i="35"/>
  <c r="H28" i="35" s="1"/>
  <c r="I28" i="35" s="1"/>
  <c r="E14" i="36"/>
  <c r="H14" i="36" s="1"/>
  <c r="I14" i="36" s="1"/>
  <c r="E52" i="37"/>
  <c r="E54" i="37"/>
  <c r="I54" i="37" s="1"/>
  <c r="E53" i="37"/>
  <c r="E28" i="40"/>
  <c r="H18" i="51"/>
  <c r="E109" i="67"/>
  <c r="I109" i="67" s="1"/>
  <c r="E54" i="77"/>
  <c r="I54" i="77" s="1"/>
  <c r="E56" i="77"/>
  <c r="E108" i="77"/>
  <c r="I108" i="77" s="1"/>
  <c r="E57" i="77"/>
  <c r="E50" i="77"/>
  <c r="E107" i="77"/>
  <c r="I107" i="77" s="1"/>
  <c r="E53" i="77"/>
  <c r="I53" i="77" s="1"/>
  <c r="E14" i="77"/>
  <c r="H14" i="77" s="1"/>
  <c r="I14" i="77" s="1"/>
  <c r="E24" i="77"/>
  <c r="H24" i="77" s="1"/>
  <c r="I24" i="77" s="1"/>
  <c r="I108" i="38"/>
  <c r="T108" i="38"/>
  <c r="E52" i="56"/>
  <c r="I52" i="56" s="1"/>
  <c r="E51" i="56"/>
  <c r="I51" i="56" s="1"/>
  <c r="E52" i="68"/>
  <c r="I52" i="68" s="1"/>
  <c r="E54" i="68"/>
  <c r="I54" i="68" s="1"/>
  <c r="E50" i="68"/>
  <c r="I50" i="68" s="1"/>
  <c r="I57" i="69"/>
  <c r="E14" i="23"/>
  <c r="H14" i="23" s="1"/>
  <c r="I14" i="23" s="1"/>
  <c r="E21" i="23"/>
  <c r="E22" i="23"/>
  <c r="E25" i="23"/>
  <c r="E15" i="23"/>
  <c r="H18" i="39"/>
  <c r="E54" i="50"/>
  <c r="I54" i="50" s="1"/>
  <c r="E107" i="50"/>
  <c r="I107" i="50" s="1"/>
  <c r="E53" i="50"/>
  <c r="I53" i="50" s="1"/>
  <c r="E50" i="50"/>
  <c r="I50" i="50" s="1"/>
  <c r="T107" i="26"/>
  <c r="H109" i="26"/>
  <c r="E41" i="50"/>
  <c r="E24" i="69"/>
  <c r="H24" i="69" s="1"/>
  <c r="I24" i="69" s="1"/>
  <c r="E28" i="69"/>
  <c r="E18" i="69"/>
  <c r="H18" i="69" s="1"/>
  <c r="E27" i="69"/>
  <c r="H27" i="69" s="1"/>
  <c r="E19" i="69"/>
  <c r="H19" i="69" s="1"/>
  <c r="I19" i="69" s="1"/>
  <c r="E15" i="69"/>
  <c r="H15" i="69" s="1"/>
  <c r="I15" i="69" s="1"/>
  <c r="E25" i="69"/>
  <c r="E17" i="69"/>
  <c r="H17" i="69" s="1"/>
  <c r="I17" i="69" s="1"/>
  <c r="E24" i="68"/>
  <c r="H24" i="68" s="1"/>
  <c r="I24" i="68" s="1"/>
  <c r="E16" i="68"/>
  <c r="E17" i="68"/>
  <c r="H17" i="68" s="1"/>
  <c r="E18" i="68"/>
  <c r="H18" i="68" s="1"/>
  <c r="I18" i="68" s="1"/>
  <c r="E53" i="30"/>
  <c r="I53" i="30" s="1"/>
  <c r="E50" i="30"/>
  <c r="I50" i="30" s="1"/>
  <c r="E55" i="30"/>
  <c r="I55" i="30" s="1"/>
  <c r="E108" i="30"/>
  <c r="T8" i="30"/>
  <c r="P90" i="30" s="1"/>
  <c r="E91" i="30"/>
  <c r="T107" i="16"/>
  <c r="H109" i="16"/>
  <c r="I108" i="24"/>
  <c r="I107" i="26"/>
  <c r="E27" i="39"/>
  <c r="H27" i="39" s="1"/>
  <c r="I27" i="39" s="1"/>
  <c r="E23" i="39"/>
  <c r="E13" i="39"/>
  <c r="H13" i="39" s="1"/>
  <c r="I13" i="39" s="1"/>
  <c r="E15" i="39"/>
  <c r="H15" i="39" s="1"/>
  <c r="E26" i="39"/>
  <c r="H26" i="39" s="1"/>
  <c r="I26" i="39" s="1"/>
  <c r="E28" i="39"/>
  <c r="H28" i="39" s="1"/>
  <c r="I28" i="39" s="1"/>
  <c r="E16" i="39"/>
  <c r="H16" i="39" s="1"/>
  <c r="I16" i="39" s="1"/>
  <c r="E18" i="39"/>
  <c r="J18" i="39" s="1"/>
  <c r="E58" i="50"/>
  <c r="E38" i="50"/>
  <c r="I38" i="50" s="1"/>
  <c r="I107" i="51"/>
  <c r="H109" i="51"/>
  <c r="T109" i="51" s="1"/>
  <c r="E16" i="76"/>
  <c r="E56" i="56"/>
  <c r="I56" i="56" s="1"/>
  <c r="H109" i="70"/>
  <c r="T107" i="70"/>
  <c r="E27" i="23"/>
  <c r="E37" i="50"/>
  <c r="E15" i="67"/>
  <c r="E25" i="67"/>
  <c r="H25" i="67" s="1"/>
  <c r="I25" i="67" s="1"/>
  <c r="E14" i="67"/>
  <c r="H14" i="67" s="1"/>
  <c r="I14" i="67" s="1"/>
  <c r="I57" i="47"/>
  <c r="E26" i="23"/>
  <c r="H26" i="23" s="1"/>
  <c r="I26" i="23" s="1"/>
  <c r="I107" i="45"/>
  <c r="E14" i="69"/>
  <c r="E17" i="18"/>
  <c r="E21" i="18"/>
  <c r="H21" i="18" s="1"/>
  <c r="I21" i="18" s="1"/>
  <c r="E13" i="18"/>
  <c r="H13" i="18" s="1"/>
  <c r="I13" i="18" s="1"/>
  <c r="E25" i="18"/>
  <c r="H25" i="18" s="1"/>
  <c r="I25" i="18" s="1"/>
  <c r="H28" i="20"/>
  <c r="E42" i="21"/>
  <c r="E57" i="24"/>
  <c r="I57" i="24" s="1"/>
  <c r="E51" i="24"/>
  <c r="I51" i="24" s="1"/>
  <c r="H28" i="33"/>
  <c r="E52" i="35"/>
  <c r="I52" i="35" s="1"/>
  <c r="E57" i="35"/>
  <c r="I57" i="35" s="1"/>
  <c r="E108" i="35"/>
  <c r="I108" i="35" s="1"/>
  <c r="E58" i="35"/>
  <c r="E54" i="35"/>
  <c r="I54" i="35" s="1"/>
  <c r="E107" i="35"/>
  <c r="I107" i="35" s="1"/>
  <c r="E56" i="35"/>
  <c r="I56" i="35" s="1"/>
  <c r="E55" i="35"/>
  <c r="I55" i="35" s="1"/>
  <c r="E28" i="36"/>
  <c r="H28" i="36" s="1"/>
  <c r="I28" i="36" s="1"/>
  <c r="E57" i="40"/>
  <c r="I57" i="40" s="1"/>
  <c r="E13" i="40"/>
  <c r="H109" i="47"/>
  <c r="I107" i="47"/>
  <c r="T107" i="47"/>
  <c r="E13" i="48"/>
  <c r="E16" i="48"/>
  <c r="H16" i="48" s="1"/>
  <c r="I16" i="48" s="1"/>
  <c r="E26" i="48"/>
  <c r="H26" i="48" s="1"/>
  <c r="I26" i="48" s="1"/>
  <c r="E17" i="48"/>
  <c r="H17" i="48" s="1"/>
  <c r="I17" i="48" s="1"/>
  <c r="E27" i="48"/>
  <c r="H27" i="48" s="1"/>
  <c r="I27" i="48" s="1"/>
  <c r="E18" i="75"/>
  <c r="E27" i="75"/>
  <c r="E26" i="75"/>
  <c r="H26" i="75" s="1"/>
  <c r="I26" i="75" s="1"/>
  <c r="E23" i="75"/>
  <c r="H23" i="75" s="1"/>
  <c r="I23" i="75" s="1"/>
  <c r="E25" i="75"/>
  <c r="H25" i="75" s="1"/>
  <c r="I25" i="75" s="1"/>
  <c r="E42" i="58"/>
  <c r="I42" i="58" s="1"/>
  <c r="E50" i="78"/>
  <c r="I108" i="27"/>
  <c r="E14" i="32"/>
  <c r="H14" i="32" s="1"/>
  <c r="I14" i="32" s="1"/>
  <c r="E22" i="32"/>
  <c r="H22" i="32" s="1"/>
  <c r="I22" i="32" s="1"/>
  <c r="E23" i="32"/>
  <c r="H23" i="32" s="1"/>
  <c r="I23" i="32" s="1"/>
  <c r="E14" i="71"/>
  <c r="H14" i="71" s="1"/>
  <c r="I14" i="71" s="1"/>
  <c r="E16" i="71"/>
  <c r="E17" i="71"/>
  <c r="H17" i="71" s="1"/>
  <c r="I17" i="71" s="1"/>
  <c r="E26" i="71"/>
  <c r="H26" i="71" s="1"/>
  <c r="I26" i="71" s="1"/>
  <c r="E27" i="71"/>
  <c r="E18" i="15"/>
  <c r="H18" i="15" s="1"/>
  <c r="I18" i="15" s="1"/>
  <c r="E40" i="36"/>
  <c r="E41" i="36"/>
  <c r="E42" i="36"/>
  <c r="I42" i="36" s="1"/>
  <c r="E109" i="78"/>
  <c r="E42" i="28"/>
  <c r="E18" i="32"/>
  <c r="J18" i="32" s="1"/>
  <c r="E41" i="38"/>
  <c r="I41" i="38" s="1"/>
  <c r="E56" i="66"/>
  <c r="I56" i="66" s="1"/>
  <c r="E55" i="66"/>
  <c r="I55" i="66" s="1"/>
  <c r="E108" i="66"/>
  <c r="I108" i="66" s="1"/>
  <c r="E18" i="71"/>
  <c r="H18" i="71" s="1"/>
  <c r="I18" i="71" s="1"/>
  <c r="E17" i="78"/>
  <c r="E26" i="78"/>
  <c r="E14" i="78"/>
  <c r="H14" i="78" s="1"/>
  <c r="I14" i="78" s="1"/>
  <c r="E17" i="15"/>
  <c r="H17" i="15" s="1"/>
  <c r="I17" i="15" s="1"/>
  <c r="E40" i="18"/>
  <c r="E43" i="18" s="1"/>
  <c r="E41" i="18"/>
  <c r="E42" i="18"/>
  <c r="E41" i="28"/>
  <c r="I41" i="28" s="1"/>
  <c r="E28" i="32"/>
  <c r="H28" i="32" s="1"/>
  <c r="I28" i="32" s="1"/>
  <c r="I108" i="33"/>
  <c r="E39" i="36"/>
  <c r="I39" i="36" s="1"/>
  <c r="T100" i="37"/>
  <c r="U100" i="37" s="1"/>
  <c r="E40" i="38"/>
  <c r="I40" i="38" s="1"/>
  <c r="E40" i="42"/>
  <c r="E91" i="43"/>
  <c r="E57" i="47"/>
  <c r="E108" i="47"/>
  <c r="I108" i="47" s="1"/>
  <c r="E56" i="47"/>
  <c r="J18" i="47" s="1"/>
  <c r="E52" i="51"/>
  <c r="E50" i="51"/>
  <c r="I50" i="51" s="1"/>
  <c r="E51" i="51"/>
  <c r="E41" i="51"/>
  <c r="E52" i="52"/>
  <c r="I52" i="52" s="1"/>
  <c r="E55" i="52"/>
  <c r="I55" i="52" s="1"/>
  <c r="E107" i="52"/>
  <c r="I107" i="52" s="1"/>
  <c r="E56" i="52"/>
  <c r="I56" i="52" s="1"/>
  <c r="E50" i="52"/>
  <c r="I50" i="52" s="1"/>
  <c r="E42" i="76"/>
  <c r="E43" i="76" s="1"/>
  <c r="E39" i="66"/>
  <c r="E15" i="70"/>
  <c r="E23" i="70"/>
  <c r="E14" i="70"/>
  <c r="H14" i="70" s="1"/>
  <c r="I14" i="70" s="1"/>
  <c r="E24" i="70"/>
  <c r="E28" i="71"/>
  <c r="E18" i="78"/>
  <c r="E52" i="78"/>
  <c r="E53" i="78"/>
  <c r="I53" i="78" s="1"/>
  <c r="E54" i="78"/>
  <c r="I54" i="78" s="1"/>
  <c r="H19" i="24"/>
  <c r="I19" i="24" s="1"/>
  <c r="E52" i="38"/>
  <c r="I52" i="38" s="1"/>
  <c r="E107" i="38"/>
  <c r="I107" i="38" s="1"/>
  <c r="E53" i="38"/>
  <c r="I53" i="38" s="1"/>
  <c r="I108" i="30"/>
  <c r="E18" i="34"/>
  <c r="H18" i="34" s="1"/>
  <c r="I18" i="34" s="1"/>
  <c r="E16" i="34"/>
  <c r="H16" i="34" s="1"/>
  <c r="E28" i="34"/>
  <c r="T107" i="37"/>
  <c r="H109" i="37"/>
  <c r="T109" i="37" s="1"/>
  <c r="E109" i="38"/>
  <c r="E50" i="42"/>
  <c r="E109" i="42"/>
  <c r="I109" i="42" s="1"/>
  <c r="E53" i="42"/>
  <c r="E37" i="47"/>
  <c r="E39" i="47"/>
  <c r="E38" i="47"/>
  <c r="I38" i="47" s="1"/>
  <c r="E42" i="66"/>
  <c r="I42" i="66" s="1"/>
  <c r="E51" i="18"/>
  <c r="E57" i="18"/>
  <c r="I57" i="18" s="1"/>
  <c r="E108" i="18"/>
  <c r="E58" i="18"/>
  <c r="E28" i="24"/>
  <c r="E40" i="28"/>
  <c r="I40" i="28" s="1"/>
  <c r="E17" i="32"/>
  <c r="H17" i="32" s="1"/>
  <c r="I17" i="32" s="1"/>
  <c r="E20" i="33"/>
  <c r="H20" i="33" s="1"/>
  <c r="E25" i="33"/>
  <c r="H25" i="33" s="1"/>
  <c r="I25" i="33" s="1"/>
  <c r="E16" i="33"/>
  <c r="H16" i="33" s="1"/>
  <c r="I16" i="33" s="1"/>
  <c r="E17" i="33"/>
  <c r="H17" i="33" s="1"/>
  <c r="I17" i="33" s="1"/>
  <c r="E26" i="33"/>
  <c r="H109" i="35"/>
  <c r="T107" i="35"/>
  <c r="E38" i="36"/>
  <c r="I38" i="36" s="1"/>
  <c r="E38" i="38"/>
  <c r="E43" i="38" s="1"/>
  <c r="I108" i="42"/>
  <c r="E37" i="42"/>
  <c r="E38" i="43"/>
  <c r="I38" i="43" s="1"/>
  <c r="E41" i="43"/>
  <c r="E43" i="43" s="1"/>
  <c r="E39" i="43"/>
  <c r="E40" i="43"/>
  <c r="E42" i="47"/>
  <c r="E40" i="51"/>
  <c r="E39" i="52"/>
  <c r="E38" i="52"/>
  <c r="E41" i="76"/>
  <c r="I41" i="76" s="1"/>
  <c r="E50" i="55"/>
  <c r="I50" i="55" s="1"/>
  <c r="E57" i="55"/>
  <c r="I57" i="55" s="1"/>
  <c r="E109" i="55"/>
  <c r="H18" i="70"/>
  <c r="I18" i="70" s="1"/>
  <c r="E57" i="78"/>
  <c r="E24" i="15"/>
  <c r="H24" i="15" s="1"/>
  <c r="I24" i="15" s="1"/>
  <c r="E20" i="15"/>
  <c r="H20" i="15" s="1"/>
  <c r="I20" i="15" s="1"/>
  <c r="E22" i="15"/>
  <c r="E50" i="34"/>
  <c r="I50" i="34" s="1"/>
  <c r="E108" i="34"/>
  <c r="I108" i="34" s="1"/>
  <c r="E57" i="34"/>
  <c r="I57" i="34" s="1"/>
  <c r="F483" i="64"/>
  <c r="G483" i="64" s="1"/>
  <c r="E38" i="17"/>
  <c r="I38" i="17" s="1"/>
  <c r="E41" i="17"/>
  <c r="I41" i="17" s="1"/>
  <c r="E15" i="26"/>
  <c r="H15" i="26" s="1"/>
  <c r="I15" i="26" s="1"/>
  <c r="E39" i="28"/>
  <c r="E27" i="32"/>
  <c r="H27" i="32" s="1"/>
  <c r="I27" i="32" s="1"/>
  <c r="H18" i="33"/>
  <c r="I18" i="33" s="1"/>
  <c r="E109" i="34"/>
  <c r="E37" i="36"/>
  <c r="I37" i="36" s="1"/>
  <c r="E37" i="38"/>
  <c r="E58" i="42"/>
  <c r="E18" i="42"/>
  <c r="E16" i="42"/>
  <c r="H16" i="42" s="1"/>
  <c r="I16" i="42" s="1"/>
  <c r="E15" i="42"/>
  <c r="H15" i="42" s="1"/>
  <c r="I15" i="42" s="1"/>
  <c r="E25" i="42"/>
  <c r="H25" i="42" s="1"/>
  <c r="I25" i="42" s="1"/>
  <c r="E20" i="42"/>
  <c r="H20" i="42" s="1"/>
  <c r="E52" i="43"/>
  <c r="I52" i="43" s="1"/>
  <c r="E108" i="43"/>
  <c r="I108" i="43" s="1"/>
  <c r="E56" i="43"/>
  <c r="J18" i="43" s="1"/>
  <c r="E57" i="43"/>
  <c r="I57" i="43" s="1"/>
  <c r="E41" i="47"/>
  <c r="I41" i="47" s="1"/>
  <c r="I109" i="51"/>
  <c r="E38" i="51"/>
  <c r="I38" i="51" s="1"/>
  <c r="H21" i="76"/>
  <c r="I21" i="76" s="1"/>
  <c r="E58" i="66"/>
  <c r="I58" i="66" s="1"/>
  <c r="E18" i="70"/>
  <c r="J18" i="70" s="1"/>
  <c r="H23" i="68"/>
  <c r="I23" i="68" s="1"/>
  <c r="E108" i="78"/>
  <c r="I108" i="78" s="1"/>
  <c r="H28" i="69"/>
  <c r="H26" i="33"/>
  <c r="I26" i="33" s="1"/>
  <c r="E50" i="15"/>
  <c r="I39" i="18"/>
  <c r="E90" i="23"/>
  <c r="H23" i="39"/>
  <c r="I23" i="39" s="1"/>
  <c r="E13" i="52"/>
  <c r="E16" i="55"/>
  <c r="E19" i="44"/>
  <c r="H19" i="44" s="1"/>
  <c r="I19" i="44" s="1"/>
  <c r="E40" i="16"/>
  <c r="E109" i="26"/>
  <c r="E41" i="26"/>
  <c r="I41" i="26" s="1"/>
  <c r="H15" i="27"/>
  <c r="I15" i="27" s="1"/>
  <c r="E41" i="35"/>
  <c r="E40" i="23"/>
  <c r="E50" i="39"/>
  <c r="E42" i="40"/>
  <c r="E41" i="45"/>
  <c r="I41" i="45" s="1"/>
  <c r="H20" i="52"/>
  <c r="I20" i="52" s="1"/>
  <c r="I53" i="67"/>
  <c r="I50" i="15"/>
  <c r="E37" i="16"/>
  <c r="H21" i="16"/>
  <c r="E17" i="21"/>
  <c r="H17" i="21" s="1"/>
  <c r="I17" i="21" s="1"/>
  <c r="E58" i="26"/>
  <c r="E40" i="26"/>
  <c r="E38" i="35"/>
  <c r="E37" i="23"/>
  <c r="I37" i="23" s="1"/>
  <c r="E41" i="40"/>
  <c r="I41" i="40" s="1"/>
  <c r="E28" i="44"/>
  <c r="H16" i="44"/>
  <c r="I16" i="44" s="1"/>
  <c r="E38" i="45"/>
  <c r="I38" i="45" s="1"/>
  <c r="E20" i="52"/>
  <c r="E28" i="55"/>
  <c r="H28" i="55" s="1"/>
  <c r="I28" i="55" s="1"/>
  <c r="F487" i="64"/>
  <c r="G487" i="64" s="1"/>
  <c r="F479" i="64"/>
  <c r="G479" i="64" s="1"/>
  <c r="I51" i="66"/>
  <c r="I53" i="52"/>
  <c r="I58" i="45"/>
  <c r="I58" i="31"/>
  <c r="E38" i="7"/>
  <c r="I38" i="7" s="1"/>
  <c r="E92" i="24"/>
  <c r="E92" i="26"/>
  <c r="E92" i="31"/>
  <c r="I55" i="70"/>
  <c r="E91" i="20"/>
  <c r="E90" i="35"/>
  <c r="U84" i="16"/>
  <c r="E91" i="26"/>
  <c r="E91" i="31"/>
  <c r="E90" i="24"/>
  <c r="H17" i="23"/>
  <c r="I17" i="23" s="1"/>
  <c r="T8" i="24"/>
  <c r="E90" i="31"/>
  <c r="U84" i="39"/>
  <c r="E92" i="28"/>
  <c r="E91" i="28"/>
  <c r="I50" i="70"/>
  <c r="E92" i="35"/>
  <c r="H22" i="24"/>
  <c r="I22" i="24" s="1"/>
  <c r="I53" i="37"/>
  <c r="I54" i="45"/>
  <c r="I54" i="51"/>
  <c r="I21" i="75"/>
  <c r="I28" i="69"/>
  <c r="E92" i="68"/>
  <c r="I52" i="28"/>
  <c r="T57" i="69"/>
  <c r="U57" i="69" s="1"/>
  <c r="E92" i="30"/>
  <c r="I57" i="15"/>
  <c r="E92" i="66"/>
  <c r="I57" i="45"/>
  <c r="T8" i="23"/>
  <c r="P92" i="23" s="1"/>
  <c r="I52" i="31"/>
  <c r="E90" i="66"/>
  <c r="I58" i="50"/>
  <c r="T8" i="66"/>
  <c r="P92" i="66" s="1"/>
  <c r="H23" i="78"/>
  <c r="I23" i="78" s="1"/>
  <c r="E25" i="7"/>
  <c r="H25" i="7" s="1"/>
  <c r="I25" i="7" s="1"/>
  <c r="E92" i="17"/>
  <c r="E92" i="21"/>
  <c r="U84" i="23"/>
  <c r="E92" i="52"/>
  <c r="T56" i="67"/>
  <c r="U56" i="67" s="1"/>
  <c r="E92" i="77"/>
  <c r="E22" i="7"/>
  <c r="H22" i="7" s="1"/>
  <c r="I22" i="7" s="1"/>
  <c r="I39" i="33"/>
  <c r="U84" i="7"/>
  <c r="E19" i="7"/>
  <c r="H19" i="7" s="1"/>
  <c r="I19" i="7" s="1"/>
  <c r="I42" i="18"/>
  <c r="I37" i="22"/>
  <c r="I16" i="34"/>
  <c r="I19" i="23"/>
  <c r="I38" i="39"/>
  <c r="E92" i="45"/>
  <c r="E91" i="52"/>
  <c r="E90" i="17"/>
  <c r="H24" i="31"/>
  <c r="I24" i="31" s="1"/>
  <c r="I41" i="36"/>
  <c r="U84" i="42"/>
  <c r="H24" i="45"/>
  <c r="T8" i="50"/>
  <c r="E92" i="22"/>
  <c r="I20" i="33"/>
  <c r="I40" i="39"/>
  <c r="E92" i="27"/>
  <c r="I38" i="23"/>
  <c r="U84" i="40"/>
  <c r="E90" i="43"/>
  <c r="E91" i="45"/>
  <c r="T51" i="45"/>
  <c r="U51" i="45" s="1"/>
  <c r="I40" i="57"/>
  <c r="H21" i="24"/>
  <c r="I21" i="24" s="1"/>
  <c r="I42" i="24"/>
  <c r="E90" i="26"/>
  <c r="H28" i="40"/>
  <c r="I28" i="40" s="1"/>
  <c r="I14" i="44"/>
  <c r="E92" i="50"/>
  <c r="I51" i="51"/>
  <c r="E91" i="58"/>
  <c r="I57" i="78"/>
  <c r="E90" i="30"/>
  <c r="E91" i="27"/>
  <c r="I40" i="23"/>
  <c r="E90" i="45"/>
  <c r="H26" i="17"/>
  <c r="I26" i="17" s="1"/>
  <c r="H20" i="56"/>
  <c r="I20" i="56" s="1"/>
  <c r="E28" i="7"/>
  <c r="H28" i="7" s="1"/>
  <c r="I28" i="7" s="1"/>
  <c r="I40" i="22"/>
  <c r="I18" i="39"/>
  <c r="E91" i="40"/>
  <c r="H28" i="44"/>
  <c r="I28" i="44" s="1"/>
  <c r="H24" i="52"/>
  <c r="I24" i="52" s="1"/>
  <c r="U84" i="78"/>
  <c r="P91" i="20"/>
  <c r="P90" i="20"/>
  <c r="P90" i="40"/>
  <c r="P91" i="40"/>
  <c r="P92" i="40"/>
  <c r="P90" i="43"/>
  <c r="P92" i="43"/>
  <c r="E42" i="7"/>
  <c r="I42" i="7" s="1"/>
  <c r="E27" i="7"/>
  <c r="H27" i="7" s="1"/>
  <c r="I27" i="7" s="1"/>
  <c r="E21" i="7"/>
  <c r="H21" i="7" s="1"/>
  <c r="I21" i="7" s="1"/>
  <c r="I38" i="18"/>
  <c r="I42" i="21"/>
  <c r="I55" i="33"/>
  <c r="T100" i="45"/>
  <c r="U100" i="45" s="1"/>
  <c r="E41" i="7"/>
  <c r="I41" i="7" s="1"/>
  <c r="I37" i="18"/>
  <c r="E91" i="21"/>
  <c r="I40" i="21"/>
  <c r="I21" i="25"/>
  <c r="I58" i="26"/>
  <c r="I53" i="23"/>
  <c r="I37" i="43"/>
  <c r="E40" i="7"/>
  <c r="I40" i="7" s="1"/>
  <c r="E90" i="20"/>
  <c r="I39" i="21"/>
  <c r="I37" i="25"/>
  <c r="T99" i="33"/>
  <c r="H21" i="37"/>
  <c r="I21" i="37" s="1"/>
  <c r="H24" i="38"/>
  <c r="I24" i="38" s="1"/>
  <c r="T57" i="39"/>
  <c r="U57" i="39" s="1"/>
  <c r="U59" i="39" s="1"/>
  <c r="E91" i="50"/>
  <c r="E39" i="7"/>
  <c r="I39" i="7" s="1"/>
  <c r="E26" i="7"/>
  <c r="H26" i="7" s="1"/>
  <c r="I26" i="7" s="1"/>
  <c r="E20" i="7"/>
  <c r="H20" i="7" s="1"/>
  <c r="I20" i="7" s="1"/>
  <c r="I42" i="17"/>
  <c r="T8" i="21"/>
  <c r="P92" i="21" s="1"/>
  <c r="T100" i="31"/>
  <c r="U100" i="31" s="1"/>
  <c r="H21" i="23"/>
  <c r="I21" i="23" s="1"/>
  <c r="I39" i="40"/>
  <c r="H18" i="42"/>
  <c r="I18" i="42" s="1"/>
  <c r="H20" i="76"/>
  <c r="I20" i="76" s="1"/>
  <c r="H23" i="76"/>
  <c r="I23" i="76" s="1"/>
  <c r="I38" i="66"/>
  <c r="H23" i="66"/>
  <c r="I23" i="66" s="1"/>
  <c r="I52" i="70"/>
  <c r="I58" i="77"/>
  <c r="I39" i="26"/>
  <c r="U84" i="45"/>
  <c r="E18" i="7"/>
  <c r="H18" i="7" s="1"/>
  <c r="I18" i="7" s="1"/>
  <c r="H28" i="15"/>
  <c r="I28" i="15" s="1"/>
  <c r="H21" i="17"/>
  <c r="I21" i="17" s="1"/>
  <c r="T8" i="17"/>
  <c r="P90" i="17" s="1"/>
  <c r="U84" i="20"/>
  <c r="I42" i="25"/>
  <c r="H28" i="34"/>
  <c r="I28" i="34" s="1"/>
  <c r="I100" i="35"/>
  <c r="T50" i="38"/>
  <c r="U50" i="38" s="1"/>
  <c r="U84" i="58"/>
  <c r="I40" i="68"/>
  <c r="E17" i="7"/>
  <c r="H17" i="7" s="1"/>
  <c r="H22" i="48"/>
  <c r="I22" i="48" s="1"/>
  <c r="T55" i="52"/>
  <c r="U55" i="52" s="1"/>
  <c r="U59" i="52" s="1"/>
  <c r="I39" i="66"/>
  <c r="I54" i="70"/>
  <c r="I39" i="68"/>
  <c r="E24" i="7"/>
  <c r="H24" i="7" s="1"/>
  <c r="I24" i="7" s="1"/>
  <c r="E13" i="7"/>
  <c r="I54" i="15"/>
  <c r="U84" i="18"/>
  <c r="E92" i="25"/>
  <c r="I52" i="22"/>
  <c r="I40" i="26"/>
  <c r="U84" i="35"/>
  <c r="I50" i="35"/>
  <c r="I39" i="52"/>
  <c r="H17" i="56"/>
  <c r="I17" i="56" s="1"/>
  <c r="T57" i="70"/>
  <c r="U57" i="70" s="1"/>
  <c r="H22" i="78"/>
  <c r="I22" i="78" s="1"/>
  <c r="D43" i="60"/>
  <c r="E23" i="7"/>
  <c r="H23" i="7" s="1"/>
  <c r="I23" i="7" s="1"/>
  <c r="E92" i="15"/>
  <c r="I41" i="18"/>
  <c r="I55" i="26"/>
  <c r="I38" i="26"/>
  <c r="H14" i="26"/>
  <c r="I14" i="26" s="1"/>
  <c r="I58" i="34"/>
  <c r="T53" i="45"/>
  <c r="U53" i="45" s="1"/>
  <c r="H14" i="76"/>
  <c r="I14" i="76" s="1"/>
  <c r="T8" i="15"/>
  <c r="P92" i="15" s="1"/>
  <c r="T99" i="16"/>
  <c r="E92" i="20"/>
  <c r="E91" i="25"/>
  <c r="I37" i="26"/>
  <c r="I54" i="38"/>
  <c r="I41" i="43"/>
  <c r="I17" i="43"/>
  <c r="T51" i="66"/>
  <c r="U51" i="66" s="1"/>
  <c r="U59" i="66" s="1"/>
  <c r="T53" i="69"/>
  <c r="U53" i="69" s="1"/>
  <c r="I28" i="20"/>
  <c r="I39" i="25"/>
  <c r="I51" i="26"/>
  <c r="I40" i="43"/>
  <c r="H22" i="56"/>
  <c r="I22" i="56" s="1"/>
  <c r="I38" i="57"/>
  <c r="I100" i="71"/>
  <c r="P90" i="70"/>
  <c r="P91" i="70"/>
  <c r="P92" i="70"/>
  <c r="P90" i="26"/>
  <c r="P91" i="26"/>
  <c r="P92" i="26"/>
  <c r="T100" i="18"/>
  <c r="U100" i="18" s="1"/>
  <c r="I54" i="20"/>
  <c r="U84" i="21"/>
  <c r="H23" i="35"/>
  <c r="I23" i="35" s="1"/>
  <c r="I51" i="23"/>
  <c r="I53" i="39"/>
  <c r="H17" i="42"/>
  <c r="I17" i="42" s="1"/>
  <c r="H18" i="43"/>
  <c r="I18" i="43" s="1"/>
  <c r="I56" i="44"/>
  <c r="H13" i="44"/>
  <c r="I13" i="44" s="1"/>
  <c r="I41" i="51"/>
  <c r="T50" i="75"/>
  <c r="U50" i="75" s="1"/>
  <c r="H17" i="76"/>
  <c r="I17" i="76" s="1"/>
  <c r="H21" i="58"/>
  <c r="I21" i="58" s="1"/>
  <c r="H22" i="69"/>
  <c r="I22" i="69" s="1"/>
  <c r="H23" i="71"/>
  <c r="I23" i="71" s="1"/>
  <c r="I37" i="28"/>
  <c r="E92" i="38"/>
  <c r="U84" i="38"/>
  <c r="H26" i="51"/>
  <c r="I26" i="51" s="1"/>
  <c r="E90" i="58"/>
  <c r="I38" i="28"/>
  <c r="I51" i="22"/>
  <c r="H22" i="33"/>
  <c r="I22" i="33" s="1"/>
  <c r="H20" i="39"/>
  <c r="I20" i="39" s="1"/>
  <c r="I42" i="40"/>
  <c r="P91" i="43"/>
  <c r="P92" i="51"/>
  <c r="I39" i="51"/>
  <c r="I18" i="51"/>
  <c r="E92" i="70"/>
  <c r="T53" i="15"/>
  <c r="U53" i="15" s="1"/>
  <c r="I100" i="17"/>
  <c r="I57" i="44"/>
  <c r="H25" i="51"/>
  <c r="I25" i="51" s="1"/>
  <c r="H17" i="75"/>
  <c r="I17" i="75" s="1"/>
  <c r="H15" i="15"/>
  <c r="I15" i="15" s="1"/>
  <c r="U84" i="22"/>
  <c r="U84" i="26"/>
  <c r="E91" i="38"/>
  <c r="T8" i="38"/>
  <c r="H21" i="42"/>
  <c r="I21" i="42" s="1"/>
  <c r="P91" i="51"/>
  <c r="I26" i="55"/>
  <c r="U84" i="68"/>
  <c r="T57" i="26"/>
  <c r="U57" i="26" s="1"/>
  <c r="U59" i="26" s="1"/>
  <c r="I40" i="51"/>
  <c r="E91" i="70"/>
  <c r="H15" i="70"/>
  <c r="I15" i="70" s="1"/>
  <c r="D29" i="60"/>
  <c r="E30" i="60" s="1"/>
  <c r="H30" i="60" s="1"/>
  <c r="H19" i="26"/>
  <c r="I19" i="26" s="1"/>
  <c r="H22" i="27"/>
  <c r="I22" i="27" s="1"/>
  <c r="I42" i="28"/>
  <c r="H19" i="35"/>
  <c r="I19" i="35" s="1"/>
  <c r="I56" i="39"/>
  <c r="H25" i="39"/>
  <c r="I25" i="39" s="1"/>
  <c r="H27" i="42"/>
  <c r="I27" i="42" s="1"/>
  <c r="E91" i="51"/>
  <c r="T56" i="55"/>
  <c r="U56" i="55" s="1"/>
  <c r="I57" i="77"/>
  <c r="I39" i="31"/>
  <c r="I100" i="34"/>
  <c r="I56" i="23"/>
  <c r="I38" i="40"/>
  <c r="I56" i="70"/>
  <c r="T8" i="68"/>
  <c r="P91" i="68" s="1"/>
  <c r="I39" i="77"/>
  <c r="T100" i="26"/>
  <c r="U100" i="26" s="1"/>
  <c r="H18" i="35"/>
  <c r="I18" i="35" s="1"/>
  <c r="I58" i="39"/>
  <c r="H13" i="40"/>
  <c r="I13" i="40" s="1"/>
  <c r="E90" i="51"/>
  <c r="T57" i="75"/>
  <c r="U57" i="75" s="1"/>
  <c r="E90" i="70"/>
  <c r="I55" i="78"/>
  <c r="U84" i="15"/>
  <c r="H16" i="17"/>
  <c r="I16" i="17" s="1"/>
  <c r="I41" i="31"/>
  <c r="I50" i="40"/>
  <c r="T56" i="47"/>
  <c r="U56" i="47" s="1"/>
  <c r="I58" i="51"/>
  <c r="I41" i="57"/>
  <c r="E92" i="58"/>
  <c r="H17" i="66"/>
  <c r="I17" i="66" s="1"/>
  <c r="U84" i="71"/>
  <c r="I54" i="18"/>
  <c r="H22" i="21"/>
  <c r="I22" i="21" s="1"/>
  <c r="U84" i="36"/>
  <c r="I51" i="38"/>
  <c r="I99" i="47"/>
  <c r="U84" i="75"/>
  <c r="H27" i="75"/>
  <c r="I27" i="75" s="1"/>
  <c r="I99" i="55"/>
  <c r="H22" i="15"/>
  <c r="I22" i="15" s="1"/>
  <c r="P91" i="31"/>
  <c r="P92" i="31"/>
  <c r="P90" i="31"/>
  <c r="P91" i="30"/>
  <c r="P92" i="30"/>
  <c r="P92" i="35"/>
  <c r="P90" i="35"/>
  <c r="P91" i="35"/>
  <c r="I56" i="15"/>
  <c r="H14" i="15"/>
  <c r="I14" i="15" s="1"/>
  <c r="T57" i="71"/>
  <c r="U57" i="71" s="1"/>
  <c r="I55" i="15"/>
  <c r="T50" i="15"/>
  <c r="U50" i="15" s="1"/>
  <c r="E91" i="15"/>
  <c r="E91" i="37"/>
  <c r="T8" i="37"/>
  <c r="P92" i="37" s="1"/>
  <c r="E92" i="37"/>
  <c r="T8" i="69"/>
  <c r="E92" i="69"/>
  <c r="E90" i="69"/>
  <c r="E91" i="69"/>
  <c r="T8" i="75"/>
  <c r="E90" i="75"/>
  <c r="E91" i="75"/>
  <c r="E92" i="75"/>
  <c r="E92" i="71"/>
  <c r="E90" i="71"/>
  <c r="E91" i="71"/>
  <c r="I21" i="71"/>
  <c r="I28" i="16"/>
  <c r="T57" i="32"/>
  <c r="U57" i="32" s="1"/>
  <c r="U59" i="32" s="1"/>
  <c r="T8" i="76"/>
  <c r="P92" i="76" s="1"/>
  <c r="E90" i="76"/>
  <c r="E91" i="76"/>
  <c r="E92" i="76"/>
  <c r="U59" i="22"/>
  <c r="U84" i="43"/>
  <c r="P92" i="58"/>
  <c r="P90" i="58"/>
  <c r="P91" i="58"/>
  <c r="T50" i="16"/>
  <c r="U50" i="16" s="1"/>
  <c r="U59" i="16" s="1"/>
  <c r="T56" i="75"/>
  <c r="U56" i="75" s="1"/>
  <c r="P91" i="18"/>
  <c r="I58" i="18"/>
  <c r="I53" i="20"/>
  <c r="I41" i="24"/>
  <c r="H17" i="26"/>
  <c r="I17" i="26" s="1"/>
  <c r="T57" i="33"/>
  <c r="U57" i="33" s="1"/>
  <c r="I38" i="33"/>
  <c r="I58" i="42"/>
  <c r="I53" i="42"/>
  <c r="I50" i="43"/>
  <c r="H20" i="44"/>
  <c r="I20" i="44" s="1"/>
  <c r="H26" i="47"/>
  <c r="I26" i="47" s="1"/>
  <c r="H20" i="48"/>
  <c r="I20" i="48" s="1"/>
  <c r="I57" i="52"/>
  <c r="T53" i="52"/>
  <c r="U53" i="52" s="1"/>
  <c r="H16" i="55"/>
  <c r="I16" i="55" s="1"/>
  <c r="I100" i="58"/>
  <c r="U59" i="58"/>
  <c r="I51" i="67"/>
  <c r="I41" i="69"/>
  <c r="I42" i="68"/>
  <c r="H17" i="78"/>
  <c r="I17" i="78" s="1"/>
  <c r="T57" i="18"/>
  <c r="U57" i="18" s="1"/>
  <c r="U59" i="18" s="1"/>
  <c r="H21" i="27"/>
  <c r="I21" i="27" s="1"/>
  <c r="U84" i="28"/>
  <c r="I37" i="33"/>
  <c r="T8" i="33"/>
  <c r="P92" i="33" s="1"/>
  <c r="H25" i="23"/>
  <c r="I25" i="23" s="1"/>
  <c r="I55" i="43"/>
  <c r="T57" i="47"/>
  <c r="U57" i="47" s="1"/>
  <c r="I37" i="50"/>
  <c r="I56" i="51"/>
  <c r="I41" i="52"/>
  <c r="I15" i="52"/>
  <c r="H22" i="66"/>
  <c r="I22" i="66" s="1"/>
  <c r="I55" i="67"/>
  <c r="I40" i="69"/>
  <c r="E91" i="68"/>
  <c r="I41" i="68"/>
  <c r="H24" i="17"/>
  <c r="I24" i="17" s="1"/>
  <c r="I99" i="25"/>
  <c r="H27" i="27"/>
  <c r="I27" i="27" s="1"/>
  <c r="H28" i="42"/>
  <c r="I28" i="42" s="1"/>
  <c r="H24" i="50"/>
  <c r="I24" i="50" s="1"/>
  <c r="I38" i="52"/>
  <c r="P92" i="25"/>
  <c r="I39" i="24"/>
  <c r="H21" i="28"/>
  <c r="I21" i="28" s="1"/>
  <c r="I39" i="32"/>
  <c r="U84" i="33"/>
  <c r="H22" i="35"/>
  <c r="I22" i="35" s="1"/>
  <c r="T8" i="36"/>
  <c r="I57" i="42"/>
  <c r="H19" i="52"/>
  <c r="I19" i="52" s="1"/>
  <c r="I53" i="57"/>
  <c r="I100" i="67"/>
  <c r="I37" i="69"/>
  <c r="H25" i="69"/>
  <c r="I25" i="69" s="1"/>
  <c r="H28" i="71"/>
  <c r="I28" i="71" s="1"/>
  <c r="H16" i="16"/>
  <c r="I16" i="16" s="1"/>
  <c r="P90" i="18"/>
  <c r="H17" i="18"/>
  <c r="I17" i="18" s="1"/>
  <c r="I38" i="24"/>
  <c r="I42" i="22"/>
  <c r="H27" i="26"/>
  <c r="I27" i="26" s="1"/>
  <c r="I25" i="32"/>
  <c r="I28" i="33"/>
  <c r="U59" i="36"/>
  <c r="I50" i="39"/>
  <c r="I54" i="43"/>
  <c r="U84" i="44"/>
  <c r="I24" i="45"/>
  <c r="H21" i="56"/>
  <c r="I21" i="56" s="1"/>
  <c r="U84" i="66"/>
  <c r="H23" i="70"/>
  <c r="I23" i="70" s="1"/>
  <c r="I38" i="68"/>
  <c r="E91" i="77"/>
  <c r="H27" i="78"/>
  <c r="I27" i="78" s="1"/>
  <c r="H20" i="78"/>
  <c r="I20" i="78" s="1"/>
  <c r="I21" i="16"/>
  <c r="H24" i="28"/>
  <c r="I24" i="28" s="1"/>
  <c r="I99" i="31"/>
  <c r="H22" i="23"/>
  <c r="I22" i="23" s="1"/>
  <c r="T99" i="40"/>
  <c r="U59" i="44"/>
  <c r="T100" i="52"/>
  <c r="U100" i="52" s="1"/>
  <c r="I42" i="76"/>
  <c r="I52" i="58"/>
  <c r="I51" i="71"/>
  <c r="I41" i="77"/>
  <c r="I56" i="78"/>
  <c r="I99" i="17"/>
  <c r="H27" i="17"/>
  <c r="I27" i="17" s="1"/>
  <c r="U84" i="25"/>
  <c r="T8" i="22"/>
  <c r="P90" i="22" s="1"/>
  <c r="I55" i="27"/>
  <c r="I39" i="27"/>
  <c r="H16" i="23"/>
  <c r="I16" i="23" s="1"/>
  <c r="I37" i="38"/>
  <c r="H28" i="52"/>
  <c r="I28" i="52" s="1"/>
  <c r="H27" i="58"/>
  <c r="I27" i="58" s="1"/>
  <c r="I57" i="67"/>
  <c r="T53" i="67"/>
  <c r="U53" i="67" s="1"/>
  <c r="E90" i="77"/>
  <c r="I38" i="77"/>
  <c r="E92" i="78"/>
  <c r="H26" i="78"/>
  <c r="I26" i="78" s="1"/>
  <c r="I99" i="18"/>
  <c r="I55" i="20"/>
  <c r="H19" i="20"/>
  <c r="I19" i="20" s="1"/>
  <c r="P91" i="25"/>
  <c r="I38" i="27"/>
  <c r="H15" i="33"/>
  <c r="I15" i="33" s="1"/>
  <c r="I38" i="42"/>
  <c r="I99" i="48"/>
  <c r="I52" i="51"/>
  <c r="I27" i="52"/>
  <c r="I40" i="76"/>
  <c r="H15" i="67"/>
  <c r="I15" i="67" s="1"/>
  <c r="U84" i="24"/>
  <c r="E91" i="22"/>
  <c r="I39" i="22"/>
  <c r="I52" i="27"/>
  <c r="I16" i="27"/>
  <c r="U84" i="31"/>
  <c r="I55" i="31"/>
  <c r="I42" i="33"/>
  <c r="H27" i="23"/>
  <c r="I27" i="23" s="1"/>
  <c r="H15" i="23"/>
  <c r="I15" i="23" s="1"/>
  <c r="I52" i="37"/>
  <c r="I39" i="50"/>
  <c r="I39" i="76"/>
  <c r="U84" i="69"/>
  <c r="H20" i="16"/>
  <c r="I20" i="16" s="1"/>
  <c r="I51" i="18"/>
  <c r="H27" i="18"/>
  <c r="I27" i="18" s="1"/>
  <c r="H19" i="18"/>
  <c r="I19" i="18" s="1"/>
  <c r="H28" i="24"/>
  <c r="I28" i="24" s="1"/>
  <c r="I38" i="22"/>
  <c r="I41" i="33"/>
  <c r="H14" i="33"/>
  <c r="I14" i="33" s="1"/>
  <c r="H28" i="47"/>
  <c r="I28" i="47" s="1"/>
  <c r="H14" i="47"/>
  <c r="I14" i="47" s="1"/>
  <c r="H22" i="52"/>
  <c r="I22" i="52" s="1"/>
  <c r="H17" i="52"/>
  <c r="I38" i="76"/>
  <c r="I56" i="57"/>
  <c r="I27" i="69"/>
  <c r="I58" i="70"/>
  <c r="I50" i="71"/>
  <c r="H20" i="71"/>
  <c r="I20" i="71" s="1"/>
  <c r="E91" i="78"/>
  <c r="I40" i="33"/>
  <c r="I58" i="38"/>
  <c r="H13" i="42"/>
  <c r="I13" i="42" s="1"/>
  <c r="I56" i="43"/>
  <c r="I39" i="45"/>
  <c r="I41" i="50"/>
  <c r="I39" i="57"/>
  <c r="I100" i="66"/>
  <c r="I39" i="69"/>
  <c r="H19" i="70"/>
  <c r="I19" i="70" s="1"/>
  <c r="I58" i="78"/>
  <c r="T100" i="24"/>
  <c r="U100" i="24" s="1"/>
  <c r="T100" i="27"/>
  <c r="U100" i="27" s="1"/>
  <c r="I100" i="55"/>
  <c r="I100" i="30"/>
  <c r="T100" i="32"/>
  <c r="U100" i="32" s="1"/>
  <c r="T100" i="38"/>
  <c r="U100" i="38" s="1"/>
  <c r="T100" i="48"/>
  <c r="U100" i="48" s="1"/>
  <c r="I100" i="56"/>
  <c r="T100" i="77"/>
  <c r="U100" i="77" s="1"/>
  <c r="I100" i="15"/>
  <c r="T100" i="40"/>
  <c r="U100" i="40" s="1"/>
  <c r="T100" i="78"/>
  <c r="U100" i="78" s="1"/>
  <c r="T100" i="22"/>
  <c r="U100" i="22" s="1"/>
  <c r="T100" i="42"/>
  <c r="U100" i="42" s="1"/>
  <c r="I100" i="75"/>
  <c r="T99" i="27"/>
  <c r="T99" i="30"/>
  <c r="I99" i="50"/>
  <c r="I99" i="57"/>
  <c r="I99" i="67"/>
  <c r="T99" i="32"/>
  <c r="T99" i="42"/>
  <c r="T99" i="51"/>
  <c r="T99" i="52"/>
  <c r="I99" i="15"/>
  <c r="T99" i="69"/>
  <c r="T99" i="71"/>
  <c r="T99" i="56"/>
  <c r="I99" i="77"/>
  <c r="I99" i="23"/>
  <c r="T99" i="39"/>
  <c r="T99" i="75"/>
  <c r="T99" i="76"/>
  <c r="I99" i="66"/>
  <c r="I99" i="78"/>
  <c r="F492" i="64"/>
  <c r="G492" i="64" s="1"/>
  <c r="E38" i="15"/>
  <c r="E41" i="15"/>
  <c r="E39" i="15"/>
  <c r="E42" i="15"/>
  <c r="E37" i="15"/>
  <c r="E40" i="15"/>
  <c r="I40" i="15" s="1"/>
  <c r="T8" i="16"/>
  <c r="E90" i="16"/>
  <c r="E92" i="16"/>
  <c r="U59" i="17"/>
  <c r="H13" i="21"/>
  <c r="E16" i="22"/>
  <c r="E26" i="22"/>
  <c r="H26" i="22" s="1"/>
  <c r="I26" i="22" s="1"/>
  <c r="E13" i="22"/>
  <c r="E28" i="22"/>
  <c r="H28" i="22" s="1"/>
  <c r="I28" i="22" s="1"/>
  <c r="E18" i="22"/>
  <c r="E23" i="22"/>
  <c r="H23" i="22" s="1"/>
  <c r="I23" i="22" s="1"/>
  <c r="E20" i="22"/>
  <c r="H20" i="22" s="1"/>
  <c r="I20" i="22" s="1"/>
  <c r="E14" i="22"/>
  <c r="E21" i="22"/>
  <c r="H21" i="22" s="1"/>
  <c r="I21" i="22" s="1"/>
  <c r="E27" i="22"/>
  <c r="H27" i="22" s="1"/>
  <c r="I27" i="22" s="1"/>
  <c r="E24" i="22"/>
  <c r="H24" i="22" s="1"/>
  <c r="I24" i="22" s="1"/>
  <c r="E19" i="22"/>
  <c r="H19" i="22" s="1"/>
  <c r="I19" i="22" s="1"/>
  <c r="E22" i="22"/>
  <c r="H22" i="22" s="1"/>
  <c r="I22" i="22" s="1"/>
  <c r="E25" i="22"/>
  <c r="H25" i="22" s="1"/>
  <c r="I25" i="22" s="1"/>
  <c r="E17" i="22"/>
  <c r="H17" i="22" s="1"/>
  <c r="E15" i="22"/>
  <c r="H15" i="22" s="1"/>
  <c r="F491" i="64"/>
  <c r="G491" i="64" s="1"/>
  <c r="F482" i="64"/>
  <c r="G482" i="64" s="1"/>
  <c r="I40" i="16"/>
  <c r="I26" i="16"/>
  <c r="F490" i="64"/>
  <c r="G490" i="64" s="1"/>
  <c r="T109" i="17"/>
  <c r="F481" i="64"/>
  <c r="G481" i="64" s="1"/>
  <c r="H109" i="7"/>
  <c r="T107" i="7"/>
  <c r="H13" i="7"/>
  <c r="I37" i="16"/>
  <c r="F489" i="64"/>
  <c r="G489" i="64" s="1"/>
  <c r="F480" i="64"/>
  <c r="G480" i="64" s="1"/>
  <c r="R76" i="15"/>
  <c r="E91" i="16"/>
  <c r="F488" i="64"/>
  <c r="G488" i="64" s="1"/>
  <c r="H25" i="15"/>
  <c r="I25" i="15" s="1"/>
  <c r="I100" i="16"/>
  <c r="T100" i="16"/>
  <c r="U100" i="16" s="1"/>
  <c r="P90" i="21"/>
  <c r="H14" i="7"/>
  <c r="I14" i="7" s="1"/>
  <c r="R78" i="15"/>
  <c r="I51" i="15"/>
  <c r="H25" i="16"/>
  <c r="I25" i="16" s="1"/>
  <c r="E54" i="17"/>
  <c r="E57" i="17"/>
  <c r="I57" i="17" s="1"/>
  <c r="E50" i="17"/>
  <c r="E51" i="17"/>
  <c r="I51" i="17" s="1"/>
  <c r="E107" i="17"/>
  <c r="I107" i="17" s="1"/>
  <c r="E55" i="17"/>
  <c r="I55" i="17" s="1"/>
  <c r="E58" i="17"/>
  <c r="I58" i="17" s="1"/>
  <c r="E108" i="17"/>
  <c r="I108" i="17" s="1"/>
  <c r="E52" i="17"/>
  <c r="I52" i="17" s="1"/>
  <c r="E56" i="17"/>
  <c r="I56" i="17" s="1"/>
  <c r="E109" i="17"/>
  <c r="I109" i="17" s="1"/>
  <c r="F476" i="64"/>
  <c r="G476" i="64" s="1"/>
  <c r="F477" i="64"/>
  <c r="G477" i="64" s="1"/>
  <c r="F478" i="64"/>
  <c r="G478" i="64" s="1"/>
  <c r="F473" i="64"/>
  <c r="F474" i="64"/>
  <c r="G474" i="64" s="1"/>
  <c r="R80" i="15"/>
  <c r="F486" i="64"/>
  <c r="G486" i="64" s="1"/>
  <c r="T108" i="15"/>
  <c r="I108" i="15"/>
  <c r="I53" i="17"/>
  <c r="J16" i="17"/>
  <c r="F485" i="64"/>
  <c r="G485" i="64" s="1"/>
  <c r="F475" i="64"/>
  <c r="G475" i="64" s="1"/>
  <c r="C29" i="60"/>
  <c r="C31" i="60" s="1"/>
  <c r="I37" i="7"/>
  <c r="R77" i="18"/>
  <c r="F484" i="64"/>
  <c r="G484" i="64" s="1"/>
  <c r="C43" i="60"/>
  <c r="U59" i="7"/>
  <c r="I38" i="16"/>
  <c r="E17" i="25"/>
  <c r="H17" i="25" s="1"/>
  <c r="E22" i="25"/>
  <c r="H22" i="25" s="1"/>
  <c r="I22" i="25" s="1"/>
  <c r="E14" i="25"/>
  <c r="E16" i="25"/>
  <c r="E26" i="25"/>
  <c r="H26" i="25" s="1"/>
  <c r="I26" i="25" s="1"/>
  <c r="E19" i="25"/>
  <c r="H19" i="25" s="1"/>
  <c r="I19" i="25" s="1"/>
  <c r="E13" i="25"/>
  <c r="E15" i="25"/>
  <c r="H15" i="25" s="1"/>
  <c r="E28" i="25"/>
  <c r="H28" i="25" s="1"/>
  <c r="I28" i="25" s="1"/>
  <c r="E24" i="25"/>
  <c r="H24" i="25" s="1"/>
  <c r="I24" i="25" s="1"/>
  <c r="E18" i="25"/>
  <c r="E20" i="25"/>
  <c r="H20" i="25" s="1"/>
  <c r="I20" i="25" s="1"/>
  <c r="E27" i="25"/>
  <c r="H27" i="25" s="1"/>
  <c r="I27" i="25" s="1"/>
  <c r="E25" i="25"/>
  <c r="H25" i="25" s="1"/>
  <c r="I25" i="25" s="1"/>
  <c r="E23" i="25"/>
  <c r="H23" i="25" s="1"/>
  <c r="I23" i="25" s="1"/>
  <c r="E107" i="7"/>
  <c r="E15" i="7"/>
  <c r="E58" i="15"/>
  <c r="I58" i="15" s="1"/>
  <c r="E27" i="15"/>
  <c r="I42" i="20"/>
  <c r="R80" i="21"/>
  <c r="E57" i="21"/>
  <c r="I57" i="21" s="1"/>
  <c r="E50" i="21"/>
  <c r="E55" i="21"/>
  <c r="I55" i="21" s="1"/>
  <c r="E108" i="21"/>
  <c r="I108" i="21" s="1"/>
  <c r="E53" i="21"/>
  <c r="I53" i="21" s="1"/>
  <c r="E58" i="21"/>
  <c r="I58" i="21" s="1"/>
  <c r="E56" i="21"/>
  <c r="I56" i="21" s="1"/>
  <c r="E107" i="21"/>
  <c r="E54" i="21"/>
  <c r="I54" i="21" s="1"/>
  <c r="E109" i="21"/>
  <c r="T109" i="28"/>
  <c r="I38" i="20"/>
  <c r="I41" i="20"/>
  <c r="E42" i="16"/>
  <c r="I42" i="16" s="1"/>
  <c r="E39" i="16"/>
  <c r="I39" i="16" s="1"/>
  <c r="P92" i="7"/>
  <c r="I39" i="20"/>
  <c r="R78" i="21"/>
  <c r="E108" i="7"/>
  <c r="I109" i="21"/>
  <c r="T109" i="21"/>
  <c r="U59" i="25"/>
  <c r="E16" i="7"/>
  <c r="H109" i="15"/>
  <c r="E52" i="15"/>
  <c r="I52" i="15" s="1"/>
  <c r="E21" i="15"/>
  <c r="T108" i="16"/>
  <c r="E13" i="16"/>
  <c r="E15" i="16"/>
  <c r="H15" i="16" s="1"/>
  <c r="E17" i="16"/>
  <c r="H17" i="16" s="1"/>
  <c r="E24" i="16"/>
  <c r="U84" i="17"/>
  <c r="E39" i="17"/>
  <c r="I39" i="17" s="1"/>
  <c r="I109" i="18"/>
  <c r="T109" i="18"/>
  <c r="E52" i="21"/>
  <c r="I52" i="21" s="1"/>
  <c r="E26" i="15"/>
  <c r="E16" i="15"/>
  <c r="R71" i="16"/>
  <c r="R68" i="16"/>
  <c r="E41" i="16"/>
  <c r="I41" i="16" s="1"/>
  <c r="U59" i="20"/>
  <c r="E19" i="15"/>
  <c r="E22" i="16"/>
  <c r="E14" i="16"/>
  <c r="I108" i="18"/>
  <c r="T108" i="18"/>
  <c r="I100" i="20"/>
  <c r="H109" i="25"/>
  <c r="T107" i="25"/>
  <c r="T109" i="24"/>
  <c r="R80" i="24"/>
  <c r="I37" i="20"/>
  <c r="I13" i="20"/>
  <c r="E51" i="21"/>
  <c r="I51" i="21" s="1"/>
  <c r="E37" i="17"/>
  <c r="E40" i="17"/>
  <c r="I40" i="17" s="1"/>
  <c r="I109" i="20"/>
  <c r="I99" i="20"/>
  <c r="T99" i="20"/>
  <c r="R76" i="21"/>
  <c r="U59" i="21"/>
  <c r="E22" i="17"/>
  <c r="H22" i="17" s="1"/>
  <c r="I22" i="17" s="1"/>
  <c r="E17" i="17"/>
  <c r="H17" i="17" s="1"/>
  <c r="E53" i="18"/>
  <c r="I53" i="18" s="1"/>
  <c r="E20" i="18"/>
  <c r="P92" i="20"/>
  <c r="E50" i="20"/>
  <c r="E23" i="20"/>
  <c r="H23" i="20" s="1"/>
  <c r="I23" i="20" s="1"/>
  <c r="E18" i="20"/>
  <c r="I99" i="21"/>
  <c r="E26" i="21"/>
  <c r="H26" i="21" s="1"/>
  <c r="I26" i="21" s="1"/>
  <c r="E16" i="21"/>
  <c r="E54" i="24"/>
  <c r="I54" i="24" s="1"/>
  <c r="U59" i="24"/>
  <c r="H24" i="24"/>
  <c r="I24" i="24" s="1"/>
  <c r="H109" i="31"/>
  <c r="T107" i="31"/>
  <c r="E57" i="20"/>
  <c r="I57" i="20" s="1"/>
  <c r="I107" i="21"/>
  <c r="I99" i="22"/>
  <c r="T99" i="22"/>
  <c r="E52" i="20"/>
  <c r="I52" i="20" s="1"/>
  <c r="E24" i="21"/>
  <c r="H24" i="21" s="1"/>
  <c r="I24" i="21" s="1"/>
  <c r="T100" i="25"/>
  <c r="U100" i="25" s="1"/>
  <c r="E25" i="17"/>
  <c r="H25" i="17" s="1"/>
  <c r="I25" i="17" s="1"/>
  <c r="E15" i="17"/>
  <c r="H15" i="17" s="1"/>
  <c r="T107" i="18"/>
  <c r="E50" i="18"/>
  <c r="E23" i="18"/>
  <c r="H23" i="18" s="1"/>
  <c r="I23" i="18" s="1"/>
  <c r="E18" i="18"/>
  <c r="E109" i="20"/>
  <c r="E26" i="20"/>
  <c r="H26" i="20" s="1"/>
  <c r="I26" i="20" s="1"/>
  <c r="E16" i="20"/>
  <c r="E41" i="21"/>
  <c r="I41" i="21" s="1"/>
  <c r="E14" i="21"/>
  <c r="E53" i="25"/>
  <c r="I53" i="25" s="1"/>
  <c r="I99" i="24"/>
  <c r="I40" i="24"/>
  <c r="E18" i="24"/>
  <c r="E23" i="24"/>
  <c r="H23" i="24" s="1"/>
  <c r="I23" i="24" s="1"/>
  <c r="E15" i="24"/>
  <c r="H15" i="24" s="1"/>
  <c r="E25" i="24"/>
  <c r="H25" i="24" s="1"/>
  <c r="I25" i="24" s="1"/>
  <c r="E20" i="24"/>
  <c r="H20" i="24" s="1"/>
  <c r="I20" i="24" s="1"/>
  <c r="E27" i="24"/>
  <c r="H27" i="24" s="1"/>
  <c r="I27" i="24" s="1"/>
  <c r="E14" i="24"/>
  <c r="E16" i="24"/>
  <c r="E26" i="24"/>
  <c r="H26" i="24" s="1"/>
  <c r="I26" i="24" s="1"/>
  <c r="E43" i="22"/>
  <c r="U59" i="28"/>
  <c r="U59" i="35"/>
  <c r="R85" i="17"/>
  <c r="R72" i="17"/>
  <c r="R70" i="17"/>
  <c r="E23" i="17"/>
  <c r="H23" i="17" s="1"/>
  <c r="I23" i="17" s="1"/>
  <c r="E18" i="17"/>
  <c r="E52" i="18"/>
  <c r="I52" i="18" s="1"/>
  <c r="E24" i="20"/>
  <c r="H24" i="20" s="1"/>
  <c r="I24" i="20" s="1"/>
  <c r="T100" i="21"/>
  <c r="U100" i="21" s="1"/>
  <c r="E27" i="21"/>
  <c r="H27" i="21" s="1"/>
  <c r="I27" i="21" s="1"/>
  <c r="E108" i="25"/>
  <c r="I108" i="25" s="1"/>
  <c r="E55" i="25"/>
  <c r="I55" i="25" s="1"/>
  <c r="T107" i="24"/>
  <c r="E17" i="24"/>
  <c r="H17" i="24" s="1"/>
  <c r="E109" i="22"/>
  <c r="E57" i="22"/>
  <c r="I57" i="22" s="1"/>
  <c r="E50" i="22"/>
  <c r="E55" i="22"/>
  <c r="I55" i="22" s="1"/>
  <c r="E108" i="22"/>
  <c r="I108" i="22" s="1"/>
  <c r="E53" i="22"/>
  <c r="I53" i="22" s="1"/>
  <c r="E56" i="22"/>
  <c r="I56" i="22" s="1"/>
  <c r="E107" i="22"/>
  <c r="I107" i="22" s="1"/>
  <c r="U84" i="27"/>
  <c r="U59" i="27"/>
  <c r="T107" i="17"/>
  <c r="E28" i="17"/>
  <c r="E13" i="17"/>
  <c r="E26" i="18"/>
  <c r="H26" i="18" s="1"/>
  <c r="I26" i="18" s="1"/>
  <c r="E16" i="18"/>
  <c r="E107" i="20"/>
  <c r="I107" i="20" s="1"/>
  <c r="E56" i="20"/>
  <c r="I56" i="20" s="1"/>
  <c r="E14" i="20"/>
  <c r="E20" i="21"/>
  <c r="H20" i="21" s="1"/>
  <c r="I20" i="21" s="1"/>
  <c r="E50" i="25"/>
  <c r="E13" i="28"/>
  <c r="E28" i="28"/>
  <c r="H28" i="28" s="1"/>
  <c r="I28" i="28" s="1"/>
  <c r="E18" i="28"/>
  <c r="E23" i="28"/>
  <c r="H23" i="28" s="1"/>
  <c r="I23" i="28" s="1"/>
  <c r="E15" i="28"/>
  <c r="H15" i="28" s="1"/>
  <c r="E25" i="28"/>
  <c r="H25" i="28" s="1"/>
  <c r="I25" i="28" s="1"/>
  <c r="E20" i="28"/>
  <c r="H20" i="28" s="1"/>
  <c r="I20" i="28" s="1"/>
  <c r="E27" i="28"/>
  <c r="H27" i="28" s="1"/>
  <c r="I27" i="28" s="1"/>
  <c r="E17" i="28"/>
  <c r="H17" i="28" s="1"/>
  <c r="E22" i="28"/>
  <c r="H22" i="28" s="1"/>
  <c r="I22" i="28" s="1"/>
  <c r="E14" i="28"/>
  <c r="E19" i="28"/>
  <c r="H19" i="28" s="1"/>
  <c r="I19" i="28" s="1"/>
  <c r="E16" i="28"/>
  <c r="E26" i="28"/>
  <c r="H26" i="28" s="1"/>
  <c r="I26" i="28" s="1"/>
  <c r="E16" i="31"/>
  <c r="E26" i="31"/>
  <c r="H26" i="31" s="1"/>
  <c r="I26" i="31" s="1"/>
  <c r="E21" i="31"/>
  <c r="H21" i="31" s="1"/>
  <c r="I21" i="31" s="1"/>
  <c r="E18" i="31"/>
  <c r="E23" i="31"/>
  <c r="H23" i="31" s="1"/>
  <c r="I23" i="31" s="1"/>
  <c r="E15" i="31"/>
  <c r="H15" i="31" s="1"/>
  <c r="E25" i="31"/>
  <c r="H25" i="31" s="1"/>
  <c r="I25" i="31" s="1"/>
  <c r="E14" i="31"/>
  <c r="E13" i="31"/>
  <c r="E22" i="31"/>
  <c r="H22" i="31" s="1"/>
  <c r="I22" i="31" s="1"/>
  <c r="E19" i="31"/>
  <c r="H19" i="31" s="1"/>
  <c r="I19" i="31" s="1"/>
  <c r="E28" i="31"/>
  <c r="H28" i="31" s="1"/>
  <c r="I28" i="31" s="1"/>
  <c r="E17" i="31"/>
  <c r="H17" i="31" s="1"/>
  <c r="E20" i="31"/>
  <c r="H20" i="31" s="1"/>
  <c r="I20" i="31" s="1"/>
  <c r="E27" i="31"/>
  <c r="H27" i="31" s="1"/>
  <c r="I27" i="31" s="1"/>
  <c r="E51" i="20"/>
  <c r="I51" i="20" s="1"/>
  <c r="E15" i="21"/>
  <c r="H15" i="21" s="1"/>
  <c r="E50" i="24"/>
  <c r="E53" i="24"/>
  <c r="I53" i="24" s="1"/>
  <c r="E58" i="24"/>
  <c r="I58" i="24" s="1"/>
  <c r="E56" i="24"/>
  <c r="I56" i="24" s="1"/>
  <c r="E107" i="24"/>
  <c r="I107" i="24" s="1"/>
  <c r="E109" i="24"/>
  <c r="I109" i="24" s="1"/>
  <c r="E52" i="24"/>
  <c r="I52" i="24" s="1"/>
  <c r="I37" i="27"/>
  <c r="E57" i="28"/>
  <c r="I57" i="28" s="1"/>
  <c r="E50" i="28"/>
  <c r="E55" i="28"/>
  <c r="I55" i="28" s="1"/>
  <c r="E108" i="28"/>
  <c r="I108" i="28" s="1"/>
  <c r="E53" i="28"/>
  <c r="I53" i="28" s="1"/>
  <c r="E58" i="28"/>
  <c r="I58" i="28" s="1"/>
  <c r="E51" i="28"/>
  <c r="I51" i="28" s="1"/>
  <c r="E56" i="28"/>
  <c r="I56" i="28" s="1"/>
  <c r="E107" i="28"/>
  <c r="I107" i="28" s="1"/>
  <c r="E54" i="28"/>
  <c r="I54" i="28" s="1"/>
  <c r="E109" i="28"/>
  <c r="I109" i="28" s="1"/>
  <c r="E24" i="18"/>
  <c r="H24" i="18" s="1"/>
  <c r="I24" i="18" s="1"/>
  <c r="T100" i="20"/>
  <c r="U100" i="20" s="1"/>
  <c r="E58" i="20"/>
  <c r="I58" i="20" s="1"/>
  <c r="E27" i="20"/>
  <c r="H27" i="20" s="1"/>
  <c r="I27" i="20" s="1"/>
  <c r="E52" i="25"/>
  <c r="I52" i="25" s="1"/>
  <c r="E55" i="24"/>
  <c r="I55" i="24" s="1"/>
  <c r="R78" i="17"/>
  <c r="R76" i="17"/>
  <c r="E19" i="17"/>
  <c r="H19" i="17" s="1"/>
  <c r="I19" i="17" s="1"/>
  <c r="E56" i="18"/>
  <c r="I56" i="18" s="1"/>
  <c r="E14" i="18"/>
  <c r="E20" i="20"/>
  <c r="H20" i="20" s="1"/>
  <c r="I20" i="20" s="1"/>
  <c r="R85" i="21"/>
  <c r="R72" i="21"/>
  <c r="R70" i="21"/>
  <c r="E23" i="21"/>
  <c r="H23" i="21" s="1"/>
  <c r="I23" i="21" s="1"/>
  <c r="E18" i="21"/>
  <c r="E13" i="24"/>
  <c r="E53" i="27"/>
  <c r="E58" i="27"/>
  <c r="I58" i="27" s="1"/>
  <c r="E51" i="27"/>
  <c r="I51" i="27" s="1"/>
  <c r="E56" i="27"/>
  <c r="E107" i="27"/>
  <c r="I107" i="27" s="1"/>
  <c r="E54" i="27"/>
  <c r="I54" i="27" s="1"/>
  <c r="E109" i="27"/>
  <c r="I109" i="27" s="1"/>
  <c r="E57" i="27"/>
  <c r="I57" i="27" s="1"/>
  <c r="E50" i="27"/>
  <c r="H23" i="27"/>
  <c r="I23" i="27" s="1"/>
  <c r="T107" i="28"/>
  <c r="E22" i="18"/>
  <c r="H22" i="18" s="1"/>
  <c r="I22" i="18" s="1"/>
  <c r="E40" i="20"/>
  <c r="I40" i="20" s="1"/>
  <c r="E25" i="20"/>
  <c r="H25" i="20" s="1"/>
  <c r="I25" i="20" s="1"/>
  <c r="E28" i="21"/>
  <c r="H28" i="21" s="1"/>
  <c r="I28" i="21" s="1"/>
  <c r="I37" i="24"/>
  <c r="H109" i="22"/>
  <c r="I58" i="22"/>
  <c r="E53" i="26"/>
  <c r="I53" i="26" s="1"/>
  <c r="E20" i="26"/>
  <c r="H20" i="26" s="1"/>
  <c r="I20" i="26" s="1"/>
  <c r="I99" i="28"/>
  <c r="T58" i="31"/>
  <c r="U58" i="31" s="1"/>
  <c r="I100" i="33"/>
  <c r="U84" i="37"/>
  <c r="R80" i="32"/>
  <c r="T99" i="34"/>
  <c r="I99" i="34"/>
  <c r="R77" i="34"/>
  <c r="I99" i="35"/>
  <c r="T99" i="35"/>
  <c r="R76" i="23"/>
  <c r="I50" i="36"/>
  <c r="I39" i="35"/>
  <c r="E50" i="26"/>
  <c r="E23" i="26"/>
  <c r="H23" i="26" s="1"/>
  <c r="I23" i="26" s="1"/>
  <c r="E18" i="26"/>
  <c r="R76" i="32"/>
  <c r="H21" i="33"/>
  <c r="I21" i="33" s="1"/>
  <c r="U59" i="34"/>
  <c r="H19" i="34"/>
  <c r="I19" i="34" s="1"/>
  <c r="I14" i="35"/>
  <c r="T107" i="36"/>
  <c r="R80" i="36"/>
  <c r="T99" i="26"/>
  <c r="E28" i="26"/>
  <c r="H28" i="26" s="1"/>
  <c r="I28" i="26" s="1"/>
  <c r="E13" i="26"/>
  <c r="R80" i="27"/>
  <c r="R78" i="27"/>
  <c r="R76" i="27"/>
  <c r="E19" i="27"/>
  <c r="H19" i="27" s="1"/>
  <c r="I19" i="27" s="1"/>
  <c r="I52" i="33"/>
  <c r="H13" i="34"/>
  <c r="E37" i="37"/>
  <c r="E40" i="37"/>
  <c r="I40" i="37" s="1"/>
  <c r="E38" i="37"/>
  <c r="I38" i="37" s="1"/>
  <c r="E41" i="37"/>
  <c r="I41" i="37" s="1"/>
  <c r="E39" i="37"/>
  <c r="I39" i="37" s="1"/>
  <c r="E42" i="37"/>
  <c r="I42" i="37" s="1"/>
  <c r="E43" i="24"/>
  <c r="E52" i="26"/>
  <c r="I52" i="26" s="1"/>
  <c r="E42" i="26"/>
  <c r="E21" i="26"/>
  <c r="H21" i="26" s="1"/>
  <c r="I21" i="26" s="1"/>
  <c r="E24" i="27"/>
  <c r="H24" i="27" s="1"/>
  <c r="I24" i="27" s="1"/>
  <c r="T100" i="28"/>
  <c r="U100" i="28" s="1"/>
  <c r="T57" i="31"/>
  <c r="U57" i="31" s="1"/>
  <c r="E40" i="31"/>
  <c r="I40" i="31" s="1"/>
  <c r="E37" i="31"/>
  <c r="P90" i="33"/>
  <c r="E91" i="34"/>
  <c r="E90" i="34"/>
  <c r="T8" i="34"/>
  <c r="I41" i="35"/>
  <c r="R80" i="23"/>
  <c r="R85" i="22"/>
  <c r="R72" i="22"/>
  <c r="R70" i="22"/>
  <c r="E26" i="26"/>
  <c r="H26" i="26" s="1"/>
  <c r="I26" i="26" s="1"/>
  <c r="E16" i="26"/>
  <c r="E14" i="27"/>
  <c r="U59" i="33"/>
  <c r="R78" i="32"/>
  <c r="I109" i="35"/>
  <c r="T109" i="35"/>
  <c r="I38" i="35"/>
  <c r="R77" i="36"/>
  <c r="E24" i="26"/>
  <c r="H24" i="26" s="1"/>
  <c r="I24" i="26" s="1"/>
  <c r="R79" i="34"/>
  <c r="I54" i="34"/>
  <c r="I37" i="34"/>
  <c r="R78" i="23"/>
  <c r="E20" i="27"/>
  <c r="H20" i="27" s="1"/>
  <c r="I20" i="27" s="1"/>
  <c r="R85" i="28"/>
  <c r="R72" i="28"/>
  <c r="R70" i="28"/>
  <c r="E42" i="31"/>
  <c r="I42" i="31" s="1"/>
  <c r="U84" i="32"/>
  <c r="E53" i="33"/>
  <c r="E58" i="33"/>
  <c r="I58" i="33" s="1"/>
  <c r="E51" i="33"/>
  <c r="I51" i="33" s="1"/>
  <c r="E56" i="33"/>
  <c r="E107" i="33"/>
  <c r="I107" i="33" s="1"/>
  <c r="E54" i="33"/>
  <c r="I54" i="33" s="1"/>
  <c r="E109" i="33"/>
  <c r="E50" i="33"/>
  <c r="U59" i="23"/>
  <c r="H109" i="36"/>
  <c r="E22" i="26"/>
  <c r="H22" i="26" s="1"/>
  <c r="I22" i="26" s="1"/>
  <c r="E40" i="27"/>
  <c r="I40" i="27" s="1"/>
  <c r="E25" i="27"/>
  <c r="H25" i="27" s="1"/>
  <c r="I25" i="27" s="1"/>
  <c r="I109" i="34"/>
  <c r="J16" i="34"/>
  <c r="E20" i="32"/>
  <c r="H20" i="32" s="1"/>
  <c r="I20" i="32" s="1"/>
  <c r="E91" i="33"/>
  <c r="E52" i="34"/>
  <c r="I52" i="34" s="1"/>
  <c r="E42" i="34"/>
  <c r="I42" i="34" s="1"/>
  <c r="E39" i="34"/>
  <c r="I39" i="34" s="1"/>
  <c r="E21" i="34"/>
  <c r="H21" i="34" s="1"/>
  <c r="I21" i="34" s="1"/>
  <c r="I51" i="35"/>
  <c r="E24" i="35"/>
  <c r="H24" i="35" s="1"/>
  <c r="I24" i="35" s="1"/>
  <c r="T100" i="23"/>
  <c r="U100" i="23" s="1"/>
  <c r="P91" i="23"/>
  <c r="E58" i="23"/>
  <c r="I58" i="23" s="1"/>
  <c r="E107" i="36"/>
  <c r="I107" i="36" s="1"/>
  <c r="I99" i="38"/>
  <c r="I37" i="39"/>
  <c r="I37" i="40"/>
  <c r="I100" i="36"/>
  <c r="T100" i="36"/>
  <c r="U100" i="36" s="1"/>
  <c r="E53" i="36"/>
  <c r="I53" i="36" s="1"/>
  <c r="E58" i="36"/>
  <c r="I58" i="36" s="1"/>
  <c r="E109" i="36"/>
  <c r="E56" i="36"/>
  <c r="I56" i="36" s="1"/>
  <c r="E14" i="38"/>
  <c r="E19" i="38"/>
  <c r="H19" i="38" s="1"/>
  <c r="I19" i="38" s="1"/>
  <c r="E16" i="38"/>
  <c r="E26" i="38"/>
  <c r="H26" i="38" s="1"/>
  <c r="I26" i="38" s="1"/>
  <c r="E21" i="38"/>
  <c r="H21" i="38" s="1"/>
  <c r="I21" i="38" s="1"/>
  <c r="E13" i="38"/>
  <c r="E28" i="38"/>
  <c r="H28" i="38" s="1"/>
  <c r="I28" i="38" s="1"/>
  <c r="E18" i="38"/>
  <c r="E23" i="38"/>
  <c r="H23" i="38" s="1"/>
  <c r="I23" i="38" s="1"/>
  <c r="E15" i="38"/>
  <c r="H15" i="38" s="1"/>
  <c r="E25" i="38"/>
  <c r="H25" i="38" s="1"/>
  <c r="I25" i="38" s="1"/>
  <c r="E20" i="38"/>
  <c r="H20" i="38" s="1"/>
  <c r="I20" i="38" s="1"/>
  <c r="E27" i="38"/>
  <c r="H27" i="38" s="1"/>
  <c r="I27" i="38" s="1"/>
  <c r="R79" i="40"/>
  <c r="E24" i="34"/>
  <c r="H24" i="34" s="1"/>
  <c r="I24" i="34" s="1"/>
  <c r="T109" i="23"/>
  <c r="E108" i="23"/>
  <c r="I108" i="23" s="1"/>
  <c r="E55" i="23"/>
  <c r="I55" i="23" s="1"/>
  <c r="E18" i="36"/>
  <c r="E13" i="36"/>
  <c r="I100" i="39"/>
  <c r="T100" i="39"/>
  <c r="U100" i="39" s="1"/>
  <c r="E13" i="32"/>
  <c r="E92" i="33"/>
  <c r="R80" i="33"/>
  <c r="R78" i="33"/>
  <c r="R76" i="33"/>
  <c r="E19" i="33"/>
  <c r="H19" i="33" s="1"/>
  <c r="I19" i="33" s="1"/>
  <c r="R83" i="34"/>
  <c r="U83" i="34" s="1"/>
  <c r="U84" i="34" s="1"/>
  <c r="R71" i="34"/>
  <c r="R68" i="34"/>
  <c r="E56" i="34"/>
  <c r="I56" i="34" s="1"/>
  <c r="E41" i="34"/>
  <c r="I41" i="34" s="1"/>
  <c r="E38" i="34"/>
  <c r="I38" i="34" s="1"/>
  <c r="E14" i="34"/>
  <c r="E53" i="35"/>
  <c r="I53" i="35" s="1"/>
  <c r="E20" i="35"/>
  <c r="H20" i="35" s="1"/>
  <c r="I20" i="35" s="1"/>
  <c r="R85" i="23"/>
  <c r="R72" i="23"/>
  <c r="R70" i="23"/>
  <c r="E50" i="23"/>
  <c r="E23" i="23"/>
  <c r="H23" i="23" s="1"/>
  <c r="I23" i="23" s="1"/>
  <c r="E18" i="23"/>
  <c r="R78" i="36"/>
  <c r="I99" i="37"/>
  <c r="T99" i="37"/>
  <c r="R80" i="37"/>
  <c r="I39" i="38"/>
  <c r="I50" i="42"/>
  <c r="E21" i="32"/>
  <c r="H21" i="32" s="1"/>
  <c r="I21" i="32" s="1"/>
  <c r="E24" i="33"/>
  <c r="H24" i="33" s="1"/>
  <c r="I24" i="33" s="1"/>
  <c r="E51" i="34"/>
  <c r="E22" i="34"/>
  <c r="H22" i="34" s="1"/>
  <c r="I22" i="34" s="1"/>
  <c r="E17" i="34"/>
  <c r="H17" i="34" s="1"/>
  <c r="E40" i="35"/>
  <c r="I40" i="35" s="1"/>
  <c r="E37" i="35"/>
  <c r="E25" i="35"/>
  <c r="H25" i="35" s="1"/>
  <c r="I25" i="35" s="1"/>
  <c r="E15" i="35"/>
  <c r="E57" i="23"/>
  <c r="I57" i="23" s="1"/>
  <c r="E28" i="23"/>
  <c r="H28" i="23" s="1"/>
  <c r="I28" i="23" s="1"/>
  <c r="E13" i="23"/>
  <c r="E55" i="36"/>
  <c r="I55" i="36" s="1"/>
  <c r="I40" i="36"/>
  <c r="I108" i="37"/>
  <c r="E109" i="37"/>
  <c r="I109" i="37" s="1"/>
  <c r="E57" i="37"/>
  <c r="I57" i="37" s="1"/>
  <c r="E50" i="37"/>
  <c r="E55" i="37"/>
  <c r="I55" i="37" s="1"/>
  <c r="E108" i="37"/>
  <c r="E58" i="37"/>
  <c r="I58" i="37" s="1"/>
  <c r="E51" i="37"/>
  <c r="I51" i="37" s="1"/>
  <c r="E56" i="37"/>
  <c r="I56" i="37" s="1"/>
  <c r="E107" i="37"/>
  <c r="I107" i="37" s="1"/>
  <c r="I56" i="38"/>
  <c r="E17" i="38"/>
  <c r="H17" i="38" s="1"/>
  <c r="E16" i="32"/>
  <c r="E27" i="34"/>
  <c r="H27" i="34" s="1"/>
  <c r="I27" i="34" s="1"/>
  <c r="E52" i="23"/>
  <c r="I52" i="23" s="1"/>
  <c r="E42" i="23"/>
  <c r="I42" i="23" s="1"/>
  <c r="E39" i="23"/>
  <c r="I39" i="23" s="1"/>
  <c r="E108" i="36"/>
  <c r="I108" i="36" s="1"/>
  <c r="E52" i="36"/>
  <c r="I52" i="36" s="1"/>
  <c r="U59" i="37"/>
  <c r="H109" i="38"/>
  <c r="T107" i="38"/>
  <c r="E22" i="38"/>
  <c r="H22" i="38" s="1"/>
  <c r="I22" i="38" s="1"/>
  <c r="R77" i="40"/>
  <c r="E19" i="32"/>
  <c r="H19" i="32" s="1"/>
  <c r="I19" i="32" s="1"/>
  <c r="E20" i="34"/>
  <c r="H20" i="34" s="1"/>
  <c r="I20" i="34" s="1"/>
  <c r="E109" i="23"/>
  <c r="I109" i="23" s="1"/>
  <c r="I99" i="36"/>
  <c r="E24" i="32"/>
  <c r="H24" i="32" s="1"/>
  <c r="I24" i="32" s="1"/>
  <c r="T100" i="33"/>
  <c r="U100" i="33" s="1"/>
  <c r="E43" i="33"/>
  <c r="E25" i="34"/>
  <c r="H25" i="34" s="1"/>
  <c r="I25" i="34" s="1"/>
  <c r="E15" i="34"/>
  <c r="H15" i="34" s="1"/>
  <c r="E54" i="23"/>
  <c r="I54" i="23" s="1"/>
  <c r="E15" i="36"/>
  <c r="H15" i="36" s="1"/>
  <c r="E25" i="36"/>
  <c r="H25" i="36" s="1"/>
  <c r="I25" i="36" s="1"/>
  <c r="E20" i="36"/>
  <c r="H20" i="36" s="1"/>
  <c r="I20" i="36" s="1"/>
  <c r="E27" i="36"/>
  <c r="H27" i="36" s="1"/>
  <c r="I27" i="36" s="1"/>
  <c r="E16" i="36"/>
  <c r="E26" i="36"/>
  <c r="H26" i="36" s="1"/>
  <c r="I26" i="36" s="1"/>
  <c r="E41" i="32"/>
  <c r="I41" i="32" s="1"/>
  <c r="R85" i="34"/>
  <c r="E55" i="34"/>
  <c r="I55" i="34" s="1"/>
  <c r="E42" i="35"/>
  <c r="I42" i="35" s="1"/>
  <c r="E21" i="35"/>
  <c r="H21" i="35" s="1"/>
  <c r="I21" i="35" s="1"/>
  <c r="E24" i="23"/>
  <c r="H24" i="23" s="1"/>
  <c r="I24" i="23" s="1"/>
  <c r="E24" i="36"/>
  <c r="H24" i="36" s="1"/>
  <c r="I24" i="36" s="1"/>
  <c r="E17" i="36"/>
  <c r="H17" i="36" s="1"/>
  <c r="E16" i="37"/>
  <c r="E26" i="37"/>
  <c r="H26" i="37" s="1"/>
  <c r="I26" i="37" s="1"/>
  <c r="E13" i="37"/>
  <c r="E28" i="37"/>
  <c r="H28" i="37" s="1"/>
  <c r="I28" i="37" s="1"/>
  <c r="E18" i="37"/>
  <c r="E23" i="37"/>
  <c r="H23" i="37" s="1"/>
  <c r="I23" i="37" s="1"/>
  <c r="E15" i="37"/>
  <c r="H15" i="37" s="1"/>
  <c r="E25" i="37"/>
  <c r="H25" i="37" s="1"/>
  <c r="I25" i="37" s="1"/>
  <c r="E20" i="37"/>
  <c r="H20" i="37" s="1"/>
  <c r="I20" i="37" s="1"/>
  <c r="E27" i="37"/>
  <c r="H27" i="37" s="1"/>
  <c r="I27" i="37" s="1"/>
  <c r="E17" i="37"/>
  <c r="H17" i="37" s="1"/>
  <c r="E22" i="37"/>
  <c r="H22" i="37" s="1"/>
  <c r="I22" i="37" s="1"/>
  <c r="E14" i="37"/>
  <c r="U59" i="38"/>
  <c r="I55" i="39"/>
  <c r="U59" i="40"/>
  <c r="E23" i="34"/>
  <c r="H23" i="34" s="1"/>
  <c r="I23" i="34" s="1"/>
  <c r="E26" i="35"/>
  <c r="H26" i="35" s="1"/>
  <c r="I26" i="35" s="1"/>
  <c r="E107" i="23"/>
  <c r="I107" i="23" s="1"/>
  <c r="E41" i="23"/>
  <c r="I41" i="23" s="1"/>
  <c r="E57" i="36"/>
  <c r="I57" i="36" s="1"/>
  <c r="E54" i="36"/>
  <c r="I54" i="36" s="1"/>
  <c r="E51" i="36"/>
  <c r="I51" i="36" s="1"/>
  <c r="E19" i="36"/>
  <c r="H19" i="36" s="1"/>
  <c r="I19" i="36" s="1"/>
  <c r="E24" i="37"/>
  <c r="H24" i="37" s="1"/>
  <c r="I24" i="37" s="1"/>
  <c r="R70" i="44"/>
  <c r="E52" i="40"/>
  <c r="I52" i="40" s="1"/>
  <c r="I51" i="43"/>
  <c r="T56" i="45"/>
  <c r="U56" i="45" s="1"/>
  <c r="I56" i="45"/>
  <c r="E91" i="39"/>
  <c r="E109" i="40"/>
  <c r="I109" i="40" s="1"/>
  <c r="R77" i="42"/>
  <c r="U59" i="43"/>
  <c r="I100" i="44"/>
  <c r="E57" i="48"/>
  <c r="I57" i="48" s="1"/>
  <c r="E50" i="48"/>
  <c r="E55" i="48"/>
  <c r="I55" i="48" s="1"/>
  <c r="E108" i="48"/>
  <c r="I108" i="48" s="1"/>
  <c r="E58" i="48"/>
  <c r="I58" i="48" s="1"/>
  <c r="E56" i="48"/>
  <c r="I56" i="48" s="1"/>
  <c r="E107" i="48"/>
  <c r="I107" i="48" s="1"/>
  <c r="E54" i="48"/>
  <c r="I54" i="48" s="1"/>
  <c r="E51" i="48"/>
  <c r="I51" i="48" s="1"/>
  <c r="E109" i="48"/>
  <c r="E52" i="48"/>
  <c r="I52" i="48" s="1"/>
  <c r="E53" i="48"/>
  <c r="I53" i="48" s="1"/>
  <c r="E54" i="40"/>
  <c r="I54" i="40" s="1"/>
  <c r="I99" i="43"/>
  <c r="T99" i="43"/>
  <c r="E90" i="37"/>
  <c r="E55" i="38"/>
  <c r="I55" i="38" s="1"/>
  <c r="H109" i="39"/>
  <c r="E52" i="39"/>
  <c r="I52" i="39" s="1"/>
  <c r="E42" i="39"/>
  <c r="I42" i="39" s="1"/>
  <c r="E39" i="39"/>
  <c r="I39" i="39" s="1"/>
  <c r="E21" i="39"/>
  <c r="H21" i="39" s="1"/>
  <c r="I21" i="39" s="1"/>
  <c r="T8" i="39"/>
  <c r="T108" i="40"/>
  <c r="E20" i="40"/>
  <c r="H20" i="40" s="1"/>
  <c r="I20" i="40" s="1"/>
  <c r="E19" i="40"/>
  <c r="H19" i="40" s="1"/>
  <c r="I19" i="40" s="1"/>
  <c r="E16" i="40"/>
  <c r="E21" i="40"/>
  <c r="H21" i="40" s="1"/>
  <c r="I21" i="40" s="1"/>
  <c r="I37" i="42"/>
  <c r="E107" i="40"/>
  <c r="I107" i="40" s="1"/>
  <c r="E56" i="40"/>
  <c r="I56" i="40" s="1"/>
  <c r="E91" i="42"/>
  <c r="T8" i="42"/>
  <c r="R85" i="48"/>
  <c r="R79" i="37"/>
  <c r="R77" i="37"/>
  <c r="T99" i="38"/>
  <c r="E57" i="38"/>
  <c r="I57" i="38" s="1"/>
  <c r="E92" i="39"/>
  <c r="E54" i="39"/>
  <c r="E19" i="39"/>
  <c r="H19" i="39" s="1"/>
  <c r="I19" i="39" s="1"/>
  <c r="E51" i="40"/>
  <c r="J14" i="40" s="1"/>
  <c r="E18" i="40"/>
  <c r="T108" i="44"/>
  <c r="E90" i="44"/>
  <c r="T8" i="44"/>
  <c r="E92" i="44"/>
  <c r="E91" i="44"/>
  <c r="H109" i="45"/>
  <c r="T107" i="45"/>
  <c r="E42" i="38"/>
  <c r="I42" i="38" s="1"/>
  <c r="T108" i="39"/>
  <c r="E24" i="39"/>
  <c r="H24" i="39" s="1"/>
  <c r="I24" i="39" s="1"/>
  <c r="E58" i="40"/>
  <c r="I58" i="40" s="1"/>
  <c r="E27" i="40"/>
  <c r="H27" i="40" s="1"/>
  <c r="I27" i="40" s="1"/>
  <c r="E15" i="40"/>
  <c r="H15" i="40" s="1"/>
  <c r="E37" i="44"/>
  <c r="E40" i="44"/>
  <c r="I40" i="44" s="1"/>
  <c r="E39" i="44"/>
  <c r="I39" i="44" s="1"/>
  <c r="E41" i="44"/>
  <c r="I41" i="44" s="1"/>
  <c r="E38" i="44"/>
  <c r="I38" i="44" s="1"/>
  <c r="R85" i="37"/>
  <c r="R72" i="37"/>
  <c r="R70" i="37"/>
  <c r="R71" i="39"/>
  <c r="R68" i="39"/>
  <c r="E41" i="39"/>
  <c r="I41" i="39" s="1"/>
  <c r="E14" i="39"/>
  <c r="E53" i="40"/>
  <c r="I53" i="40" s="1"/>
  <c r="E23" i="40"/>
  <c r="H23" i="40" s="1"/>
  <c r="I23" i="40" s="1"/>
  <c r="E90" i="42"/>
  <c r="R79" i="42"/>
  <c r="E16" i="45"/>
  <c r="E26" i="45"/>
  <c r="H26" i="45" s="1"/>
  <c r="I26" i="45" s="1"/>
  <c r="E21" i="45"/>
  <c r="H21" i="45" s="1"/>
  <c r="I21" i="45" s="1"/>
  <c r="E13" i="45"/>
  <c r="E28" i="45"/>
  <c r="H28" i="45" s="1"/>
  <c r="I28" i="45" s="1"/>
  <c r="E18" i="45"/>
  <c r="E23" i="45"/>
  <c r="H23" i="45" s="1"/>
  <c r="I23" i="45" s="1"/>
  <c r="E15" i="45"/>
  <c r="H15" i="45" s="1"/>
  <c r="E25" i="45"/>
  <c r="H25" i="45" s="1"/>
  <c r="I25" i="45" s="1"/>
  <c r="E20" i="45"/>
  <c r="H20" i="45" s="1"/>
  <c r="I20" i="45" s="1"/>
  <c r="E27" i="45"/>
  <c r="H27" i="45" s="1"/>
  <c r="I27" i="45" s="1"/>
  <c r="E14" i="45"/>
  <c r="E17" i="45"/>
  <c r="H17" i="45" s="1"/>
  <c r="E22" i="45"/>
  <c r="H22" i="45" s="1"/>
  <c r="I22" i="45" s="1"/>
  <c r="E19" i="45"/>
  <c r="H19" i="45" s="1"/>
  <c r="I19" i="45" s="1"/>
  <c r="I109" i="47"/>
  <c r="T109" i="47"/>
  <c r="T8" i="47"/>
  <c r="E92" i="47"/>
  <c r="E91" i="47"/>
  <c r="E90" i="47"/>
  <c r="E51" i="39"/>
  <c r="E22" i="39"/>
  <c r="H22" i="39" s="1"/>
  <c r="I22" i="39" s="1"/>
  <c r="E17" i="39"/>
  <c r="H17" i="39" s="1"/>
  <c r="E40" i="40"/>
  <c r="I40" i="40" s="1"/>
  <c r="E25" i="40"/>
  <c r="H25" i="40" s="1"/>
  <c r="I25" i="40" s="1"/>
  <c r="I42" i="47"/>
  <c r="I39" i="47"/>
  <c r="E108" i="40"/>
  <c r="I108" i="40" s="1"/>
  <c r="E55" i="40"/>
  <c r="I55" i="40" s="1"/>
  <c r="E17" i="40"/>
  <c r="H17" i="40" s="1"/>
  <c r="U59" i="42"/>
  <c r="T109" i="43"/>
  <c r="I39" i="43"/>
  <c r="I42" i="43"/>
  <c r="E42" i="44"/>
  <c r="I42" i="44" s="1"/>
  <c r="I26" i="44"/>
  <c r="R78" i="45"/>
  <c r="I19" i="47"/>
  <c r="H14" i="40"/>
  <c r="I14" i="40" s="1"/>
  <c r="I110" i="42"/>
  <c r="I40" i="42"/>
  <c r="E52" i="42"/>
  <c r="I52" i="42" s="1"/>
  <c r="E42" i="42"/>
  <c r="I42" i="42" s="1"/>
  <c r="E39" i="42"/>
  <c r="I39" i="42" s="1"/>
  <c r="E24" i="43"/>
  <c r="H24" i="43" s="1"/>
  <c r="I24" i="43" s="1"/>
  <c r="I58" i="47"/>
  <c r="E24" i="42"/>
  <c r="H24" i="42" s="1"/>
  <c r="I24" i="42" s="1"/>
  <c r="T100" i="43"/>
  <c r="U100" i="43" s="1"/>
  <c r="E58" i="43"/>
  <c r="I58" i="43" s="1"/>
  <c r="E27" i="43"/>
  <c r="H27" i="43" s="1"/>
  <c r="I27" i="43" s="1"/>
  <c r="T109" i="44"/>
  <c r="E108" i="44"/>
  <c r="I108" i="44" s="1"/>
  <c r="E54" i="44"/>
  <c r="I54" i="44" s="1"/>
  <c r="R76" i="45"/>
  <c r="U84" i="47"/>
  <c r="H18" i="47"/>
  <c r="I18" i="47" s="1"/>
  <c r="R71" i="42"/>
  <c r="R68" i="42"/>
  <c r="E56" i="42"/>
  <c r="I56" i="42" s="1"/>
  <c r="E41" i="42"/>
  <c r="I41" i="42" s="1"/>
  <c r="E14" i="42"/>
  <c r="E53" i="43"/>
  <c r="I53" i="43" s="1"/>
  <c r="E20" i="43"/>
  <c r="H20" i="43" s="1"/>
  <c r="I20" i="43" s="1"/>
  <c r="T100" i="47"/>
  <c r="U100" i="47" s="1"/>
  <c r="R76" i="47"/>
  <c r="E91" i="48"/>
  <c r="E90" i="48"/>
  <c r="E92" i="48"/>
  <c r="T8" i="48"/>
  <c r="E51" i="42"/>
  <c r="I51" i="42" s="1"/>
  <c r="E25" i="43"/>
  <c r="H25" i="43" s="1"/>
  <c r="I25" i="43" s="1"/>
  <c r="E15" i="43"/>
  <c r="H15" i="43" s="1"/>
  <c r="T99" i="44"/>
  <c r="I52" i="47"/>
  <c r="H18" i="44"/>
  <c r="I18" i="44" s="1"/>
  <c r="R80" i="47"/>
  <c r="I21" i="47"/>
  <c r="E50" i="44"/>
  <c r="E55" i="44"/>
  <c r="I55" i="44" s="1"/>
  <c r="E58" i="44"/>
  <c r="I58" i="44" s="1"/>
  <c r="E51" i="44"/>
  <c r="I51" i="44" s="1"/>
  <c r="E53" i="44"/>
  <c r="I53" i="44" s="1"/>
  <c r="T58" i="45"/>
  <c r="U58" i="45" s="1"/>
  <c r="P92" i="45"/>
  <c r="P91" i="45"/>
  <c r="T108" i="75"/>
  <c r="E55" i="42"/>
  <c r="I55" i="42" s="1"/>
  <c r="E21" i="43"/>
  <c r="H21" i="43" s="1"/>
  <c r="I21" i="43" s="1"/>
  <c r="I99" i="45"/>
  <c r="T99" i="45"/>
  <c r="E23" i="42"/>
  <c r="H23" i="42" s="1"/>
  <c r="I23" i="42" s="1"/>
  <c r="E26" i="43"/>
  <c r="H26" i="43" s="1"/>
  <c r="I26" i="43" s="1"/>
  <c r="E52" i="44"/>
  <c r="I52" i="44" s="1"/>
  <c r="R78" i="47"/>
  <c r="U59" i="51"/>
  <c r="R78" i="48"/>
  <c r="R68" i="75"/>
  <c r="R70" i="48"/>
  <c r="H13" i="48"/>
  <c r="I51" i="52"/>
  <c r="H14" i="52"/>
  <c r="I14" i="52" s="1"/>
  <c r="E24" i="44"/>
  <c r="H24" i="44" s="1"/>
  <c r="I24" i="44" s="1"/>
  <c r="J14" i="47"/>
  <c r="U84" i="48"/>
  <c r="E37" i="48"/>
  <c r="E40" i="48"/>
  <c r="I40" i="48" s="1"/>
  <c r="E38" i="48"/>
  <c r="I38" i="48" s="1"/>
  <c r="E41" i="48"/>
  <c r="I41" i="48" s="1"/>
  <c r="I56" i="50"/>
  <c r="I37" i="47"/>
  <c r="U59" i="50"/>
  <c r="E19" i="50"/>
  <c r="H19" i="50" s="1"/>
  <c r="I19" i="50" s="1"/>
  <c r="E16" i="50"/>
  <c r="E26" i="50"/>
  <c r="H26" i="50" s="1"/>
  <c r="I26" i="50" s="1"/>
  <c r="E21" i="50"/>
  <c r="H21" i="50" s="1"/>
  <c r="I21" i="50" s="1"/>
  <c r="E13" i="50"/>
  <c r="E28" i="50"/>
  <c r="H28" i="50" s="1"/>
  <c r="I28" i="50" s="1"/>
  <c r="E18" i="50"/>
  <c r="E23" i="50"/>
  <c r="H23" i="50" s="1"/>
  <c r="I23" i="50" s="1"/>
  <c r="E15" i="50"/>
  <c r="H15" i="50" s="1"/>
  <c r="E25" i="50"/>
  <c r="H25" i="50" s="1"/>
  <c r="I25" i="50" s="1"/>
  <c r="E20" i="50"/>
  <c r="H20" i="50" s="1"/>
  <c r="I20" i="50" s="1"/>
  <c r="E27" i="50"/>
  <c r="H27" i="50" s="1"/>
  <c r="I27" i="50" s="1"/>
  <c r="E17" i="50"/>
  <c r="H17" i="50" s="1"/>
  <c r="E22" i="50"/>
  <c r="H22" i="50" s="1"/>
  <c r="I22" i="50" s="1"/>
  <c r="E22" i="44"/>
  <c r="H22" i="44" s="1"/>
  <c r="I22" i="44" s="1"/>
  <c r="E17" i="44"/>
  <c r="H17" i="44" s="1"/>
  <c r="R79" i="45"/>
  <c r="R77" i="45"/>
  <c r="I50" i="45"/>
  <c r="E40" i="45"/>
  <c r="I40" i="45" s="1"/>
  <c r="E37" i="45"/>
  <c r="E42" i="48"/>
  <c r="I42" i="48" s="1"/>
  <c r="U84" i="51"/>
  <c r="E27" i="44"/>
  <c r="H27" i="44" s="1"/>
  <c r="I27" i="44" s="1"/>
  <c r="E55" i="45"/>
  <c r="I55" i="45" s="1"/>
  <c r="E53" i="47"/>
  <c r="I53" i="47" s="1"/>
  <c r="E51" i="47"/>
  <c r="I51" i="47" s="1"/>
  <c r="E54" i="47"/>
  <c r="I54" i="47" s="1"/>
  <c r="E15" i="47"/>
  <c r="H15" i="47" s="1"/>
  <c r="E25" i="47"/>
  <c r="H25" i="47" s="1"/>
  <c r="I25" i="47" s="1"/>
  <c r="E20" i="47"/>
  <c r="H20" i="47" s="1"/>
  <c r="I20" i="47" s="1"/>
  <c r="E27" i="47"/>
  <c r="H27" i="47" s="1"/>
  <c r="I27" i="47" s="1"/>
  <c r="E17" i="47"/>
  <c r="H17" i="47" s="1"/>
  <c r="E22" i="47"/>
  <c r="H22" i="47" s="1"/>
  <c r="I22" i="47" s="1"/>
  <c r="E13" i="47"/>
  <c r="I109" i="48"/>
  <c r="T109" i="48"/>
  <c r="R80" i="48"/>
  <c r="R76" i="48"/>
  <c r="E25" i="44"/>
  <c r="H25" i="44" s="1"/>
  <c r="I25" i="44" s="1"/>
  <c r="E15" i="44"/>
  <c r="I50" i="47"/>
  <c r="H16" i="47"/>
  <c r="I16" i="47" s="1"/>
  <c r="H109" i="50"/>
  <c r="T107" i="50"/>
  <c r="E42" i="45"/>
  <c r="I42" i="45" s="1"/>
  <c r="T108" i="48"/>
  <c r="E39" i="48"/>
  <c r="I39" i="48" s="1"/>
  <c r="U84" i="50"/>
  <c r="I108" i="51"/>
  <c r="H16" i="51"/>
  <c r="E23" i="44"/>
  <c r="H23" i="44" s="1"/>
  <c r="I23" i="44" s="1"/>
  <c r="R72" i="48"/>
  <c r="U59" i="48"/>
  <c r="E19" i="48"/>
  <c r="H19" i="48" s="1"/>
  <c r="I19" i="48" s="1"/>
  <c r="E51" i="50"/>
  <c r="I51" i="50" s="1"/>
  <c r="R79" i="51"/>
  <c r="R77" i="51"/>
  <c r="R78" i="52"/>
  <c r="E53" i="76"/>
  <c r="I53" i="76" s="1"/>
  <c r="E58" i="76"/>
  <c r="I58" i="76" s="1"/>
  <c r="E51" i="76"/>
  <c r="I51" i="76" s="1"/>
  <c r="E54" i="76"/>
  <c r="I54" i="76" s="1"/>
  <c r="E109" i="76"/>
  <c r="I109" i="76" s="1"/>
  <c r="E57" i="76"/>
  <c r="I57" i="76" s="1"/>
  <c r="E55" i="76"/>
  <c r="I55" i="76" s="1"/>
  <c r="E108" i="76"/>
  <c r="I108" i="76" s="1"/>
  <c r="E56" i="76"/>
  <c r="I56" i="76" s="1"/>
  <c r="E52" i="76"/>
  <c r="I52" i="76" s="1"/>
  <c r="E24" i="48"/>
  <c r="H24" i="48" s="1"/>
  <c r="I24" i="48" s="1"/>
  <c r="T100" i="50"/>
  <c r="U100" i="50" s="1"/>
  <c r="I17" i="52"/>
  <c r="E38" i="75"/>
  <c r="I38" i="75" s="1"/>
  <c r="E41" i="75"/>
  <c r="I41" i="75" s="1"/>
  <c r="E39" i="75"/>
  <c r="I39" i="75" s="1"/>
  <c r="E42" i="75"/>
  <c r="I42" i="75" s="1"/>
  <c r="I37" i="76"/>
  <c r="E14" i="48"/>
  <c r="R85" i="51"/>
  <c r="R72" i="51"/>
  <c r="P90" i="52"/>
  <c r="P92" i="52"/>
  <c r="P91" i="52"/>
  <c r="E40" i="75"/>
  <c r="I40" i="75" s="1"/>
  <c r="U59" i="76"/>
  <c r="R71" i="58"/>
  <c r="I37" i="51"/>
  <c r="R76" i="52"/>
  <c r="I50" i="76"/>
  <c r="E25" i="48"/>
  <c r="H25" i="48" s="1"/>
  <c r="I25" i="48" s="1"/>
  <c r="E15" i="48"/>
  <c r="H15" i="48" s="1"/>
  <c r="E57" i="50"/>
  <c r="I57" i="50" s="1"/>
  <c r="E92" i="51"/>
  <c r="E22" i="51"/>
  <c r="H22" i="51" s="1"/>
  <c r="I22" i="51" s="1"/>
  <c r="R71" i="75"/>
  <c r="E37" i="75"/>
  <c r="E52" i="50"/>
  <c r="I52" i="50" s="1"/>
  <c r="E42" i="50"/>
  <c r="I42" i="50" s="1"/>
  <c r="U84" i="52"/>
  <c r="H18" i="75"/>
  <c r="I18" i="75" s="1"/>
  <c r="E107" i="76"/>
  <c r="I107" i="76" s="1"/>
  <c r="E23" i="48"/>
  <c r="H23" i="48" s="1"/>
  <c r="I23" i="48" s="1"/>
  <c r="E18" i="48"/>
  <c r="E109" i="50"/>
  <c r="I100" i="76"/>
  <c r="T100" i="76"/>
  <c r="U100" i="76" s="1"/>
  <c r="E40" i="47"/>
  <c r="I40" i="47" s="1"/>
  <c r="E28" i="48"/>
  <c r="H28" i="48" s="1"/>
  <c r="I28" i="48" s="1"/>
  <c r="E21" i="51"/>
  <c r="H21" i="51" s="1"/>
  <c r="I21" i="51" s="1"/>
  <c r="E13" i="51"/>
  <c r="E28" i="51"/>
  <c r="H28" i="51" s="1"/>
  <c r="I28" i="51" s="1"/>
  <c r="E20" i="51"/>
  <c r="H20" i="51" s="1"/>
  <c r="I20" i="51" s="1"/>
  <c r="E27" i="51"/>
  <c r="H27" i="51" s="1"/>
  <c r="I27" i="51" s="1"/>
  <c r="E14" i="51"/>
  <c r="R80" i="52"/>
  <c r="I108" i="52"/>
  <c r="R77" i="55"/>
  <c r="E37" i="56"/>
  <c r="E40" i="56"/>
  <c r="I40" i="56" s="1"/>
  <c r="E38" i="56"/>
  <c r="I38" i="56" s="1"/>
  <c r="E39" i="56"/>
  <c r="I39" i="56" s="1"/>
  <c r="E41" i="56"/>
  <c r="I41" i="56" s="1"/>
  <c r="E42" i="56"/>
  <c r="I42" i="56" s="1"/>
  <c r="T109" i="76"/>
  <c r="P91" i="56"/>
  <c r="P90" i="56"/>
  <c r="R79" i="52"/>
  <c r="R77" i="52"/>
  <c r="E40" i="52"/>
  <c r="I40" i="52" s="1"/>
  <c r="E37" i="52"/>
  <c r="H13" i="55"/>
  <c r="E52" i="75"/>
  <c r="I52" i="75" s="1"/>
  <c r="E28" i="75"/>
  <c r="H28" i="75" s="1"/>
  <c r="I28" i="75" s="1"/>
  <c r="U84" i="55"/>
  <c r="E91" i="55"/>
  <c r="E90" i="55"/>
  <c r="E92" i="55"/>
  <c r="T8" i="55"/>
  <c r="U84" i="57"/>
  <c r="E53" i="51"/>
  <c r="I53" i="51" s="1"/>
  <c r="E16" i="75"/>
  <c r="U59" i="55"/>
  <c r="H18" i="55"/>
  <c r="I18" i="55" s="1"/>
  <c r="T109" i="56"/>
  <c r="H18" i="57"/>
  <c r="I18" i="57" s="1"/>
  <c r="P92" i="56"/>
  <c r="R72" i="57"/>
  <c r="E55" i="51"/>
  <c r="I55" i="51" s="1"/>
  <c r="E42" i="52"/>
  <c r="I42" i="52" s="1"/>
  <c r="E21" i="52"/>
  <c r="H21" i="52" s="1"/>
  <c r="I21" i="52" s="1"/>
  <c r="P91" i="76"/>
  <c r="P90" i="76"/>
  <c r="E14" i="75"/>
  <c r="E19" i="75"/>
  <c r="H19" i="75" s="1"/>
  <c r="I19" i="75" s="1"/>
  <c r="E13" i="75"/>
  <c r="E24" i="75"/>
  <c r="H24" i="75" s="1"/>
  <c r="I24" i="75" s="1"/>
  <c r="E20" i="75"/>
  <c r="H20" i="75" s="1"/>
  <c r="I20" i="75" s="1"/>
  <c r="E15" i="75"/>
  <c r="H15" i="75" s="1"/>
  <c r="U84" i="76"/>
  <c r="R79" i="55"/>
  <c r="E57" i="51"/>
  <c r="I57" i="51" s="1"/>
  <c r="E51" i="75"/>
  <c r="E22" i="75"/>
  <c r="H22" i="75" s="1"/>
  <c r="I22" i="75" s="1"/>
  <c r="I37" i="55"/>
  <c r="E42" i="51"/>
  <c r="I42" i="51" s="1"/>
  <c r="U59" i="57"/>
  <c r="H13" i="76"/>
  <c r="H109" i="55"/>
  <c r="E52" i="55"/>
  <c r="I52" i="55" s="1"/>
  <c r="E42" i="55"/>
  <c r="I42" i="55" s="1"/>
  <c r="E39" i="55"/>
  <c r="I39" i="55" s="1"/>
  <c r="E21" i="55"/>
  <c r="H21" i="55" s="1"/>
  <c r="I21" i="55" s="1"/>
  <c r="E109" i="56"/>
  <c r="I109" i="56" s="1"/>
  <c r="R80" i="56"/>
  <c r="E19" i="55"/>
  <c r="H19" i="55" s="1"/>
  <c r="I19" i="55" s="1"/>
  <c r="E57" i="56"/>
  <c r="I57" i="56" s="1"/>
  <c r="E55" i="56"/>
  <c r="I55" i="56" s="1"/>
  <c r="E108" i="56"/>
  <c r="I108" i="56" s="1"/>
  <c r="E58" i="56"/>
  <c r="I58" i="56" s="1"/>
  <c r="E54" i="56"/>
  <c r="I54" i="56" s="1"/>
  <c r="H26" i="56"/>
  <c r="I26" i="56" s="1"/>
  <c r="I108" i="57"/>
  <c r="E14" i="57"/>
  <c r="H24" i="58"/>
  <c r="I24" i="58" s="1"/>
  <c r="E24" i="55"/>
  <c r="H24" i="55" s="1"/>
  <c r="I24" i="55" s="1"/>
  <c r="T108" i="56"/>
  <c r="R76" i="56"/>
  <c r="E90" i="56"/>
  <c r="E92" i="56"/>
  <c r="I37" i="57"/>
  <c r="H109" i="66"/>
  <c r="T107" i="66"/>
  <c r="R71" i="55"/>
  <c r="R68" i="55"/>
  <c r="E41" i="55"/>
  <c r="I41" i="55" s="1"/>
  <c r="E38" i="55"/>
  <c r="I38" i="55" s="1"/>
  <c r="E14" i="55"/>
  <c r="U59" i="56"/>
  <c r="I57" i="57"/>
  <c r="R80" i="76"/>
  <c r="R78" i="76"/>
  <c r="R76" i="76"/>
  <c r="E19" i="76"/>
  <c r="H19" i="76" s="1"/>
  <c r="I19" i="76" s="1"/>
  <c r="E51" i="55"/>
  <c r="E22" i="55"/>
  <c r="H22" i="55" s="1"/>
  <c r="I22" i="55" s="1"/>
  <c r="E17" i="55"/>
  <c r="H17" i="55" s="1"/>
  <c r="E26" i="57"/>
  <c r="H26" i="57" s="1"/>
  <c r="I26" i="57" s="1"/>
  <c r="E92" i="57"/>
  <c r="T8" i="57"/>
  <c r="E90" i="57"/>
  <c r="E24" i="76"/>
  <c r="H24" i="76" s="1"/>
  <c r="I24" i="76" s="1"/>
  <c r="E58" i="55"/>
  <c r="I58" i="55" s="1"/>
  <c r="E27" i="55"/>
  <c r="H27" i="55" s="1"/>
  <c r="I27" i="55" s="1"/>
  <c r="E91" i="56"/>
  <c r="E50" i="56"/>
  <c r="E19" i="57"/>
  <c r="H19" i="57" s="1"/>
  <c r="I19" i="57" s="1"/>
  <c r="E21" i="57"/>
  <c r="H21" i="57" s="1"/>
  <c r="I21" i="57" s="1"/>
  <c r="E13" i="57"/>
  <c r="E28" i="57"/>
  <c r="H28" i="57" s="1"/>
  <c r="I28" i="57" s="1"/>
  <c r="E20" i="57"/>
  <c r="H20" i="57" s="1"/>
  <c r="I20" i="57" s="1"/>
  <c r="E27" i="57"/>
  <c r="H27" i="57" s="1"/>
  <c r="I27" i="57" s="1"/>
  <c r="E17" i="57"/>
  <c r="H17" i="57" s="1"/>
  <c r="E22" i="57"/>
  <c r="H22" i="57" s="1"/>
  <c r="I22" i="57" s="1"/>
  <c r="E16" i="57"/>
  <c r="E20" i="55"/>
  <c r="H20" i="55" s="1"/>
  <c r="I20" i="55" s="1"/>
  <c r="R78" i="56"/>
  <c r="H18" i="56"/>
  <c r="I18" i="56" s="1"/>
  <c r="E40" i="55"/>
  <c r="I40" i="55" s="1"/>
  <c r="E25" i="55"/>
  <c r="H25" i="55" s="1"/>
  <c r="I25" i="55" s="1"/>
  <c r="E15" i="55"/>
  <c r="H15" i="55" s="1"/>
  <c r="U84" i="56"/>
  <c r="I107" i="57"/>
  <c r="H109" i="57"/>
  <c r="T107" i="57"/>
  <c r="E108" i="55"/>
  <c r="I108" i="55" s="1"/>
  <c r="E55" i="55"/>
  <c r="I55" i="55" s="1"/>
  <c r="E107" i="56"/>
  <c r="I107" i="56" s="1"/>
  <c r="E53" i="56"/>
  <c r="I53" i="56" s="1"/>
  <c r="I54" i="57"/>
  <c r="E25" i="57"/>
  <c r="H25" i="57" s="1"/>
  <c r="I25" i="57" s="1"/>
  <c r="I58" i="67"/>
  <c r="T58" i="67"/>
  <c r="U58" i="67" s="1"/>
  <c r="E23" i="55"/>
  <c r="H23" i="55" s="1"/>
  <c r="I23" i="55" s="1"/>
  <c r="I100" i="57"/>
  <c r="T100" i="57"/>
  <c r="U100" i="57" s="1"/>
  <c r="I50" i="57"/>
  <c r="E15" i="57"/>
  <c r="H15" i="57" s="1"/>
  <c r="E19" i="56"/>
  <c r="H19" i="56" s="1"/>
  <c r="I19" i="56" s="1"/>
  <c r="E51" i="57"/>
  <c r="I51" i="57" s="1"/>
  <c r="E109" i="58"/>
  <c r="E57" i="58"/>
  <c r="I57" i="58" s="1"/>
  <c r="E50" i="58"/>
  <c r="E51" i="58"/>
  <c r="I51" i="58" s="1"/>
  <c r="E56" i="58"/>
  <c r="I56" i="58" s="1"/>
  <c r="E14" i="66"/>
  <c r="E19" i="66"/>
  <c r="H19" i="66" s="1"/>
  <c r="I19" i="66" s="1"/>
  <c r="E16" i="66"/>
  <c r="E26" i="66"/>
  <c r="H26" i="66" s="1"/>
  <c r="I26" i="66" s="1"/>
  <c r="E21" i="66"/>
  <c r="H21" i="66" s="1"/>
  <c r="I21" i="66" s="1"/>
  <c r="E13" i="66"/>
  <c r="E28" i="66"/>
  <c r="H28" i="66" s="1"/>
  <c r="I28" i="66" s="1"/>
  <c r="E15" i="66"/>
  <c r="H15" i="66" s="1"/>
  <c r="E25" i="66"/>
  <c r="H25" i="66" s="1"/>
  <c r="I25" i="66" s="1"/>
  <c r="E20" i="66"/>
  <c r="H20" i="66" s="1"/>
  <c r="I20" i="66" s="1"/>
  <c r="E18" i="66"/>
  <c r="I38" i="67"/>
  <c r="E24" i="56"/>
  <c r="H24" i="56" s="1"/>
  <c r="I24" i="56" s="1"/>
  <c r="E58" i="57"/>
  <c r="I58" i="57" s="1"/>
  <c r="H109" i="58"/>
  <c r="E107" i="58"/>
  <c r="I107" i="58" s="1"/>
  <c r="R68" i="58"/>
  <c r="E37" i="58"/>
  <c r="E38" i="58"/>
  <c r="I38" i="58" s="1"/>
  <c r="E41" i="58"/>
  <c r="I41" i="58" s="1"/>
  <c r="E27" i="56"/>
  <c r="H27" i="56" s="1"/>
  <c r="I27" i="56" s="1"/>
  <c r="E55" i="57"/>
  <c r="I55" i="57" s="1"/>
  <c r="E55" i="58"/>
  <c r="I55" i="58" s="1"/>
  <c r="E24" i="66"/>
  <c r="H24" i="66" s="1"/>
  <c r="I24" i="66" s="1"/>
  <c r="R72" i="67"/>
  <c r="I56" i="69"/>
  <c r="J18" i="69"/>
  <c r="U59" i="69"/>
  <c r="R79" i="56"/>
  <c r="E25" i="56"/>
  <c r="H25" i="56" s="1"/>
  <c r="I25" i="56" s="1"/>
  <c r="E15" i="56"/>
  <c r="H15" i="56" s="1"/>
  <c r="T99" i="58"/>
  <c r="E16" i="58"/>
  <c r="E26" i="58"/>
  <c r="H26" i="58" s="1"/>
  <c r="I26" i="58" s="1"/>
  <c r="E13" i="58"/>
  <c r="E28" i="58"/>
  <c r="H28" i="58" s="1"/>
  <c r="I28" i="58" s="1"/>
  <c r="E18" i="58"/>
  <c r="E23" i="58"/>
  <c r="H23" i="58" s="1"/>
  <c r="I23" i="58" s="1"/>
  <c r="E15" i="58"/>
  <c r="H15" i="58" s="1"/>
  <c r="E25" i="58"/>
  <c r="H25" i="58" s="1"/>
  <c r="I25" i="58" s="1"/>
  <c r="E17" i="58"/>
  <c r="H17" i="58" s="1"/>
  <c r="E22" i="58"/>
  <c r="H22" i="58" s="1"/>
  <c r="I22" i="58" s="1"/>
  <c r="E14" i="58"/>
  <c r="E19" i="58"/>
  <c r="H19" i="58" s="1"/>
  <c r="I19" i="58" s="1"/>
  <c r="E39" i="67"/>
  <c r="I39" i="67" s="1"/>
  <c r="E42" i="67"/>
  <c r="I42" i="67" s="1"/>
  <c r="E40" i="67"/>
  <c r="I40" i="67" s="1"/>
  <c r="E37" i="67"/>
  <c r="R78" i="69"/>
  <c r="E52" i="57"/>
  <c r="I52" i="57" s="1"/>
  <c r="E42" i="57"/>
  <c r="I42" i="57" s="1"/>
  <c r="I50" i="66"/>
  <c r="E27" i="66"/>
  <c r="H27" i="66" s="1"/>
  <c r="I27" i="66" s="1"/>
  <c r="E28" i="56"/>
  <c r="H28" i="56" s="1"/>
  <c r="I28" i="56" s="1"/>
  <c r="U84" i="67"/>
  <c r="E41" i="67"/>
  <c r="I41" i="67" s="1"/>
  <c r="E53" i="66"/>
  <c r="I53" i="66" s="1"/>
  <c r="E22" i="67"/>
  <c r="H22" i="67" s="1"/>
  <c r="I22" i="67" s="1"/>
  <c r="E20" i="67"/>
  <c r="H20" i="67" s="1"/>
  <c r="I20" i="67" s="1"/>
  <c r="I51" i="69"/>
  <c r="E40" i="66"/>
  <c r="I40" i="66" s="1"/>
  <c r="E37" i="66"/>
  <c r="I107" i="67"/>
  <c r="E28" i="67"/>
  <c r="H28" i="67" s="1"/>
  <c r="I28" i="67" s="1"/>
  <c r="E26" i="67"/>
  <c r="H26" i="67" s="1"/>
  <c r="I26" i="67" s="1"/>
  <c r="E24" i="67"/>
  <c r="H24" i="67" s="1"/>
  <c r="I24" i="67" s="1"/>
  <c r="I50" i="69"/>
  <c r="T8" i="67"/>
  <c r="E91" i="67"/>
  <c r="E57" i="66"/>
  <c r="I57" i="66" s="1"/>
  <c r="E19" i="67"/>
  <c r="H19" i="67" s="1"/>
  <c r="I19" i="67" s="1"/>
  <c r="E17" i="67"/>
  <c r="H17" i="67" s="1"/>
  <c r="U84" i="70"/>
  <c r="U59" i="68"/>
  <c r="E52" i="66"/>
  <c r="I52" i="66" s="1"/>
  <c r="E21" i="67"/>
  <c r="H21" i="67" s="1"/>
  <c r="I21" i="67" s="1"/>
  <c r="E13" i="67"/>
  <c r="E18" i="67"/>
  <c r="E23" i="67"/>
  <c r="H23" i="67" s="1"/>
  <c r="I23" i="67" s="1"/>
  <c r="R80" i="69"/>
  <c r="U59" i="70"/>
  <c r="E109" i="66"/>
  <c r="E54" i="66"/>
  <c r="I54" i="66" s="1"/>
  <c r="E27" i="67"/>
  <c r="H27" i="67" s="1"/>
  <c r="I27" i="67" s="1"/>
  <c r="R76" i="69"/>
  <c r="H14" i="69"/>
  <c r="I14" i="69" s="1"/>
  <c r="U59" i="71"/>
  <c r="E107" i="66"/>
  <c r="I107" i="66" s="1"/>
  <c r="E41" i="66"/>
  <c r="I41" i="66" s="1"/>
  <c r="E92" i="67"/>
  <c r="E16" i="67"/>
  <c r="E39" i="70"/>
  <c r="I39" i="70" s="1"/>
  <c r="E42" i="70"/>
  <c r="I42" i="70" s="1"/>
  <c r="E40" i="70"/>
  <c r="I40" i="70" s="1"/>
  <c r="E41" i="70"/>
  <c r="I41" i="70" s="1"/>
  <c r="E37" i="70"/>
  <c r="E38" i="70"/>
  <c r="I38" i="70" s="1"/>
  <c r="T109" i="70"/>
  <c r="E55" i="68"/>
  <c r="I55" i="68" s="1"/>
  <c r="E108" i="68"/>
  <c r="I108" i="68" s="1"/>
  <c r="E53" i="68"/>
  <c r="I53" i="68" s="1"/>
  <c r="E58" i="68"/>
  <c r="I58" i="68" s="1"/>
  <c r="E51" i="68"/>
  <c r="I51" i="68" s="1"/>
  <c r="E56" i="68"/>
  <c r="I56" i="68" s="1"/>
  <c r="E107" i="68"/>
  <c r="I107" i="68" s="1"/>
  <c r="E109" i="68"/>
  <c r="E57" i="68"/>
  <c r="I57" i="68" s="1"/>
  <c r="H109" i="77"/>
  <c r="T107" i="77"/>
  <c r="I99" i="70"/>
  <c r="R80" i="71"/>
  <c r="I53" i="71"/>
  <c r="H27" i="71"/>
  <c r="I27" i="71" s="1"/>
  <c r="I100" i="68"/>
  <c r="T100" i="68"/>
  <c r="U100" i="68" s="1"/>
  <c r="R76" i="71"/>
  <c r="T109" i="68"/>
  <c r="I109" i="68"/>
  <c r="H18" i="30"/>
  <c r="I18" i="30" s="1"/>
  <c r="I53" i="70"/>
  <c r="H20" i="70"/>
  <c r="I20" i="70" s="1"/>
  <c r="I99" i="68"/>
  <c r="T99" i="68"/>
  <c r="P90" i="68"/>
  <c r="I37" i="68"/>
  <c r="I43" i="68" s="1"/>
  <c r="E43" i="68"/>
  <c r="I17" i="68"/>
  <c r="E52" i="69"/>
  <c r="I52" i="69" s="1"/>
  <c r="E42" i="69"/>
  <c r="I42" i="69" s="1"/>
  <c r="I43" i="69" s="1"/>
  <c r="T100" i="70"/>
  <c r="U100" i="70" s="1"/>
  <c r="T108" i="78"/>
  <c r="E50" i="67"/>
  <c r="E109" i="69"/>
  <c r="I109" i="69" s="1"/>
  <c r="E26" i="69"/>
  <c r="H26" i="69" s="1"/>
  <c r="I26" i="69" s="1"/>
  <c r="E16" i="69"/>
  <c r="E16" i="70"/>
  <c r="E26" i="70"/>
  <c r="H26" i="70" s="1"/>
  <c r="I26" i="70" s="1"/>
  <c r="E21" i="70"/>
  <c r="H21" i="70" s="1"/>
  <c r="I21" i="70" s="1"/>
  <c r="E13" i="70"/>
  <c r="E28" i="70"/>
  <c r="H28" i="70" s="1"/>
  <c r="I28" i="70" s="1"/>
  <c r="E17" i="70"/>
  <c r="H17" i="70" s="1"/>
  <c r="E22" i="70"/>
  <c r="H22" i="70" s="1"/>
  <c r="I22" i="70" s="1"/>
  <c r="E38" i="71"/>
  <c r="I38" i="71" s="1"/>
  <c r="E41" i="71"/>
  <c r="I41" i="71" s="1"/>
  <c r="E39" i="71"/>
  <c r="I39" i="71" s="1"/>
  <c r="E42" i="71"/>
  <c r="I42" i="71" s="1"/>
  <c r="E37" i="71"/>
  <c r="E40" i="71"/>
  <c r="I40" i="71" s="1"/>
  <c r="R78" i="71"/>
  <c r="P92" i="68"/>
  <c r="H24" i="70"/>
  <c r="I24" i="70" s="1"/>
  <c r="U84" i="77"/>
  <c r="E51" i="70"/>
  <c r="I51" i="70" s="1"/>
  <c r="E25" i="71"/>
  <c r="H25" i="71" s="1"/>
  <c r="I25" i="71" s="1"/>
  <c r="E15" i="71"/>
  <c r="H15" i="71" s="1"/>
  <c r="E28" i="68"/>
  <c r="H28" i="68" s="1"/>
  <c r="I28" i="68" s="1"/>
  <c r="E26" i="68"/>
  <c r="H26" i="68" s="1"/>
  <c r="I26" i="68" s="1"/>
  <c r="R68" i="78"/>
  <c r="U59" i="30"/>
  <c r="I37" i="30"/>
  <c r="P90" i="77"/>
  <c r="P92" i="77"/>
  <c r="P91" i="77"/>
  <c r="E52" i="71"/>
  <c r="T8" i="71"/>
  <c r="E13" i="68"/>
  <c r="E15" i="68"/>
  <c r="H15" i="68" s="1"/>
  <c r="E27" i="68"/>
  <c r="H27" i="68" s="1"/>
  <c r="I27" i="68" s="1"/>
  <c r="E14" i="68"/>
  <c r="E19" i="68"/>
  <c r="H19" i="68" s="1"/>
  <c r="I19" i="68" s="1"/>
  <c r="E21" i="68"/>
  <c r="H21" i="68" s="1"/>
  <c r="I21" i="68" s="1"/>
  <c r="U59" i="78"/>
  <c r="E54" i="71"/>
  <c r="I54" i="71" s="1"/>
  <c r="E19" i="71"/>
  <c r="H19" i="71" s="1"/>
  <c r="I19" i="71" s="1"/>
  <c r="E25" i="68"/>
  <c r="H25" i="68" s="1"/>
  <c r="I25" i="68" s="1"/>
  <c r="U59" i="77"/>
  <c r="E19" i="77"/>
  <c r="H19" i="77" s="1"/>
  <c r="I19" i="77" s="1"/>
  <c r="E16" i="77"/>
  <c r="E26" i="77"/>
  <c r="H26" i="77" s="1"/>
  <c r="I26" i="77" s="1"/>
  <c r="E21" i="77"/>
  <c r="H21" i="77" s="1"/>
  <c r="I21" i="77" s="1"/>
  <c r="E13" i="77"/>
  <c r="E28" i="77"/>
  <c r="H28" i="77" s="1"/>
  <c r="I28" i="77" s="1"/>
  <c r="E18" i="77"/>
  <c r="E23" i="77"/>
  <c r="H23" i="77" s="1"/>
  <c r="I23" i="77" s="1"/>
  <c r="E15" i="77"/>
  <c r="H15" i="77" s="1"/>
  <c r="E25" i="77"/>
  <c r="H25" i="77" s="1"/>
  <c r="I25" i="77" s="1"/>
  <c r="E20" i="77"/>
  <c r="H20" i="77" s="1"/>
  <c r="I20" i="77" s="1"/>
  <c r="E27" i="77"/>
  <c r="H27" i="77" s="1"/>
  <c r="I27" i="77" s="1"/>
  <c r="E17" i="77"/>
  <c r="H17" i="77" s="1"/>
  <c r="E22" i="77"/>
  <c r="H22" i="77" s="1"/>
  <c r="I22" i="77" s="1"/>
  <c r="E24" i="71"/>
  <c r="H24" i="71" s="1"/>
  <c r="I24" i="71" s="1"/>
  <c r="I56" i="77"/>
  <c r="U84" i="30"/>
  <c r="E107" i="71"/>
  <c r="I107" i="71" s="1"/>
  <c r="P90" i="78"/>
  <c r="P92" i="78"/>
  <c r="R71" i="78"/>
  <c r="E19" i="62"/>
  <c r="E20" i="62" s="1"/>
  <c r="E26" i="62" s="1"/>
  <c r="E28" i="62" s="1"/>
  <c r="E38" i="78"/>
  <c r="I38" i="78" s="1"/>
  <c r="E41" i="78"/>
  <c r="I41" i="78" s="1"/>
  <c r="E39" i="78"/>
  <c r="I39" i="78" s="1"/>
  <c r="E42" i="78"/>
  <c r="I42" i="78" s="1"/>
  <c r="E37" i="78"/>
  <c r="E40" i="78"/>
  <c r="I40" i="78" s="1"/>
  <c r="E51" i="77"/>
  <c r="I51" i="77" s="1"/>
  <c r="I50" i="78"/>
  <c r="E25" i="78"/>
  <c r="H25" i="78" s="1"/>
  <c r="I25" i="78" s="1"/>
  <c r="E15" i="78"/>
  <c r="H15" i="78" s="1"/>
  <c r="T107" i="30"/>
  <c r="E57" i="30"/>
  <c r="I57" i="30" s="1"/>
  <c r="E28" i="30"/>
  <c r="H28" i="30" s="1"/>
  <c r="I28" i="30" s="1"/>
  <c r="E13" i="30"/>
  <c r="E52" i="30"/>
  <c r="I52" i="30" s="1"/>
  <c r="E42" i="30"/>
  <c r="I42" i="30" s="1"/>
  <c r="E39" i="30"/>
  <c r="I39" i="30" s="1"/>
  <c r="R85" i="78"/>
  <c r="R72" i="78"/>
  <c r="R70" i="78"/>
  <c r="E109" i="30"/>
  <c r="I109" i="30" s="1"/>
  <c r="E26" i="30"/>
  <c r="H26" i="30" s="1"/>
  <c r="I26" i="30" s="1"/>
  <c r="E16" i="30"/>
  <c r="R79" i="77"/>
  <c r="R77" i="77"/>
  <c r="I50" i="77"/>
  <c r="E40" i="77"/>
  <c r="I40" i="77" s="1"/>
  <c r="E37" i="77"/>
  <c r="T107" i="78"/>
  <c r="E28" i="78"/>
  <c r="H28" i="78" s="1"/>
  <c r="I28" i="78" s="1"/>
  <c r="E13" i="78"/>
  <c r="E54" i="30"/>
  <c r="I54" i="30" s="1"/>
  <c r="E19" i="30"/>
  <c r="H19" i="30" s="1"/>
  <c r="I19" i="30" s="1"/>
  <c r="E55" i="77"/>
  <c r="I55" i="77" s="1"/>
  <c r="H109" i="78"/>
  <c r="E21" i="78"/>
  <c r="H21" i="78" s="1"/>
  <c r="I21" i="78" s="1"/>
  <c r="T108" i="30"/>
  <c r="E24" i="30"/>
  <c r="H24" i="30" s="1"/>
  <c r="I24" i="30" s="1"/>
  <c r="R85" i="77"/>
  <c r="R72" i="77"/>
  <c r="R70" i="77"/>
  <c r="E16" i="78"/>
  <c r="E107" i="30"/>
  <c r="I107" i="30" s="1"/>
  <c r="R71" i="30"/>
  <c r="R68" i="30"/>
  <c r="E56" i="30"/>
  <c r="I56" i="30" s="1"/>
  <c r="E41" i="30"/>
  <c r="I41" i="30" s="1"/>
  <c r="E38" i="30"/>
  <c r="I38" i="30" s="1"/>
  <c r="E14" i="30"/>
  <c r="R80" i="78"/>
  <c r="R78" i="78"/>
  <c r="R76" i="78"/>
  <c r="E19" i="78"/>
  <c r="H19" i="78" s="1"/>
  <c r="I19" i="78" s="1"/>
  <c r="E51" i="30"/>
  <c r="I51" i="30" s="1"/>
  <c r="E22" i="30"/>
  <c r="H22" i="30" s="1"/>
  <c r="I22" i="30" s="1"/>
  <c r="E17" i="30"/>
  <c r="H17" i="30" s="1"/>
  <c r="E52" i="77"/>
  <c r="I52" i="77" s="1"/>
  <c r="E42" i="77"/>
  <c r="I42" i="77" s="1"/>
  <c r="E24" i="78"/>
  <c r="H24" i="78" s="1"/>
  <c r="I24" i="78" s="1"/>
  <c r="E58" i="30"/>
  <c r="I58" i="30" s="1"/>
  <c r="E27" i="30"/>
  <c r="H27" i="30" s="1"/>
  <c r="I27" i="30" s="1"/>
  <c r="E40" i="30"/>
  <c r="I40" i="30" s="1"/>
  <c r="E25" i="30"/>
  <c r="H25" i="30" s="1"/>
  <c r="I25" i="30" s="1"/>
  <c r="J18" i="78" l="1"/>
  <c r="J14" i="78"/>
  <c r="I110" i="71"/>
  <c r="I109" i="70"/>
  <c r="I110" i="70" s="1"/>
  <c r="C92" i="69"/>
  <c r="H92" i="69" s="1"/>
  <c r="J18" i="57"/>
  <c r="I110" i="75"/>
  <c r="J18" i="75"/>
  <c r="I110" i="52"/>
  <c r="I54" i="52"/>
  <c r="J18" i="52"/>
  <c r="C91" i="52"/>
  <c r="H91" i="52" s="1"/>
  <c r="I26" i="52"/>
  <c r="H18" i="52"/>
  <c r="I18" i="52" s="1"/>
  <c r="E29" i="52"/>
  <c r="H120" i="52" s="1"/>
  <c r="I56" i="47"/>
  <c r="I110" i="44"/>
  <c r="I110" i="35"/>
  <c r="I110" i="34"/>
  <c r="I110" i="18"/>
  <c r="J14" i="15"/>
  <c r="I110" i="32"/>
  <c r="I15" i="39"/>
  <c r="C91" i="39"/>
  <c r="I39" i="28"/>
  <c r="I43" i="28" s="1"/>
  <c r="E43" i="28"/>
  <c r="I56" i="75"/>
  <c r="P92" i="27"/>
  <c r="P90" i="27"/>
  <c r="E43" i="36"/>
  <c r="I52" i="78"/>
  <c r="I59" i="78" s="1"/>
  <c r="I110" i="30"/>
  <c r="E59" i="35"/>
  <c r="P90" i="24"/>
  <c r="P92" i="24"/>
  <c r="P91" i="24"/>
  <c r="E59" i="52"/>
  <c r="E59" i="31"/>
  <c r="I110" i="27"/>
  <c r="I109" i="26"/>
  <c r="I110" i="26" s="1"/>
  <c r="T109" i="26"/>
  <c r="P90" i="50"/>
  <c r="P91" i="50"/>
  <c r="J16" i="68"/>
  <c r="H16" i="68"/>
  <c r="I16" i="68" s="1"/>
  <c r="E14" i="60"/>
  <c r="H14" i="60" s="1"/>
  <c r="J18" i="71"/>
  <c r="I57" i="71"/>
  <c r="I59" i="71" s="1"/>
  <c r="I38" i="38"/>
  <c r="I43" i="38" s="1"/>
  <c r="E43" i="39"/>
  <c r="I43" i="25"/>
  <c r="I18" i="69"/>
  <c r="J18" i="35"/>
  <c r="I58" i="35"/>
  <c r="E29" i="34"/>
  <c r="H120" i="34" s="1"/>
  <c r="J16" i="71"/>
  <c r="H16" i="71"/>
  <c r="I16" i="71" s="1"/>
  <c r="J14" i="52"/>
  <c r="E43" i="69"/>
  <c r="I110" i="51"/>
  <c r="P91" i="28"/>
  <c r="P90" i="28"/>
  <c r="E43" i="21"/>
  <c r="I37" i="21"/>
  <c r="I43" i="21" s="1"/>
  <c r="H18" i="32"/>
  <c r="I18" i="32" s="1"/>
  <c r="H13" i="52"/>
  <c r="I52" i="71"/>
  <c r="E59" i="71"/>
  <c r="E13" i="60"/>
  <c r="H13" i="60" s="1"/>
  <c r="E59" i="78"/>
  <c r="J18" i="55"/>
  <c r="J18" i="44"/>
  <c r="J14" i="43"/>
  <c r="H16" i="76"/>
  <c r="I16" i="76" s="1"/>
  <c r="J16" i="76"/>
  <c r="E43" i="50"/>
  <c r="I110" i="43"/>
  <c r="T109" i="16"/>
  <c r="I110" i="69"/>
  <c r="I110" i="67"/>
  <c r="E59" i="15"/>
  <c r="J14" i="67"/>
  <c r="I110" i="47"/>
  <c r="I37" i="32"/>
  <c r="J14" i="71"/>
  <c r="I40" i="18"/>
  <c r="H18" i="78"/>
  <c r="I18" i="78" s="1"/>
  <c r="I110" i="24"/>
  <c r="I109" i="33"/>
  <c r="I110" i="33" s="1"/>
  <c r="J14" i="23"/>
  <c r="J14" i="26"/>
  <c r="I110" i="28"/>
  <c r="E59" i="70"/>
  <c r="J16" i="56"/>
  <c r="J14" i="76"/>
  <c r="E59" i="47"/>
  <c r="J16" i="43"/>
  <c r="J18" i="34"/>
  <c r="J14" i="32"/>
  <c r="P91" i="33"/>
  <c r="P92" i="50"/>
  <c r="P90" i="23"/>
  <c r="P91" i="17"/>
  <c r="U59" i="67"/>
  <c r="P92" i="17"/>
  <c r="P90" i="66"/>
  <c r="P91" i="66"/>
  <c r="P91" i="37"/>
  <c r="U59" i="75"/>
  <c r="P90" i="37"/>
  <c r="I43" i="50"/>
  <c r="U59" i="47"/>
  <c r="U59" i="31"/>
  <c r="I43" i="18"/>
  <c r="I59" i="43"/>
  <c r="I43" i="22"/>
  <c r="U59" i="15"/>
  <c r="D31" i="60"/>
  <c r="P91" i="15"/>
  <c r="P90" i="15"/>
  <c r="E43" i="7"/>
  <c r="C90" i="69"/>
  <c r="H90" i="69" s="1"/>
  <c r="P91" i="21"/>
  <c r="I43" i="76"/>
  <c r="I43" i="36"/>
  <c r="I59" i="31"/>
  <c r="P92" i="38"/>
  <c r="P90" i="38"/>
  <c r="P91" i="38"/>
  <c r="I59" i="51"/>
  <c r="C90" i="35"/>
  <c r="H90" i="35" s="1"/>
  <c r="C92" i="33"/>
  <c r="H92" i="33" s="1"/>
  <c r="C92" i="42"/>
  <c r="H92" i="42" s="1"/>
  <c r="I43" i="33"/>
  <c r="I45" i="33" s="1"/>
  <c r="I59" i="38"/>
  <c r="U59" i="45"/>
  <c r="I43" i="32"/>
  <c r="I59" i="35"/>
  <c r="I59" i="15"/>
  <c r="I43" i="34"/>
  <c r="I43" i="20"/>
  <c r="I23" i="60"/>
  <c r="P91" i="69"/>
  <c r="P92" i="69"/>
  <c r="P90" i="69"/>
  <c r="P91" i="36"/>
  <c r="P90" i="36"/>
  <c r="P92" i="36"/>
  <c r="P90" i="75"/>
  <c r="P91" i="75"/>
  <c r="P92" i="75"/>
  <c r="I59" i="57"/>
  <c r="I43" i="47"/>
  <c r="I43" i="23"/>
  <c r="I43" i="39"/>
  <c r="I59" i="70"/>
  <c r="I59" i="77"/>
  <c r="I59" i="52"/>
  <c r="C91" i="33"/>
  <c r="H91" i="33" s="1"/>
  <c r="P92" i="22"/>
  <c r="P91" i="22"/>
  <c r="I43" i="43"/>
  <c r="I43" i="27"/>
  <c r="I25" i="60"/>
  <c r="C90" i="43"/>
  <c r="H90" i="43" s="1"/>
  <c r="I100" i="60"/>
  <c r="I99" i="60"/>
  <c r="C62" i="34"/>
  <c r="H63" i="34" s="1"/>
  <c r="I110" i="56"/>
  <c r="E29" i="36"/>
  <c r="H120" i="36" s="1"/>
  <c r="H13" i="36"/>
  <c r="E39" i="60"/>
  <c r="I39" i="15"/>
  <c r="P90" i="71"/>
  <c r="P91" i="71"/>
  <c r="P92" i="71"/>
  <c r="I15" i="71"/>
  <c r="I29" i="71" s="1"/>
  <c r="I59" i="30"/>
  <c r="I17" i="70"/>
  <c r="C92" i="70"/>
  <c r="H92" i="70" s="1"/>
  <c r="H16" i="57"/>
  <c r="I16" i="57" s="1"/>
  <c r="J16" i="57"/>
  <c r="E59" i="57"/>
  <c r="E29" i="75"/>
  <c r="H120" i="75" s="1"/>
  <c r="H13" i="75"/>
  <c r="E29" i="55"/>
  <c r="H120" i="55" s="1"/>
  <c r="E43" i="75"/>
  <c r="I37" i="75"/>
  <c r="I43" i="75" s="1"/>
  <c r="I59" i="76"/>
  <c r="J16" i="51"/>
  <c r="H13" i="47"/>
  <c r="E29" i="47"/>
  <c r="H120" i="47" s="1"/>
  <c r="J14" i="42"/>
  <c r="E29" i="42"/>
  <c r="H120" i="42" s="1"/>
  <c r="H14" i="42"/>
  <c r="C92" i="39"/>
  <c r="H92" i="39" s="1"/>
  <c r="I17" i="39"/>
  <c r="J14" i="45"/>
  <c r="H14" i="45"/>
  <c r="I14" i="45" s="1"/>
  <c r="I15" i="40"/>
  <c r="P90" i="44"/>
  <c r="P92" i="44"/>
  <c r="P91" i="44"/>
  <c r="I54" i="39"/>
  <c r="J16" i="39"/>
  <c r="I17" i="37"/>
  <c r="I110" i="38"/>
  <c r="I17" i="38"/>
  <c r="I17" i="34"/>
  <c r="C92" i="34"/>
  <c r="H92" i="34" s="1"/>
  <c r="H18" i="36"/>
  <c r="I18" i="36" s="1"/>
  <c r="J18" i="36"/>
  <c r="I15" i="38"/>
  <c r="I53" i="33"/>
  <c r="J16" i="33"/>
  <c r="H29" i="33"/>
  <c r="E45" i="33" s="1"/>
  <c r="C65" i="33" s="1"/>
  <c r="H66" i="33" s="1"/>
  <c r="J16" i="23"/>
  <c r="J18" i="27"/>
  <c r="I56" i="27"/>
  <c r="H13" i="31"/>
  <c r="E29" i="31"/>
  <c r="H120" i="31" s="1"/>
  <c r="H20" i="18"/>
  <c r="I20" i="18" s="1"/>
  <c r="E20" i="60"/>
  <c r="H20" i="60" s="1"/>
  <c r="H26" i="15"/>
  <c r="I26" i="15" s="1"/>
  <c r="I26" i="60" s="1"/>
  <c r="E26" i="60"/>
  <c r="H26" i="60" s="1"/>
  <c r="I15" i="16"/>
  <c r="C91" i="16"/>
  <c r="H91" i="16" s="1"/>
  <c r="H27" i="15"/>
  <c r="I27" i="15" s="1"/>
  <c r="I27" i="60" s="1"/>
  <c r="E27" i="60"/>
  <c r="H27" i="60" s="1"/>
  <c r="I15" i="25"/>
  <c r="E17" i="60"/>
  <c r="H17" i="60" s="1"/>
  <c r="I43" i="16"/>
  <c r="H14" i="22"/>
  <c r="I14" i="22" s="1"/>
  <c r="J14" i="22"/>
  <c r="I41" i="15"/>
  <c r="I41" i="60" s="1"/>
  <c r="E41" i="60"/>
  <c r="E59" i="30"/>
  <c r="I17" i="45"/>
  <c r="H16" i="18"/>
  <c r="J16" i="18"/>
  <c r="C91" i="17"/>
  <c r="H91" i="17" s="1"/>
  <c r="I15" i="17"/>
  <c r="H22" i="16"/>
  <c r="I22" i="16" s="1"/>
  <c r="I22" i="60" s="1"/>
  <c r="E22" i="60"/>
  <c r="H22" i="60" s="1"/>
  <c r="H16" i="15"/>
  <c r="J16" i="15"/>
  <c r="I17" i="16"/>
  <c r="E40" i="60"/>
  <c r="E43" i="16"/>
  <c r="I109" i="78"/>
  <c r="I110" i="78" s="1"/>
  <c r="T109" i="78"/>
  <c r="E59" i="68"/>
  <c r="P92" i="67"/>
  <c r="P90" i="67"/>
  <c r="P91" i="67"/>
  <c r="H16" i="58"/>
  <c r="I16" i="58" s="1"/>
  <c r="J16" i="58"/>
  <c r="H18" i="66"/>
  <c r="J18" i="66"/>
  <c r="I15" i="55"/>
  <c r="C91" i="55"/>
  <c r="H91" i="55" s="1"/>
  <c r="E29" i="56"/>
  <c r="H120" i="56" s="1"/>
  <c r="I51" i="75"/>
  <c r="I59" i="75" s="1"/>
  <c r="E59" i="75"/>
  <c r="C92" i="56"/>
  <c r="H92" i="56" s="1"/>
  <c r="I13" i="55"/>
  <c r="J18" i="76"/>
  <c r="E59" i="76"/>
  <c r="H14" i="48"/>
  <c r="I14" i="48" s="1"/>
  <c r="J14" i="48"/>
  <c r="I16" i="51"/>
  <c r="C91" i="51"/>
  <c r="H91" i="51" s="1"/>
  <c r="E29" i="50"/>
  <c r="H120" i="50" s="1"/>
  <c r="H13" i="50"/>
  <c r="P92" i="42"/>
  <c r="P90" i="42"/>
  <c r="P91" i="42"/>
  <c r="I17" i="36"/>
  <c r="H91" i="39"/>
  <c r="E59" i="38"/>
  <c r="C90" i="33"/>
  <c r="E43" i="27"/>
  <c r="J14" i="31"/>
  <c r="H14" i="31"/>
  <c r="I14" i="31" s="1"/>
  <c r="H16" i="28"/>
  <c r="I16" i="28" s="1"/>
  <c r="J16" i="28"/>
  <c r="H13" i="28"/>
  <c r="E29" i="28"/>
  <c r="H120" i="28" s="1"/>
  <c r="E29" i="17"/>
  <c r="H120" i="17" s="1"/>
  <c r="H13" i="17"/>
  <c r="I110" i="21"/>
  <c r="E43" i="20"/>
  <c r="H19" i="15"/>
  <c r="I19" i="15" s="1"/>
  <c r="I19" i="60" s="1"/>
  <c r="E19" i="60"/>
  <c r="H19" i="60" s="1"/>
  <c r="E29" i="16"/>
  <c r="H120" i="16" s="1"/>
  <c r="H13" i="16"/>
  <c r="E59" i="21"/>
  <c r="I50" i="21"/>
  <c r="I59" i="21" s="1"/>
  <c r="E29" i="25"/>
  <c r="H120" i="25" s="1"/>
  <c r="H13" i="25"/>
  <c r="I17" i="7"/>
  <c r="C92" i="7"/>
  <c r="H92" i="7" s="1"/>
  <c r="I38" i="15"/>
  <c r="I38" i="60" s="1"/>
  <c r="E38" i="60"/>
  <c r="E29" i="77"/>
  <c r="H120" i="77" s="1"/>
  <c r="H13" i="77"/>
  <c r="H16" i="45"/>
  <c r="I16" i="45" s="1"/>
  <c r="J16" i="45"/>
  <c r="C91" i="34"/>
  <c r="H91" i="34" s="1"/>
  <c r="I15" i="34"/>
  <c r="I109" i="38"/>
  <c r="T109" i="38"/>
  <c r="H16" i="30"/>
  <c r="J16" i="30"/>
  <c r="H16" i="77"/>
  <c r="I16" i="77" s="1"/>
  <c r="J16" i="77"/>
  <c r="E29" i="70"/>
  <c r="H120" i="70" s="1"/>
  <c r="H13" i="70"/>
  <c r="I109" i="77"/>
  <c r="I110" i="77" s="1"/>
  <c r="T109" i="77"/>
  <c r="E59" i="69"/>
  <c r="I17" i="57"/>
  <c r="C92" i="57"/>
  <c r="H92" i="57" s="1"/>
  <c r="I13" i="56"/>
  <c r="H29" i="56"/>
  <c r="C90" i="56"/>
  <c r="H14" i="75"/>
  <c r="I14" i="75" s="1"/>
  <c r="J14" i="75"/>
  <c r="P92" i="55"/>
  <c r="P91" i="55"/>
  <c r="P90" i="55"/>
  <c r="H13" i="51"/>
  <c r="E29" i="51"/>
  <c r="H120" i="51" s="1"/>
  <c r="I59" i="50"/>
  <c r="J18" i="51"/>
  <c r="I110" i="48"/>
  <c r="C92" i="47"/>
  <c r="H92" i="47" s="1"/>
  <c r="I17" i="47"/>
  <c r="E59" i="50"/>
  <c r="C90" i="44"/>
  <c r="I51" i="39"/>
  <c r="E59" i="39"/>
  <c r="I110" i="23"/>
  <c r="I110" i="37"/>
  <c r="I51" i="34"/>
  <c r="I59" i="34" s="1"/>
  <c r="E59" i="34"/>
  <c r="H18" i="38"/>
  <c r="I18" i="38" s="1"/>
  <c r="J18" i="38"/>
  <c r="J16" i="35"/>
  <c r="I37" i="37"/>
  <c r="I43" i="37" s="1"/>
  <c r="E43" i="37"/>
  <c r="H18" i="26"/>
  <c r="J18" i="26"/>
  <c r="I29" i="33"/>
  <c r="I109" i="22"/>
  <c r="I110" i="22" s="1"/>
  <c r="T109" i="22"/>
  <c r="I50" i="24"/>
  <c r="I59" i="24" s="1"/>
  <c r="E59" i="24"/>
  <c r="H28" i="17"/>
  <c r="I28" i="17" s="1"/>
  <c r="I28" i="60" s="1"/>
  <c r="E28" i="60"/>
  <c r="H28" i="60" s="1"/>
  <c r="H16" i="24"/>
  <c r="I16" i="24" s="1"/>
  <c r="J16" i="24"/>
  <c r="H14" i="21"/>
  <c r="I14" i="21" s="1"/>
  <c r="J14" i="21"/>
  <c r="I17" i="17"/>
  <c r="I109" i="25"/>
  <c r="I110" i="25" s="1"/>
  <c r="T109" i="25"/>
  <c r="I13" i="15"/>
  <c r="E15" i="60"/>
  <c r="H15" i="60" s="1"/>
  <c r="H15" i="7"/>
  <c r="H18" i="28"/>
  <c r="I18" i="28" s="1"/>
  <c r="J18" i="28"/>
  <c r="C92" i="30"/>
  <c r="H92" i="30" s="1"/>
  <c r="I17" i="30"/>
  <c r="I15" i="78"/>
  <c r="I17" i="77"/>
  <c r="E43" i="71"/>
  <c r="I37" i="71"/>
  <c r="I43" i="71" s="1"/>
  <c r="I59" i="69"/>
  <c r="J14" i="58"/>
  <c r="H14" i="58"/>
  <c r="I14" i="58" s="1"/>
  <c r="C91" i="56"/>
  <c r="H91" i="56" s="1"/>
  <c r="I15" i="56"/>
  <c r="E59" i="58"/>
  <c r="I50" i="58"/>
  <c r="I59" i="58" s="1"/>
  <c r="I110" i="76"/>
  <c r="I109" i="50"/>
  <c r="T109" i="50"/>
  <c r="C92" i="51"/>
  <c r="H92" i="51" s="1"/>
  <c r="I50" i="44"/>
  <c r="I59" i="44" s="1"/>
  <c r="E59" i="44"/>
  <c r="J14" i="44"/>
  <c r="I17" i="40"/>
  <c r="P91" i="39"/>
  <c r="P90" i="39"/>
  <c r="P92" i="39"/>
  <c r="E43" i="34"/>
  <c r="I53" i="27"/>
  <c r="J16" i="27"/>
  <c r="H14" i="18"/>
  <c r="J14" i="18"/>
  <c r="I15" i="21"/>
  <c r="I15" i="31"/>
  <c r="H14" i="28"/>
  <c r="I14" i="28" s="1"/>
  <c r="J14" i="28"/>
  <c r="H14" i="24"/>
  <c r="I14" i="24" s="1"/>
  <c r="J14" i="24"/>
  <c r="I43" i="7"/>
  <c r="G473" i="64"/>
  <c r="F494" i="64"/>
  <c r="F495" i="64" s="1"/>
  <c r="C90" i="7"/>
  <c r="I13" i="7"/>
  <c r="E23" i="60"/>
  <c r="H23" i="60" s="1"/>
  <c r="H18" i="22"/>
  <c r="I18" i="22" s="1"/>
  <c r="J18" i="22"/>
  <c r="I15" i="45"/>
  <c r="E59" i="17"/>
  <c r="I50" i="17"/>
  <c r="J14" i="17"/>
  <c r="I15" i="22"/>
  <c r="H13" i="68"/>
  <c r="E29" i="68"/>
  <c r="H120" i="68" s="1"/>
  <c r="I51" i="55"/>
  <c r="I59" i="55" s="1"/>
  <c r="E59" i="55"/>
  <c r="E43" i="56"/>
  <c r="I37" i="56"/>
  <c r="I43" i="56" s="1"/>
  <c r="I15" i="66"/>
  <c r="H16" i="50"/>
  <c r="I16" i="50" s="1"/>
  <c r="J16" i="50"/>
  <c r="E29" i="32"/>
  <c r="H13" i="32"/>
  <c r="E29" i="38"/>
  <c r="H120" i="38" s="1"/>
  <c r="H13" i="38"/>
  <c r="E59" i="26"/>
  <c r="I50" i="26"/>
  <c r="I59" i="26" s="1"/>
  <c r="I37" i="17"/>
  <c r="I43" i="17" s="1"/>
  <c r="E43" i="17"/>
  <c r="E21" i="60"/>
  <c r="H21" i="60" s="1"/>
  <c r="H21" i="15"/>
  <c r="H16" i="78"/>
  <c r="I16" i="78" s="1"/>
  <c r="J16" i="78"/>
  <c r="E59" i="77"/>
  <c r="H16" i="70"/>
  <c r="J16" i="70"/>
  <c r="C90" i="71"/>
  <c r="J14" i="69"/>
  <c r="I17" i="58"/>
  <c r="C92" i="75"/>
  <c r="H92" i="75" s="1"/>
  <c r="I37" i="45"/>
  <c r="I43" i="45" s="1"/>
  <c r="E43" i="45"/>
  <c r="I17" i="50"/>
  <c r="J16" i="48"/>
  <c r="H14" i="39"/>
  <c r="J14" i="39"/>
  <c r="E59" i="48"/>
  <c r="I50" i="48"/>
  <c r="I59" i="48" s="1"/>
  <c r="J16" i="36"/>
  <c r="H16" i="36"/>
  <c r="I16" i="36" s="1"/>
  <c r="I50" i="33"/>
  <c r="E59" i="33"/>
  <c r="J14" i="33"/>
  <c r="I42" i="26"/>
  <c r="I43" i="26" s="1"/>
  <c r="E43" i="26"/>
  <c r="I43" i="24"/>
  <c r="H18" i="31"/>
  <c r="I18" i="31" s="1"/>
  <c r="J18" i="31"/>
  <c r="I17" i="28"/>
  <c r="E59" i="22"/>
  <c r="I50" i="22"/>
  <c r="I59" i="22" s="1"/>
  <c r="H16" i="21"/>
  <c r="I16" i="21" s="1"/>
  <c r="J16" i="21"/>
  <c r="H14" i="25"/>
  <c r="I14" i="25" s="1"/>
  <c r="J14" i="25"/>
  <c r="E29" i="7"/>
  <c r="H120" i="7" s="1"/>
  <c r="I17" i="22"/>
  <c r="H13" i="22"/>
  <c r="E29" i="22"/>
  <c r="H120" i="22" s="1"/>
  <c r="P91" i="16"/>
  <c r="P90" i="16"/>
  <c r="P92" i="16"/>
  <c r="E29" i="78"/>
  <c r="H120" i="78" s="1"/>
  <c r="H13" i="78"/>
  <c r="E29" i="62"/>
  <c r="E30" i="62" s="1"/>
  <c r="I30" i="60"/>
  <c r="H16" i="69"/>
  <c r="J16" i="69"/>
  <c r="J18" i="30"/>
  <c r="I110" i="68"/>
  <c r="E43" i="67"/>
  <c r="I37" i="67"/>
  <c r="I43" i="67" s="1"/>
  <c r="E29" i="66"/>
  <c r="H120" i="66" s="1"/>
  <c r="H13" i="66"/>
  <c r="J18" i="56"/>
  <c r="E29" i="57"/>
  <c r="H120" i="57" s="1"/>
  <c r="H13" i="57"/>
  <c r="P90" i="57"/>
  <c r="P91" i="57"/>
  <c r="P92" i="57"/>
  <c r="E43" i="57"/>
  <c r="J16" i="55"/>
  <c r="I59" i="47"/>
  <c r="I15" i="47"/>
  <c r="C91" i="47"/>
  <c r="H91" i="47" s="1"/>
  <c r="E59" i="45"/>
  <c r="P90" i="47"/>
  <c r="P92" i="47"/>
  <c r="P91" i="47"/>
  <c r="H18" i="45"/>
  <c r="I18" i="45" s="1"/>
  <c r="J18" i="45"/>
  <c r="C92" i="43"/>
  <c r="H92" i="43" s="1"/>
  <c r="J16" i="42"/>
  <c r="I43" i="42"/>
  <c r="E29" i="40"/>
  <c r="H120" i="40" s="1"/>
  <c r="H18" i="37"/>
  <c r="I18" i="37" s="1"/>
  <c r="J18" i="37"/>
  <c r="E43" i="23"/>
  <c r="H14" i="27"/>
  <c r="J14" i="27"/>
  <c r="P92" i="34"/>
  <c r="P91" i="34"/>
  <c r="P90" i="34"/>
  <c r="C91" i="23"/>
  <c r="H91" i="23" s="1"/>
  <c r="E59" i="25"/>
  <c r="I50" i="25"/>
  <c r="I59" i="25" s="1"/>
  <c r="H18" i="17"/>
  <c r="I18" i="17" s="1"/>
  <c r="J18" i="17"/>
  <c r="E18" i="60"/>
  <c r="H18" i="60" s="1"/>
  <c r="I109" i="31"/>
  <c r="I110" i="31" s="1"/>
  <c r="T109" i="31"/>
  <c r="I109" i="15"/>
  <c r="I110" i="15" s="1"/>
  <c r="T109" i="15"/>
  <c r="I108" i="7"/>
  <c r="I54" i="17"/>
  <c r="E29" i="15"/>
  <c r="H120" i="15" s="1"/>
  <c r="H13" i="58"/>
  <c r="E29" i="58"/>
  <c r="H120" i="58" s="1"/>
  <c r="J16" i="40"/>
  <c r="H16" i="40"/>
  <c r="I16" i="40" s="1"/>
  <c r="I15" i="77"/>
  <c r="E43" i="30"/>
  <c r="C92" i="68"/>
  <c r="H92" i="68" s="1"/>
  <c r="J14" i="70"/>
  <c r="H16" i="67"/>
  <c r="J16" i="67"/>
  <c r="I59" i="66"/>
  <c r="I15" i="58"/>
  <c r="I43" i="57"/>
  <c r="E43" i="55"/>
  <c r="E43" i="51"/>
  <c r="H15" i="44"/>
  <c r="E29" i="44"/>
  <c r="H120" i="44" s="1"/>
  <c r="I59" i="45"/>
  <c r="J16" i="47"/>
  <c r="C91" i="43"/>
  <c r="H91" i="43" s="1"/>
  <c r="I15" i="43"/>
  <c r="I29" i="43" s="1"/>
  <c r="I45" i="43" s="1"/>
  <c r="E43" i="47"/>
  <c r="E29" i="43"/>
  <c r="H120" i="43" s="1"/>
  <c r="I110" i="40"/>
  <c r="E43" i="42"/>
  <c r="E59" i="42"/>
  <c r="H18" i="23"/>
  <c r="J18" i="23"/>
  <c r="H16" i="38"/>
  <c r="I16" i="38" s="1"/>
  <c r="J16" i="38"/>
  <c r="H16" i="26"/>
  <c r="J16" i="26"/>
  <c r="E29" i="26"/>
  <c r="H120" i="26" s="1"/>
  <c r="H13" i="26"/>
  <c r="E29" i="27"/>
  <c r="H120" i="27" s="1"/>
  <c r="I50" i="27"/>
  <c r="E59" i="27"/>
  <c r="C91" i="27"/>
  <c r="H91" i="27" s="1"/>
  <c r="I15" i="24"/>
  <c r="H18" i="18"/>
  <c r="J18" i="18"/>
  <c r="H16" i="7"/>
  <c r="I16" i="7" s="1"/>
  <c r="E16" i="60"/>
  <c r="H16" i="60" s="1"/>
  <c r="E29" i="18"/>
  <c r="H120" i="18" s="1"/>
  <c r="I17" i="25"/>
  <c r="H16" i="22"/>
  <c r="I16" i="22" s="1"/>
  <c r="J16" i="22"/>
  <c r="J18" i="15"/>
  <c r="E43" i="44"/>
  <c r="I37" i="44"/>
  <c r="I43" i="44" s="1"/>
  <c r="I20" i="42"/>
  <c r="C91" i="42"/>
  <c r="H91" i="42" s="1"/>
  <c r="E29" i="23"/>
  <c r="H120" i="23" s="1"/>
  <c r="H13" i="23"/>
  <c r="H16" i="25"/>
  <c r="I16" i="25" s="1"/>
  <c r="J16" i="25"/>
  <c r="I43" i="30"/>
  <c r="E29" i="71"/>
  <c r="H120" i="71" s="1"/>
  <c r="I59" i="68"/>
  <c r="I17" i="67"/>
  <c r="E59" i="66"/>
  <c r="C92" i="71"/>
  <c r="H92" i="71" s="1"/>
  <c r="I109" i="57"/>
  <c r="I110" i="57" s="1"/>
  <c r="T109" i="57"/>
  <c r="H14" i="55"/>
  <c r="I14" i="55" s="1"/>
  <c r="J14" i="55"/>
  <c r="I43" i="55"/>
  <c r="E29" i="76"/>
  <c r="H120" i="76" s="1"/>
  <c r="E59" i="51"/>
  <c r="I43" i="51"/>
  <c r="J16" i="44"/>
  <c r="H13" i="45"/>
  <c r="E29" i="45"/>
  <c r="H120" i="45" s="1"/>
  <c r="J18" i="42"/>
  <c r="I109" i="39"/>
  <c r="I110" i="39" s="1"/>
  <c r="T109" i="39"/>
  <c r="E59" i="43"/>
  <c r="H13" i="37"/>
  <c r="E29" i="37"/>
  <c r="H120" i="37" s="1"/>
  <c r="H16" i="32"/>
  <c r="J16" i="32"/>
  <c r="E59" i="37"/>
  <c r="I50" i="37"/>
  <c r="I59" i="37" s="1"/>
  <c r="H15" i="35"/>
  <c r="E29" i="35"/>
  <c r="H120" i="35" s="1"/>
  <c r="I59" i="42"/>
  <c r="I37" i="31"/>
  <c r="I43" i="31" s="1"/>
  <c r="E43" i="31"/>
  <c r="H13" i="24"/>
  <c r="E29" i="24"/>
  <c r="H120" i="24" s="1"/>
  <c r="I17" i="31"/>
  <c r="J16" i="31"/>
  <c r="H16" i="31"/>
  <c r="I16" i="31" s="1"/>
  <c r="J14" i="20"/>
  <c r="E29" i="20"/>
  <c r="H120" i="20" s="1"/>
  <c r="H14" i="20"/>
  <c r="H18" i="20"/>
  <c r="J18" i="20"/>
  <c r="E25" i="60"/>
  <c r="H25" i="60" s="1"/>
  <c r="I109" i="7"/>
  <c r="T109" i="7"/>
  <c r="E29" i="21"/>
  <c r="H120" i="21" s="1"/>
  <c r="H13" i="67"/>
  <c r="E29" i="67"/>
  <c r="H120" i="67" s="1"/>
  <c r="H14" i="57"/>
  <c r="I14" i="57" s="1"/>
  <c r="J14" i="57"/>
  <c r="C90" i="52"/>
  <c r="E59" i="28"/>
  <c r="I50" i="28"/>
  <c r="I59" i="28" s="1"/>
  <c r="I37" i="58"/>
  <c r="I43" i="58" s="1"/>
  <c r="E43" i="58"/>
  <c r="I110" i="50"/>
  <c r="I15" i="37"/>
  <c r="H14" i="34"/>
  <c r="I14" i="34" s="1"/>
  <c r="J14" i="34"/>
  <c r="H16" i="20"/>
  <c r="J16" i="20"/>
  <c r="E37" i="60"/>
  <c r="H14" i="68"/>
  <c r="I14" i="68" s="1"/>
  <c r="J14" i="68"/>
  <c r="I37" i="77"/>
  <c r="I43" i="77" s="1"/>
  <c r="E43" i="77"/>
  <c r="H18" i="77"/>
  <c r="I18" i="77" s="1"/>
  <c r="J18" i="77"/>
  <c r="I50" i="67"/>
  <c r="I59" i="67" s="1"/>
  <c r="E59" i="67"/>
  <c r="E43" i="70"/>
  <c r="I37" i="70"/>
  <c r="I43" i="70" s="1"/>
  <c r="H18" i="58"/>
  <c r="I18" i="58" s="1"/>
  <c r="J18" i="58"/>
  <c r="E29" i="69"/>
  <c r="H120" i="69" s="1"/>
  <c r="H16" i="66"/>
  <c r="I16" i="66" s="1"/>
  <c r="J16" i="66"/>
  <c r="C92" i="55"/>
  <c r="H92" i="55" s="1"/>
  <c r="I17" i="55"/>
  <c r="T109" i="55"/>
  <c r="I109" i="55"/>
  <c r="I110" i="55" s="1"/>
  <c r="I15" i="75"/>
  <c r="C92" i="76"/>
  <c r="H92" i="76" s="1"/>
  <c r="C91" i="48"/>
  <c r="H91" i="48" s="1"/>
  <c r="I15" i="48"/>
  <c r="I15" i="50"/>
  <c r="E29" i="48"/>
  <c r="H120" i="48" s="1"/>
  <c r="I109" i="45"/>
  <c r="I110" i="45" s="1"/>
  <c r="T109" i="45"/>
  <c r="J18" i="40"/>
  <c r="H18" i="40"/>
  <c r="I18" i="40" s="1"/>
  <c r="I15" i="36"/>
  <c r="E59" i="23"/>
  <c r="I50" i="23"/>
  <c r="I59" i="23" s="1"/>
  <c r="H14" i="38"/>
  <c r="I14" i="38" s="1"/>
  <c r="J14" i="38"/>
  <c r="C90" i="40"/>
  <c r="E43" i="40"/>
  <c r="J18" i="33"/>
  <c r="I56" i="33"/>
  <c r="J14" i="36"/>
  <c r="I13" i="34"/>
  <c r="E59" i="36"/>
  <c r="H18" i="21"/>
  <c r="J18" i="21"/>
  <c r="C92" i="35"/>
  <c r="H92" i="35" s="1"/>
  <c r="I15" i="28"/>
  <c r="I17" i="24"/>
  <c r="H18" i="24"/>
  <c r="I18" i="24" s="1"/>
  <c r="J18" i="24"/>
  <c r="I50" i="18"/>
  <c r="I59" i="18" s="1"/>
  <c r="E59" i="18"/>
  <c r="C92" i="27"/>
  <c r="H92" i="27" s="1"/>
  <c r="I110" i="17"/>
  <c r="H18" i="25"/>
  <c r="I18" i="25" s="1"/>
  <c r="J18" i="25"/>
  <c r="I107" i="7"/>
  <c r="I13" i="21"/>
  <c r="E43" i="15"/>
  <c r="I37" i="15"/>
  <c r="E29" i="30"/>
  <c r="H13" i="30"/>
  <c r="H14" i="66"/>
  <c r="I14" i="66" s="1"/>
  <c r="J14" i="66"/>
  <c r="H18" i="50"/>
  <c r="I18" i="50" s="1"/>
  <c r="J18" i="50"/>
  <c r="P92" i="48"/>
  <c r="P91" i="48"/>
  <c r="P90" i="48"/>
  <c r="I109" i="58"/>
  <c r="I110" i="58" s="1"/>
  <c r="T109" i="58"/>
  <c r="I109" i="66"/>
  <c r="I110" i="66" s="1"/>
  <c r="T109" i="66"/>
  <c r="I37" i="52"/>
  <c r="I43" i="52" s="1"/>
  <c r="E43" i="52"/>
  <c r="H14" i="30"/>
  <c r="I14" i="30" s="1"/>
  <c r="J14" i="30"/>
  <c r="E43" i="78"/>
  <c r="I37" i="78"/>
  <c r="I43" i="78" s="1"/>
  <c r="J18" i="68"/>
  <c r="I15" i="68"/>
  <c r="J14" i="77"/>
  <c r="J18" i="67"/>
  <c r="H18" i="67"/>
  <c r="I18" i="67" s="1"/>
  <c r="I37" i="66"/>
  <c r="I43" i="66" s="1"/>
  <c r="E43" i="66"/>
  <c r="I15" i="57"/>
  <c r="E59" i="56"/>
  <c r="I50" i="56"/>
  <c r="I59" i="56" s="1"/>
  <c r="J14" i="56"/>
  <c r="C90" i="76"/>
  <c r="I13" i="76"/>
  <c r="I29" i="76" s="1"/>
  <c r="H16" i="75"/>
  <c r="I16" i="75" s="1"/>
  <c r="J16" i="75"/>
  <c r="J14" i="51"/>
  <c r="H14" i="51"/>
  <c r="I14" i="51" s="1"/>
  <c r="H18" i="48"/>
  <c r="J18" i="48"/>
  <c r="C92" i="44"/>
  <c r="H92" i="44" s="1"/>
  <c r="I17" i="44"/>
  <c r="E43" i="48"/>
  <c r="I37" i="48"/>
  <c r="I43" i="48" s="1"/>
  <c r="I13" i="48"/>
  <c r="I51" i="40"/>
  <c r="I59" i="40" s="1"/>
  <c r="E59" i="40"/>
  <c r="H29" i="43"/>
  <c r="E45" i="43" s="1"/>
  <c r="C65" i="43" s="1"/>
  <c r="H66" i="43" s="1"/>
  <c r="J14" i="50"/>
  <c r="J14" i="37"/>
  <c r="H14" i="37"/>
  <c r="I14" i="37" s="1"/>
  <c r="H16" i="37"/>
  <c r="I16" i="37" s="1"/>
  <c r="J16" i="37"/>
  <c r="I37" i="35"/>
  <c r="I43" i="35" s="1"/>
  <c r="E43" i="35"/>
  <c r="E29" i="39"/>
  <c r="H120" i="39" s="1"/>
  <c r="I43" i="40"/>
  <c r="I109" i="36"/>
  <c r="I110" i="36" s="1"/>
  <c r="T109" i="36"/>
  <c r="E29" i="33"/>
  <c r="H120" i="33" s="1"/>
  <c r="I59" i="36"/>
  <c r="I110" i="20"/>
  <c r="I50" i="20"/>
  <c r="I59" i="20" s="1"/>
  <c r="E59" i="20"/>
  <c r="H14" i="16"/>
  <c r="I14" i="16" s="1"/>
  <c r="H24" i="16"/>
  <c r="I24" i="16" s="1"/>
  <c r="I24" i="60" s="1"/>
  <c r="E24" i="60"/>
  <c r="H24" i="60" s="1"/>
  <c r="I40" i="60"/>
  <c r="E42" i="60"/>
  <c r="I42" i="15"/>
  <c r="C92" i="78" l="1"/>
  <c r="H92" i="78" s="1"/>
  <c r="C91" i="57"/>
  <c r="H91" i="57" s="1"/>
  <c r="H29" i="76"/>
  <c r="E45" i="76" s="1"/>
  <c r="C65" i="76" s="1"/>
  <c r="H66" i="76" s="1"/>
  <c r="C91" i="76"/>
  <c r="H91" i="76" s="1"/>
  <c r="C92" i="52"/>
  <c r="H92" i="52" s="1"/>
  <c r="H29" i="52"/>
  <c r="E45" i="52" s="1"/>
  <c r="C65" i="52" s="1"/>
  <c r="H66" i="52" s="1"/>
  <c r="C62" i="52"/>
  <c r="H63" i="52" s="1"/>
  <c r="H120" i="32"/>
  <c r="C62" i="32"/>
  <c r="H63" i="32" s="1"/>
  <c r="C91" i="68"/>
  <c r="H91" i="68" s="1"/>
  <c r="I13" i="52"/>
  <c r="I29" i="52" s="1"/>
  <c r="I45" i="52" s="1"/>
  <c r="C92" i="32"/>
  <c r="H92" i="32" s="1"/>
  <c r="C91" i="71"/>
  <c r="H91" i="71" s="1"/>
  <c r="H29" i="71"/>
  <c r="E45" i="71" s="1"/>
  <c r="C65" i="71" s="1"/>
  <c r="H66" i="71" s="1"/>
  <c r="H78" i="71" s="1"/>
  <c r="I78" i="71" s="1"/>
  <c r="H120" i="30"/>
  <c r="C90" i="21"/>
  <c r="I39" i="60"/>
  <c r="C91" i="36"/>
  <c r="H91" i="36" s="1"/>
  <c r="C91" i="58"/>
  <c r="H91" i="58" s="1"/>
  <c r="I59" i="39"/>
  <c r="C90" i="48"/>
  <c r="H90" i="48" s="1"/>
  <c r="I45" i="76"/>
  <c r="C91" i="50"/>
  <c r="H91" i="50" s="1"/>
  <c r="C91" i="75"/>
  <c r="H91" i="75" s="1"/>
  <c r="I42" i="60"/>
  <c r="C90" i="15"/>
  <c r="H90" i="15" s="1"/>
  <c r="C92" i="36"/>
  <c r="H92" i="36" s="1"/>
  <c r="H29" i="21"/>
  <c r="E45" i="21" s="1"/>
  <c r="C65" i="21" s="1"/>
  <c r="H66" i="21" s="1"/>
  <c r="H79" i="21" s="1"/>
  <c r="I79" i="21" s="1"/>
  <c r="C91" i="77"/>
  <c r="H91" i="77" s="1"/>
  <c r="C92" i="22"/>
  <c r="H92" i="22" s="1"/>
  <c r="C92" i="28"/>
  <c r="H92" i="28" s="1"/>
  <c r="I43" i="15"/>
  <c r="C90" i="34"/>
  <c r="H90" i="34" s="1"/>
  <c r="I93" i="34" s="1"/>
  <c r="C91" i="24"/>
  <c r="H91" i="24" s="1"/>
  <c r="I29" i="40"/>
  <c r="I45" i="40" s="1"/>
  <c r="C92" i="24"/>
  <c r="H92" i="24" s="1"/>
  <c r="C92" i="31"/>
  <c r="H92" i="31" s="1"/>
  <c r="C91" i="22"/>
  <c r="H91" i="22" s="1"/>
  <c r="C91" i="28"/>
  <c r="H91" i="28" s="1"/>
  <c r="I20" i="60"/>
  <c r="C91" i="45"/>
  <c r="H91" i="45" s="1"/>
  <c r="C62" i="35"/>
  <c r="H63" i="35" s="1"/>
  <c r="H29" i="58"/>
  <c r="E45" i="58" s="1"/>
  <c r="C65" i="58" s="1"/>
  <c r="H66" i="58" s="1"/>
  <c r="I13" i="58"/>
  <c r="I29" i="58" s="1"/>
  <c r="I45" i="58" s="1"/>
  <c r="C90" i="58"/>
  <c r="C62" i="40"/>
  <c r="H63" i="40" s="1"/>
  <c r="H90" i="71"/>
  <c r="C93" i="71"/>
  <c r="I13" i="68"/>
  <c r="I29" i="68" s="1"/>
  <c r="I45" i="68" s="1"/>
  <c r="C90" i="68"/>
  <c r="H29" i="68"/>
  <c r="E45" i="68" s="1"/>
  <c r="C65" i="68" s="1"/>
  <c r="H66" i="68" s="1"/>
  <c r="I37" i="60"/>
  <c r="I17" i="60"/>
  <c r="C93" i="33"/>
  <c r="H90" i="33"/>
  <c r="I93" i="33" s="1"/>
  <c r="I29" i="55"/>
  <c r="I45" i="55" s="1"/>
  <c r="C92" i="16"/>
  <c r="H92" i="16" s="1"/>
  <c r="C62" i="33"/>
  <c r="H63" i="33" s="1"/>
  <c r="I29" i="34"/>
  <c r="I45" i="34" s="1"/>
  <c r="C91" i="35"/>
  <c r="I15" i="35"/>
  <c r="I29" i="35" s="1"/>
  <c r="I45" i="35" s="1"/>
  <c r="H29" i="35"/>
  <c r="E45" i="35" s="1"/>
  <c r="C65" i="35" s="1"/>
  <c r="H66" i="35" s="1"/>
  <c r="C92" i="25"/>
  <c r="H92" i="25" s="1"/>
  <c r="I18" i="23"/>
  <c r="C92" i="23"/>
  <c r="H92" i="23" s="1"/>
  <c r="H29" i="66"/>
  <c r="E45" i="66" s="1"/>
  <c r="C65" i="66" s="1"/>
  <c r="H66" i="66" s="1"/>
  <c r="I13" i="66"/>
  <c r="C90" i="66"/>
  <c r="C93" i="56"/>
  <c r="H90" i="56"/>
  <c r="I93" i="56" s="1"/>
  <c r="H29" i="70"/>
  <c r="E45" i="70" s="1"/>
  <c r="C65" i="70" s="1"/>
  <c r="H66" i="70" s="1"/>
  <c r="I13" i="70"/>
  <c r="C90" i="70"/>
  <c r="H29" i="25"/>
  <c r="E45" i="25" s="1"/>
  <c r="C65" i="25" s="1"/>
  <c r="H66" i="25" s="1"/>
  <c r="I13" i="25"/>
  <c r="I29" i="25" s="1"/>
  <c r="I45" i="25" s="1"/>
  <c r="C90" i="25"/>
  <c r="H29" i="50"/>
  <c r="E45" i="50" s="1"/>
  <c r="C65" i="50" s="1"/>
  <c r="H66" i="50" s="1"/>
  <c r="I13" i="50"/>
  <c r="I29" i="50" s="1"/>
  <c r="I45" i="50" s="1"/>
  <c r="C90" i="50"/>
  <c r="C92" i="37"/>
  <c r="H92" i="37" s="1"/>
  <c r="C62" i="55"/>
  <c r="H63" i="55" s="1"/>
  <c r="I16" i="20"/>
  <c r="C91" i="20"/>
  <c r="H91" i="20" s="1"/>
  <c r="C62" i="15"/>
  <c r="H63" i="15" s="1"/>
  <c r="C62" i="66"/>
  <c r="H63" i="66" s="1"/>
  <c r="E34" i="62"/>
  <c r="E38" i="62" s="1"/>
  <c r="C62" i="7"/>
  <c r="H63" i="7" s="1"/>
  <c r="I59" i="33"/>
  <c r="C92" i="50"/>
  <c r="H92" i="50" s="1"/>
  <c r="I16" i="70"/>
  <c r="C91" i="70"/>
  <c r="H91" i="70" s="1"/>
  <c r="I45" i="71"/>
  <c r="E45" i="56"/>
  <c r="C65" i="56" s="1"/>
  <c r="H66" i="56" s="1"/>
  <c r="C62" i="70"/>
  <c r="H63" i="70" s="1"/>
  <c r="C62" i="25"/>
  <c r="H63" i="25" s="1"/>
  <c r="H29" i="17"/>
  <c r="E45" i="17" s="1"/>
  <c r="C65" i="17" s="1"/>
  <c r="H66" i="17" s="1"/>
  <c r="I13" i="17"/>
  <c r="I29" i="17" s="1"/>
  <c r="I45" i="17" s="1"/>
  <c r="C90" i="17"/>
  <c r="C62" i="50"/>
  <c r="H63" i="50" s="1"/>
  <c r="I16" i="15"/>
  <c r="C91" i="15"/>
  <c r="H91" i="15" s="1"/>
  <c r="C92" i="60"/>
  <c r="C62" i="31"/>
  <c r="H63" i="31" s="1"/>
  <c r="H83" i="76"/>
  <c r="H82" i="76"/>
  <c r="H78" i="76"/>
  <c r="I78" i="76" s="1"/>
  <c r="H79" i="76"/>
  <c r="I79" i="76" s="1"/>
  <c r="H85" i="76"/>
  <c r="I85" i="76" s="1"/>
  <c r="H80" i="76"/>
  <c r="I80" i="76" s="1"/>
  <c r="C93" i="52"/>
  <c r="H90" i="52"/>
  <c r="I93" i="52" s="1"/>
  <c r="C62" i="45"/>
  <c r="H63" i="45" s="1"/>
  <c r="H29" i="23"/>
  <c r="E45" i="23" s="1"/>
  <c r="C65" i="23" s="1"/>
  <c r="H66" i="23" s="1"/>
  <c r="I13" i="23"/>
  <c r="C90" i="23"/>
  <c r="C62" i="18"/>
  <c r="H63" i="18" s="1"/>
  <c r="I14" i="27"/>
  <c r="I29" i="27" s="1"/>
  <c r="I45" i="27" s="1"/>
  <c r="C90" i="27"/>
  <c r="H29" i="27"/>
  <c r="E45" i="27" s="1"/>
  <c r="C65" i="27" s="1"/>
  <c r="H66" i="27" s="1"/>
  <c r="H70" i="52"/>
  <c r="I70" i="52" s="1"/>
  <c r="H72" i="52"/>
  <c r="I72" i="52" s="1"/>
  <c r="H77" i="52"/>
  <c r="I77" i="52" s="1"/>
  <c r="H68" i="52"/>
  <c r="I68" i="52" s="1"/>
  <c r="H71" i="52"/>
  <c r="I71" i="52" s="1"/>
  <c r="H76" i="52"/>
  <c r="I76" i="52" s="1"/>
  <c r="I29" i="56"/>
  <c r="I45" i="56" s="1"/>
  <c r="C62" i="17"/>
  <c r="H63" i="17" s="1"/>
  <c r="C92" i="45"/>
  <c r="H92" i="45" s="1"/>
  <c r="C91" i="25"/>
  <c r="H91" i="25" s="1"/>
  <c r="H29" i="31"/>
  <c r="E45" i="31" s="1"/>
  <c r="C65" i="31" s="1"/>
  <c r="H66" i="31" s="1"/>
  <c r="I13" i="31"/>
  <c r="I29" i="31" s="1"/>
  <c r="I45" i="31" s="1"/>
  <c r="C90" i="31"/>
  <c r="I14" i="42"/>
  <c r="I29" i="42" s="1"/>
  <c r="I45" i="42" s="1"/>
  <c r="H29" i="42"/>
  <c r="E45" i="42" s="1"/>
  <c r="C65" i="42" s="1"/>
  <c r="H66" i="42" s="1"/>
  <c r="C90" i="42"/>
  <c r="H29" i="75"/>
  <c r="E45" i="75" s="1"/>
  <c r="C65" i="75" s="1"/>
  <c r="H66" i="75" s="1"/>
  <c r="I13" i="75"/>
  <c r="I29" i="75" s="1"/>
  <c r="K29" i="75" s="1"/>
  <c r="C90" i="75"/>
  <c r="C93" i="76"/>
  <c r="H90" i="76"/>
  <c r="I13" i="30"/>
  <c r="C90" i="30"/>
  <c r="H29" i="30"/>
  <c r="E45" i="30" s="1"/>
  <c r="C65" i="30" s="1"/>
  <c r="H66" i="30" s="1"/>
  <c r="C62" i="69"/>
  <c r="H63" i="69" s="1"/>
  <c r="H29" i="45"/>
  <c r="E45" i="45" s="1"/>
  <c r="C65" i="45" s="1"/>
  <c r="H66" i="45" s="1"/>
  <c r="I13" i="45"/>
  <c r="I29" i="45" s="1"/>
  <c r="I45" i="45" s="1"/>
  <c r="C90" i="45"/>
  <c r="I93" i="71"/>
  <c r="C62" i="23"/>
  <c r="H63" i="23" s="1"/>
  <c r="I59" i="27"/>
  <c r="I93" i="43"/>
  <c r="H29" i="78"/>
  <c r="E45" i="78" s="1"/>
  <c r="C65" i="78" s="1"/>
  <c r="H66" i="78" s="1"/>
  <c r="I13" i="78"/>
  <c r="I29" i="78" s="1"/>
  <c r="I45" i="78" s="1"/>
  <c r="C90" i="78"/>
  <c r="C62" i="51"/>
  <c r="H63" i="51" s="1"/>
  <c r="C62" i="28"/>
  <c r="H63" i="28" s="1"/>
  <c r="C62" i="56"/>
  <c r="H63" i="56" s="1"/>
  <c r="C91" i="38"/>
  <c r="H91" i="38" s="1"/>
  <c r="C62" i="42"/>
  <c r="H63" i="42" s="1"/>
  <c r="C62" i="75"/>
  <c r="H63" i="75" s="1"/>
  <c r="H29" i="60"/>
  <c r="C90" i="60"/>
  <c r="H85" i="43"/>
  <c r="I85" i="43" s="1"/>
  <c r="H79" i="43"/>
  <c r="I79" i="43" s="1"/>
  <c r="H82" i="43"/>
  <c r="H83" i="43"/>
  <c r="H78" i="43"/>
  <c r="I78" i="43" s="1"/>
  <c r="H80" i="43"/>
  <c r="I80" i="43" s="1"/>
  <c r="C62" i="30"/>
  <c r="H63" i="30" s="1"/>
  <c r="C62" i="24"/>
  <c r="H63" i="24" s="1"/>
  <c r="I16" i="32"/>
  <c r="C91" i="32"/>
  <c r="H91" i="32" s="1"/>
  <c r="C62" i="27"/>
  <c r="H63" i="27" s="1"/>
  <c r="C62" i="44"/>
  <c r="H63" i="44" s="1"/>
  <c r="I16" i="67"/>
  <c r="C91" i="67"/>
  <c r="H91" i="67" s="1"/>
  <c r="C62" i="78"/>
  <c r="H63" i="78" s="1"/>
  <c r="C91" i="66"/>
  <c r="H91" i="66" s="1"/>
  <c r="I59" i="17"/>
  <c r="C91" i="31"/>
  <c r="H91" i="31" s="1"/>
  <c r="C92" i="77"/>
  <c r="H92" i="77" s="1"/>
  <c r="P20" i="52"/>
  <c r="T20" i="52" s="1"/>
  <c r="U20" i="52" s="1"/>
  <c r="P27" i="52"/>
  <c r="T27" i="52" s="1"/>
  <c r="U27" i="52" s="1"/>
  <c r="P38" i="52"/>
  <c r="U38" i="52" s="1"/>
  <c r="P41" i="52"/>
  <c r="U41" i="52" s="1"/>
  <c r="P17" i="52"/>
  <c r="T17" i="52" s="1"/>
  <c r="P22" i="52"/>
  <c r="T22" i="52" s="1"/>
  <c r="U22" i="52" s="1"/>
  <c r="P107" i="52"/>
  <c r="U107" i="52" s="1"/>
  <c r="P99" i="52"/>
  <c r="U99" i="52" s="1"/>
  <c r="P14" i="52"/>
  <c r="T14" i="52" s="1"/>
  <c r="U14" i="52" s="1"/>
  <c r="P24" i="52"/>
  <c r="T24" i="52" s="1"/>
  <c r="U24" i="52" s="1"/>
  <c r="P19" i="52"/>
  <c r="T19" i="52" s="1"/>
  <c r="U19" i="52" s="1"/>
  <c r="P39" i="52"/>
  <c r="U39" i="52" s="1"/>
  <c r="P42" i="52"/>
  <c r="U42" i="52" s="1"/>
  <c r="P109" i="52"/>
  <c r="U109" i="52" s="1"/>
  <c r="P26" i="52"/>
  <c r="T26" i="52" s="1"/>
  <c r="U26" i="52" s="1"/>
  <c r="P16" i="52"/>
  <c r="T16" i="52" s="1"/>
  <c r="U16" i="52" s="1"/>
  <c r="P21" i="52"/>
  <c r="T21" i="52" s="1"/>
  <c r="U21" i="52" s="1"/>
  <c r="P13" i="52"/>
  <c r="P28" i="52"/>
  <c r="T28" i="52" s="1"/>
  <c r="U28" i="52" s="1"/>
  <c r="U73" i="52"/>
  <c r="P23" i="52"/>
  <c r="T23" i="52" s="1"/>
  <c r="U23" i="52" s="1"/>
  <c r="P37" i="52"/>
  <c r="P40" i="52"/>
  <c r="U40" i="52" s="1"/>
  <c r="U74" i="52"/>
  <c r="P18" i="52"/>
  <c r="T18" i="52" s="1"/>
  <c r="U18" i="52" s="1"/>
  <c r="P15" i="52"/>
  <c r="T15" i="52" s="1"/>
  <c r="U112" i="52"/>
  <c r="U113" i="52"/>
  <c r="P25" i="52"/>
  <c r="T25" i="52" s="1"/>
  <c r="U25" i="52" s="1"/>
  <c r="P108" i="52"/>
  <c r="U108" i="52" s="1"/>
  <c r="H29" i="51"/>
  <c r="E45" i="51" s="1"/>
  <c r="C65" i="51" s="1"/>
  <c r="H66" i="51" s="1"/>
  <c r="I13" i="51"/>
  <c r="I29" i="51" s="1"/>
  <c r="I45" i="51" s="1"/>
  <c r="C90" i="51"/>
  <c r="I13" i="16"/>
  <c r="I29" i="16" s="1"/>
  <c r="I45" i="16" s="1"/>
  <c r="C90" i="16"/>
  <c r="H29" i="16"/>
  <c r="E45" i="16" s="1"/>
  <c r="C65" i="16" s="1"/>
  <c r="H66" i="16" s="1"/>
  <c r="I13" i="28"/>
  <c r="I29" i="28" s="1"/>
  <c r="I45" i="28" s="1"/>
  <c r="C90" i="28"/>
  <c r="H29" i="28"/>
  <c r="E45" i="28" s="1"/>
  <c r="C65" i="28" s="1"/>
  <c r="H66" i="28" s="1"/>
  <c r="E29" i="60"/>
  <c r="C62" i="39"/>
  <c r="H63" i="39" s="1"/>
  <c r="I13" i="24"/>
  <c r="I29" i="24" s="1"/>
  <c r="I45" i="24" s="1"/>
  <c r="C90" i="24"/>
  <c r="H29" i="24"/>
  <c r="E45" i="24" s="1"/>
  <c r="C65" i="24" s="1"/>
  <c r="H66" i="24" s="1"/>
  <c r="C92" i="67"/>
  <c r="H92" i="67" s="1"/>
  <c r="H29" i="26"/>
  <c r="E45" i="26" s="1"/>
  <c r="C65" i="26" s="1"/>
  <c r="H66" i="26" s="1"/>
  <c r="I13" i="26"/>
  <c r="C90" i="26"/>
  <c r="I15" i="44"/>
  <c r="I29" i="44" s="1"/>
  <c r="I45" i="44" s="1"/>
  <c r="C91" i="44"/>
  <c r="H91" i="44" s="1"/>
  <c r="H29" i="44"/>
  <c r="E45" i="44" s="1"/>
  <c r="C65" i="44" s="1"/>
  <c r="H66" i="44" s="1"/>
  <c r="H29" i="77"/>
  <c r="E45" i="77" s="1"/>
  <c r="C65" i="77" s="1"/>
  <c r="H66" i="77" s="1"/>
  <c r="I13" i="77"/>
  <c r="I29" i="77" s="1"/>
  <c r="I45" i="77" s="1"/>
  <c r="C90" i="77"/>
  <c r="C62" i="16"/>
  <c r="H63" i="16" s="1"/>
  <c r="C93" i="43"/>
  <c r="C62" i="47"/>
  <c r="H63" i="47" s="1"/>
  <c r="I18" i="21"/>
  <c r="I29" i="21" s="1"/>
  <c r="I45" i="21" s="1"/>
  <c r="C92" i="21"/>
  <c r="H92" i="21" s="1"/>
  <c r="H90" i="40"/>
  <c r="I18" i="20"/>
  <c r="C92" i="20"/>
  <c r="H92" i="20" s="1"/>
  <c r="C62" i="37"/>
  <c r="H63" i="37" s="1"/>
  <c r="C62" i="26"/>
  <c r="H63" i="26" s="1"/>
  <c r="C62" i="43"/>
  <c r="H63" i="43" s="1"/>
  <c r="H29" i="38"/>
  <c r="E45" i="38" s="1"/>
  <c r="C65" i="38" s="1"/>
  <c r="H66" i="38" s="1"/>
  <c r="I13" i="38"/>
  <c r="I29" i="38" s="1"/>
  <c r="I45" i="38" s="1"/>
  <c r="C90" i="38"/>
  <c r="C91" i="21"/>
  <c r="H91" i="21" s="1"/>
  <c r="C91" i="78"/>
  <c r="H91" i="78" s="1"/>
  <c r="I15" i="7"/>
  <c r="C91" i="7"/>
  <c r="H91" i="7" s="1"/>
  <c r="H90" i="44"/>
  <c r="I16" i="30"/>
  <c r="C91" i="30"/>
  <c r="H91" i="30" s="1"/>
  <c r="C62" i="77"/>
  <c r="H63" i="77" s="1"/>
  <c r="H29" i="40"/>
  <c r="E45" i="40" s="1"/>
  <c r="C65" i="40" s="1"/>
  <c r="H66" i="40" s="1"/>
  <c r="I13" i="47"/>
  <c r="I29" i="47" s="1"/>
  <c r="I45" i="47" s="1"/>
  <c r="H29" i="47"/>
  <c r="E45" i="47" s="1"/>
  <c r="C65" i="47" s="1"/>
  <c r="H66" i="47" s="1"/>
  <c r="C90" i="47"/>
  <c r="P19" i="34"/>
  <c r="T19" i="34" s="1"/>
  <c r="U19" i="34" s="1"/>
  <c r="P39" i="34"/>
  <c r="U39" i="34" s="1"/>
  <c r="P42" i="34"/>
  <c r="U42" i="34" s="1"/>
  <c r="P26" i="34"/>
  <c r="T26" i="34" s="1"/>
  <c r="U26" i="34" s="1"/>
  <c r="P109" i="34"/>
  <c r="U109" i="34" s="1"/>
  <c r="P16" i="34"/>
  <c r="T16" i="34" s="1"/>
  <c r="U16" i="34" s="1"/>
  <c r="P21" i="34"/>
  <c r="T21" i="34" s="1"/>
  <c r="U21" i="34" s="1"/>
  <c r="P13" i="34"/>
  <c r="P28" i="34"/>
  <c r="T28" i="34" s="1"/>
  <c r="U28" i="34" s="1"/>
  <c r="U73" i="34"/>
  <c r="P23" i="34"/>
  <c r="T23" i="34" s="1"/>
  <c r="U23" i="34" s="1"/>
  <c r="P37" i="34"/>
  <c r="P40" i="34"/>
  <c r="U40" i="34" s="1"/>
  <c r="U74" i="34"/>
  <c r="P18" i="34"/>
  <c r="T18" i="34" s="1"/>
  <c r="U18" i="34" s="1"/>
  <c r="P15" i="34"/>
  <c r="T15" i="34" s="1"/>
  <c r="P25" i="34"/>
  <c r="T25" i="34" s="1"/>
  <c r="U25" i="34" s="1"/>
  <c r="P108" i="34"/>
  <c r="U108" i="34" s="1"/>
  <c r="U112" i="34"/>
  <c r="P20" i="34"/>
  <c r="T20" i="34" s="1"/>
  <c r="U20" i="34" s="1"/>
  <c r="U113" i="34"/>
  <c r="P27" i="34"/>
  <c r="T27" i="34" s="1"/>
  <c r="U27" i="34" s="1"/>
  <c r="P38" i="34"/>
  <c r="U38" i="34" s="1"/>
  <c r="P41" i="34"/>
  <c r="U41" i="34" s="1"/>
  <c r="P107" i="34"/>
  <c r="U107" i="34" s="1"/>
  <c r="P22" i="34"/>
  <c r="T22" i="34" s="1"/>
  <c r="U22" i="34" s="1"/>
  <c r="P17" i="34"/>
  <c r="T17" i="34" s="1"/>
  <c r="P24" i="34"/>
  <c r="T24" i="34" s="1"/>
  <c r="U24" i="34" s="1"/>
  <c r="P14" i="34"/>
  <c r="T14" i="34" s="1"/>
  <c r="U14" i="34" s="1"/>
  <c r="P99" i="34"/>
  <c r="U99" i="34" s="1"/>
  <c r="H82" i="21"/>
  <c r="H83" i="21"/>
  <c r="C91" i="37"/>
  <c r="H91" i="37" s="1"/>
  <c r="C62" i="67"/>
  <c r="H63" i="67" s="1"/>
  <c r="H29" i="37"/>
  <c r="E45" i="37" s="1"/>
  <c r="C65" i="37" s="1"/>
  <c r="H66" i="37" s="1"/>
  <c r="I13" i="37"/>
  <c r="I29" i="37" s="1"/>
  <c r="I45" i="37" s="1"/>
  <c r="C90" i="37"/>
  <c r="I21" i="15"/>
  <c r="I21" i="60" s="1"/>
  <c r="C92" i="15"/>
  <c r="H92" i="15" s="1"/>
  <c r="C62" i="38"/>
  <c r="H63" i="38" s="1"/>
  <c r="H29" i="7"/>
  <c r="E45" i="7" s="1"/>
  <c r="C65" i="7" s="1"/>
  <c r="H66" i="7" s="1"/>
  <c r="C91" i="60"/>
  <c r="C92" i="17"/>
  <c r="H92" i="17" s="1"/>
  <c r="I18" i="66"/>
  <c r="C92" i="66"/>
  <c r="H92" i="66" s="1"/>
  <c r="C91" i="40"/>
  <c r="H91" i="40" s="1"/>
  <c r="H77" i="34"/>
  <c r="I77" i="34" s="1"/>
  <c r="H68" i="34"/>
  <c r="I68" i="34" s="1"/>
  <c r="H71" i="34"/>
  <c r="I71" i="34" s="1"/>
  <c r="H76" i="34"/>
  <c r="I76" i="34" s="1"/>
  <c r="H70" i="34"/>
  <c r="I70" i="34" s="1"/>
  <c r="H72" i="34"/>
  <c r="I72" i="34" s="1"/>
  <c r="I13" i="67"/>
  <c r="C90" i="67"/>
  <c r="H29" i="67"/>
  <c r="E45" i="67" s="1"/>
  <c r="C65" i="67" s="1"/>
  <c r="H66" i="67" s="1"/>
  <c r="H29" i="32"/>
  <c r="E45" i="32" s="1"/>
  <c r="C90" i="32"/>
  <c r="I13" i="32"/>
  <c r="I29" i="32" s="1"/>
  <c r="I45" i="32" s="1"/>
  <c r="H90" i="7"/>
  <c r="I16" i="18"/>
  <c r="C91" i="18"/>
  <c r="H91" i="18" s="1"/>
  <c r="H83" i="33"/>
  <c r="H78" i="33"/>
  <c r="I78" i="33" s="1"/>
  <c r="H80" i="33"/>
  <c r="I80" i="33" s="1"/>
  <c r="H79" i="33"/>
  <c r="I79" i="33" s="1"/>
  <c r="H82" i="33"/>
  <c r="H85" i="33"/>
  <c r="I85" i="33" s="1"/>
  <c r="I13" i="36"/>
  <c r="I29" i="36" s="1"/>
  <c r="I45" i="36" s="1"/>
  <c r="C90" i="36"/>
  <c r="H29" i="36"/>
  <c r="E45" i="36" s="1"/>
  <c r="C65" i="36" s="1"/>
  <c r="H66" i="36" s="1"/>
  <c r="H90" i="21"/>
  <c r="C62" i="48"/>
  <c r="H63" i="48" s="1"/>
  <c r="I14" i="20"/>
  <c r="C90" i="20"/>
  <c r="H29" i="20"/>
  <c r="E45" i="20" s="1"/>
  <c r="C65" i="20" s="1"/>
  <c r="H66" i="20" s="1"/>
  <c r="C62" i="76"/>
  <c r="H63" i="76" s="1"/>
  <c r="C62" i="71"/>
  <c r="H63" i="71" s="1"/>
  <c r="I18" i="18"/>
  <c r="C92" i="18"/>
  <c r="H92" i="18" s="1"/>
  <c r="C90" i="57"/>
  <c r="H29" i="57"/>
  <c r="E45" i="57" s="1"/>
  <c r="C65" i="57" s="1"/>
  <c r="H66" i="57" s="1"/>
  <c r="I13" i="57"/>
  <c r="I29" i="57" s="1"/>
  <c r="I45" i="57" s="1"/>
  <c r="I16" i="69"/>
  <c r="I29" i="69" s="1"/>
  <c r="I45" i="69" s="1"/>
  <c r="C91" i="69"/>
  <c r="H29" i="69"/>
  <c r="E45" i="69" s="1"/>
  <c r="C65" i="69" s="1"/>
  <c r="H66" i="69" s="1"/>
  <c r="C62" i="22"/>
  <c r="H63" i="22" s="1"/>
  <c r="I14" i="39"/>
  <c r="I29" i="39" s="1"/>
  <c r="I45" i="39" s="1"/>
  <c r="C90" i="39"/>
  <c r="H29" i="39"/>
  <c r="E45" i="39" s="1"/>
  <c r="C65" i="39" s="1"/>
  <c r="H66" i="39" s="1"/>
  <c r="C92" i="58"/>
  <c r="H92" i="58" s="1"/>
  <c r="I14" i="18"/>
  <c r="H29" i="18"/>
  <c r="E45" i="18" s="1"/>
  <c r="C65" i="18" s="1"/>
  <c r="H66" i="18" s="1"/>
  <c r="C90" i="18"/>
  <c r="H29" i="55"/>
  <c r="E45" i="55" s="1"/>
  <c r="C65" i="55" s="1"/>
  <c r="H66" i="55" s="1"/>
  <c r="C92" i="38"/>
  <c r="H92" i="38" s="1"/>
  <c r="C62" i="36"/>
  <c r="H63" i="36" s="1"/>
  <c r="I18" i="48"/>
  <c r="I29" i="48" s="1"/>
  <c r="I45" i="48" s="1"/>
  <c r="C92" i="48"/>
  <c r="H92" i="48" s="1"/>
  <c r="I16" i="26"/>
  <c r="C91" i="26"/>
  <c r="H91" i="26" s="1"/>
  <c r="H29" i="48"/>
  <c r="E45" i="48" s="1"/>
  <c r="C65" i="48" s="1"/>
  <c r="H66" i="48" s="1"/>
  <c r="I110" i="7"/>
  <c r="H29" i="34"/>
  <c r="E45" i="34" s="1"/>
  <c r="C65" i="34" s="1"/>
  <c r="H66" i="34" s="1"/>
  <c r="E43" i="60"/>
  <c r="C62" i="21"/>
  <c r="H63" i="21" s="1"/>
  <c r="C62" i="20"/>
  <c r="H63" i="20" s="1"/>
  <c r="C62" i="58"/>
  <c r="H63" i="58" s="1"/>
  <c r="C62" i="57"/>
  <c r="H63" i="57" s="1"/>
  <c r="H29" i="22"/>
  <c r="E45" i="22" s="1"/>
  <c r="C65" i="22" s="1"/>
  <c r="H66" i="22" s="1"/>
  <c r="C90" i="22"/>
  <c r="I13" i="22"/>
  <c r="I29" i="22" s="1"/>
  <c r="I45" i="22" s="1"/>
  <c r="C62" i="68"/>
  <c r="H63" i="68" s="1"/>
  <c r="C92" i="40"/>
  <c r="H92" i="40" s="1"/>
  <c r="H29" i="15"/>
  <c r="E45" i="15" s="1"/>
  <c r="C65" i="15" s="1"/>
  <c r="H66" i="15" s="1"/>
  <c r="I18" i="26"/>
  <c r="C92" i="26"/>
  <c r="H92" i="26" s="1"/>
  <c r="C90" i="55"/>
  <c r="H82" i="71" l="1"/>
  <c r="H79" i="71"/>
  <c r="I79" i="71" s="1"/>
  <c r="H85" i="71"/>
  <c r="I85" i="71" s="1"/>
  <c r="H80" i="71"/>
  <c r="I80" i="71" s="1"/>
  <c r="H83" i="71"/>
  <c r="I93" i="76"/>
  <c r="H66" i="32"/>
  <c r="H80" i="32" s="1"/>
  <c r="I80" i="32" s="1"/>
  <c r="C65" i="32"/>
  <c r="H85" i="21"/>
  <c r="I85" i="21" s="1"/>
  <c r="H80" i="21"/>
  <c r="I80" i="21" s="1"/>
  <c r="I43" i="60"/>
  <c r="I15" i="60"/>
  <c r="C93" i="7"/>
  <c r="H78" i="21"/>
  <c r="I78" i="21" s="1"/>
  <c r="I29" i="7"/>
  <c r="I45" i="7" s="1"/>
  <c r="C93" i="34"/>
  <c r="I45" i="75"/>
  <c r="I29" i="67"/>
  <c r="I45" i="67" s="1"/>
  <c r="C93" i="21"/>
  <c r="C93" i="15"/>
  <c r="I93" i="44"/>
  <c r="I18" i="60"/>
  <c r="H92" i="60"/>
  <c r="I16" i="60"/>
  <c r="I29" i="15"/>
  <c r="I45" i="15" s="1"/>
  <c r="I29" i="70"/>
  <c r="I45" i="70" s="1"/>
  <c r="I29" i="20"/>
  <c r="I45" i="20" s="1"/>
  <c r="I93" i="40"/>
  <c r="I93" i="7"/>
  <c r="I93" i="48"/>
  <c r="C93" i="22"/>
  <c r="H90" i="22"/>
  <c r="I93" i="22" s="1"/>
  <c r="H78" i="15"/>
  <c r="I78" i="15" s="1"/>
  <c r="H80" i="15"/>
  <c r="I80" i="15" s="1"/>
  <c r="H85" i="15"/>
  <c r="I85" i="15" s="1"/>
  <c r="H79" i="15"/>
  <c r="I79" i="15" s="1"/>
  <c r="H82" i="15"/>
  <c r="H83" i="15"/>
  <c r="H79" i="48"/>
  <c r="I79" i="48" s="1"/>
  <c r="H82" i="48"/>
  <c r="H83" i="48"/>
  <c r="H78" i="48"/>
  <c r="I78" i="48" s="1"/>
  <c r="H80" i="48"/>
  <c r="I80" i="48" s="1"/>
  <c r="H85" i="48"/>
  <c r="I85" i="48" s="1"/>
  <c r="P13" i="76"/>
  <c r="P28" i="76"/>
  <c r="T28" i="76" s="1"/>
  <c r="U28" i="76" s="1"/>
  <c r="U73" i="76"/>
  <c r="P23" i="76"/>
  <c r="T23" i="76" s="1"/>
  <c r="U23" i="76" s="1"/>
  <c r="P37" i="76"/>
  <c r="P40" i="76"/>
  <c r="U40" i="76" s="1"/>
  <c r="U74" i="76"/>
  <c r="P18" i="76"/>
  <c r="T18" i="76" s="1"/>
  <c r="U18" i="76" s="1"/>
  <c r="P108" i="76"/>
  <c r="U108" i="76" s="1"/>
  <c r="U112" i="76"/>
  <c r="P15" i="76"/>
  <c r="T15" i="76" s="1"/>
  <c r="P25" i="76"/>
  <c r="T25" i="76" s="1"/>
  <c r="U25" i="76" s="1"/>
  <c r="P20" i="76"/>
  <c r="T20" i="76" s="1"/>
  <c r="U20" i="76" s="1"/>
  <c r="P27" i="76"/>
  <c r="T27" i="76" s="1"/>
  <c r="U27" i="76" s="1"/>
  <c r="P38" i="76"/>
  <c r="U38" i="76" s="1"/>
  <c r="P41" i="76"/>
  <c r="U41" i="76" s="1"/>
  <c r="P17" i="76"/>
  <c r="T17" i="76" s="1"/>
  <c r="P22" i="76"/>
  <c r="T22" i="76" s="1"/>
  <c r="U22" i="76" s="1"/>
  <c r="P107" i="76"/>
  <c r="U107" i="76" s="1"/>
  <c r="P14" i="76"/>
  <c r="T14" i="76" s="1"/>
  <c r="U14" i="76" s="1"/>
  <c r="P24" i="76"/>
  <c r="T24" i="76" s="1"/>
  <c r="U24" i="76" s="1"/>
  <c r="P26" i="76"/>
  <c r="T26" i="76" s="1"/>
  <c r="U26" i="76" s="1"/>
  <c r="P19" i="76"/>
  <c r="T19" i="76" s="1"/>
  <c r="U19" i="76" s="1"/>
  <c r="P39" i="76"/>
  <c r="U39" i="76" s="1"/>
  <c r="P16" i="76"/>
  <c r="T16" i="76" s="1"/>
  <c r="U16" i="76" s="1"/>
  <c r="P42" i="76"/>
  <c r="U42" i="76" s="1"/>
  <c r="P99" i="76"/>
  <c r="U99" i="76" s="1"/>
  <c r="P21" i="76"/>
  <c r="T21" i="76" s="1"/>
  <c r="U21" i="76" s="1"/>
  <c r="P109" i="76"/>
  <c r="U109" i="76" s="1"/>
  <c r="U113" i="76"/>
  <c r="U110" i="34"/>
  <c r="C93" i="44"/>
  <c r="H78" i="38"/>
  <c r="I78" i="38" s="1"/>
  <c r="H80" i="38"/>
  <c r="I80" i="38" s="1"/>
  <c r="H85" i="38"/>
  <c r="I85" i="38" s="1"/>
  <c r="H79" i="38"/>
  <c r="I79" i="38" s="1"/>
  <c r="H82" i="38"/>
  <c r="H83" i="38"/>
  <c r="H85" i="77"/>
  <c r="I85" i="77" s="1"/>
  <c r="H79" i="77"/>
  <c r="I79" i="77" s="1"/>
  <c r="H82" i="77"/>
  <c r="H83" i="77"/>
  <c r="H80" i="77"/>
  <c r="I80" i="77" s="1"/>
  <c r="H78" i="77"/>
  <c r="I78" i="77" s="1"/>
  <c r="H79" i="44"/>
  <c r="I79" i="44" s="1"/>
  <c r="H83" i="44"/>
  <c r="H80" i="44"/>
  <c r="I80" i="44" s="1"/>
  <c r="H85" i="44"/>
  <c r="I85" i="44" s="1"/>
  <c r="H78" i="44"/>
  <c r="I78" i="44" s="1"/>
  <c r="H82" i="44"/>
  <c r="H77" i="24"/>
  <c r="I77" i="24" s="1"/>
  <c r="H68" i="24"/>
  <c r="I68" i="24" s="1"/>
  <c r="H71" i="24"/>
  <c r="I71" i="24" s="1"/>
  <c r="H76" i="24"/>
  <c r="I76" i="24" s="1"/>
  <c r="H72" i="24"/>
  <c r="I72" i="24" s="1"/>
  <c r="H70" i="24"/>
  <c r="I70" i="24" s="1"/>
  <c r="H85" i="45"/>
  <c r="I85" i="45" s="1"/>
  <c r="H79" i="45"/>
  <c r="I79" i="45" s="1"/>
  <c r="H82" i="45"/>
  <c r="H83" i="45"/>
  <c r="H78" i="45"/>
  <c r="I78" i="45" s="1"/>
  <c r="H80" i="45"/>
  <c r="I80" i="45" s="1"/>
  <c r="P17" i="70"/>
  <c r="T17" i="70" s="1"/>
  <c r="P22" i="70"/>
  <c r="T22" i="70" s="1"/>
  <c r="U22" i="70" s="1"/>
  <c r="P107" i="70"/>
  <c r="U107" i="70" s="1"/>
  <c r="P14" i="70"/>
  <c r="T14" i="70" s="1"/>
  <c r="U14" i="70" s="1"/>
  <c r="P24" i="70"/>
  <c r="T24" i="70" s="1"/>
  <c r="U24" i="70" s="1"/>
  <c r="P18" i="70"/>
  <c r="T18" i="70" s="1"/>
  <c r="U18" i="70" s="1"/>
  <c r="P108" i="70"/>
  <c r="U108" i="70" s="1"/>
  <c r="P21" i="70"/>
  <c r="T21" i="70" s="1"/>
  <c r="U21" i="70" s="1"/>
  <c r="P26" i="70"/>
  <c r="T26" i="70" s="1"/>
  <c r="U26" i="70" s="1"/>
  <c r="P39" i="70"/>
  <c r="U39" i="70" s="1"/>
  <c r="P19" i="70"/>
  <c r="T19" i="70" s="1"/>
  <c r="U19" i="70" s="1"/>
  <c r="U73" i="70"/>
  <c r="U112" i="70"/>
  <c r="U74" i="70"/>
  <c r="U113" i="70"/>
  <c r="P15" i="70"/>
  <c r="T15" i="70" s="1"/>
  <c r="P40" i="70"/>
  <c r="U40" i="70" s="1"/>
  <c r="P13" i="70"/>
  <c r="P20" i="70"/>
  <c r="T20" i="70" s="1"/>
  <c r="U20" i="70" s="1"/>
  <c r="P25" i="70"/>
  <c r="T25" i="70" s="1"/>
  <c r="U25" i="70" s="1"/>
  <c r="P27" i="70"/>
  <c r="T27" i="70" s="1"/>
  <c r="U27" i="70" s="1"/>
  <c r="P41" i="70"/>
  <c r="U41" i="70" s="1"/>
  <c r="P37" i="70"/>
  <c r="P42" i="70"/>
  <c r="U42" i="70" s="1"/>
  <c r="P109" i="70"/>
  <c r="U109" i="70" s="1"/>
  <c r="P99" i="70"/>
  <c r="U99" i="70" s="1"/>
  <c r="P23" i="70"/>
  <c r="T23" i="70" s="1"/>
  <c r="U23" i="70" s="1"/>
  <c r="P28" i="70"/>
  <c r="T28" i="70" s="1"/>
  <c r="U28" i="70" s="1"/>
  <c r="P16" i="70"/>
  <c r="T16" i="70" s="1"/>
  <c r="U16" i="70" s="1"/>
  <c r="P38" i="70"/>
  <c r="U38" i="70" s="1"/>
  <c r="H72" i="7"/>
  <c r="I72" i="7" s="1"/>
  <c r="H77" i="7"/>
  <c r="I77" i="7" s="1"/>
  <c r="H70" i="7"/>
  <c r="I70" i="7" s="1"/>
  <c r="H76" i="7"/>
  <c r="I76" i="7" s="1"/>
  <c r="H68" i="7"/>
  <c r="I68" i="7" s="1"/>
  <c r="H71" i="7"/>
  <c r="I71" i="7" s="1"/>
  <c r="C93" i="50"/>
  <c r="H90" i="50"/>
  <c r="I93" i="50" s="1"/>
  <c r="H91" i="35"/>
  <c r="I93" i="35" s="1"/>
  <c r="C93" i="35"/>
  <c r="P17" i="35"/>
  <c r="T17" i="35" s="1"/>
  <c r="P22" i="35"/>
  <c r="T22" i="35" s="1"/>
  <c r="U22" i="35" s="1"/>
  <c r="P107" i="35"/>
  <c r="U107" i="35" s="1"/>
  <c r="P99" i="35"/>
  <c r="U99" i="35" s="1"/>
  <c r="P14" i="35"/>
  <c r="T14" i="35" s="1"/>
  <c r="U14" i="35" s="1"/>
  <c r="P24" i="35"/>
  <c r="T24" i="35" s="1"/>
  <c r="U24" i="35" s="1"/>
  <c r="P19" i="35"/>
  <c r="T19" i="35" s="1"/>
  <c r="U19" i="35" s="1"/>
  <c r="P39" i="35"/>
  <c r="U39" i="35" s="1"/>
  <c r="P42" i="35"/>
  <c r="U42" i="35" s="1"/>
  <c r="P109" i="35"/>
  <c r="U109" i="35" s="1"/>
  <c r="P26" i="35"/>
  <c r="T26" i="35" s="1"/>
  <c r="U26" i="35" s="1"/>
  <c r="P16" i="35"/>
  <c r="T16" i="35" s="1"/>
  <c r="U16" i="35" s="1"/>
  <c r="P21" i="35"/>
  <c r="T21" i="35" s="1"/>
  <c r="U21" i="35" s="1"/>
  <c r="P13" i="35"/>
  <c r="P28" i="35"/>
  <c r="T28" i="35" s="1"/>
  <c r="U28" i="35" s="1"/>
  <c r="U73" i="35"/>
  <c r="P23" i="35"/>
  <c r="T23" i="35" s="1"/>
  <c r="U23" i="35" s="1"/>
  <c r="P37" i="35"/>
  <c r="P40" i="35"/>
  <c r="U40" i="35" s="1"/>
  <c r="U74" i="35"/>
  <c r="P18" i="35"/>
  <c r="T18" i="35" s="1"/>
  <c r="U18" i="35" s="1"/>
  <c r="P108" i="35"/>
  <c r="U108" i="35" s="1"/>
  <c r="U112" i="35"/>
  <c r="P15" i="35"/>
  <c r="T15" i="35" s="1"/>
  <c r="P25" i="35"/>
  <c r="T25" i="35" s="1"/>
  <c r="U25" i="35" s="1"/>
  <c r="U113" i="35"/>
  <c r="P20" i="35"/>
  <c r="T20" i="35" s="1"/>
  <c r="U20" i="35" s="1"/>
  <c r="P38" i="35"/>
  <c r="U38" i="35" s="1"/>
  <c r="P41" i="35"/>
  <c r="U41" i="35" s="1"/>
  <c r="P27" i="35"/>
  <c r="T27" i="35" s="1"/>
  <c r="U27" i="35" s="1"/>
  <c r="H83" i="39"/>
  <c r="H78" i="39"/>
  <c r="I78" i="39" s="1"/>
  <c r="H80" i="39"/>
  <c r="I80" i="39" s="1"/>
  <c r="H85" i="39"/>
  <c r="I85" i="39" s="1"/>
  <c r="H79" i="39"/>
  <c r="I79" i="39" s="1"/>
  <c r="H82" i="39"/>
  <c r="H85" i="57"/>
  <c r="I85" i="57" s="1"/>
  <c r="H83" i="57"/>
  <c r="H79" i="57"/>
  <c r="I79" i="57" s="1"/>
  <c r="H80" i="57"/>
  <c r="I80" i="57" s="1"/>
  <c r="H82" i="57"/>
  <c r="H78" i="57"/>
  <c r="I78" i="57" s="1"/>
  <c r="H68" i="76"/>
  <c r="I68" i="76" s="1"/>
  <c r="H71" i="76"/>
  <c r="I71" i="76" s="1"/>
  <c r="H77" i="76"/>
  <c r="I77" i="76" s="1"/>
  <c r="H72" i="76"/>
  <c r="I72" i="76" s="1"/>
  <c r="H76" i="76"/>
  <c r="I76" i="76" s="1"/>
  <c r="H70" i="76"/>
  <c r="I70" i="76" s="1"/>
  <c r="H83" i="36"/>
  <c r="H80" i="36"/>
  <c r="I80" i="36" s="1"/>
  <c r="H85" i="36"/>
  <c r="I85" i="36" s="1"/>
  <c r="H78" i="36"/>
  <c r="I78" i="36" s="1"/>
  <c r="H82" i="36"/>
  <c r="H79" i="36"/>
  <c r="I79" i="36" s="1"/>
  <c r="H90" i="37"/>
  <c r="C93" i="37"/>
  <c r="U37" i="34"/>
  <c r="U43" i="34" s="1"/>
  <c r="R43" i="34"/>
  <c r="H77" i="37"/>
  <c r="I77" i="37" s="1"/>
  <c r="H68" i="37"/>
  <c r="I68" i="37" s="1"/>
  <c r="H71" i="37"/>
  <c r="I71" i="37" s="1"/>
  <c r="H76" i="37"/>
  <c r="I76" i="37" s="1"/>
  <c r="H72" i="37"/>
  <c r="I72" i="37" s="1"/>
  <c r="H70" i="37"/>
  <c r="I70" i="37" s="1"/>
  <c r="H76" i="47"/>
  <c r="I76" i="47" s="1"/>
  <c r="H70" i="47"/>
  <c r="I70" i="47" s="1"/>
  <c r="H72" i="47"/>
  <c r="I72" i="47" s="1"/>
  <c r="H77" i="47"/>
  <c r="I77" i="47" s="1"/>
  <c r="H71" i="47"/>
  <c r="I71" i="47" s="1"/>
  <c r="H68" i="47"/>
  <c r="I68" i="47" s="1"/>
  <c r="H90" i="51"/>
  <c r="I93" i="51" s="1"/>
  <c r="C93" i="51"/>
  <c r="R43" i="52"/>
  <c r="U37" i="52"/>
  <c r="U43" i="52" s="1"/>
  <c r="H77" i="44"/>
  <c r="I77" i="44" s="1"/>
  <c r="H68" i="44"/>
  <c r="I68" i="44" s="1"/>
  <c r="H71" i="44"/>
  <c r="I71" i="44" s="1"/>
  <c r="H72" i="44"/>
  <c r="I72" i="44" s="1"/>
  <c r="H76" i="44"/>
  <c r="I76" i="44" s="1"/>
  <c r="H70" i="44"/>
  <c r="I70" i="44" s="1"/>
  <c r="P15" i="75"/>
  <c r="T15" i="75" s="1"/>
  <c r="P14" i="75"/>
  <c r="T14" i="75" s="1"/>
  <c r="U14" i="75" s="1"/>
  <c r="P37" i="75"/>
  <c r="P40" i="75"/>
  <c r="U40" i="75" s="1"/>
  <c r="U74" i="75"/>
  <c r="P17" i="75"/>
  <c r="T17" i="75" s="1"/>
  <c r="P25" i="75"/>
  <c r="T25" i="75" s="1"/>
  <c r="U25" i="75" s="1"/>
  <c r="P108" i="75"/>
  <c r="U108" i="75" s="1"/>
  <c r="U112" i="75"/>
  <c r="U113" i="75"/>
  <c r="P27" i="75"/>
  <c r="T27" i="75" s="1"/>
  <c r="U27" i="75" s="1"/>
  <c r="P22" i="75"/>
  <c r="T22" i="75" s="1"/>
  <c r="U22" i="75" s="1"/>
  <c r="P38" i="75"/>
  <c r="U38" i="75" s="1"/>
  <c r="P41" i="75"/>
  <c r="U41" i="75" s="1"/>
  <c r="P20" i="75"/>
  <c r="T20" i="75" s="1"/>
  <c r="U20" i="75" s="1"/>
  <c r="P107" i="75"/>
  <c r="U107" i="75" s="1"/>
  <c r="P24" i="75"/>
  <c r="T24" i="75" s="1"/>
  <c r="U24" i="75" s="1"/>
  <c r="P99" i="75"/>
  <c r="U99" i="75" s="1"/>
  <c r="P13" i="75"/>
  <c r="P18" i="75"/>
  <c r="T18" i="75" s="1"/>
  <c r="U18" i="75" s="1"/>
  <c r="P26" i="75"/>
  <c r="T26" i="75" s="1"/>
  <c r="U26" i="75" s="1"/>
  <c r="P39" i="75"/>
  <c r="U39" i="75" s="1"/>
  <c r="P42" i="75"/>
  <c r="U42" i="75" s="1"/>
  <c r="P109" i="75"/>
  <c r="U109" i="75" s="1"/>
  <c r="P16" i="75"/>
  <c r="T16" i="75" s="1"/>
  <c r="U16" i="75" s="1"/>
  <c r="P23" i="75"/>
  <c r="T23" i="75" s="1"/>
  <c r="U23" i="75" s="1"/>
  <c r="P19" i="75"/>
  <c r="T19" i="75" s="1"/>
  <c r="U19" i="75" s="1"/>
  <c r="P21" i="75"/>
  <c r="T21" i="75" s="1"/>
  <c r="U21" i="75" s="1"/>
  <c r="U73" i="75"/>
  <c r="P28" i="75"/>
  <c r="T28" i="75" s="1"/>
  <c r="U28" i="75" s="1"/>
  <c r="P14" i="28"/>
  <c r="T14" i="28" s="1"/>
  <c r="U14" i="28" s="1"/>
  <c r="P24" i="28"/>
  <c r="T24" i="28" s="1"/>
  <c r="U24" i="28" s="1"/>
  <c r="P19" i="28"/>
  <c r="T19" i="28" s="1"/>
  <c r="U19" i="28" s="1"/>
  <c r="P39" i="28"/>
  <c r="U39" i="28" s="1"/>
  <c r="P42" i="28"/>
  <c r="U42" i="28" s="1"/>
  <c r="P109" i="28"/>
  <c r="U109" i="28" s="1"/>
  <c r="P26" i="28"/>
  <c r="T26" i="28" s="1"/>
  <c r="U26" i="28" s="1"/>
  <c r="P16" i="28"/>
  <c r="T16" i="28" s="1"/>
  <c r="U16" i="28" s="1"/>
  <c r="P21" i="28"/>
  <c r="T21" i="28" s="1"/>
  <c r="U21" i="28" s="1"/>
  <c r="P13" i="28"/>
  <c r="P28" i="28"/>
  <c r="T28" i="28" s="1"/>
  <c r="U28" i="28" s="1"/>
  <c r="U73" i="28"/>
  <c r="P23" i="28"/>
  <c r="T23" i="28" s="1"/>
  <c r="U23" i="28" s="1"/>
  <c r="P37" i="28"/>
  <c r="P40" i="28"/>
  <c r="U40" i="28" s="1"/>
  <c r="U74" i="28"/>
  <c r="P18" i="28"/>
  <c r="T18" i="28" s="1"/>
  <c r="U18" i="28" s="1"/>
  <c r="P108" i="28"/>
  <c r="U108" i="28" s="1"/>
  <c r="U112" i="28"/>
  <c r="P15" i="28"/>
  <c r="T15" i="28" s="1"/>
  <c r="P25" i="28"/>
  <c r="T25" i="28" s="1"/>
  <c r="U25" i="28" s="1"/>
  <c r="U113" i="28"/>
  <c r="P27" i="28"/>
  <c r="T27" i="28" s="1"/>
  <c r="U27" i="28" s="1"/>
  <c r="P38" i="28"/>
  <c r="U38" i="28" s="1"/>
  <c r="P41" i="28"/>
  <c r="U41" i="28" s="1"/>
  <c r="P17" i="28"/>
  <c r="T17" i="28" s="1"/>
  <c r="P22" i="28"/>
  <c r="T22" i="28" s="1"/>
  <c r="U22" i="28" s="1"/>
  <c r="P107" i="28"/>
  <c r="U107" i="28" s="1"/>
  <c r="P20" i="28"/>
  <c r="T20" i="28" s="1"/>
  <c r="U20" i="28" s="1"/>
  <c r="P99" i="28"/>
  <c r="U99" i="28" s="1"/>
  <c r="H78" i="78"/>
  <c r="I78" i="78" s="1"/>
  <c r="H80" i="78"/>
  <c r="I80" i="78" s="1"/>
  <c r="H85" i="78"/>
  <c r="I85" i="78" s="1"/>
  <c r="H79" i="78"/>
  <c r="I79" i="78" s="1"/>
  <c r="H82" i="78"/>
  <c r="H83" i="78"/>
  <c r="H70" i="45"/>
  <c r="I70" i="45" s="1"/>
  <c r="H72" i="45"/>
  <c r="I72" i="45" s="1"/>
  <c r="H77" i="45"/>
  <c r="I77" i="45" s="1"/>
  <c r="H68" i="45"/>
  <c r="I68" i="45" s="1"/>
  <c r="H71" i="45"/>
  <c r="I71" i="45" s="1"/>
  <c r="H76" i="45"/>
  <c r="I76" i="45" s="1"/>
  <c r="P27" i="50"/>
  <c r="T27" i="50" s="1"/>
  <c r="U27" i="50" s="1"/>
  <c r="P38" i="50"/>
  <c r="U38" i="50" s="1"/>
  <c r="P41" i="50"/>
  <c r="U41" i="50" s="1"/>
  <c r="P17" i="50"/>
  <c r="T17" i="50" s="1"/>
  <c r="P22" i="50"/>
  <c r="T22" i="50" s="1"/>
  <c r="U22" i="50" s="1"/>
  <c r="P107" i="50"/>
  <c r="U107" i="50" s="1"/>
  <c r="P99" i="50"/>
  <c r="U99" i="50" s="1"/>
  <c r="P14" i="50"/>
  <c r="T14" i="50" s="1"/>
  <c r="U14" i="50" s="1"/>
  <c r="P24" i="50"/>
  <c r="T24" i="50" s="1"/>
  <c r="U24" i="50" s="1"/>
  <c r="P19" i="50"/>
  <c r="T19" i="50" s="1"/>
  <c r="U19" i="50" s="1"/>
  <c r="P39" i="50"/>
  <c r="U39" i="50" s="1"/>
  <c r="P42" i="50"/>
  <c r="U42" i="50" s="1"/>
  <c r="P109" i="50"/>
  <c r="U109" i="50" s="1"/>
  <c r="P26" i="50"/>
  <c r="T26" i="50" s="1"/>
  <c r="U26" i="50" s="1"/>
  <c r="P16" i="50"/>
  <c r="T16" i="50" s="1"/>
  <c r="U16" i="50" s="1"/>
  <c r="P21" i="50"/>
  <c r="T21" i="50" s="1"/>
  <c r="U21" i="50" s="1"/>
  <c r="P13" i="50"/>
  <c r="P28" i="50"/>
  <c r="T28" i="50" s="1"/>
  <c r="U28" i="50" s="1"/>
  <c r="U73" i="50"/>
  <c r="P23" i="50"/>
  <c r="T23" i="50" s="1"/>
  <c r="U23" i="50" s="1"/>
  <c r="P37" i="50"/>
  <c r="P40" i="50"/>
  <c r="U40" i="50" s="1"/>
  <c r="U74" i="50"/>
  <c r="P18" i="50"/>
  <c r="T18" i="50" s="1"/>
  <c r="U18" i="50" s="1"/>
  <c r="P108" i="50"/>
  <c r="U108" i="50" s="1"/>
  <c r="U112" i="50"/>
  <c r="P20" i="50"/>
  <c r="T20" i="50" s="1"/>
  <c r="U20" i="50" s="1"/>
  <c r="P15" i="50"/>
  <c r="T15" i="50" s="1"/>
  <c r="U113" i="50"/>
  <c r="P25" i="50"/>
  <c r="T25" i="50" s="1"/>
  <c r="U25" i="50" s="1"/>
  <c r="H83" i="56"/>
  <c r="H82" i="56"/>
  <c r="H78" i="56"/>
  <c r="I78" i="56" s="1"/>
  <c r="H79" i="56"/>
  <c r="I79" i="56" s="1"/>
  <c r="H80" i="56"/>
  <c r="I80" i="56" s="1"/>
  <c r="H85" i="56"/>
  <c r="I85" i="56" s="1"/>
  <c r="H70" i="57"/>
  <c r="I70" i="57" s="1"/>
  <c r="H72" i="57"/>
  <c r="I72" i="57" s="1"/>
  <c r="H68" i="57"/>
  <c r="I68" i="57" s="1"/>
  <c r="H71" i="57"/>
  <c r="I71" i="57" s="1"/>
  <c r="H76" i="57"/>
  <c r="I76" i="57" s="1"/>
  <c r="H77" i="57"/>
  <c r="I77" i="57" s="1"/>
  <c r="H68" i="20"/>
  <c r="I68" i="20" s="1"/>
  <c r="H71" i="20"/>
  <c r="I71" i="20" s="1"/>
  <c r="H76" i="20"/>
  <c r="I76" i="20" s="1"/>
  <c r="H70" i="20"/>
  <c r="I70" i="20" s="1"/>
  <c r="H72" i="20"/>
  <c r="I72" i="20" s="1"/>
  <c r="H77" i="20"/>
  <c r="I77" i="20" s="1"/>
  <c r="H79" i="55"/>
  <c r="I79" i="55" s="1"/>
  <c r="H82" i="55"/>
  <c r="H83" i="55"/>
  <c r="H78" i="55"/>
  <c r="I78" i="55" s="1"/>
  <c r="H80" i="55"/>
  <c r="I80" i="55" s="1"/>
  <c r="H85" i="55"/>
  <c r="I85" i="55" s="1"/>
  <c r="C93" i="39"/>
  <c r="H90" i="39"/>
  <c r="I93" i="39" s="1"/>
  <c r="C93" i="57"/>
  <c r="H90" i="57"/>
  <c r="I93" i="57" s="1"/>
  <c r="C93" i="36"/>
  <c r="H90" i="36"/>
  <c r="I93" i="36" s="1"/>
  <c r="H79" i="7"/>
  <c r="I79" i="7" s="1"/>
  <c r="H83" i="7"/>
  <c r="I83" i="7" s="1"/>
  <c r="H80" i="7"/>
  <c r="I80" i="7" s="1"/>
  <c r="H78" i="7"/>
  <c r="I78" i="7" s="1"/>
  <c r="H85" i="7"/>
  <c r="I85" i="7" s="1"/>
  <c r="H82" i="7"/>
  <c r="H90" i="47"/>
  <c r="I93" i="47" s="1"/>
  <c r="C93" i="47"/>
  <c r="H85" i="52"/>
  <c r="I85" i="52" s="1"/>
  <c r="H79" i="52"/>
  <c r="I79" i="52" s="1"/>
  <c r="H82" i="52"/>
  <c r="H83" i="52"/>
  <c r="H80" i="52"/>
  <c r="I80" i="52" s="1"/>
  <c r="H78" i="52"/>
  <c r="I78" i="52" s="1"/>
  <c r="H77" i="28"/>
  <c r="I77" i="28" s="1"/>
  <c r="H68" i="28"/>
  <c r="I68" i="28" s="1"/>
  <c r="H71" i="28"/>
  <c r="I71" i="28" s="1"/>
  <c r="H76" i="28"/>
  <c r="I76" i="28" s="1"/>
  <c r="H70" i="28"/>
  <c r="I70" i="28" s="1"/>
  <c r="H72" i="28"/>
  <c r="I72" i="28" s="1"/>
  <c r="H77" i="17"/>
  <c r="I77" i="17" s="1"/>
  <c r="H72" i="17"/>
  <c r="I72" i="17" s="1"/>
  <c r="H68" i="17"/>
  <c r="I68" i="17" s="1"/>
  <c r="H76" i="17"/>
  <c r="I76" i="17" s="1"/>
  <c r="H70" i="17"/>
  <c r="I70" i="17" s="1"/>
  <c r="H71" i="17"/>
  <c r="I71" i="17" s="1"/>
  <c r="H83" i="27"/>
  <c r="H78" i="27"/>
  <c r="I78" i="27" s="1"/>
  <c r="H80" i="27"/>
  <c r="I80" i="27" s="1"/>
  <c r="H79" i="27"/>
  <c r="I79" i="27" s="1"/>
  <c r="H82" i="27"/>
  <c r="H85" i="27"/>
  <c r="I85" i="27" s="1"/>
  <c r="C93" i="17"/>
  <c r="H90" i="17"/>
  <c r="I93" i="17" s="1"/>
  <c r="H85" i="50"/>
  <c r="I85" i="50" s="1"/>
  <c r="H79" i="50"/>
  <c r="I79" i="50" s="1"/>
  <c r="H82" i="50"/>
  <c r="H83" i="50"/>
  <c r="H78" i="50"/>
  <c r="I78" i="50" s="1"/>
  <c r="H80" i="50"/>
  <c r="I80" i="50" s="1"/>
  <c r="H83" i="20"/>
  <c r="H78" i="20"/>
  <c r="I78" i="20" s="1"/>
  <c r="H80" i="20"/>
  <c r="I80" i="20" s="1"/>
  <c r="H85" i="20"/>
  <c r="I85" i="20" s="1"/>
  <c r="H79" i="20"/>
  <c r="I79" i="20" s="1"/>
  <c r="H82" i="20"/>
  <c r="H79" i="37"/>
  <c r="I79" i="37" s="1"/>
  <c r="H82" i="37"/>
  <c r="H83" i="37"/>
  <c r="H78" i="37"/>
  <c r="I78" i="37" s="1"/>
  <c r="H80" i="37"/>
  <c r="I80" i="37" s="1"/>
  <c r="H85" i="37"/>
  <c r="I85" i="37" s="1"/>
  <c r="H78" i="47"/>
  <c r="I78" i="47" s="1"/>
  <c r="H80" i="47"/>
  <c r="I80" i="47" s="1"/>
  <c r="H85" i="47"/>
  <c r="I85" i="47" s="1"/>
  <c r="H79" i="47"/>
  <c r="I79" i="47" s="1"/>
  <c r="H82" i="47"/>
  <c r="H83" i="47"/>
  <c r="H70" i="43"/>
  <c r="I70" i="43" s="1"/>
  <c r="H72" i="43"/>
  <c r="I72" i="43" s="1"/>
  <c r="H77" i="43"/>
  <c r="I77" i="43" s="1"/>
  <c r="H68" i="43"/>
  <c r="I68" i="43" s="1"/>
  <c r="H71" i="43"/>
  <c r="I71" i="43" s="1"/>
  <c r="H76" i="43"/>
  <c r="I76" i="43" s="1"/>
  <c r="P17" i="37"/>
  <c r="T17" i="37" s="1"/>
  <c r="P22" i="37"/>
  <c r="T22" i="37" s="1"/>
  <c r="U22" i="37" s="1"/>
  <c r="P107" i="37"/>
  <c r="U107" i="37" s="1"/>
  <c r="P14" i="37"/>
  <c r="T14" i="37" s="1"/>
  <c r="U14" i="37" s="1"/>
  <c r="P24" i="37"/>
  <c r="T24" i="37" s="1"/>
  <c r="U24" i="37" s="1"/>
  <c r="P19" i="37"/>
  <c r="T19" i="37" s="1"/>
  <c r="U19" i="37" s="1"/>
  <c r="P39" i="37"/>
  <c r="U39" i="37" s="1"/>
  <c r="P42" i="37"/>
  <c r="U42" i="37" s="1"/>
  <c r="P109" i="37"/>
  <c r="U109" i="37" s="1"/>
  <c r="P26" i="37"/>
  <c r="T26" i="37" s="1"/>
  <c r="U26" i="37" s="1"/>
  <c r="P16" i="37"/>
  <c r="T16" i="37" s="1"/>
  <c r="U16" i="37" s="1"/>
  <c r="P21" i="37"/>
  <c r="T21" i="37" s="1"/>
  <c r="U21" i="37" s="1"/>
  <c r="P13" i="37"/>
  <c r="P28" i="37"/>
  <c r="T28" i="37" s="1"/>
  <c r="U28" i="37" s="1"/>
  <c r="P23" i="37"/>
  <c r="T23" i="37" s="1"/>
  <c r="U23" i="37" s="1"/>
  <c r="P37" i="37"/>
  <c r="P40" i="37"/>
  <c r="U40" i="37" s="1"/>
  <c r="U74" i="37"/>
  <c r="P18" i="37"/>
  <c r="T18" i="37" s="1"/>
  <c r="U18" i="37" s="1"/>
  <c r="P15" i="37"/>
  <c r="T15" i="37" s="1"/>
  <c r="P25" i="37"/>
  <c r="T25" i="37" s="1"/>
  <c r="U25" i="37" s="1"/>
  <c r="U113" i="37"/>
  <c r="U73" i="37"/>
  <c r="P20" i="37"/>
  <c r="T20" i="37" s="1"/>
  <c r="U20" i="37" s="1"/>
  <c r="P38" i="37"/>
  <c r="U38" i="37" s="1"/>
  <c r="P108" i="37"/>
  <c r="U108" i="37" s="1"/>
  <c r="P99" i="37"/>
  <c r="U99" i="37" s="1"/>
  <c r="P41" i="37"/>
  <c r="U41" i="37" s="1"/>
  <c r="P27" i="37"/>
  <c r="T27" i="37" s="1"/>
  <c r="U27" i="37" s="1"/>
  <c r="U112" i="37"/>
  <c r="P16" i="47"/>
  <c r="T16" i="47" s="1"/>
  <c r="U16" i="47" s="1"/>
  <c r="P21" i="47"/>
  <c r="T21" i="47" s="1"/>
  <c r="U21" i="47" s="1"/>
  <c r="P13" i="47"/>
  <c r="P28" i="47"/>
  <c r="T28" i="47" s="1"/>
  <c r="U28" i="47" s="1"/>
  <c r="P23" i="47"/>
  <c r="T23" i="47" s="1"/>
  <c r="U23" i="47" s="1"/>
  <c r="P18" i="47"/>
  <c r="T18" i="47" s="1"/>
  <c r="U18" i="47" s="1"/>
  <c r="P14" i="47"/>
  <c r="T14" i="47" s="1"/>
  <c r="U14" i="47" s="1"/>
  <c r="U113" i="47"/>
  <c r="P38" i="47"/>
  <c r="U38" i="47" s="1"/>
  <c r="P42" i="47"/>
  <c r="U42" i="47" s="1"/>
  <c r="P107" i="47"/>
  <c r="U107" i="47" s="1"/>
  <c r="P26" i="47"/>
  <c r="T26" i="47" s="1"/>
  <c r="U26" i="47" s="1"/>
  <c r="P99" i="47"/>
  <c r="U99" i="47" s="1"/>
  <c r="P24" i="47"/>
  <c r="T24" i="47" s="1"/>
  <c r="U24" i="47" s="1"/>
  <c r="P19" i="47"/>
  <c r="T19" i="47" s="1"/>
  <c r="U19" i="47" s="1"/>
  <c r="P39" i="47"/>
  <c r="U39" i="47" s="1"/>
  <c r="P109" i="47"/>
  <c r="U109" i="47" s="1"/>
  <c r="P22" i="47"/>
  <c r="T22" i="47" s="1"/>
  <c r="U22" i="47" s="1"/>
  <c r="P27" i="47"/>
  <c r="T27" i="47" s="1"/>
  <c r="U27" i="47" s="1"/>
  <c r="P40" i="47"/>
  <c r="U40" i="47" s="1"/>
  <c r="P17" i="47"/>
  <c r="T17" i="47" s="1"/>
  <c r="P25" i="47"/>
  <c r="T25" i="47" s="1"/>
  <c r="U25" i="47" s="1"/>
  <c r="U73" i="47"/>
  <c r="P20" i="47"/>
  <c r="T20" i="47" s="1"/>
  <c r="U20" i="47" s="1"/>
  <c r="P15" i="47"/>
  <c r="T15" i="47" s="1"/>
  <c r="P41" i="47"/>
  <c r="U41" i="47" s="1"/>
  <c r="U74" i="47"/>
  <c r="P108" i="47"/>
  <c r="U108" i="47" s="1"/>
  <c r="U112" i="47"/>
  <c r="P37" i="47"/>
  <c r="P13" i="39"/>
  <c r="P28" i="39"/>
  <c r="T28" i="39" s="1"/>
  <c r="U28" i="39" s="1"/>
  <c r="U73" i="39"/>
  <c r="P23" i="39"/>
  <c r="T23" i="39" s="1"/>
  <c r="U23" i="39" s="1"/>
  <c r="P37" i="39"/>
  <c r="P40" i="39"/>
  <c r="U40" i="39" s="1"/>
  <c r="U74" i="39"/>
  <c r="P18" i="39"/>
  <c r="T18" i="39" s="1"/>
  <c r="U18" i="39" s="1"/>
  <c r="P108" i="39"/>
  <c r="U108" i="39" s="1"/>
  <c r="U112" i="39"/>
  <c r="P15" i="39"/>
  <c r="T15" i="39" s="1"/>
  <c r="P25" i="39"/>
  <c r="T25" i="39" s="1"/>
  <c r="U25" i="39" s="1"/>
  <c r="U113" i="39"/>
  <c r="P20" i="39"/>
  <c r="T20" i="39" s="1"/>
  <c r="U20" i="39" s="1"/>
  <c r="P27" i="39"/>
  <c r="T27" i="39" s="1"/>
  <c r="U27" i="39" s="1"/>
  <c r="P38" i="39"/>
  <c r="U38" i="39" s="1"/>
  <c r="P41" i="39"/>
  <c r="U41" i="39" s="1"/>
  <c r="P17" i="39"/>
  <c r="T17" i="39" s="1"/>
  <c r="P22" i="39"/>
  <c r="T22" i="39" s="1"/>
  <c r="U22" i="39" s="1"/>
  <c r="P107" i="39"/>
  <c r="U107" i="39" s="1"/>
  <c r="P99" i="39"/>
  <c r="U99" i="39" s="1"/>
  <c r="P14" i="39"/>
  <c r="T14" i="39" s="1"/>
  <c r="U14" i="39" s="1"/>
  <c r="P24" i="39"/>
  <c r="T24" i="39" s="1"/>
  <c r="U24" i="39" s="1"/>
  <c r="P19" i="39"/>
  <c r="T19" i="39" s="1"/>
  <c r="U19" i="39" s="1"/>
  <c r="P39" i="39"/>
  <c r="U39" i="39" s="1"/>
  <c r="P42" i="39"/>
  <c r="U42" i="39" s="1"/>
  <c r="P109" i="39"/>
  <c r="U109" i="39" s="1"/>
  <c r="P26" i="39"/>
  <c r="T26" i="39" s="1"/>
  <c r="U26" i="39" s="1"/>
  <c r="P21" i="39"/>
  <c r="T21" i="39" s="1"/>
  <c r="U21" i="39" s="1"/>
  <c r="P16" i="39"/>
  <c r="T16" i="39" s="1"/>
  <c r="U16" i="39" s="1"/>
  <c r="H78" i="51"/>
  <c r="I78" i="51" s="1"/>
  <c r="H80" i="51"/>
  <c r="I80" i="51" s="1"/>
  <c r="H85" i="51"/>
  <c r="I85" i="51" s="1"/>
  <c r="H79" i="51"/>
  <c r="I79" i="51" s="1"/>
  <c r="H82" i="51"/>
  <c r="H83" i="51"/>
  <c r="P19" i="44"/>
  <c r="T19" i="44" s="1"/>
  <c r="U19" i="44" s="1"/>
  <c r="P39" i="44"/>
  <c r="U39" i="44" s="1"/>
  <c r="P42" i="44"/>
  <c r="U42" i="44" s="1"/>
  <c r="P26" i="44"/>
  <c r="T26" i="44" s="1"/>
  <c r="U26" i="44" s="1"/>
  <c r="P16" i="44"/>
  <c r="T16" i="44" s="1"/>
  <c r="U16" i="44" s="1"/>
  <c r="P21" i="44"/>
  <c r="T21" i="44" s="1"/>
  <c r="U21" i="44" s="1"/>
  <c r="P13" i="44"/>
  <c r="P23" i="44"/>
  <c r="T23" i="44" s="1"/>
  <c r="U23" i="44" s="1"/>
  <c r="P37" i="44"/>
  <c r="P40" i="44"/>
  <c r="U40" i="44" s="1"/>
  <c r="U74" i="44"/>
  <c r="P18" i="44"/>
  <c r="T18" i="44" s="1"/>
  <c r="U18" i="44" s="1"/>
  <c r="P20" i="44"/>
  <c r="T20" i="44" s="1"/>
  <c r="U20" i="44" s="1"/>
  <c r="U113" i="44"/>
  <c r="P25" i="44"/>
  <c r="T25" i="44" s="1"/>
  <c r="U25" i="44" s="1"/>
  <c r="P22" i="44"/>
  <c r="T22" i="44" s="1"/>
  <c r="U22" i="44" s="1"/>
  <c r="P28" i="44"/>
  <c r="T28" i="44" s="1"/>
  <c r="U28" i="44" s="1"/>
  <c r="P107" i="44"/>
  <c r="U107" i="44" s="1"/>
  <c r="P99" i="44"/>
  <c r="U99" i="44" s="1"/>
  <c r="P17" i="44"/>
  <c r="T17" i="44" s="1"/>
  <c r="P41" i="44"/>
  <c r="U41" i="44" s="1"/>
  <c r="P109" i="44"/>
  <c r="U109" i="44" s="1"/>
  <c r="P15" i="44"/>
  <c r="T15" i="44" s="1"/>
  <c r="P38" i="44"/>
  <c r="U38" i="44" s="1"/>
  <c r="P27" i="44"/>
  <c r="T27" i="44" s="1"/>
  <c r="U27" i="44" s="1"/>
  <c r="U73" i="44"/>
  <c r="P108" i="44"/>
  <c r="U108" i="44" s="1"/>
  <c r="P24" i="44"/>
  <c r="T24" i="44" s="1"/>
  <c r="U24" i="44" s="1"/>
  <c r="P14" i="44"/>
  <c r="T14" i="44" s="1"/>
  <c r="U14" i="44" s="1"/>
  <c r="U112" i="44"/>
  <c r="P19" i="42"/>
  <c r="T19" i="42" s="1"/>
  <c r="U19" i="42" s="1"/>
  <c r="P39" i="42"/>
  <c r="U39" i="42" s="1"/>
  <c r="P42" i="42"/>
  <c r="U42" i="42" s="1"/>
  <c r="P109" i="42"/>
  <c r="U109" i="42" s="1"/>
  <c r="P26" i="42"/>
  <c r="T26" i="42" s="1"/>
  <c r="U26" i="42" s="1"/>
  <c r="P16" i="42"/>
  <c r="T16" i="42" s="1"/>
  <c r="U16" i="42" s="1"/>
  <c r="P21" i="42"/>
  <c r="T21" i="42" s="1"/>
  <c r="U21" i="42" s="1"/>
  <c r="P13" i="42"/>
  <c r="P28" i="42"/>
  <c r="T28" i="42" s="1"/>
  <c r="U28" i="42" s="1"/>
  <c r="U73" i="42"/>
  <c r="P18" i="42"/>
  <c r="T18" i="42" s="1"/>
  <c r="U18" i="42" s="1"/>
  <c r="P108" i="42"/>
  <c r="U108" i="42" s="1"/>
  <c r="U112" i="42"/>
  <c r="P15" i="42"/>
  <c r="T15" i="42" s="1"/>
  <c r="P25" i="42"/>
  <c r="T25" i="42" s="1"/>
  <c r="U25" i="42" s="1"/>
  <c r="U113" i="42"/>
  <c r="P20" i="42"/>
  <c r="T20" i="42" s="1"/>
  <c r="U20" i="42" s="1"/>
  <c r="P99" i="42"/>
  <c r="U99" i="42" s="1"/>
  <c r="P14" i="42"/>
  <c r="T14" i="42" s="1"/>
  <c r="U14" i="42" s="1"/>
  <c r="P17" i="42"/>
  <c r="T17" i="42" s="1"/>
  <c r="P40" i="42"/>
  <c r="U40" i="42" s="1"/>
  <c r="P107" i="42"/>
  <c r="U107" i="42" s="1"/>
  <c r="P41" i="42"/>
  <c r="U41" i="42" s="1"/>
  <c r="P22" i="42"/>
  <c r="T22" i="42" s="1"/>
  <c r="U22" i="42" s="1"/>
  <c r="U74" i="42"/>
  <c r="P23" i="42"/>
  <c r="T23" i="42" s="1"/>
  <c r="U23" i="42" s="1"/>
  <c r="P37" i="42"/>
  <c r="P27" i="42"/>
  <c r="T27" i="42" s="1"/>
  <c r="U27" i="42" s="1"/>
  <c r="P38" i="42"/>
  <c r="U38" i="42" s="1"/>
  <c r="P24" i="42"/>
  <c r="T24" i="42" s="1"/>
  <c r="U24" i="42" s="1"/>
  <c r="H70" i="69"/>
  <c r="I70" i="69" s="1"/>
  <c r="H72" i="69"/>
  <c r="I72" i="69" s="1"/>
  <c r="H77" i="69"/>
  <c r="I77" i="69" s="1"/>
  <c r="H76" i="69"/>
  <c r="I76" i="69" s="1"/>
  <c r="H71" i="69"/>
  <c r="I71" i="69" s="1"/>
  <c r="H68" i="69"/>
  <c r="I68" i="69" s="1"/>
  <c r="H90" i="75"/>
  <c r="I93" i="75" s="1"/>
  <c r="C93" i="75"/>
  <c r="P20" i="17"/>
  <c r="T20" i="17" s="1"/>
  <c r="U20" i="17" s="1"/>
  <c r="P27" i="17"/>
  <c r="T27" i="17" s="1"/>
  <c r="U27" i="17" s="1"/>
  <c r="P38" i="17"/>
  <c r="U38" i="17" s="1"/>
  <c r="P41" i="17"/>
  <c r="U41" i="17" s="1"/>
  <c r="P17" i="17"/>
  <c r="T17" i="17" s="1"/>
  <c r="P22" i="17"/>
  <c r="T22" i="17" s="1"/>
  <c r="U22" i="17" s="1"/>
  <c r="P14" i="17"/>
  <c r="T14" i="17" s="1"/>
  <c r="U14" i="17" s="1"/>
  <c r="P24" i="17"/>
  <c r="T24" i="17" s="1"/>
  <c r="U24" i="17" s="1"/>
  <c r="P19" i="17"/>
  <c r="T19" i="17" s="1"/>
  <c r="U19" i="17" s="1"/>
  <c r="P39" i="17"/>
  <c r="U39" i="17" s="1"/>
  <c r="P42" i="17"/>
  <c r="U42" i="17" s="1"/>
  <c r="P109" i="17"/>
  <c r="U109" i="17" s="1"/>
  <c r="P16" i="17"/>
  <c r="T16" i="17" s="1"/>
  <c r="U16" i="17" s="1"/>
  <c r="P21" i="17"/>
  <c r="T21" i="17" s="1"/>
  <c r="U21" i="17" s="1"/>
  <c r="P18" i="17"/>
  <c r="T18" i="17" s="1"/>
  <c r="U18" i="17" s="1"/>
  <c r="P108" i="17"/>
  <c r="U108" i="17" s="1"/>
  <c r="U112" i="17"/>
  <c r="P23" i="17"/>
  <c r="T23" i="17" s="1"/>
  <c r="U23" i="17" s="1"/>
  <c r="P13" i="17"/>
  <c r="P37" i="17"/>
  <c r="P107" i="17"/>
  <c r="U107" i="17" s="1"/>
  <c r="U113" i="17"/>
  <c r="U73" i="17"/>
  <c r="U74" i="17"/>
  <c r="P28" i="17"/>
  <c r="T28" i="17" s="1"/>
  <c r="U28" i="17" s="1"/>
  <c r="P40" i="17"/>
  <c r="U40" i="17" s="1"/>
  <c r="P25" i="17"/>
  <c r="T25" i="17" s="1"/>
  <c r="U25" i="17" s="1"/>
  <c r="P99" i="17"/>
  <c r="U99" i="17" s="1"/>
  <c r="P15" i="17"/>
  <c r="T15" i="17" s="1"/>
  <c r="P26" i="17"/>
  <c r="T26" i="17" s="1"/>
  <c r="U26" i="17" s="1"/>
  <c r="C93" i="27"/>
  <c r="H90" i="27"/>
  <c r="I93" i="27" s="1"/>
  <c r="P17" i="45"/>
  <c r="T17" i="45" s="1"/>
  <c r="P22" i="45"/>
  <c r="T22" i="45" s="1"/>
  <c r="U22" i="45" s="1"/>
  <c r="P107" i="45"/>
  <c r="U107" i="45" s="1"/>
  <c r="P99" i="45"/>
  <c r="U99" i="45" s="1"/>
  <c r="P14" i="45"/>
  <c r="T14" i="45" s="1"/>
  <c r="U14" i="45" s="1"/>
  <c r="P24" i="45"/>
  <c r="T24" i="45" s="1"/>
  <c r="U24" i="45" s="1"/>
  <c r="P19" i="45"/>
  <c r="T19" i="45" s="1"/>
  <c r="U19" i="45" s="1"/>
  <c r="P39" i="45"/>
  <c r="U39" i="45" s="1"/>
  <c r="P42" i="45"/>
  <c r="U42" i="45" s="1"/>
  <c r="P109" i="45"/>
  <c r="U109" i="45" s="1"/>
  <c r="P26" i="45"/>
  <c r="T26" i="45" s="1"/>
  <c r="U26" i="45" s="1"/>
  <c r="P16" i="45"/>
  <c r="T16" i="45" s="1"/>
  <c r="U16" i="45" s="1"/>
  <c r="P21" i="45"/>
  <c r="T21" i="45" s="1"/>
  <c r="U21" i="45" s="1"/>
  <c r="P13" i="45"/>
  <c r="P28" i="45"/>
  <c r="T28" i="45" s="1"/>
  <c r="U28" i="45" s="1"/>
  <c r="U73" i="45"/>
  <c r="P23" i="45"/>
  <c r="T23" i="45" s="1"/>
  <c r="U23" i="45" s="1"/>
  <c r="P37" i="45"/>
  <c r="P40" i="45"/>
  <c r="U40" i="45" s="1"/>
  <c r="U74" i="45"/>
  <c r="P15" i="45"/>
  <c r="T15" i="45" s="1"/>
  <c r="P25" i="45"/>
  <c r="T25" i="45" s="1"/>
  <c r="U25" i="45" s="1"/>
  <c r="U113" i="45"/>
  <c r="P38" i="45"/>
  <c r="U38" i="45" s="1"/>
  <c r="P108" i="45"/>
  <c r="U108" i="45" s="1"/>
  <c r="P18" i="45"/>
  <c r="T18" i="45" s="1"/>
  <c r="U18" i="45" s="1"/>
  <c r="P27" i="45"/>
  <c r="T27" i="45" s="1"/>
  <c r="U27" i="45" s="1"/>
  <c r="P41" i="45"/>
  <c r="U41" i="45" s="1"/>
  <c r="U112" i="45"/>
  <c r="P20" i="45"/>
  <c r="T20" i="45" s="1"/>
  <c r="U20" i="45" s="1"/>
  <c r="H90" i="66"/>
  <c r="I93" i="66" s="1"/>
  <c r="C93" i="66"/>
  <c r="P13" i="40"/>
  <c r="P23" i="40"/>
  <c r="T23" i="40" s="1"/>
  <c r="U23" i="40" s="1"/>
  <c r="P17" i="40"/>
  <c r="T17" i="40" s="1"/>
  <c r="P22" i="40"/>
  <c r="T22" i="40" s="1"/>
  <c r="U22" i="40" s="1"/>
  <c r="P16" i="40"/>
  <c r="T16" i="40" s="1"/>
  <c r="U16" i="40" s="1"/>
  <c r="P39" i="40"/>
  <c r="U39" i="40" s="1"/>
  <c r="P42" i="40"/>
  <c r="U42" i="40" s="1"/>
  <c r="P109" i="40"/>
  <c r="U109" i="40" s="1"/>
  <c r="P19" i="40"/>
  <c r="T19" i="40" s="1"/>
  <c r="U19" i="40" s="1"/>
  <c r="P26" i="40"/>
  <c r="T26" i="40" s="1"/>
  <c r="U26" i="40" s="1"/>
  <c r="P14" i="40"/>
  <c r="T14" i="40" s="1"/>
  <c r="U14" i="40" s="1"/>
  <c r="P28" i="40"/>
  <c r="T28" i="40" s="1"/>
  <c r="U28" i="40" s="1"/>
  <c r="U73" i="40"/>
  <c r="P37" i="40"/>
  <c r="P40" i="40"/>
  <c r="U40" i="40" s="1"/>
  <c r="U74" i="40"/>
  <c r="P108" i="40"/>
  <c r="U108" i="40" s="1"/>
  <c r="U112" i="40"/>
  <c r="P20" i="40"/>
  <c r="T20" i="40" s="1"/>
  <c r="U20" i="40" s="1"/>
  <c r="P25" i="40"/>
  <c r="T25" i="40" s="1"/>
  <c r="U25" i="40" s="1"/>
  <c r="U113" i="40"/>
  <c r="P15" i="40"/>
  <c r="T15" i="40" s="1"/>
  <c r="P18" i="40"/>
  <c r="T18" i="40" s="1"/>
  <c r="U18" i="40" s="1"/>
  <c r="P27" i="40"/>
  <c r="T27" i="40" s="1"/>
  <c r="U27" i="40" s="1"/>
  <c r="P38" i="40"/>
  <c r="U38" i="40" s="1"/>
  <c r="P41" i="40"/>
  <c r="U41" i="40" s="1"/>
  <c r="P21" i="40"/>
  <c r="T21" i="40" s="1"/>
  <c r="U21" i="40" s="1"/>
  <c r="P107" i="40"/>
  <c r="U107" i="40" s="1"/>
  <c r="P99" i="40"/>
  <c r="U99" i="40" s="1"/>
  <c r="P24" i="40"/>
  <c r="T24" i="40" s="1"/>
  <c r="U24" i="40" s="1"/>
  <c r="H90" i="26"/>
  <c r="I93" i="26" s="1"/>
  <c r="C93" i="26"/>
  <c r="H68" i="39"/>
  <c r="I68" i="39" s="1"/>
  <c r="H71" i="39"/>
  <c r="I71" i="39" s="1"/>
  <c r="H76" i="39"/>
  <c r="I76" i="39" s="1"/>
  <c r="H70" i="39"/>
  <c r="I70" i="39" s="1"/>
  <c r="H72" i="39"/>
  <c r="I72" i="39" s="1"/>
  <c r="H77" i="39"/>
  <c r="I77" i="39" s="1"/>
  <c r="H77" i="42"/>
  <c r="I77" i="42" s="1"/>
  <c r="H76" i="42"/>
  <c r="I76" i="42" s="1"/>
  <c r="H70" i="42"/>
  <c r="I70" i="42" s="1"/>
  <c r="H72" i="42"/>
  <c r="I72" i="42" s="1"/>
  <c r="H71" i="42"/>
  <c r="I71" i="42" s="1"/>
  <c r="H68" i="42"/>
  <c r="I68" i="42" s="1"/>
  <c r="H70" i="31"/>
  <c r="I70" i="31" s="1"/>
  <c r="H72" i="31"/>
  <c r="I72" i="31" s="1"/>
  <c r="H77" i="31"/>
  <c r="I77" i="31" s="1"/>
  <c r="H68" i="31"/>
  <c r="I68" i="31" s="1"/>
  <c r="H71" i="31"/>
  <c r="I71" i="31" s="1"/>
  <c r="H76" i="31"/>
  <c r="I76" i="31" s="1"/>
  <c r="H79" i="17"/>
  <c r="I79" i="17" s="1"/>
  <c r="H82" i="17"/>
  <c r="H80" i="17"/>
  <c r="I80" i="17" s="1"/>
  <c r="H78" i="17"/>
  <c r="I78" i="17" s="1"/>
  <c r="H83" i="17"/>
  <c r="H85" i="17"/>
  <c r="I85" i="17" s="1"/>
  <c r="C93" i="25"/>
  <c r="H90" i="25"/>
  <c r="I93" i="25" s="1"/>
  <c r="I29" i="66"/>
  <c r="I45" i="66" s="1"/>
  <c r="H77" i="40"/>
  <c r="I77" i="40" s="1"/>
  <c r="H68" i="40"/>
  <c r="I68" i="40" s="1"/>
  <c r="H71" i="40"/>
  <c r="I71" i="40" s="1"/>
  <c r="H76" i="40"/>
  <c r="I76" i="40" s="1"/>
  <c r="H70" i="40"/>
  <c r="I70" i="40" s="1"/>
  <c r="H72" i="40"/>
  <c r="I72" i="40" s="1"/>
  <c r="P14" i="21"/>
  <c r="T14" i="21" s="1"/>
  <c r="U14" i="21" s="1"/>
  <c r="P24" i="21"/>
  <c r="T24" i="21" s="1"/>
  <c r="U24" i="21" s="1"/>
  <c r="P19" i="21"/>
  <c r="T19" i="21" s="1"/>
  <c r="U19" i="21" s="1"/>
  <c r="P39" i="21"/>
  <c r="U39" i="21" s="1"/>
  <c r="P42" i="21"/>
  <c r="U42" i="21" s="1"/>
  <c r="P109" i="21"/>
  <c r="U109" i="21" s="1"/>
  <c r="P26" i="21"/>
  <c r="T26" i="21" s="1"/>
  <c r="U26" i="21" s="1"/>
  <c r="P16" i="21"/>
  <c r="T16" i="21" s="1"/>
  <c r="U16" i="21" s="1"/>
  <c r="P21" i="21"/>
  <c r="T21" i="21" s="1"/>
  <c r="U21" i="21" s="1"/>
  <c r="P13" i="21"/>
  <c r="P28" i="21"/>
  <c r="T28" i="21" s="1"/>
  <c r="U28" i="21" s="1"/>
  <c r="U73" i="21"/>
  <c r="P23" i="21"/>
  <c r="T23" i="21" s="1"/>
  <c r="U23" i="21" s="1"/>
  <c r="P37" i="21"/>
  <c r="P40" i="21"/>
  <c r="U40" i="21" s="1"/>
  <c r="U74" i="21"/>
  <c r="P15" i="21"/>
  <c r="T15" i="21" s="1"/>
  <c r="P25" i="21"/>
  <c r="T25" i="21" s="1"/>
  <c r="U25" i="21" s="1"/>
  <c r="U113" i="21"/>
  <c r="P20" i="21"/>
  <c r="T20" i="21" s="1"/>
  <c r="U20" i="21" s="1"/>
  <c r="P27" i="21"/>
  <c r="T27" i="21" s="1"/>
  <c r="U27" i="21" s="1"/>
  <c r="P38" i="21"/>
  <c r="U38" i="21" s="1"/>
  <c r="P41" i="21"/>
  <c r="U41" i="21" s="1"/>
  <c r="P17" i="21"/>
  <c r="T17" i="21" s="1"/>
  <c r="P22" i="21"/>
  <c r="T22" i="21" s="1"/>
  <c r="U22" i="21" s="1"/>
  <c r="P107" i="21"/>
  <c r="U107" i="21" s="1"/>
  <c r="P108" i="21"/>
  <c r="U108" i="21" s="1"/>
  <c r="U112" i="21"/>
  <c r="P99" i="21"/>
  <c r="U99" i="21" s="1"/>
  <c r="P18" i="21"/>
  <c r="T18" i="21" s="1"/>
  <c r="U18" i="21" s="1"/>
  <c r="C93" i="20"/>
  <c r="H90" i="20"/>
  <c r="I93" i="20" s="1"/>
  <c r="P14" i="68"/>
  <c r="T14" i="68" s="1"/>
  <c r="U14" i="68" s="1"/>
  <c r="P26" i="68"/>
  <c r="T26" i="68" s="1"/>
  <c r="U26" i="68" s="1"/>
  <c r="P16" i="68"/>
  <c r="T16" i="68" s="1"/>
  <c r="U16" i="68" s="1"/>
  <c r="P23" i="68"/>
  <c r="T23" i="68" s="1"/>
  <c r="U23" i="68" s="1"/>
  <c r="P15" i="68"/>
  <c r="T15" i="68" s="1"/>
  <c r="P19" i="68"/>
  <c r="T19" i="68" s="1"/>
  <c r="U19" i="68" s="1"/>
  <c r="P22" i="68"/>
  <c r="T22" i="68" s="1"/>
  <c r="U22" i="68" s="1"/>
  <c r="P24" i="68"/>
  <c r="T24" i="68" s="1"/>
  <c r="U24" i="68" s="1"/>
  <c r="P28" i="68"/>
  <c r="T28" i="68" s="1"/>
  <c r="U28" i="68" s="1"/>
  <c r="U73" i="68"/>
  <c r="P17" i="68"/>
  <c r="T17" i="68" s="1"/>
  <c r="P37" i="68"/>
  <c r="P40" i="68"/>
  <c r="U40" i="68" s="1"/>
  <c r="U74" i="68"/>
  <c r="P20" i="68"/>
  <c r="T20" i="68" s="1"/>
  <c r="U20" i="68" s="1"/>
  <c r="P108" i="68"/>
  <c r="U108" i="68" s="1"/>
  <c r="U112" i="68"/>
  <c r="U113" i="68"/>
  <c r="P18" i="68"/>
  <c r="T18" i="68" s="1"/>
  <c r="U18" i="68" s="1"/>
  <c r="P107" i="68"/>
  <c r="U107" i="68" s="1"/>
  <c r="P42" i="68"/>
  <c r="U42" i="68" s="1"/>
  <c r="P25" i="68"/>
  <c r="T25" i="68" s="1"/>
  <c r="U25" i="68" s="1"/>
  <c r="P21" i="68"/>
  <c r="T21" i="68" s="1"/>
  <c r="U21" i="68" s="1"/>
  <c r="P99" i="68"/>
  <c r="U99" i="68" s="1"/>
  <c r="P38" i="68"/>
  <c r="U38" i="68" s="1"/>
  <c r="P109" i="68"/>
  <c r="U109" i="68" s="1"/>
  <c r="P27" i="68"/>
  <c r="T27" i="68" s="1"/>
  <c r="U27" i="68" s="1"/>
  <c r="P39" i="68"/>
  <c r="U39" i="68" s="1"/>
  <c r="P13" i="68"/>
  <c r="P41" i="68"/>
  <c r="U41" i="68" s="1"/>
  <c r="H77" i="21"/>
  <c r="I77" i="21" s="1"/>
  <c r="H68" i="21"/>
  <c r="I68" i="21" s="1"/>
  <c r="H71" i="21"/>
  <c r="I71" i="21" s="1"/>
  <c r="H76" i="21"/>
  <c r="I76" i="21" s="1"/>
  <c r="H70" i="21"/>
  <c r="I70" i="21" s="1"/>
  <c r="H72" i="21"/>
  <c r="I72" i="21" s="1"/>
  <c r="H90" i="18"/>
  <c r="I93" i="18" s="1"/>
  <c r="C93" i="18"/>
  <c r="H76" i="38"/>
  <c r="I76" i="38" s="1"/>
  <c r="H70" i="38"/>
  <c r="I70" i="38" s="1"/>
  <c r="H72" i="38"/>
  <c r="I72" i="38" s="1"/>
  <c r="H77" i="38"/>
  <c r="I77" i="38" s="1"/>
  <c r="H68" i="38"/>
  <c r="I68" i="38" s="1"/>
  <c r="H71" i="38"/>
  <c r="I71" i="38" s="1"/>
  <c r="T13" i="34"/>
  <c r="P29" i="34"/>
  <c r="P62" i="34" s="1"/>
  <c r="T63" i="34" s="1"/>
  <c r="H79" i="40"/>
  <c r="I79" i="40" s="1"/>
  <c r="H82" i="40"/>
  <c r="H83" i="40"/>
  <c r="H78" i="40"/>
  <c r="I78" i="40" s="1"/>
  <c r="H80" i="40"/>
  <c r="I80" i="40" s="1"/>
  <c r="H85" i="40"/>
  <c r="I85" i="40" s="1"/>
  <c r="P17" i="43"/>
  <c r="T17" i="43" s="1"/>
  <c r="P22" i="43"/>
  <c r="T22" i="43" s="1"/>
  <c r="U22" i="43" s="1"/>
  <c r="P107" i="43"/>
  <c r="U107" i="43" s="1"/>
  <c r="P99" i="43"/>
  <c r="U99" i="43" s="1"/>
  <c r="P14" i="43"/>
  <c r="T14" i="43" s="1"/>
  <c r="U14" i="43" s="1"/>
  <c r="P24" i="43"/>
  <c r="T24" i="43" s="1"/>
  <c r="U24" i="43" s="1"/>
  <c r="P19" i="43"/>
  <c r="T19" i="43" s="1"/>
  <c r="U19" i="43" s="1"/>
  <c r="P39" i="43"/>
  <c r="U39" i="43" s="1"/>
  <c r="P42" i="43"/>
  <c r="U42" i="43" s="1"/>
  <c r="P109" i="43"/>
  <c r="U109" i="43" s="1"/>
  <c r="P26" i="43"/>
  <c r="T26" i="43" s="1"/>
  <c r="U26" i="43" s="1"/>
  <c r="P16" i="43"/>
  <c r="T16" i="43" s="1"/>
  <c r="U16" i="43" s="1"/>
  <c r="P21" i="43"/>
  <c r="T21" i="43" s="1"/>
  <c r="U21" i="43" s="1"/>
  <c r="P13" i="43"/>
  <c r="P28" i="43"/>
  <c r="T28" i="43" s="1"/>
  <c r="U28" i="43" s="1"/>
  <c r="U73" i="43"/>
  <c r="P23" i="43"/>
  <c r="T23" i="43" s="1"/>
  <c r="U23" i="43" s="1"/>
  <c r="P37" i="43"/>
  <c r="P40" i="43"/>
  <c r="U40" i="43" s="1"/>
  <c r="U74" i="43"/>
  <c r="P20" i="43"/>
  <c r="T20" i="43" s="1"/>
  <c r="U20" i="43" s="1"/>
  <c r="P15" i="43"/>
  <c r="T15" i="43" s="1"/>
  <c r="P41" i="43"/>
  <c r="U41" i="43" s="1"/>
  <c r="U112" i="43"/>
  <c r="U113" i="43"/>
  <c r="P25" i="43"/>
  <c r="T25" i="43" s="1"/>
  <c r="U25" i="43" s="1"/>
  <c r="P38" i="43"/>
  <c r="U38" i="43" s="1"/>
  <c r="P108" i="43"/>
  <c r="U108" i="43" s="1"/>
  <c r="P18" i="43"/>
  <c r="T18" i="43" s="1"/>
  <c r="U18" i="43" s="1"/>
  <c r="P27" i="43"/>
  <c r="T27" i="43" s="1"/>
  <c r="U27" i="43" s="1"/>
  <c r="I29" i="26"/>
  <c r="I45" i="26" s="1"/>
  <c r="C62" i="60"/>
  <c r="H63" i="60" s="1"/>
  <c r="E31" i="60"/>
  <c r="P29" i="52"/>
  <c r="P62" i="52" s="1"/>
  <c r="T63" i="52" s="1"/>
  <c r="T13" i="52"/>
  <c r="U110" i="52"/>
  <c r="P20" i="69"/>
  <c r="T20" i="69" s="1"/>
  <c r="U20" i="69" s="1"/>
  <c r="P27" i="69"/>
  <c r="T27" i="69" s="1"/>
  <c r="U27" i="69" s="1"/>
  <c r="P38" i="69"/>
  <c r="U38" i="69" s="1"/>
  <c r="P41" i="69"/>
  <c r="U41" i="69" s="1"/>
  <c r="P17" i="69"/>
  <c r="T17" i="69" s="1"/>
  <c r="P22" i="69"/>
  <c r="T22" i="69" s="1"/>
  <c r="U22" i="69" s="1"/>
  <c r="P107" i="69"/>
  <c r="U107" i="69" s="1"/>
  <c r="P99" i="69"/>
  <c r="U99" i="69" s="1"/>
  <c r="P14" i="69"/>
  <c r="T14" i="69" s="1"/>
  <c r="U14" i="69" s="1"/>
  <c r="P24" i="69"/>
  <c r="T24" i="69" s="1"/>
  <c r="U24" i="69" s="1"/>
  <c r="P19" i="69"/>
  <c r="T19" i="69" s="1"/>
  <c r="U19" i="69" s="1"/>
  <c r="P39" i="69"/>
  <c r="U39" i="69" s="1"/>
  <c r="P42" i="69"/>
  <c r="U42" i="69" s="1"/>
  <c r="P109" i="69"/>
  <c r="U109" i="69" s="1"/>
  <c r="P16" i="69"/>
  <c r="T16" i="69" s="1"/>
  <c r="U16" i="69" s="1"/>
  <c r="P21" i="69"/>
  <c r="T21" i="69" s="1"/>
  <c r="U21" i="69" s="1"/>
  <c r="P13" i="69"/>
  <c r="P28" i="69"/>
  <c r="T28" i="69" s="1"/>
  <c r="U28" i="69" s="1"/>
  <c r="U73" i="69"/>
  <c r="P23" i="69"/>
  <c r="T23" i="69" s="1"/>
  <c r="U23" i="69" s="1"/>
  <c r="P37" i="69"/>
  <c r="P40" i="69"/>
  <c r="U40" i="69" s="1"/>
  <c r="U112" i="69"/>
  <c r="U74" i="69"/>
  <c r="U113" i="69"/>
  <c r="P18" i="69"/>
  <c r="T18" i="69" s="1"/>
  <c r="U18" i="69" s="1"/>
  <c r="P25" i="69"/>
  <c r="T25" i="69" s="1"/>
  <c r="U25" i="69" s="1"/>
  <c r="P108" i="69"/>
  <c r="U108" i="69" s="1"/>
  <c r="P26" i="69"/>
  <c r="T26" i="69" s="1"/>
  <c r="U26" i="69" s="1"/>
  <c r="P15" i="69"/>
  <c r="T15" i="69" s="1"/>
  <c r="H83" i="75"/>
  <c r="H78" i="75"/>
  <c r="I78" i="75" s="1"/>
  <c r="H80" i="75"/>
  <c r="I80" i="75" s="1"/>
  <c r="H85" i="75"/>
  <c r="I85" i="75" s="1"/>
  <c r="H79" i="75"/>
  <c r="I79" i="75" s="1"/>
  <c r="H82" i="75"/>
  <c r="H76" i="66"/>
  <c r="I76" i="66" s="1"/>
  <c r="H70" i="66"/>
  <c r="I70" i="66" s="1"/>
  <c r="H72" i="66"/>
  <c r="I72" i="66" s="1"/>
  <c r="H68" i="66"/>
  <c r="I68" i="66" s="1"/>
  <c r="H77" i="66"/>
  <c r="I77" i="66" s="1"/>
  <c r="H71" i="66"/>
  <c r="I71" i="66" s="1"/>
  <c r="P19" i="55"/>
  <c r="T19" i="55" s="1"/>
  <c r="U19" i="55" s="1"/>
  <c r="P39" i="55"/>
  <c r="U39" i="55" s="1"/>
  <c r="P42" i="55"/>
  <c r="U42" i="55" s="1"/>
  <c r="P109" i="55"/>
  <c r="U109" i="55" s="1"/>
  <c r="P26" i="55"/>
  <c r="T26" i="55" s="1"/>
  <c r="U26" i="55" s="1"/>
  <c r="P16" i="55"/>
  <c r="T16" i="55" s="1"/>
  <c r="U16" i="55" s="1"/>
  <c r="P21" i="55"/>
  <c r="T21" i="55" s="1"/>
  <c r="U21" i="55" s="1"/>
  <c r="P13" i="55"/>
  <c r="P28" i="55"/>
  <c r="T28" i="55" s="1"/>
  <c r="U28" i="55" s="1"/>
  <c r="U73" i="55"/>
  <c r="P23" i="55"/>
  <c r="T23" i="55" s="1"/>
  <c r="U23" i="55" s="1"/>
  <c r="P37" i="55"/>
  <c r="P40" i="55"/>
  <c r="U40" i="55" s="1"/>
  <c r="U74" i="55"/>
  <c r="P18" i="55"/>
  <c r="T18" i="55" s="1"/>
  <c r="U18" i="55" s="1"/>
  <c r="P108" i="55"/>
  <c r="U108" i="55" s="1"/>
  <c r="U112" i="55"/>
  <c r="P15" i="55"/>
  <c r="T15" i="55" s="1"/>
  <c r="P25" i="55"/>
  <c r="T25" i="55" s="1"/>
  <c r="U25" i="55" s="1"/>
  <c r="U113" i="55"/>
  <c r="P20" i="55"/>
  <c r="T20" i="55" s="1"/>
  <c r="U20" i="55" s="1"/>
  <c r="P27" i="55"/>
  <c r="T27" i="55" s="1"/>
  <c r="U27" i="55" s="1"/>
  <c r="P38" i="55"/>
  <c r="U38" i="55" s="1"/>
  <c r="P41" i="55"/>
  <c r="U41" i="55" s="1"/>
  <c r="P99" i="55"/>
  <c r="U99" i="55" s="1"/>
  <c r="P22" i="55"/>
  <c r="T22" i="55" s="1"/>
  <c r="U22" i="55" s="1"/>
  <c r="P107" i="55"/>
  <c r="U107" i="55" s="1"/>
  <c r="P17" i="55"/>
  <c r="T17" i="55" s="1"/>
  <c r="P24" i="55"/>
  <c r="T24" i="55" s="1"/>
  <c r="U24" i="55" s="1"/>
  <c r="P14" i="55"/>
  <c r="T14" i="55" s="1"/>
  <c r="U14" i="55" s="1"/>
  <c r="H78" i="66"/>
  <c r="I78" i="66" s="1"/>
  <c r="H80" i="66"/>
  <c r="I80" i="66" s="1"/>
  <c r="H85" i="66"/>
  <c r="I85" i="66" s="1"/>
  <c r="H79" i="66"/>
  <c r="I79" i="66" s="1"/>
  <c r="H82" i="66"/>
  <c r="H83" i="66"/>
  <c r="H68" i="68"/>
  <c r="I68" i="68" s="1"/>
  <c r="H71" i="68"/>
  <c r="I71" i="68" s="1"/>
  <c r="H76" i="68"/>
  <c r="I76" i="68" s="1"/>
  <c r="H77" i="68"/>
  <c r="I77" i="68" s="1"/>
  <c r="H72" i="68"/>
  <c r="I72" i="68" s="1"/>
  <c r="H70" i="68"/>
  <c r="I70" i="68" s="1"/>
  <c r="H78" i="18"/>
  <c r="I78" i="18" s="1"/>
  <c r="H80" i="18"/>
  <c r="I80" i="18" s="1"/>
  <c r="H79" i="18"/>
  <c r="I79" i="18" s="1"/>
  <c r="H82" i="18"/>
  <c r="H83" i="18"/>
  <c r="I83" i="18" s="1"/>
  <c r="I84" i="18" s="1"/>
  <c r="H85" i="18"/>
  <c r="I85" i="18" s="1"/>
  <c r="H77" i="22"/>
  <c r="I77" i="22" s="1"/>
  <c r="H76" i="22"/>
  <c r="I76" i="22" s="1"/>
  <c r="H71" i="22"/>
  <c r="I71" i="22" s="1"/>
  <c r="H68" i="22"/>
  <c r="I68" i="22" s="1"/>
  <c r="H72" i="22"/>
  <c r="I72" i="22" s="1"/>
  <c r="H70" i="22"/>
  <c r="I70" i="22" s="1"/>
  <c r="P99" i="67"/>
  <c r="U99" i="67" s="1"/>
  <c r="P14" i="67"/>
  <c r="T14" i="67" s="1"/>
  <c r="U14" i="67" s="1"/>
  <c r="P19" i="67"/>
  <c r="T19" i="67" s="1"/>
  <c r="U19" i="67" s="1"/>
  <c r="P39" i="67"/>
  <c r="U39" i="67" s="1"/>
  <c r="P42" i="67"/>
  <c r="U42" i="67" s="1"/>
  <c r="P109" i="67"/>
  <c r="U109" i="67" s="1"/>
  <c r="P28" i="67"/>
  <c r="T28" i="67" s="1"/>
  <c r="U28" i="67" s="1"/>
  <c r="P16" i="67"/>
  <c r="T16" i="67" s="1"/>
  <c r="U16" i="67" s="1"/>
  <c r="P18" i="67"/>
  <c r="T18" i="67" s="1"/>
  <c r="U18" i="67" s="1"/>
  <c r="U112" i="67"/>
  <c r="P38" i="67"/>
  <c r="U38" i="67" s="1"/>
  <c r="U113" i="67"/>
  <c r="P108" i="67"/>
  <c r="U108" i="67" s="1"/>
  <c r="P23" i="67"/>
  <c r="T23" i="67" s="1"/>
  <c r="U23" i="67" s="1"/>
  <c r="P25" i="67"/>
  <c r="T25" i="67" s="1"/>
  <c r="U25" i="67" s="1"/>
  <c r="U73" i="67"/>
  <c r="P15" i="67"/>
  <c r="T15" i="67" s="1"/>
  <c r="P17" i="67"/>
  <c r="T17" i="67" s="1"/>
  <c r="P40" i="67"/>
  <c r="U40" i="67" s="1"/>
  <c r="P107" i="67"/>
  <c r="U107" i="67" s="1"/>
  <c r="P13" i="67"/>
  <c r="P41" i="67"/>
  <c r="U41" i="67" s="1"/>
  <c r="P24" i="67"/>
  <c r="T24" i="67" s="1"/>
  <c r="U24" i="67" s="1"/>
  <c r="P20" i="67"/>
  <c r="T20" i="67" s="1"/>
  <c r="U20" i="67" s="1"/>
  <c r="P21" i="67"/>
  <c r="T21" i="67" s="1"/>
  <c r="U21" i="67" s="1"/>
  <c r="U74" i="67"/>
  <c r="P26" i="67"/>
  <c r="T26" i="67" s="1"/>
  <c r="U26" i="67" s="1"/>
  <c r="P37" i="67"/>
  <c r="P22" i="67"/>
  <c r="T22" i="67" s="1"/>
  <c r="U22" i="67" s="1"/>
  <c r="P27" i="67"/>
  <c r="T27" i="67" s="1"/>
  <c r="U27" i="67" s="1"/>
  <c r="H78" i="26"/>
  <c r="I78" i="26" s="1"/>
  <c r="H80" i="26"/>
  <c r="I80" i="26" s="1"/>
  <c r="H85" i="26"/>
  <c r="I85" i="26" s="1"/>
  <c r="H79" i="26"/>
  <c r="I79" i="26" s="1"/>
  <c r="H82" i="26"/>
  <c r="H83" i="26"/>
  <c r="H79" i="28"/>
  <c r="I79" i="28" s="1"/>
  <c r="H82" i="28"/>
  <c r="H83" i="28"/>
  <c r="H78" i="28"/>
  <c r="I78" i="28" s="1"/>
  <c r="H80" i="28"/>
  <c r="I80" i="28" s="1"/>
  <c r="H85" i="28"/>
  <c r="I85" i="28" s="1"/>
  <c r="P16" i="27"/>
  <c r="T16" i="27" s="1"/>
  <c r="U16" i="27" s="1"/>
  <c r="P21" i="27"/>
  <c r="T21" i="27" s="1"/>
  <c r="U21" i="27" s="1"/>
  <c r="P13" i="27"/>
  <c r="P28" i="27"/>
  <c r="T28" i="27" s="1"/>
  <c r="U28" i="27" s="1"/>
  <c r="U73" i="27"/>
  <c r="P23" i="27"/>
  <c r="T23" i="27" s="1"/>
  <c r="U23" i="27" s="1"/>
  <c r="P37" i="27"/>
  <c r="P40" i="27"/>
  <c r="U40" i="27" s="1"/>
  <c r="U74" i="27"/>
  <c r="P18" i="27"/>
  <c r="T18" i="27" s="1"/>
  <c r="U18" i="27" s="1"/>
  <c r="P108" i="27"/>
  <c r="U108" i="27" s="1"/>
  <c r="U112" i="27"/>
  <c r="P15" i="27"/>
  <c r="T15" i="27" s="1"/>
  <c r="P25" i="27"/>
  <c r="T25" i="27" s="1"/>
  <c r="U25" i="27" s="1"/>
  <c r="U113" i="27"/>
  <c r="P20" i="27"/>
  <c r="T20" i="27" s="1"/>
  <c r="U20" i="27" s="1"/>
  <c r="P27" i="27"/>
  <c r="T27" i="27" s="1"/>
  <c r="U27" i="27" s="1"/>
  <c r="P38" i="27"/>
  <c r="U38" i="27" s="1"/>
  <c r="P41" i="27"/>
  <c r="U41" i="27" s="1"/>
  <c r="P17" i="27"/>
  <c r="T17" i="27" s="1"/>
  <c r="P22" i="27"/>
  <c r="T22" i="27" s="1"/>
  <c r="U22" i="27" s="1"/>
  <c r="P107" i="27"/>
  <c r="U107" i="27" s="1"/>
  <c r="P14" i="27"/>
  <c r="T14" i="27" s="1"/>
  <c r="U14" i="27" s="1"/>
  <c r="P24" i="27"/>
  <c r="T24" i="27" s="1"/>
  <c r="U24" i="27" s="1"/>
  <c r="P19" i="27"/>
  <c r="T19" i="27" s="1"/>
  <c r="U19" i="27" s="1"/>
  <c r="P39" i="27"/>
  <c r="U39" i="27" s="1"/>
  <c r="P42" i="27"/>
  <c r="U42" i="27" s="1"/>
  <c r="P109" i="27"/>
  <c r="U109" i="27" s="1"/>
  <c r="P99" i="27"/>
  <c r="U99" i="27" s="1"/>
  <c r="P26" i="27"/>
  <c r="T26" i="27" s="1"/>
  <c r="U26" i="27" s="1"/>
  <c r="C93" i="48"/>
  <c r="P14" i="51"/>
  <c r="T14" i="51" s="1"/>
  <c r="U14" i="51" s="1"/>
  <c r="P24" i="51"/>
  <c r="T24" i="51" s="1"/>
  <c r="U24" i="51" s="1"/>
  <c r="P26" i="51"/>
  <c r="T26" i="51" s="1"/>
  <c r="U26" i="51" s="1"/>
  <c r="P13" i="51"/>
  <c r="P28" i="51"/>
  <c r="T28" i="51" s="1"/>
  <c r="U28" i="51" s="1"/>
  <c r="P23" i="51"/>
  <c r="T23" i="51" s="1"/>
  <c r="U23" i="51" s="1"/>
  <c r="P37" i="51"/>
  <c r="P40" i="51"/>
  <c r="U40" i="51" s="1"/>
  <c r="P108" i="51"/>
  <c r="U108" i="51" s="1"/>
  <c r="U112" i="51"/>
  <c r="U113" i="51"/>
  <c r="P16" i="51"/>
  <c r="T16" i="51" s="1"/>
  <c r="U16" i="51" s="1"/>
  <c r="P21" i="51"/>
  <c r="T21" i="51" s="1"/>
  <c r="U21" i="51" s="1"/>
  <c r="P41" i="51"/>
  <c r="U41" i="51" s="1"/>
  <c r="P19" i="51"/>
  <c r="T19" i="51" s="1"/>
  <c r="U19" i="51" s="1"/>
  <c r="P107" i="51"/>
  <c r="U107" i="51" s="1"/>
  <c r="P42" i="51"/>
  <c r="U42" i="51" s="1"/>
  <c r="P99" i="51"/>
  <c r="U99" i="51" s="1"/>
  <c r="P27" i="51"/>
  <c r="T27" i="51" s="1"/>
  <c r="U27" i="51" s="1"/>
  <c r="P17" i="51"/>
  <c r="T17" i="51" s="1"/>
  <c r="P22" i="51"/>
  <c r="T22" i="51" s="1"/>
  <c r="U22" i="51" s="1"/>
  <c r="P109" i="51"/>
  <c r="U109" i="51" s="1"/>
  <c r="P15" i="51"/>
  <c r="T15" i="51" s="1"/>
  <c r="P25" i="51"/>
  <c r="T25" i="51" s="1"/>
  <c r="U25" i="51" s="1"/>
  <c r="P38" i="51"/>
  <c r="U38" i="51" s="1"/>
  <c r="P20" i="51"/>
  <c r="T20" i="51" s="1"/>
  <c r="U20" i="51" s="1"/>
  <c r="U73" i="51"/>
  <c r="U74" i="51"/>
  <c r="P18" i="51"/>
  <c r="T18" i="51" s="1"/>
  <c r="U18" i="51" s="1"/>
  <c r="P39" i="51"/>
  <c r="U39" i="51" s="1"/>
  <c r="H76" i="23"/>
  <c r="I76" i="23" s="1"/>
  <c r="H70" i="23"/>
  <c r="I70" i="23" s="1"/>
  <c r="H72" i="23"/>
  <c r="I72" i="23" s="1"/>
  <c r="H77" i="23"/>
  <c r="I77" i="23" s="1"/>
  <c r="H68" i="23"/>
  <c r="I68" i="23" s="1"/>
  <c r="H71" i="23"/>
  <c r="I71" i="23" s="1"/>
  <c r="C93" i="42"/>
  <c r="H90" i="42"/>
  <c r="I93" i="42" s="1"/>
  <c r="P17" i="31"/>
  <c r="T17" i="31" s="1"/>
  <c r="P22" i="31"/>
  <c r="T22" i="31" s="1"/>
  <c r="U22" i="31" s="1"/>
  <c r="P19" i="31"/>
  <c r="T19" i="31" s="1"/>
  <c r="U19" i="31" s="1"/>
  <c r="P26" i="31"/>
  <c r="T26" i="31" s="1"/>
  <c r="U26" i="31" s="1"/>
  <c r="P16" i="31"/>
  <c r="T16" i="31" s="1"/>
  <c r="U16" i="31" s="1"/>
  <c r="P21" i="31"/>
  <c r="T21" i="31" s="1"/>
  <c r="U21" i="31" s="1"/>
  <c r="P15" i="31"/>
  <c r="T15" i="31" s="1"/>
  <c r="P25" i="31"/>
  <c r="T25" i="31" s="1"/>
  <c r="U25" i="31" s="1"/>
  <c r="P18" i="31"/>
  <c r="T18" i="31" s="1"/>
  <c r="U18" i="31" s="1"/>
  <c r="P24" i="31"/>
  <c r="T24" i="31" s="1"/>
  <c r="U24" i="31" s="1"/>
  <c r="P27" i="31"/>
  <c r="T27" i="31" s="1"/>
  <c r="U27" i="31" s="1"/>
  <c r="P107" i="31"/>
  <c r="U107" i="31" s="1"/>
  <c r="P13" i="31"/>
  <c r="P99" i="31"/>
  <c r="U99" i="31" s="1"/>
  <c r="P39" i="31"/>
  <c r="U39" i="31" s="1"/>
  <c r="P42" i="31"/>
  <c r="U42" i="31" s="1"/>
  <c r="P109" i="31"/>
  <c r="U109" i="31" s="1"/>
  <c r="U73" i="31"/>
  <c r="P14" i="31"/>
  <c r="T14" i="31" s="1"/>
  <c r="U14" i="31" s="1"/>
  <c r="P28" i="31"/>
  <c r="T28" i="31" s="1"/>
  <c r="U28" i="31" s="1"/>
  <c r="P37" i="31"/>
  <c r="P40" i="31"/>
  <c r="U40" i="31" s="1"/>
  <c r="U74" i="31"/>
  <c r="P20" i="31"/>
  <c r="T20" i="31" s="1"/>
  <c r="U20" i="31" s="1"/>
  <c r="P23" i="31"/>
  <c r="T23" i="31" s="1"/>
  <c r="U23" i="31" s="1"/>
  <c r="P108" i="31"/>
  <c r="U108" i="31" s="1"/>
  <c r="U112" i="31"/>
  <c r="U113" i="31"/>
  <c r="P38" i="31"/>
  <c r="U38" i="31" s="1"/>
  <c r="P41" i="31"/>
  <c r="U41" i="31" s="1"/>
  <c r="H70" i="25"/>
  <c r="I70" i="25" s="1"/>
  <c r="H72" i="25"/>
  <c r="I72" i="25" s="1"/>
  <c r="H77" i="25"/>
  <c r="I77" i="25" s="1"/>
  <c r="H68" i="25"/>
  <c r="I68" i="25" s="1"/>
  <c r="H71" i="25"/>
  <c r="I71" i="25" s="1"/>
  <c r="H76" i="25"/>
  <c r="I76" i="25" s="1"/>
  <c r="P15" i="66"/>
  <c r="T15" i="66" s="1"/>
  <c r="P25" i="66"/>
  <c r="T25" i="66" s="1"/>
  <c r="U25" i="66" s="1"/>
  <c r="U113" i="66"/>
  <c r="P27" i="66"/>
  <c r="T27" i="66" s="1"/>
  <c r="U27" i="66" s="1"/>
  <c r="P38" i="66"/>
  <c r="U38" i="66" s="1"/>
  <c r="P41" i="66"/>
  <c r="U41" i="66" s="1"/>
  <c r="P17" i="66"/>
  <c r="T17" i="66" s="1"/>
  <c r="P22" i="66"/>
  <c r="T22" i="66" s="1"/>
  <c r="U22" i="66" s="1"/>
  <c r="P107" i="66"/>
  <c r="U107" i="66" s="1"/>
  <c r="P99" i="66"/>
  <c r="U99" i="66" s="1"/>
  <c r="P14" i="66"/>
  <c r="T14" i="66" s="1"/>
  <c r="U14" i="66" s="1"/>
  <c r="P24" i="66"/>
  <c r="T24" i="66" s="1"/>
  <c r="U24" i="66" s="1"/>
  <c r="P26" i="66"/>
  <c r="T26" i="66" s="1"/>
  <c r="U26" i="66" s="1"/>
  <c r="P16" i="66"/>
  <c r="T16" i="66" s="1"/>
  <c r="U16" i="66" s="1"/>
  <c r="P21" i="66"/>
  <c r="T21" i="66" s="1"/>
  <c r="U21" i="66" s="1"/>
  <c r="P13" i="66"/>
  <c r="P28" i="66"/>
  <c r="T28" i="66" s="1"/>
  <c r="U28" i="66" s="1"/>
  <c r="U73" i="66"/>
  <c r="P18" i="66"/>
  <c r="T18" i="66" s="1"/>
  <c r="U18" i="66" s="1"/>
  <c r="U74" i="66"/>
  <c r="P19" i="66"/>
  <c r="T19" i="66" s="1"/>
  <c r="U19" i="66" s="1"/>
  <c r="P23" i="66"/>
  <c r="T23" i="66" s="1"/>
  <c r="U23" i="66" s="1"/>
  <c r="P39" i="66"/>
  <c r="U39" i="66" s="1"/>
  <c r="P40" i="66"/>
  <c r="U40" i="66" s="1"/>
  <c r="P20" i="66"/>
  <c r="T20" i="66" s="1"/>
  <c r="U20" i="66" s="1"/>
  <c r="P108" i="66"/>
  <c r="U108" i="66" s="1"/>
  <c r="P42" i="66"/>
  <c r="U42" i="66" s="1"/>
  <c r="P109" i="66"/>
  <c r="U109" i="66" s="1"/>
  <c r="U112" i="66"/>
  <c r="P37" i="66"/>
  <c r="H77" i="55"/>
  <c r="I77" i="55" s="1"/>
  <c r="H68" i="55"/>
  <c r="I68" i="55" s="1"/>
  <c r="H71" i="55"/>
  <c r="I71" i="55" s="1"/>
  <c r="H76" i="55"/>
  <c r="I76" i="55" s="1"/>
  <c r="H70" i="55"/>
  <c r="I70" i="55" s="1"/>
  <c r="H72" i="55"/>
  <c r="I72" i="55" s="1"/>
  <c r="H85" i="25"/>
  <c r="I85" i="25" s="1"/>
  <c r="H79" i="25"/>
  <c r="I79" i="25" s="1"/>
  <c r="H82" i="25"/>
  <c r="H83" i="25"/>
  <c r="H78" i="25"/>
  <c r="I78" i="25" s="1"/>
  <c r="H80" i="25"/>
  <c r="I80" i="25" s="1"/>
  <c r="H90" i="58"/>
  <c r="I93" i="58" s="1"/>
  <c r="C93" i="58"/>
  <c r="C93" i="55"/>
  <c r="H90" i="55"/>
  <c r="I93" i="55" s="1"/>
  <c r="H77" i="58"/>
  <c r="I77" i="58" s="1"/>
  <c r="H76" i="58"/>
  <c r="I76" i="58" s="1"/>
  <c r="H70" i="58"/>
  <c r="I70" i="58" s="1"/>
  <c r="H71" i="58"/>
  <c r="I71" i="58" s="1"/>
  <c r="H68" i="58"/>
  <c r="I68" i="58" s="1"/>
  <c r="H72" i="58"/>
  <c r="I72" i="58" s="1"/>
  <c r="P17" i="58"/>
  <c r="T17" i="58" s="1"/>
  <c r="P22" i="58"/>
  <c r="T22" i="58" s="1"/>
  <c r="U22" i="58" s="1"/>
  <c r="P107" i="58"/>
  <c r="U107" i="58" s="1"/>
  <c r="P14" i="58"/>
  <c r="T14" i="58" s="1"/>
  <c r="U14" i="58" s="1"/>
  <c r="P24" i="58"/>
  <c r="T24" i="58" s="1"/>
  <c r="U24" i="58" s="1"/>
  <c r="P19" i="58"/>
  <c r="T19" i="58" s="1"/>
  <c r="U19" i="58" s="1"/>
  <c r="P39" i="58"/>
  <c r="U39" i="58" s="1"/>
  <c r="P42" i="58"/>
  <c r="U42" i="58" s="1"/>
  <c r="P109" i="58"/>
  <c r="U109" i="58" s="1"/>
  <c r="P26" i="58"/>
  <c r="T26" i="58" s="1"/>
  <c r="U26" i="58" s="1"/>
  <c r="P16" i="58"/>
  <c r="T16" i="58" s="1"/>
  <c r="U16" i="58" s="1"/>
  <c r="P21" i="58"/>
  <c r="T21" i="58" s="1"/>
  <c r="U21" i="58" s="1"/>
  <c r="P18" i="58"/>
  <c r="T18" i="58" s="1"/>
  <c r="U18" i="58" s="1"/>
  <c r="P108" i="58"/>
  <c r="U108" i="58" s="1"/>
  <c r="U112" i="58"/>
  <c r="P15" i="58"/>
  <c r="T15" i="58" s="1"/>
  <c r="P25" i="58"/>
  <c r="T25" i="58" s="1"/>
  <c r="U25" i="58" s="1"/>
  <c r="P28" i="58"/>
  <c r="T28" i="58" s="1"/>
  <c r="U28" i="58" s="1"/>
  <c r="P40" i="58"/>
  <c r="U40" i="58" s="1"/>
  <c r="U73" i="58"/>
  <c r="U74" i="58"/>
  <c r="P99" i="58"/>
  <c r="U99" i="58" s="1"/>
  <c r="U113" i="58"/>
  <c r="P41" i="58"/>
  <c r="U41" i="58" s="1"/>
  <c r="P13" i="58"/>
  <c r="P37" i="58"/>
  <c r="P20" i="58"/>
  <c r="T20" i="58" s="1"/>
  <c r="U20" i="58" s="1"/>
  <c r="P23" i="58"/>
  <c r="T23" i="58" s="1"/>
  <c r="U23" i="58" s="1"/>
  <c r="P27" i="58"/>
  <c r="T27" i="58" s="1"/>
  <c r="U27" i="58" s="1"/>
  <c r="P38" i="58"/>
  <c r="U38" i="58" s="1"/>
  <c r="I14" i="60"/>
  <c r="I29" i="18"/>
  <c r="I45" i="18" s="1"/>
  <c r="H90" i="32"/>
  <c r="C93" i="32"/>
  <c r="P15" i="38"/>
  <c r="T15" i="38" s="1"/>
  <c r="P25" i="38"/>
  <c r="T25" i="38" s="1"/>
  <c r="U25" i="38" s="1"/>
  <c r="U113" i="38"/>
  <c r="P27" i="38"/>
  <c r="T27" i="38" s="1"/>
  <c r="U27" i="38" s="1"/>
  <c r="P38" i="38"/>
  <c r="U38" i="38" s="1"/>
  <c r="P41" i="38"/>
  <c r="U41" i="38" s="1"/>
  <c r="P17" i="38"/>
  <c r="T17" i="38" s="1"/>
  <c r="P22" i="38"/>
  <c r="T22" i="38" s="1"/>
  <c r="U22" i="38" s="1"/>
  <c r="P107" i="38"/>
  <c r="U107" i="38" s="1"/>
  <c r="P99" i="38"/>
  <c r="U99" i="38" s="1"/>
  <c r="P14" i="38"/>
  <c r="T14" i="38" s="1"/>
  <c r="U14" i="38" s="1"/>
  <c r="P24" i="38"/>
  <c r="T24" i="38" s="1"/>
  <c r="U24" i="38" s="1"/>
  <c r="P19" i="38"/>
  <c r="T19" i="38" s="1"/>
  <c r="U19" i="38" s="1"/>
  <c r="P39" i="38"/>
  <c r="U39" i="38" s="1"/>
  <c r="P42" i="38"/>
  <c r="U42" i="38" s="1"/>
  <c r="P109" i="38"/>
  <c r="U109" i="38" s="1"/>
  <c r="P26" i="38"/>
  <c r="T26" i="38" s="1"/>
  <c r="U26" i="38" s="1"/>
  <c r="P16" i="38"/>
  <c r="T16" i="38" s="1"/>
  <c r="U16" i="38" s="1"/>
  <c r="P21" i="38"/>
  <c r="T21" i="38" s="1"/>
  <c r="U21" i="38" s="1"/>
  <c r="P13" i="38"/>
  <c r="P28" i="38"/>
  <c r="T28" i="38" s="1"/>
  <c r="U28" i="38" s="1"/>
  <c r="U73" i="38"/>
  <c r="P23" i="38"/>
  <c r="T23" i="38" s="1"/>
  <c r="U23" i="38" s="1"/>
  <c r="P37" i="38"/>
  <c r="P40" i="38"/>
  <c r="U40" i="38" s="1"/>
  <c r="U74" i="38"/>
  <c r="P20" i="38"/>
  <c r="T20" i="38" s="1"/>
  <c r="U20" i="38" s="1"/>
  <c r="U112" i="38"/>
  <c r="P18" i="38"/>
  <c r="T18" i="38" s="1"/>
  <c r="U18" i="38" s="1"/>
  <c r="P108" i="38"/>
  <c r="U108" i="38" s="1"/>
  <c r="H70" i="67"/>
  <c r="I70" i="67" s="1"/>
  <c r="H72" i="67"/>
  <c r="I72" i="67" s="1"/>
  <c r="H77" i="67"/>
  <c r="I77" i="67" s="1"/>
  <c r="H71" i="67"/>
  <c r="I71" i="67" s="1"/>
  <c r="H76" i="67"/>
  <c r="I76" i="67" s="1"/>
  <c r="H68" i="67"/>
  <c r="I68" i="67" s="1"/>
  <c r="H70" i="77"/>
  <c r="I70" i="77" s="1"/>
  <c r="H72" i="77"/>
  <c r="I72" i="77" s="1"/>
  <c r="H77" i="77"/>
  <c r="I77" i="77" s="1"/>
  <c r="H68" i="77"/>
  <c r="I68" i="77" s="1"/>
  <c r="H71" i="77"/>
  <c r="I71" i="77" s="1"/>
  <c r="H76" i="77"/>
  <c r="I76" i="77" s="1"/>
  <c r="I13" i="60"/>
  <c r="H76" i="26"/>
  <c r="I76" i="26" s="1"/>
  <c r="H70" i="26"/>
  <c r="I70" i="26" s="1"/>
  <c r="H72" i="26"/>
  <c r="I72" i="26" s="1"/>
  <c r="H77" i="26"/>
  <c r="I77" i="26" s="1"/>
  <c r="H68" i="26"/>
  <c r="I68" i="26" s="1"/>
  <c r="H71" i="26"/>
  <c r="I71" i="26" s="1"/>
  <c r="C93" i="40"/>
  <c r="P14" i="16"/>
  <c r="T14" i="16" s="1"/>
  <c r="U14" i="16" s="1"/>
  <c r="P16" i="16"/>
  <c r="T16" i="16" s="1"/>
  <c r="U16" i="16" s="1"/>
  <c r="P18" i="16"/>
  <c r="T18" i="16" s="1"/>
  <c r="U18" i="16" s="1"/>
  <c r="P13" i="16"/>
  <c r="P28" i="16"/>
  <c r="T28" i="16" s="1"/>
  <c r="U28" i="16" s="1"/>
  <c r="U73" i="16"/>
  <c r="P23" i="16"/>
  <c r="T23" i="16" s="1"/>
  <c r="U23" i="16" s="1"/>
  <c r="P37" i="16"/>
  <c r="P40" i="16"/>
  <c r="U40" i="16" s="1"/>
  <c r="U74" i="16"/>
  <c r="P108" i="16"/>
  <c r="U108" i="16" s="1"/>
  <c r="U112" i="16"/>
  <c r="P25" i="16"/>
  <c r="T25" i="16" s="1"/>
  <c r="U25" i="16" s="1"/>
  <c r="U113" i="16"/>
  <c r="P20" i="16"/>
  <c r="T20" i="16" s="1"/>
  <c r="U20" i="16" s="1"/>
  <c r="P27" i="16"/>
  <c r="T27" i="16" s="1"/>
  <c r="U27" i="16" s="1"/>
  <c r="P38" i="16"/>
  <c r="U38" i="16" s="1"/>
  <c r="P41" i="16"/>
  <c r="U41" i="16" s="1"/>
  <c r="P22" i="16"/>
  <c r="T22" i="16" s="1"/>
  <c r="U22" i="16" s="1"/>
  <c r="P107" i="16"/>
  <c r="U107" i="16" s="1"/>
  <c r="P99" i="16"/>
  <c r="U99" i="16" s="1"/>
  <c r="P24" i="16"/>
  <c r="T24" i="16" s="1"/>
  <c r="U24" i="16" s="1"/>
  <c r="P15" i="16"/>
  <c r="T15" i="16" s="1"/>
  <c r="P19" i="16"/>
  <c r="T19" i="16" s="1"/>
  <c r="U19" i="16" s="1"/>
  <c r="P26" i="16"/>
  <c r="T26" i="16" s="1"/>
  <c r="U26" i="16" s="1"/>
  <c r="P109" i="16"/>
  <c r="U109" i="16" s="1"/>
  <c r="P39" i="16"/>
  <c r="U39" i="16" s="1"/>
  <c r="P17" i="16"/>
  <c r="T17" i="16" s="1"/>
  <c r="P21" i="16"/>
  <c r="T21" i="16" s="1"/>
  <c r="U21" i="16" s="1"/>
  <c r="P42" i="16"/>
  <c r="U42" i="16" s="1"/>
  <c r="C93" i="28"/>
  <c r="H90" i="28"/>
  <c r="I93" i="28" s="1"/>
  <c r="U17" i="52"/>
  <c r="O92" i="52"/>
  <c r="T92" i="52" s="1"/>
  <c r="H76" i="78"/>
  <c r="I76" i="78" s="1"/>
  <c r="H70" i="78"/>
  <c r="I70" i="78" s="1"/>
  <c r="H72" i="78"/>
  <c r="I72" i="78" s="1"/>
  <c r="H77" i="78"/>
  <c r="I77" i="78" s="1"/>
  <c r="H71" i="78"/>
  <c r="I71" i="78" s="1"/>
  <c r="H68" i="78"/>
  <c r="I68" i="78" s="1"/>
  <c r="H68" i="27"/>
  <c r="I68" i="27" s="1"/>
  <c r="H71" i="27"/>
  <c r="I71" i="27" s="1"/>
  <c r="H76" i="27"/>
  <c r="I76" i="27" s="1"/>
  <c r="H77" i="27"/>
  <c r="I77" i="27" s="1"/>
  <c r="H72" i="27"/>
  <c r="I72" i="27" s="1"/>
  <c r="H70" i="27"/>
  <c r="I70" i="27" s="1"/>
  <c r="P16" i="30"/>
  <c r="T16" i="30" s="1"/>
  <c r="U16" i="30" s="1"/>
  <c r="P21" i="30"/>
  <c r="T21" i="30" s="1"/>
  <c r="U21" i="30" s="1"/>
  <c r="P13" i="30"/>
  <c r="P28" i="30"/>
  <c r="T28" i="30" s="1"/>
  <c r="U28" i="30" s="1"/>
  <c r="U73" i="30"/>
  <c r="P23" i="30"/>
  <c r="T23" i="30" s="1"/>
  <c r="U23" i="30" s="1"/>
  <c r="P37" i="30"/>
  <c r="P40" i="30"/>
  <c r="U40" i="30" s="1"/>
  <c r="U74" i="30"/>
  <c r="P18" i="30"/>
  <c r="T18" i="30" s="1"/>
  <c r="U18" i="30" s="1"/>
  <c r="P108" i="30"/>
  <c r="U108" i="30" s="1"/>
  <c r="U112" i="30"/>
  <c r="P15" i="30"/>
  <c r="T15" i="30" s="1"/>
  <c r="P25" i="30"/>
  <c r="T25" i="30" s="1"/>
  <c r="U25" i="30" s="1"/>
  <c r="U113" i="30"/>
  <c r="P20" i="30"/>
  <c r="T20" i="30" s="1"/>
  <c r="U20" i="30" s="1"/>
  <c r="P27" i="30"/>
  <c r="T27" i="30" s="1"/>
  <c r="U27" i="30" s="1"/>
  <c r="P38" i="30"/>
  <c r="U38" i="30" s="1"/>
  <c r="P41" i="30"/>
  <c r="U41" i="30" s="1"/>
  <c r="P17" i="30"/>
  <c r="T17" i="30" s="1"/>
  <c r="P22" i="30"/>
  <c r="T22" i="30" s="1"/>
  <c r="U22" i="30" s="1"/>
  <c r="P107" i="30"/>
  <c r="U107" i="30" s="1"/>
  <c r="P99" i="30"/>
  <c r="U99" i="30" s="1"/>
  <c r="P14" i="30"/>
  <c r="T14" i="30" s="1"/>
  <c r="U14" i="30" s="1"/>
  <c r="P24" i="30"/>
  <c r="T24" i="30" s="1"/>
  <c r="U24" i="30" s="1"/>
  <c r="P19" i="30"/>
  <c r="T19" i="30" s="1"/>
  <c r="U19" i="30" s="1"/>
  <c r="P39" i="30"/>
  <c r="U39" i="30" s="1"/>
  <c r="P42" i="30"/>
  <c r="U42" i="30" s="1"/>
  <c r="P26" i="30"/>
  <c r="T26" i="30" s="1"/>
  <c r="U26" i="30" s="1"/>
  <c r="P109" i="30"/>
  <c r="U109" i="30" s="1"/>
  <c r="H70" i="51"/>
  <c r="I70" i="51" s="1"/>
  <c r="H76" i="51"/>
  <c r="I76" i="51" s="1"/>
  <c r="H68" i="51"/>
  <c r="I68" i="51" s="1"/>
  <c r="H72" i="51"/>
  <c r="I72" i="51" s="1"/>
  <c r="H77" i="51"/>
  <c r="I77" i="51" s="1"/>
  <c r="H71" i="51"/>
  <c r="I71" i="51" s="1"/>
  <c r="H83" i="30"/>
  <c r="H78" i="30"/>
  <c r="I78" i="30" s="1"/>
  <c r="H80" i="30"/>
  <c r="I80" i="30" s="1"/>
  <c r="H85" i="30"/>
  <c r="I85" i="30" s="1"/>
  <c r="H82" i="30"/>
  <c r="H79" i="30"/>
  <c r="I79" i="30" s="1"/>
  <c r="H79" i="42"/>
  <c r="I79" i="42" s="1"/>
  <c r="H82" i="42"/>
  <c r="H78" i="42"/>
  <c r="I78" i="42" s="1"/>
  <c r="H80" i="42"/>
  <c r="I80" i="42" s="1"/>
  <c r="H85" i="42"/>
  <c r="I85" i="42" s="1"/>
  <c r="H83" i="42"/>
  <c r="H76" i="18"/>
  <c r="I76" i="18" s="1"/>
  <c r="H70" i="18"/>
  <c r="I70" i="18" s="1"/>
  <c r="H72" i="18"/>
  <c r="I72" i="18" s="1"/>
  <c r="H77" i="18"/>
  <c r="I77" i="18" s="1"/>
  <c r="H71" i="18"/>
  <c r="I71" i="18" s="1"/>
  <c r="H68" i="18"/>
  <c r="I68" i="18" s="1"/>
  <c r="C93" i="70"/>
  <c r="H90" i="70"/>
  <c r="I93" i="70" s="1"/>
  <c r="P16" i="20"/>
  <c r="T16" i="20" s="1"/>
  <c r="U16" i="20" s="1"/>
  <c r="P21" i="20"/>
  <c r="T21" i="20" s="1"/>
  <c r="U21" i="20" s="1"/>
  <c r="P13" i="20"/>
  <c r="P28" i="20"/>
  <c r="T28" i="20" s="1"/>
  <c r="U28" i="20" s="1"/>
  <c r="U73" i="20"/>
  <c r="P23" i="20"/>
  <c r="T23" i="20" s="1"/>
  <c r="U23" i="20" s="1"/>
  <c r="P37" i="20"/>
  <c r="P40" i="20"/>
  <c r="U40" i="20" s="1"/>
  <c r="U74" i="20"/>
  <c r="P18" i="20"/>
  <c r="T18" i="20" s="1"/>
  <c r="U18" i="20" s="1"/>
  <c r="P108" i="20"/>
  <c r="U108" i="20" s="1"/>
  <c r="U112" i="20"/>
  <c r="P15" i="20"/>
  <c r="T15" i="20" s="1"/>
  <c r="P25" i="20"/>
  <c r="T25" i="20" s="1"/>
  <c r="U25" i="20" s="1"/>
  <c r="U113" i="20"/>
  <c r="P20" i="20"/>
  <c r="T20" i="20" s="1"/>
  <c r="U20" i="20" s="1"/>
  <c r="P17" i="20"/>
  <c r="T17" i="20" s="1"/>
  <c r="P22" i="20"/>
  <c r="T22" i="20" s="1"/>
  <c r="U22" i="20" s="1"/>
  <c r="P107" i="20"/>
  <c r="U107" i="20" s="1"/>
  <c r="P99" i="20"/>
  <c r="U99" i="20" s="1"/>
  <c r="P14" i="20"/>
  <c r="T14" i="20" s="1"/>
  <c r="U14" i="20" s="1"/>
  <c r="P24" i="20"/>
  <c r="T24" i="20" s="1"/>
  <c r="U24" i="20" s="1"/>
  <c r="P19" i="20"/>
  <c r="T19" i="20" s="1"/>
  <c r="U19" i="20" s="1"/>
  <c r="P39" i="20"/>
  <c r="U39" i="20" s="1"/>
  <c r="P42" i="20"/>
  <c r="U42" i="20" s="1"/>
  <c r="P109" i="20"/>
  <c r="U109" i="20" s="1"/>
  <c r="P38" i="20"/>
  <c r="U38" i="20" s="1"/>
  <c r="P26" i="20"/>
  <c r="T26" i="20" s="1"/>
  <c r="U26" i="20" s="1"/>
  <c r="P27" i="20"/>
  <c r="T27" i="20" s="1"/>
  <c r="U27" i="20" s="1"/>
  <c r="P41" i="20"/>
  <c r="U41" i="20" s="1"/>
  <c r="P17" i="22"/>
  <c r="T17" i="22" s="1"/>
  <c r="P22" i="22"/>
  <c r="T22" i="22" s="1"/>
  <c r="U22" i="22" s="1"/>
  <c r="P107" i="22"/>
  <c r="U107" i="22" s="1"/>
  <c r="P14" i="22"/>
  <c r="T14" i="22" s="1"/>
  <c r="U14" i="22" s="1"/>
  <c r="P24" i="22"/>
  <c r="T24" i="22" s="1"/>
  <c r="U24" i="22" s="1"/>
  <c r="P19" i="22"/>
  <c r="T19" i="22" s="1"/>
  <c r="U19" i="22" s="1"/>
  <c r="P39" i="22"/>
  <c r="U39" i="22" s="1"/>
  <c r="P42" i="22"/>
  <c r="U42" i="22" s="1"/>
  <c r="P109" i="22"/>
  <c r="U109" i="22" s="1"/>
  <c r="P26" i="22"/>
  <c r="T26" i="22" s="1"/>
  <c r="U26" i="22" s="1"/>
  <c r="P13" i="22"/>
  <c r="P28" i="22"/>
  <c r="T28" i="22" s="1"/>
  <c r="U28" i="22" s="1"/>
  <c r="U73" i="22"/>
  <c r="P15" i="22"/>
  <c r="T15" i="22" s="1"/>
  <c r="P25" i="22"/>
  <c r="T25" i="22" s="1"/>
  <c r="U25" i="22" s="1"/>
  <c r="U113" i="22"/>
  <c r="P23" i="22"/>
  <c r="T23" i="22" s="1"/>
  <c r="U23" i="22" s="1"/>
  <c r="P41" i="22"/>
  <c r="U41" i="22" s="1"/>
  <c r="P18" i="22"/>
  <c r="T18" i="22" s="1"/>
  <c r="U18" i="22" s="1"/>
  <c r="P21" i="22"/>
  <c r="T21" i="22" s="1"/>
  <c r="U21" i="22" s="1"/>
  <c r="P37" i="22"/>
  <c r="U112" i="22"/>
  <c r="P27" i="22"/>
  <c r="T27" i="22" s="1"/>
  <c r="U27" i="22" s="1"/>
  <c r="P16" i="22"/>
  <c r="T16" i="22" s="1"/>
  <c r="U16" i="22" s="1"/>
  <c r="P38" i="22"/>
  <c r="U38" i="22" s="1"/>
  <c r="U74" i="22"/>
  <c r="P108" i="22"/>
  <c r="U108" i="22" s="1"/>
  <c r="P40" i="22"/>
  <c r="U40" i="22" s="1"/>
  <c r="P99" i="22"/>
  <c r="U99" i="22" s="1"/>
  <c r="P20" i="22"/>
  <c r="T20" i="22" s="1"/>
  <c r="U20" i="22" s="1"/>
  <c r="P15" i="71"/>
  <c r="T15" i="71" s="1"/>
  <c r="P25" i="71"/>
  <c r="T25" i="71" s="1"/>
  <c r="U25" i="71" s="1"/>
  <c r="U113" i="71"/>
  <c r="P20" i="71"/>
  <c r="T20" i="71" s="1"/>
  <c r="U20" i="71" s="1"/>
  <c r="P27" i="71"/>
  <c r="T27" i="71" s="1"/>
  <c r="U27" i="71" s="1"/>
  <c r="P38" i="71"/>
  <c r="U38" i="71" s="1"/>
  <c r="P41" i="71"/>
  <c r="U41" i="71" s="1"/>
  <c r="P99" i="71"/>
  <c r="U99" i="71" s="1"/>
  <c r="P16" i="71"/>
  <c r="T16" i="71" s="1"/>
  <c r="U16" i="71" s="1"/>
  <c r="P21" i="71"/>
  <c r="T21" i="71" s="1"/>
  <c r="U21" i="71" s="1"/>
  <c r="P17" i="71"/>
  <c r="T17" i="71" s="1"/>
  <c r="P37" i="71"/>
  <c r="P107" i="71"/>
  <c r="U107" i="71" s="1"/>
  <c r="P109" i="71"/>
  <c r="U109" i="71" s="1"/>
  <c r="P28" i="71"/>
  <c r="T28" i="71" s="1"/>
  <c r="U28" i="71" s="1"/>
  <c r="P13" i="71"/>
  <c r="P23" i="71"/>
  <c r="T23" i="71" s="1"/>
  <c r="U23" i="71" s="1"/>
  <c r="P39" i="71"/>
  <c r="U39" i="71" s="1"/>
  <c r="U73" i="71"/>
  <c r="U74" i="71"/>
  <c r="U112" i="71"/>
  <c r="P18" i="71"/>
  <c r="T18" i="71" s="1"/>
  <c r="U18" i="71" s="1"/>
  <c r="P26" i="71"/>
  <c r="T26" i="71" s="1"/>
  <c r="U26" i="71" s="1"/>
  <c r="P40" i="71"/>
  <c r="U40" i="71" s="1"/>
  <c r="P24" i="71"/>
  <c r="T24" i="71" s="1"/>
  <c r="U24" i="71" s="1"/>
  <c r="P14" i="71"/>
  <c r="T14" i="71" s="1"/>
  <c r="U14" i="71" s="1"/>
  <c r="P19" i="71"/>
  <c r="T19" i="71" s="1"/>
  <c r="U19" i="71" s="1"/>
  <c r="P108" i="71"/>
  <c r="U108" i="71" s="1"/>
  <c r="P22" i="71"/>
  <c r="T22" i="71" s="1"/>
  <c r="U22" i="71" s="1"/>
  <c r="P42" i="71"/>
  <c r="U42" i="71" s="1"/>
  <c r="P14" i="48"/>
  <c r="T14" i="48" s="1"/>
  <c r="U14" i="48" s="1"/>
  <c r="P24" i="48"/>
  <c r="T24" i="48" s="1"/>
  <c r="U24" i="48" s="1"/>
  <c r="P19" i="48"/>
  <c r="T19" i="48" s="1"/>
  <c r="U19" i="48" s="1"/>
  <c r="P39" i="48"/>
  <c r="U39" i="48" s="1"/>
  <c r="P42" i="48"/>
  <c r="U42" i="48" s="1"/>
  <c r="P109" i="48"/>
  <c r="U109" i="48" s="1"/>
  <c r="P26" i="48"/>
  <c r="T26" i="48" s="1"/>
  <c r="U26" i="48" s="1"/>
  <c r="P16" i="48"/>
  <c r="T16" i="48" s="1"/>
  <c r="U16" i="48" s="1"/>
  <c r="P21" i="48"/>
  <c r="T21" i="48" s="1"/>
  <c r="U21" i="48" s="1"/>
  <c r="P23" i="48"/>
  <c r="T23" i="48" s="1"/>
  <c r="U23" i="48" s="1"/>
  <c r="P37" i="48"/>
  <c r="P40" i="48"/>
  <c r="U40" i="48" s="1"/>
  <c r="U74" i="48"/>
  <c r="P18" i="48"/>
  <c r="T18" i="48" s="1"/>
  <c r="U18" i="48" s="1"/>
  <c r="P15" i="48"/>
  <c r="T15" i="48" s="1"/>
  <c r="P25" i="48"/>
  <c r="T25" i="48" s="1"/>
  <c r="U25" i="48" s="1"/>
  <c r="U113" i="48"/>
  <c r="P20" i="48"/>
  <c r="T20" i="48" s="1"/>
  <c r="U20" i="48" s="1"/>
  <c r="P27" i="48"/>
  <c r="T27" i="48" s="1"/>
  <c r="U27" i="48" s="1"/>
  <c r="P38" i="48"/>
  <c r="U38" i="48" s="1"/>
  <c r="P41" i="48"/>
  <c r="U41" i="48" s="1"/>
  <c r="P17" i="48"/>
  <c r="T17" i="48" s="1"/>
  <c r="P13" i="48"/>
  <c r="P22" i="48"/>
  <c r="T22" i="48" s="1"/>
  <c r="U22" i="48" s="1"/>
  <c r="U73" i="48"/>
  <c r="P108" i="48"/>
  <c r="U108" i="48" s="1"/>
  <c r="P99" i="48"/>
  <c r="U99" i="48" s="1"/>
  <c r="P28" i="48"/>
  <c r="T28" i="48" s="1"/>
  <c r="U28" i="48" s="1"/>
  <c r="U112" i="48"/>
  <c r="P107" i="48"/>
  <c r="U107" i="48" s="1"/>
  <c r="H78" i="32"/>
  <c r="I78" i="32" s="1"/>
  <c r="H85" i="32"/>
  <c r="I85" i="32" s="1"/>
  <c r="H83" i="32"/>
  <c r="H79" i="32"/>
  <c r="I79" i="32" s="1"/>
  <c r="H82" i="32"/>
  <c r="I93" i="15"/>
  <c r="I93" i="21"/>
  <c r="I93" i="32"/>
  <c r="H68" i="30"/>
  <c r="I68" i="30" s="1"/>
  <c r="H71" i="30"/>
  <c r="I71" i="30" s="1"/>
  <c r="H76" i="30"/>
  <c r="I76" i="30" s="1"/>
  <c r="H70" i="30"/>
  <c r="I70" i="30" s="1"/>
  <c r="H72" i="30"/>
  <c r="I72" i="30" s="1"/>
  <c r="H77" i="30"/>
  <c r="I77" i="30" s="1"/>
  <c r="C93" i="60"/>
  <c r="H68" i="56"/>
  <c r="I68" i="56" s="1"/>
  <c r="H71" i="56"/>
  <c r="I71" i="56" s="1"/>
  <c r="H77" i="56"/>
  <c r="I77" i="56" s="1"/>
  <c r="H72" i="56"/>
  <c r="I72" i="56" s="1"/>
  <c r="H76" i="56"/>
  <c r="I76" i="56" s="1"/>
  <c r="H70" i="56"/>
  <c r="I70" i="56" s="1"/>
  <c r="P15" i="23"/>
  <c r="T15" i="23" s="1"/>
  <c r="P25" i="23"/>
  <c r="T25" i="23" s="1"/>
  <c r="U25" i="23" s="1"/>
  <c r="U113" i="23"/>
  <c r="P20" i="23"/>
  <c r="T20" i="23" s="1"/>
  <c r="U20" i="23" s="1"/>
  <c r="P27" i="23"/>
  <c r="T27" i="23" s="1"/>
  <c r="U27" i="23" s="1"/>
  <c r="P38" i="23"/>
  <c r="U38" i="23" s="1"/>
  <c r="P41" i="23"/>
  <c r="U41" i="23" s="1"/>
  <c r="P17" i="23"/>
  <c r="T17" i="23" s="1"/>
  <c r="P22" i="23"/>
  <c r="T22" i="23" s="1"/>
  <c r="U22" i="23" s="1"/>
  <c r="P107" i="23"/>
  <c r="U107" i="23" s="1"/>
  <c r="P99" i="23"/>
  <c r="U99" i="23" s="1"/>
  <c r="P14" i="23"/>
  <c r="T14" i="23" s="1"/>
  <c r="U14" i="23" s="1"/>
  <c r="P24" i="23"/>
  <c r="T24" i="23" s="1"/>
  <c r="U24" i="23" s="1"/>
  <c r="P19" i="23"/>
  <c r="T19" i="23" s="1"/>
  <c r="U19" i="23" s="1"/>
  <c r="P39" i="23"/>
  <c r="U39" i="23" s="1"/>
  <c r="P42" i="23"/>
  <c r="U42" i="23" s="1"/>
  <c r="P109" i="23"/>
  <c r="U109" i="23" s="1"/>
  <c r="P26" i="23"/>
  <c r="T26" i="23" s="1"/>
  <c r="U26" i="23" s="1"/>
  <c r="P16" i="23"/>
  <c r="T16" i="23" s="1"/>
  <c r="U16" i="23" s="1"/>
  <c r="P21" i="23"/>
  <c r="T21" i="23" s="1"/>
  <c r="U21" i="23" s="1"/>
  <c r="P13" i="23"/>
  <c r="P28" i="23"/>
  <c r="T28" i="23" s="1"/>
  <c r="U28" i="23" s="1"/>
  <c r="U73" i="23"/>
  <c r="P23" i="23"/>
  <c r="T23" i="23" s="1"/>
  <c r="U23" i="23" s="1"/>
  <c r="P37" i="23"/>
  <c r="P40" i="23"/>
  <c r="U40" i="23" s="1"/>
  <c r="U74" i="23"/>
  <c r="P18" i="23"/>
  <c r="T18" i="23" s="1"/>
  <c r="U18" i="23" s="1"/>
  <c r="P108" i="23"/>
  <c r="U108" i="23" s="1"/>
  <c r="U112" i="23"/>
  <c r="C93" i="30"/>
  <c r="H90" i="30"/>
  <c r="I93" i="30" s="1"/>
  <c r="P18" i="18"/>
  <c r="T18" i="18" s="1"/>
  <c r="U18" i="18" s="1"/>
  <c r="P15" i="18"/>
  <c r="T15" i="18" s="1"/>
  <c r="P25" i="18"/>
  <c r="T25" i="18" s="1"/>
  <c r="U25" i="18" s="1"/>
  <c r="P108" i="18"/>
  <c r="U108" i="18" s="1"/>
  <c r="U112" i="18"/>
  <c r="P20" i="18"/>
  <c r="T20" i="18" s="1"/>
  <c r="U20" i="18" s="1"/>
  <c r="U113" i="18"/>
  <c r="P27" i="18"/>
  <c r="T27" i="18" s="1"/>
  <c r="U27" i="18" s="1"/>
  <c r="P38" i="18"/>
  <c r="U38" i="18" s="1"/>
  <c r="P41" i="18"/>
  <c r="U41" i="18" s="1"/>
  <c r="P17" i="18"/>
  <c r="T17" i="18" s="1"/>
  <c r="P22" i="18"/>
  <c r="T22" i="18" s="1"/>
  <c r="U22" i="18" s="1"/>
  <c r="P107" i="18"/>
  <c r="U107" i="18" s="1"/>
  <c r="P19" i="18"/>
  <c r="T19" i="18" s="1"/>
  <c r="U19" i="18" s="1"/>
  <c r="P39" i="18"/>
  <c r="U39" i="18" s="1"/>
  <c r="P42" i="18"/>
  <c r="U42" i="18" s="1"/>
  <c r="P16" i="18"/>
  <c r="T16" i="18" s="1"/>
  <c r="U16" i="18" s="1"/>
  <c r="P21" i="18"/>
  <c r="T21" i="18" s="1"/>
  <c r="U21" i="18" s="1"/>
  <c r="P13" i="18"/>
  <c r="P28" i="18"/>
  <c r="T28" i="18" s="1"/>
  <c r="U28" i="18" s="1"/>
  <c r="U73" i="18"/>
  <c r="P14" i="18"/>
  <c r="T14" i="18" s="1"/>
  <c r="U14" i="18" s="1"/>
  <c r="P99" i="18"/>
  <c r="U99" i="18" s="1"/>
  <c r="P23" i="18"/>
  <c r="T23" i="18" s="1"/>
  <c r="U23" i="18" s="1"/>
  <c r="P24" i="18"/>
  <c r="T24" i="18" s="1"/>
  <c r="U24" i="18" s="1"/>
  <c r="P40" i="18"/>
  <c r="U40" i="18" s="1"/>
  <c r="P109" i="18"/>
  <c r="U109" i="18" s="1"/>
  <c r="U74" i="18"/>
  <c r="P26" i="18"/>
  <c r="T26" i="18" s="1"/>
  <c r="U26" i="18" s="1"/>
  <c r="P37" i="18"/>
  <c r="P18" i="25"/>
  <c r="T18" i="25" s="1"/>
  <c r="U18" i="25" s="1"/>
  <c r="P15" i="25"/>
  <c r="T15" i="25" s="1"/>
  <c r="P25" i="25"/>
  <c r="T25" i="25" s="1"/>
  <c r="U25" i="25" s="1"/>
  <c r="P17" i="25"/>
  <c r="T17" i="25" s="1"/>
  <c r="P22" i="25"/>
  <c r="T22" i="25" s="1"/>
  <c r="U22" i="25" s="1"/>
  <c r="P38" i="25"/>
  <c r="U38" i="25" s="1"/>
  <c r="P41" i="25"/>
  <c r="U41" i="25" s="1"/>
  <c r="P27" i="25"/>
  <c r="T27" i="25" s="1"/>
  <c r="U27" i="25" s="1"/>
  <c r="P107" i="25"/>
  <c r="U107" i="25" s="1"/>
  <c r="P99" i="25"/>
  <c r="U99" i="25" s="1"/>
  <c r="P21" i="25"/>
  <c r="T21" i="25" s="1"/>
  <c r="U21" i="25" s="1"/>
  <c r="P23" i="25"/>
  <c r="T23" i="25" s="1"/>
  <c r="U23" i="25" s="1"/>
  <c r="P19" i="25"/>
  <c r="T19" i="25" s="1"/>
  <c r="U19" i="25" s="1"/>
  <c r="P39" i="25"/>
  <c r="U39" i="25" s="1"/>
  <c r="P42" i="25"/>
  <c r="U42" i="25" s="1"/>
  <c r="P109" i="25"/>
  <c r="U109" i="25" s="1"/>
  <c r="P13" i="25"/>
  <c r="P26" i="25"/>
  <c r="T26" i="25" s="1"/>
  <c r="U26" i="25" s="1"/>
  <c r="P24" i="25"/>
  <c r="T24" i="25" s="1"/>
  <c r="U24" i="25" s="1"/>
  <c r="P28" i="25"/>
  <c r="T28" i="25" s="1"/>
  <c r="U28" i="25" s="1"/>
  <c r="U73" i="25"/>
  <c r="P37" i="25"/>
  <c r="P40" i="25"/>
  <c r="U40" i="25" s="1"/>
  <c r="U74" i="25"/>
  <c r="P20" i="25"/>
  <c r="T20" i="25" s="1"/>
  <c r="U20" i="25" s="1"/>
  <c r="P108" i="25"/>
  <c r="U108" i="25" s="1"/>
  <c r="U112" i="25"/>
  <c r="P14" i="25"/>
  <c r="T14" i="25" s="1"/>
  <c r="U14" i="25" s="1"/>
  <c r="P16" i="25"/>
  <c r="T16" i="25" s="1"/>
  <c r="U16" i="25" s="1"/>
  <c r="U113" i="25"/>
  <c r="P16" i="33"/>
  <c r="T16" i="33" s="1"/>
  <c r="U16" i="33" s="1"/>
  <c r="P21" i="33"/>
  <c r="T21" i="33" s="1"/>
  <c r="U21" i="33" s="1"/>
  <c r="P13" i="33"/>
  <c r="P28" i="33"/>
  <c r="T28" i="33" s="1"/>
  <c r="U28" i="33" s="1"/>
  <c r="U73" i="33"/>
  <c r="P23" i="33"/>
  <c r="T23" i="33" s="1"/>
  <c r="U23" i="33" s="1"/>
  <c r="P37" i="33"/>
  <c r="P40" i="33"/>
  <c r="U40" i="33" s="1"/>
  <c r="U74" i="33"/>
  <c r="P18" i="33"/>
  <c r="T18" i="33" s="1"/>
  <c r="U18" i="33" s="1"/>
  <c r="P108" i="33"/>
  <c r="U108" i="33" s="1"/>
  <c r="U112" i="33"/>
  <c r="P15" i="33"/>
  <c r="T15" i="33" s="1"/>
  <c r="P25" i="33"/>
  <c r="T25" i="33" s="1"/>
  <c r="U25" i="33" s="1"/>
  <c r="U113" i="33"/>
  <c r="P20" i="33"/>
  <c r="T20" i="33" s="1"/>
  <c r="U20" i="33" s="1"/>
  <c r="P27" i="33"/>
  <c r="T27" i="33" s="1"/>
  <c r="U27" i="33" s="1"/>
  <c r="P38" i="33"/>
  <c r="U38" i="33" s="1"/>
  <c r="P41" i="33"/>
  <c r="U41" i="33" s="1"/>
  <c r="P17" i="33"/>
  <c r="T17" i="33" s="1"/>
  <c r="P22" i="33"/>
  <c r="T22" i="33" s="1"/>
  <c r="U22" i="33" s="1"/>
  <c r="P107" i="33"/>
  <c r="U107" i="33" s="1"/>
  <c r="P19" i="33"/>
  <c r="T19" i="33" s="1"/>
  <c r="U19" i="33" s="1"/>
  <c r="P39" i="33"/>
  <c r="U39" i="33" s="1"/>
  <c r="P42" i="33"/>
  <c r="U42" i="33" s="1"/>
  <c r="P109" i="33"/>
  <c r="U109" i="33" s="1"/>
  <c r="P14" i="33"/>
  <c r="T14" i="33" s="1"/>
  <c r="U14" i="33" s="1"/>
  <c r="P26" i="33"/>
  <c r="T26" i="33" s="1"/>
  <c r="U26" i="33" s="1"/>
  <c r="P24" i="33"/>
  <c r="T24" i="33" s="1"/>
  <c r="U24" i="33" s="1"/>
  <c r="P99" i="33"/>
  <c r="U99" i="33" s="1"/>
  <c r="H79" i="58"/>
  <c r="I79" i="58" s="1"/>
  <c r="H82" i="58"/>
  <c r="H78" i="58"/>
  <c r="I78" i="58" s="1"/>
  <c r="H80" i="58"/>
  <c r="I80" i="58" s="1"/>
  <c r="H83" i="58"/>
  <c r="H85" i="58"/>
  <c r="I85" i="58" s="1"/>
  <c r="P27" i="57"/>
  <c r="T27" i="57" s="1"/>
  <c r="U27" i="57" s="1"/>
  <c r="P38" i="57"/>
  <c r="U38" i="57" s="1"/>
  <c r="P41" i="57"/>
  <c r="U41" i="57" s="1"/>
  <c r="P99" i="57"/>
  <c r="U99" i="57" s="1"/>
  <c r="P14" i="57"/>
  <c r="T14" i="57" s="1"/>
  <c r="U14" i="57" s="1"/>
  <c r="P24" i="57"/>
  <c r="T24" i="57" s="1"/>
  <c r="U24" i="57" s="1"/>
  <c r="P26" i="57"/>
  <c r="T26" i="57" s="1"/>
  <c r="U26" i="57" s="1"/>
  <c r="P13" i="57"/>
  <c r="P28" i="57"/>
  <c r="T28" i="57" s="1"/>
  <c r="U28" i="57" s="1"/>
  <c r="U73" i="57"/>
  <c r="P23" i="57"/>
  <c r="T23" i="57" s="1"/>
  <c r="U23" i="57" s="1"/>
  <c r="P37" i="57"/>
  <c r="P40" i="57"/>
  <c r="U40" i="57" s="1"/>
  <c r="U74" i="57"/>
  <c r="P18" i="57"/>
  <c r="T18" i="57" s="1"/>
  <c r="U18" i="57" s="1"/>
  <c r="P108" i="57"/>
  <c r="U108" i="57" s="1"/>
  <c r="U112" i="57"/>
  <c r="P109" i="57"/>
  <c r="U109" i="57" s="1"/>
  <c r="P21" i="57"/>
  <c r="T21" i="57" s="1"/>
  <c r="U21" i="57" s="1"/>
  <c r="P15" i="57"/>
  <c r="T15" i="57" s="1"/>
  <c r="U113" i="57"/>
  <c r="P25" i="57"/>
  <c r="T25" i="57" s="1"/>
  <c r="U25" i="57" s="1"/>
  <c r="P107" i="57"/>
  <c r="U107" i="57" s="1"/>
  <c r="P22" i="57"/>
  <c r="T22" i="57" s="1"/>
  <c r="U22" i="57" s="1"/>
  <c r="P42" i="57"/>
  <c r="U42" i="57" s="1"/>
  <c r="P19" i="57"/>
  <c r="T19" i="57" s="1"/>
  <c r="U19" i="57" s="1"/>
  <c r="P16" i="57"/>
  <c r="T16" i="57" s="1"/>
  <c r="U16" i="57" s="1"/>
  <c r="P17" i="57"/>
  <c r="T17" i="57" s="1"/>
  <c r="P39" i="57"/>
  <c r="U39" i="57" s="1"/>
  <c r="P20" i="57"/>
  <c r="T20" i="57" s="1"/>
  <c r="U20" i="57" s="1"/>
  <c r="H79" i="34"/>
  <c r="I79" i="34" s="1"/>
  <c r="H82" i="34"/>
  <c r="H83" i="34"/>
  <c r="I83" i="34" s="1"/>
  <c r="I84" i="34" s="1"/>
  <c r="H78" i="34"/>
  <c r="I78" i="34" s="1"/>
  <c r="H80" i="34"/>
  <c r="I80" i="34" s="1"/>
  <c r="H85" i="34"/>
  <c r="I85" i="34" s="1"/>
  <c r="H85" i="69"/>
  <c r="I85" i="69" s="1"/>
  <c r="H79" i="69"/>
  <c r="I79" i="69" s="1"/>
  <c r="H82" i="69"/>
  <c r="H80" i="69"/>
  <c r="I80" i="69" s="1"/>
  <c r="H78" i="69"/>
  <c r="I78" i="69" s="1"/>
  <c r="H83" i="69"/>
  <c r="H76" i="71"/>
  <c r="I76" i="71" s="1"/>
  <c r="H70" i="71"/>
  <c r="I70" i="71" s="1"/>
  <c r="H72" i="71"/>
  <c r="I72" i="71" s="1"/>
  <c r="H68" i="71"/>
  <c r="I68" i="71" s="1"/>
  <c r="H77" i="71"/>
  <c r="I77" i="71" s="1"/>
  <c r="H71" i="71"/>
  <c r="I71" i="71" s="1"/>
  <c r="H77" i="48"/>
  <c r="I77" i="48" s="1"/>
  <c r="H68" i="48"/>
  <c r="I68" i="48" s="1"/>
  <c r="H71" i="48"/>
  <c r="I71" i="48" s="1"/>
  <c r="H76" i="48"/>
  <c r="I76" i="48" s="1"/>
  <c r="H72" i="48"/>
  <c r="I72" i="48" s="1"/>
  <c r="H70" i="48"/>
  <c r="I70" i="48" s="1"/>
  <c r="H85" i="67"/>
  <c r="I85" i="67" s="1"/>
  <c r="H79" i="67"/>
  <c r="I79" i="67" s="1"/>
  <c r="H82" i="67"/>
  <c r="H83" i="67"/>
  <c r="H80" i="67"/>
  <c r="I80" i="67" s="1"/>
  <c r="H78" i="67"/>
  <c r="I78" i="67" s="1"/>
  <c r="O91" i="34"/>
  <c r="T91" i="34" s="1"/>
  <c r="U15" i="34"/>
  <c r="P27" i="77"/>
  <c r="T27" i="77" s="1"/>
  <c r="U27" i="77" s="1"/>
  <c r="P38" i="77"/>
  <c r="U38" i="77" s="1"/>
  <c r="P41" i="77"/>
  <c r="U41" i="77" s="1"/>
  <c r="P17" i="77"/>
  <c r="T17" i="77" s="1"/>
  <c r="P22" i="77"/>
  <c r="T22" i="77" s="1"/>
  <c r="U22" i="77" s="1"/>
  <c r="P107" i="77"/>
  <c r="U107" i="77" s="1"/>
  <c r="P99" i="77"/>
  <c r="U99" i="77" s="1"/>
  <c r="P14" i="77"/>
  <c r="T14" i="77" s="1"/>
  <c r="U14" i="77" s="1"/>
  <c r="P24" i="77"/>
  <c r="T24" i="77" s="1"/>
  <c r="U24" i="77" s="1"/>
  <c r="P19" i="77"/>
  <c r="T19" i="77" s="1"/>
  <c r="U19" i="77" s="1"/>
  <c r="P39" i="77"/>
  <c r="U39" i="77" s="1"/>
  <c r="P42" i="77"/>
  <c r="U42" i="77" s="1"/>
  <c r="P109" i="77"/>
  <c r="U109" i="77" s="1"/>
  <c r="P26" i="77"/>
  <c r="T26" i="77" s="1"/>
  <c r="U26" i="77" s="1"/>
  <c r="P16" i="77"/>
  <c r="T16" i="77" s="1"/>
  <c r="U16" i="77" s="1"/>
  <c r="P21" i="77"/>
  <c r="T21" i="77" s="1"/>
  <c r="U21" i="77" s="1"/>
  <c r="P13" i="77"/>
  <c r="P28" i="77"/>
  <c r="T28" i="77" s="1"/>
  <c r="U28" i="77" s="1"/>
  <c r="U73" i="77"/>
  <c r="P23" i="77"/>
  <c r="T23" i="77" s="1"/>
  <c r="U23" i="77" s="1"/>
  <c r="P37" i="77"/>
  <c r="P40" i="77"/>
  <c r="U40" i="77" s="1"/>
  <c r="U74" i="77"/>
  <c r="P18" i="77"/>
  <c r="T18" i="77" s="1"/>
  <c r="U18" i="77" s="1"/>
  <c r="P108" i="77"/>
  <c r="U108" i="77" s="1"/>
  <c r="U112" i="77"/>
  <c r="P15" i="77"/>
  <c r="T15" i="77" s="1"/>
  <c r="U113" i="77"/>
  <c r="P25" i="77"/>
  <c r="T25" i="77" s="1"/>
  <c r="U25" i="77" s="1"/>
  <c r="P20" i="77"/>
  <c r="T20" i="77" s="1"/>
  <c r="U20" i="77" s="1"/>
  <c r="P18" i="26"/>
  <c r="T18" i="26" s="1"/>
  <c r="U18" i="26" s="1"/>
  <c r="P108" i="26"/>
  <c r="U108" i="26" s="1"/>
  <c r="U112" i="26"/>
  <c r="P15" i="26"/>
  <c r="T15" i="26" s="1"/>
  <c r="P25" i="26"/>
  <c r="T25" i="26" s="1"/>
  <c r="U25" i="26" s="1"/>
  <c r="U113" i="26"/>
  <c r="P20" i="26"/>
  <c r="T20" i="26" s="1"/>
  <c r="U20" i="26" s="1"/>
  <c r="P27" i="26"/>
  <c r="T27" i="26" s="1"/>
  <c r="U27" i="26" s="1"/>
  <c r="P38" i="26"/>
  <c r="U38" i="26" s="1"/>
  <c r="P41" i="26"/>
  <c r="U41" i="26" s="1"/>
  <c r="P17" i="26"/>
  <c r="T17" i="26" s="1"/>
  <c r="P22" i="26"/>
  <c r="T22" i="26" s="1"/>
  <c r="U22" i="26" s="1"/>
  <c r="P107" i="26"/>
  <c r="U107" i="26" s="1"/>
  <c r="P99" i="26"/>
  <c r="U99" i="26" s="1"/>
  <c r="P14" i="26"/>
  <c r="T14" i="26" s="1"/>
  <c r="U14" i="26" s="1"/>
  <c r="P24" i="26"/>
  <c r="T24" i="26" s="1"/>
  <c r="U24" i="26" s="1"/>
  <c r="P19" i="26"/>
  <c r="T19" i="26" s="1"/>
  <c r="U19" i="26" s="1"/>
  <c r="P39" i="26"/>
  <c r="U39" i="26" s="1"/>
  <c r="P42" i="26"/>
  <c r="U42" i="26" s="1"/>
  <c r="P109" i="26"/>
  <c r="U109" i="26" s="1"/>
  <c r="P16" i="26"/>
  <c r="T16" i="26" s="1"/>
  <c r="U16" i="26" s="1"/>
  <c r="P21" i="26"/>
  <c r="T21" i="26" s="1"/>
  <c r="U21" i="26" s="1"/>
  <c r="P13" i="26"/>
  <c r="P28" i="26"/>
  <c r="T28" i="26" s="1"/>
  <c r="U28" i="26" s="1"/>
  <c r="U73" i="26"/>
  <c r="P37" i="26"/>
  <c r="P26" i="26"/>
  <c r="T26" i="26" s="1"/>
  <c r="U26" i="26" s="1"/>
  <c r="U74" i="26"/>
  <c r="P40" i="26"/>
  <c r="U40" i="26" s="1"/>
  <c r="P23" i="26"/>
  <c r="T23" i="26" s="1"/>
  <c r="U23" i="26" s="1"/>
  <c r="H68" i="16"/>
  <c r="I68" i="16" s="1"/>
  <c r="H71" i="16"/>
  <c r="I71" i="16" s="1"/>
  <c r="H76" i="16"/>
  <c r="I76" i="16" s="1"/>
  <c r="H70" i="16"/>
  <c r="I70" i="16" s="1"/>
  <c r="H72" i="16"/>
  <c r="I72" i="16" s="1"/>
  <c r="H77" i="16"/>
  <c r="I77" i="16" s="1"/>
  <c r="H79" i="24"/>
  <c r="I79" i="24" s="1"/>
  <c r="H82" i="24"/>
  <c r="H83" i="24"/>
  <c r="H78" i="24"/>
  <c r="I78" i="24" s="1"/>
  <c r="H80" i="24"/>
  <c r="I80" i="24" s="1"/>
  <c r="H85" i="24"/>
  <c r="I85" i="24" s="1"/>
  <c r="H83" i="16"/>
  <c r="H78" i="16"/>
  <c r="I78" i="16" s="1"/>
  <c r="H80" i="16"/>
  <c r="I80" i="16" s="1"/>
  <c r="H85" i="16"/>
  <c r="I85" i="16" s="1"/>
  <c r="H79" i="16"/>
  <c r="I79" i="16" s="1"/>
  <c r="H82" i="16"/>
  <c r="U15" i="52"/>
  <c r="O91" i="52"/>
  <c r="T91" i="52" s="1"/>
  <c r="P18" i="78"/>
  <c r="T18" i="78" s="1"/>
  <c r="U18" i="78" s="1"/>
  <c r="P108" i="78"/>
  <c r="U108" i="78" s="1"/>
  <c r="U112" i="78"/>
  <c r="P15" i="78"/>
  <c r="T15" i="78" s="1"/>
  <c r="P25" i="78"/>
  <c r="T25" i="78" s="1"/>
  <c r="U25" i="78" s="1"/>
  <c r="U113" i="78"/>
  <c r="P20" i="78"/>
  <c r="T20" i="78" s="1"/>
  <c r="U20" i="78" s="1"/>
  <c r="P27" i="78"/>
  <c r="T27" i="78" s="1"/>
  <c r="U27" i="78" s="1"/>
  <c r="P38" i="78"/>
  <c r="U38" i="78" s="1"/>
  <c r="P41" i="78"/>
  <c r="U41" i="78" s="1"/>
  <c r="P17" i="78"/>
  <c r="T17" i="78" s="1"/>
  <c r="P22" i="78"/>
  <c r="T22" i="78" s="1"/>
  <c r="U22" i="78" s="1"/>
  <c r="P107" i="78"/>
  <c r="U107" i="78" s="1"/>
  <c r="P99" i="78"/>
  <c r="U99" i="78" s="1"/>
  <c r="P14" i="78"/>
  <c r="T14" i="78" s="1"/>
  <c r="U14" i="78" s="1"/>
  <c r="P24" i="78"/>
  <c r="T24" i="78" s="1"/>
  <c r="U24" i="78" s="1"/>
  <c r="P19" i="78"/>
  <c r="T19" i="78" s="1"/>
  <c r="U19" i="78" s="1"/>
  <c r="P39" i="78"/>
  <c r="U39" i="78" s="1"/>
  <c r="P42" i="78"/>
  <c r="U42" i="78" s="1"/>
  <c r="P109" i="78"/>
  <c r="U109" i="78" s="1"/>
  <c r="P26" i="78"/>
  <c r="T26" i="78" s="1"/>
  <c r="U26" i="78" s="1"/>
  <c r="P16" i="78"/>
  <c r="T16" i="78" s="1"/>
  <c r="U16" i="78" s="1"/>
  <c r="P21" i="78"/>
  <c r="T21" i="78" s="1"/>
  <c r="U21" i="78" s="1"/>
  <c r="P28" i="78"/>
  <c r="T28" i="78" s="1"/>
  <c r="U28" i="78" s="1"/>
  <c r="P13" i="78"/>
  <c r="U73" i="78"/>
  <c r="P23" i="78"/>
  <c r="T23" i="78" s="1"/>
  <c r="U23" i="78" s="1"/>
  <c r="U74" i="78"/>
  <c r="P37" i="78"/>
  <c r="P40" i="78"/>
  <c r="U40" i="78" s="1"/>
  <c r="E45" i="60"/>
  <c r="C65" i="60" s="1"/>
  <c r="H66" i="60" s="1"/>
  <c r="I29" i="30"/>
  <c r="I45" i="30" s="1"/>
  <c r="C93" i="31"/>
  <c r="H90" i="31"/>
  <c r="I93" i="31" s="1"/>
  <c r="H90" i="23"/>
  <c r="I93" i="23" s="1"/>
  <c r="C93" i="23"/>
  <c r="H76" i="15"/>
  <c r="I76" i="15" s="1"/>
  <c r="H70" i="15"/>
  <c r="I70" i="15" s="1"/>
  <c r="H72" i="15"/>
  <c r="I72" i="15" s="1"/>
  <c r="H77" i="15"/>
  <c r="I77" i="15" s="1"/>
  <c r="H68" i="15"/>
  <c r="I68" i="15" s="1"/>
  <c r="H71" i="15"/>
  <c r="I71" i="15" s="1"/>
  <c r="I93" i="37"/>
  <c r="H85" i="70"/>
  <c r="I85" i="70" s="1"/>
  <c r="H80" i="70"/>
  <c r="I80" i="70" s="1"/>
  <c r="H78" i="70"/>
  <c r="I78" i="70" s="1"/>
  <c r="H82" i="70"/>
  <c r="H79" i="70"/>
  <c r="I79" i="70" s="1"/>
  <c r="H83" i="70"/>
  <c r="H68" i="33"/>
  <c r="I68" i="33" s="1"/>
  <c r="H71" i="33"/>
  <c r="I71" i="33" s="1"/>
  <c r="H76" i="33"/>
  <c r="I76" i="33" s="1"/>
  <c r="H77" i="33"/>
  <c r="I77" i="33" s="1"/>
  <c r="H70" i="33"/>
  <c r="I70" i="33" s="1"/>
  <c r="H72" i="33"/>
  <c r="I72" i="33" s="1"/>
  <c r="H83" i="68"/>
  <c r="H78" i="68"/>
  <c r="I78" i="68" s="1"/>
  <c r="H80" i="68"/>
  <c r="I80" i="68" s="1"/>
  <c r="H85" i="68"/>
  <c r="I85" i="68" s="1"/>
  <c r="H82" i="68"/>
  <c r="H79" i="68"/>
  <c r="I79" i="68" s="1"/>
  <c r="H79" i="22"/>
  <c r="I79" i="22" s="1"/>
  <c r="H82" i="22"/>
  <c r="H78" i="22"/>
  <c r="I78" i="22" s="1"/>
  <c r="H80" i="22"/>
  <c r="I80" i="22" s="1"/>
  <c r="H85" i="22"/>
  <c r="I85" i="22" s="1"/>
  <c r="H83" i="22"/>
  <c r="P16" i="36"/>
  <c r="T16" i="36" s="1"/>
  <c r="U16" i="36" s="1"/>
  <c r="P21" i="36"/>
  <c r="T21" i="36" s="1"/>
  <c r="U21" i="36" s="1"/>
  <c r="P13" i="36"/>
  <c r="P28" i="36"/>
  <c r="T28" i="36" s="1"/>
  <c r="U28" i="36" s="1"/>
  <c r="U73" i="36"/>
  <c r="P23" i="36"/>
  <c r="T23" i="36" s="1"/>
  <c r="U23" i="36" s="1"/>
  <c r="P37" i="36"/>
  <c r="P40" i="36"/>
  <c r="U40" i="36" s="1"/>
  <c r="U74" i="36"/>
  <c r="P17" i="36"/>
  <c r="T17" i="36" s="1"/>
  <c r="P22" i="36"/>
  <c r="T22" i="36" s="1"/>
  <c r="U22" i="36" s="1"/>
  <c r="P107" i="36"/>
  <c r="U107" i="36" s="1"/>
  <c r="P38" i="36"/>
  <c r="U38" i="36" s="1"/>
  <c r="P42" i="36"/>
  <c r="U42" i="36" s="1"/>
  <c r="P109" i="36"/>
  <c r="U109" i="36" s="1"/>
  <c r="P14" i="36"/>
  <c r="T14" i="36" s="1"/>
  <c r="U14" i="36" s="1"/>
  <c r="P26" i="36"/>
  <c r="T26" i="36" s="1"/>
  <c r="U26" i="36" s="1"/>
  <c r="P39" i="36"/>
  <c r="U39" i="36" s="1"/>
  <c r="P19" i="36"/>
  <c r="T19" i="36" s="1"/>
  <c r="U19" i="36" s="1"/>
  <c r="P24" i="36"/>
  <c r="T24" i="36" s="1"/>
  <c r="U24" i="36" s="1"/>
  <c r="P99" i="36"/>
  <c r="U99" i="36" s="1"/>
  <c r="U112" i="36"/>
  <c r="U113" i="36"/>
  <c r="P15" i="36"/>
  <c r="T15" i="36" s="1"/>
  <c r="P27" i="36"/>
  <c r="T27" i="36" s="1"/>
  <c r="U27" i="36" s="1"/>
  <c r="P108" i="36"/>
  <c r="U108" i="36" s="1"/>
  <c r="P18" i="36"/>
  <c r="T18" i="36" s="1"/>
  <c r="U18" i="36" s="1"/>
  <c r="P20" i="36"/>
  <c r="T20" i="36" s="1"/>
  <c r="U20" i="36" s="1"/>
  <c r="P25" i="36"/>
  <c r="T25" i="36" s="1"/>
  <c r="U25" i="36" s="1"/>
  <c r="P41" i="36"/>
  <c r="U41" i="36" s="1"/>
  <c r="H76" i="32"/>
  <c r="I76" i="32" s="1"/>
  <c r="H70" i="32"/>
  <c r="I70" i="32" s="1"/>
  <c r="H72" i="32"/>
  <c r="I72" i="32" s="1"/>
  <c r="H71" i="32"/>
  <c r="I71" i="32" s="1"/>
  <c r="H68" i="32"/>
  <c r="I68" i="32" s="1"/>
  <c r="H77" i="32"/>
  <c r="I77" i="32" s="1"/>
  <c r="H91" i="69"/>
  <c r="I93" i="69" s="1"/>
  <c r="C93" i="69"/>
  <c r="H90" i="67"/>
  <c r="I93" i="67" s="1"/>
  <c r="C93" i="67"/>
  <c r="O92" i="34"/>
  <c r="T92" i="34" s="1"/>
  <c r="U17" i="34"/>
  <c r="H90" i="38"/>
  <c r="I93" i="38" s="1"/>
  <c r="C93" i="38"/>
  <c r="C93" i="77"/>
  <c r="H90" i="77"/>
  <c r="I93" i="77" s="1"/>
  <c r="C93" i="24"/>
  <c r="H90" i="24"/>
  <c r="I93" i="24" s="1"/>
  <c r="C93" i="16"/>
  <c r="H90" i="16"/>
  <c r="P14" i="56"/>
  <c r="T14" i="56" s="1"/>
  <c r="U14" i="56" s="1"/>
  <c r="P24" i="56"/>
  <c r="T24" i="56" s="1"/>
  <c r="U24" i="56" s="1"/>
  <c r="P26" i="56"/>
  <c r="T26" i="56" s="1"/>
  <c r="U26" i="56" s="1"/>
  <c r="P16" i="56"/>
  <c r="T16" i="56" s="1"/>
  <c r="U16" i="56" s="1"/>
  <c r="P21" i="56"/>
  <c r="T21" i="56" s="1"/>
  <c r="U21" i="56" s="1"/>
  <c r="P23" i="56"/>
  <c r="T23" i="56" s="1"/>
  <c r="U23" i="56" s="1"/>
  <c r="P37" i="56"/>
  <c r="P40" i="56"/>
  <c r="U40" i="56" s="1"/>
  <c r="U74" i="56"/>
  <c r="P15" i="56"/>
  <c r="T15" i="56" s="1"/>
  <c r="P25" i="56"/>
  <c r="T25" i="56" s="1"/>
  <c r="U25" i="56" s="1"/>
  <c r="P20" i="56"/>
  <c r="T20" i="56" s="1"/>
  <c r="U20" i="56" s="1"/>
  <c r="P27" i="56"/>
  <c r="T27" i="56" s="1"/>
  <c r="U27" i="56" s="1"/>
  <c r="P38" i="56"/>
  <c r="U38" i="56" s="1"/>
  <c r="P41" i="56"/>
  <c r="U41" i="56" s="1"/>
  <c r="P109" i="56"/>
  <c r="U109" i="56" s="1"/>
  <c r="P17" i="56"/>
  <c r="T17" i="56" s="1"/>
  <c r="U112" i="56"/>
  <c r="P39" i="56"/>
  <c r="U39" i="56" s="1"/>
  <c r="P107" i="56"/>
  <c r="U107" i="56" s="1"/>
  <c r="U113" i="56"/>
  <c r="P28" i="56"/>
  <c r="T28" i="56" s="1"/>
  <c r="U28" i="56" s="1"/>
  <c r="P18" i="56"/>
  <c r="T18" i="56" s="1"/>
  <c r="U18" i="56" s="1"/>
  <c r="U73" i="56"/>
  <c r="P99" i="56"/>
  <c r="U99" i="56" s="1"/>
  <c r="P22" i="56"/>
  <c r="T22" i="56" s="1"/>
  <c r="U22" i="56" s="1"/>
  <c r="P108" i="56"/>
  <c r="U108" i="56" s="1"/>
  <c r="P13" i="56"/>
  <c r="P42" i="56"/>
  <c r="U42" i="56" s="1"/>
  <c r="P19" i="56"/>
  <c r="T19" i="56" s="1"/>
  <c r="U19" i="56" s="1"/>
  <c r="C93" i="45"/>
  <c r="H90" i="45"/>
  <c r="I93" i="45" s="1"/>
  <c r="I29" i="23"/>
  <c r="I45" i="23" s="1"/>
  <c r="H70" i="70"/>
  <c r="I70" i="70" s="1"/>
  <c r="H72" i="70"/>
  <c r="I72" i="70" s="1"/>
  <c r="H76" i="70"/>
  <c r="I76" i="70" s="1"/>
  <c r="H71" i="70"/>
  <c r="I71" i="70" s="1"/>
  <c r="H68" i="70"/>
  <c r="I68" i="70" s="1"/>
  <c r="H77" i="70"/>
  <c r="I77" i="70" s="1"/>
  <c r="H85" i="35"/>
  <c r="I85" i="35" s="1"/>
  <c r="H79" i="35"/>
  <c r="I79" i="35" s="1"/>
  <c r="H82" i="35"/>
  <c r="H83" i="35"/>
  <c r="H78" i="35"/>
  <c r="I78" i="35" s="1"/>
  <c r="H80" i="35"/>
  <c r="I80" i="35" s="1"/>
  <c r="C93" i="68"/>
  <c r="H90" i="68"/>
  <c r="I93" i="68" s="1"/>
  <c r="H70" i="35"/>
  <c r="I70" i="35" s="1"/>
  <c r="H72" i="35"/>
  <c r="I72" i="35" s="1"/>
  <c r="H77" i="35"/>
  <c r="I77" i="35" s="1"/>
  <c r="H68" i="35"/>
  <c r="I68" i="35" s="1"/>
  <c r="H71" i="35"/>
  <c r="I71" i="35" s="1"/>
  <c r="H76" i="35"/>
  <c r="I76" i="35" s="1"/>
  <c r="H68" i="36"/>
  <c r="I68" i="36" s="1"/>
  <c r="H71" i="36"/>
  <c r="I71" i="36" s="1"/>
  <c r="H77" i="36"/>
  <c r="I77" i="36" s="1"/>
  <c r="H72" i="36"/>
  <c r="I72" i="36" s="1"/>
  <c r="H70" i="36"/>
  <c r="I70" i="36" s="1"/>
  <c r="H76" i="36"/>
  <c r="I76" i="36" s="1"/>
  <c r="P18" i="32"/>
  <c r="T18" i="32" s="1"/>
  <c r="U18" i="32" s="1"/>
  <c r="P15" i="32"/>
  <c r="T15" i="32" s="1"/>
  <c r="P25" i="32"/>
  <c r="T25" i="32" s="1"/>
  <c r="U25" i="32" s="1"/>
  <c r="U113" i="32"/>
  <c r="P20" i="32"/>
  <c r="T20" i="32" s="1"/>
  <c r="U20" i="32" s="1"/>
  <c r="P27" i="32"/>
  <c r="T27" i="32" s="1"/>
  <c r="U27" i="32" s="1"/>
  <c r="P38" i="32"/>
  <c r="U38" i="32" s="1"/>
  <c r="P41" i="32"/>
  <c r="U41" i="32" s="1"/>
  <c r="P17" i="32"/>
  <c r="T17" i="32" s="1"/>
  <c r="P22" i="32"/>
  <c r="T22" i="32" s="1"/>
  <c r="U22" i="32" s="1"/>
  <c r="P107" i="32"/>
  <c r="U107" i="32" s="1"/>
  <c r="P99" i="32"/>
  <c r="U99" i="32" s="1"/>
  <c r="P14" i="32"/>
  <c r="T14" i="32" s="1"/>
  <c r="U14" i="32" s="1"/>
  <c r="P24" i="32"/>
  <c r="T24" i="32" s="1"/>
  <c r="U24" i="32" s="1"/>
  <c r="P19" i="32"/>
  <c r="T19" i="32" s="1"/>
  <c r="U19" i="32" s="1"/>
  <c r="P39" i="32"/>
  <c r="U39" i="32" s="1"/>
  <c r="P42" i="32"/>
  <c r="U42" i="32" s="1"/>
  <c r="P13" i="32"/>
  <c r="P28" i="32"/>
  <c r="T28" i="32" s="1"/>
  <c r="U28" i="32" s="1"/>
  <c r="U73" i="32"/>
  <c r="P16" i="32"/>
  <c r="T16" i="32" s="1"/>
  <c r="U16" i="32" s="1"/>
  <c r="P21" i="32"/>
  <c r="T21" i="32" s="1"/>
  <c r="U21" i="32" s="1"/>
  <c r="P40" i="32"/>
  <c r="U40" i="32" s="1"/>
  <c r="U112" i="32"/>
  <c r="U74" i="32"/>
  <c r="P108" i="32"/>
  <c r="U108" i="32" s="1"/>
  <c r="P26" i="32"/>
  <c r="T26" i="32" s="1"/>
  <c r="U26" i="32" s="1"/>
  <c r="P37" i="32"/>
  <c r="P23" i="32"/>
  <c r="T23" i="32" s="1"/>
  <c r="U23" i="32" s="1"/>
  <c r="P109" i="32"/>
  <c r="U109" i="32" s="1"/>
  <c r="P19" i="24"/>
  <c r="T19" i="24" s="1"/>
  <c r="U19" i="24" s="1"/>
  <c r="P39" i="24"/>
  <c r="U39" i="24" s="1"/>
  <c r="P42" i="24"/>
  <c r="U42" i="24" s="1"/>
  <c r="P109" i="24"/>
  <c r="U109" i="24" s="1"/>
  <c r="P16" i="24"/>
  <c r="T16" i="24" s="1"/>
  <c r="U16" i="24" s="1"/>
  <c r="P21" i="24"/>
  <c r="T21" i="24" s="1"/>
  <c r="U21" i="24" s="1"/>
  <c r="P13" i="24"/>
  <c r="P28" i="24"/>
  <c r="T28" i="24" s="1"/>
  <c r="U28" i="24" s="1"/>
  <c r="U73" i="24"/>
  <c r="P23" i="24"/>
  <c r="T23" i="24" s="1"/>
  <c r="U23" i="24" s="1"/>
  <c r="P37" i="24"/>
  <c r="P40" i="24"/>
  <c r="U40" i="24" s="1"/>
  <c r="U74" i="24"/>
  <c r="P15" i="24"/>
  <c r="T15" i="24" s="1"/>
  <c r="P25" i="24"/>
  <c r="T25" i="24" s="1"/>
  <c r="U25" i="24" s="1"/>
  <c r="U113" i="24"/>
  <c r="P17" i="24"/>
  <c r="T17" i="24" s="1"/>
  <c r="P22" i="24"/>
  <c r="T22" i="24" s="1"/>
  <c r="U22" i="24" s="1"/>
  <c r="P107" i="24"/>
  <c r="U107" i="24" s="1"/>
  <c r="P18" i="24"/>
  <c r="T18" i="24" s="1"/>
  <c r="U18" i="24" s="1"/>
  <c r="P27" i="24"/>
  <c r="T27" i="24" s="1"/>
  <c r="U27" i="24" s="1"/>
  <c r="P24" i="24"/>
  <c r="T24" i="24" s="1"/>
  <c r="U24" i="24" s="1"/>
  <c r="P38" i="24"/>
  <c r="U38" i="24" s="1"/>
  <c r="U112" i="24"/>
  <c r="P14" i="24"/>
  <c r="T14" i="24" s="1"/>
  <c r="U14" i="24" s="1"/>
  <c r="P99" i="24"/>
  <c r="U99" i="24" s="1"/>
  <c r="P20" i="24"/>
  <c r="T20" i="24" s="1"/>
  <c r="U20" i="24" s="1"/>
  <c r="P26" i="24"/>
  <c r="T26" i="24" s="1"/>
  <c r="U26" i="24" s="1"/>
  <c r="P108" i="24"/>
  <c r="U108" i="24" s="1"/>
  <c r="P41" i="24"/>
  <c r="U41" i="24" s="1"/>
  <c r="H68" i="75"/>
  <c r="I68" i="75" s="1"/>
  <c r="H71" i="75"/>
  <c r="I71" i="75" s="1"/>
  <c r="H76" i="75"/>
  <c r="I76" i="75" s="1"/>
  <c r="H70" i="75"/>
  <c r="I70" i="75" s="1"/>
  <c r="H72" i="75"/>
  <c r="I72" i="75" s="1"/>
  <c r="H77" i="75"/>
  <c r="I77" i="75" s="1"/>
  <c r="H90" i="78"/>
  <c r="I93" i="78" s="1"/>
  <c r="C93" i="78"/>
  <c r="H85" i="31"/>
  <c r="I85" i="31" s="1"/>
  <c r="H79" i="31"/>
  <c r="I79" i="31" s="1"/>
  <c r="H82" i="31"/>
  <c r="H83" i="31"/>
  <c r="I83" i="31" s="1"/>
  <c r="I84" i="31" s="1"/>
  <c r="H78" i="31"/>
  <c r="I78" i="31" s="1"/>
  <c r="H80" i="31"/>
  <c r="I80" i="31" s="1"/>
  <c r="H78" i="23"/>
  <c r="I78" i="23" s="1"/>
  <c r="H80" i="23"/>
  <c r="I80" i="23" s="1"/>
  <c r="H85" i="23"/>
  <c r="I85" i="23" s="1"/>
  <c r="H79" i="23"/>
  <c r="I79" i="23" s="1"/>
  <c r="H82" i="23"/>
  <c r="H83" i="23"/>
  <c r="H70" i="50"/>
  <c r="I70" i="50" s="1"/>
  <c r="H72" i="50"/>
  <c r="I72" i="50" s="1"/>
  <c r="H77" i="50"/>
  <c r="I77" i="50" s="1"/>
  <c r="H68" i="50"/>
  <c r="I68" i="50" s="1"/>
  <c r="H71" i="50"/>
  <c r="I71" i="50" s="1"/>
  <c r="H76" i="50"/>
  <c r="I76" i="50" s="1"/>
  <c r="P13" i="7"/>
  <c r="P15" i="7"/>
  <c r="T15" i="7" s="1"/>
  <c r="P107" i="7"/>
  <c r="U107" i="7" s="1"/>
  <c r="P17" i="7"/>
  <c r="T17" i="7" s="1"/>
  <c r="P19" i="7"/>
  <c r="T19" i="7" s="1"/>
  <c r="U19" i="7" s="1"/>
  <c r="P21" i="7"/>
  <c r="T21" i="7" s="1"/>
  <c r="U21" i="7" s="1"/>
  <c r="P23" i="7"/>
  <c r="T23" i="7" s="1"/>
  <c r="U23" i="7" s="1"/>
  <c r="P25" i="7"/>
  <c r="T25" i="7" s="1"/>
  <c r="U25" i="7" s="1"/>
  <c r="P27" i="7"/>
  <c r="T27" i="7" s="1"/>
  <c r="U27" i="7" s="1"/>
  <c r="P38" i="7"/>
  <c r="U38" i="7" s="1"/>
  <c r="P41" i="7"/>
  <c r="U41" i="7" s="1"/>
  <c r="P99" i="7"/>
  <c r="U99" i="7" s="1"/>
  <c r="P109" i="7"/>
  <c r="U109" i="7" s="1"/>
  <c r="P14" i="7"/>
  <c r="T14" i="7" s="1"/>
  <c r="U14" i="7" s="1"/>
  <c r="P39" i="7"/>
  <c r="U39" i="7" s="1"/>
  <c r="P42" i="7"/>
  <c r="U42" i="7" s="1"/>
  <c r="U73" i="7"/>
  <c r="P16" i="7"/>
  <c r="T16" i="7" s="1"/>
  <c r="U16" i="7" s="1"/>
  <c r="U74" i="7"/>
  <c r="U113" i="7"/>
  <c r="P18" i="7"/>
  <c r="T18" i="7" s="1"/>
  <c r="U18" i="7" s="1"/>
  <c r="P22" i="7"/>
  <c r="T22" i="7" s="1"/>
  <c r="U22" i="7" s="1"/>
  <c r="P26" i="7"/>
  <c r="T26" i="7" s="1"/>
  <c r="U26" i="7" s="1"/>
  <c r="P37" i="7"/>
  <c r="U112" i="7"/>
  <c r="P108" i="7"/>
  <c r="U108" i="7" s="1"/>
  <c r="P40" i="7"/>
  <c r="U40" i="7" s="1"/>
  <c r="P20" i="7"/>
  <c r="T20" i="7" s="1"/>
  <c r="U20" i="7" s="1"/>
  <c r="P24" i="7"/>
  <c r="T24" i="7" s="1"/>
  <c r="U24" i="7" s="1"/>
  <c r="P28" i="7"/>
  <c r="T28" i="7" s="1"/>
  <c r="U28" i="7" s="1"/>
  <c r="P15" i="15"/>
  <c r="T15" i="15" s="1"/>
  <c r="P25" i="15"/>
  <c r="T25" i="15" s="1"/>
  <c r="U25" i="15" s="1"/>
  <c r="U113" i="15"/>
  <c r="P20" i="15"/>
  <c r="T20" i="15" s="1"/>
  <c r="U20" i="15" s="1"/>
  <c r="P27" i="15"/>
  <c r="T27" i="15" s="1"/>
  <c r="U27" i="15" s="1"/>
  <c r="P38" i="15"/>
  <c r="U38" i="15" s="1"/>
  <c r="P41" i="15"/>
  <c r="U41" i="15" s="1"/>
  <c r="P17" i="15"/>
  <c r="T17" i="15" s="1"/>
  <c r="P22" i="15"/>
  <c r="T22" i="15" s="1"/>
  <c r="U22" i="15" s="1"/>
  <c r="P107" i="15"/>
  <c r="U107" i="15" s="1"/>
  <c r="P99" i="15"/>
  <c r="U99" i="15" s="1"/>
  <c r="P14" i="15"/>
  <c r="T14" i="15" s="1"/>
  <c r="U14" i="15" s="1"/>
  <c r="P24" i="15"/>
  <c r="T24" i="15" s="1"/>
  <c r="U24" i="15" s="1"/>
  <c r="P19" i="15"/>
  <c r="T19" i="15" s="1"/>
  <c r="U19" i="15" s="1"/>
  <c r="P39" i="15"/>
  <c r="U39" i="15" s="1"/>
  <c r="P42" i="15"/>
  <c r="U42" i="15" s="1"/>
  <c r="P109" i="15"/>
  <c r="U109" i="15" s="1"/>
  <c r="P26" i="15"/>
  <c r="T26" i="15" s="1"/>
  <c r="U26" i="15" s="1"/>
  <c r="P16" i="15"/>
  <c r="T16" i="15" s="1"/>
  <c r="U16" i="15" s="1"/>
  <c r="P21" i="15"/>
  <c r="T21" i="15" s="1"/>
  <c r="U21" i="15" s="1"/>
  <c r="P23" i="15"/>
  <c r="T23" i="15" s="1"/>
  <c r="U23" i="15" s="1"/>
  <c r="P37" i="15"/>
  <c r="P40" i="15"/>
  <c r="U40" i="15" s="1"/>
  <c r="U74" i="15"/>
  <c r="P28" i="15"/>
  <c r="T28" i="15" s="1"/>
  <c r="U28" i="15" s="1"/>
  <c r="P18" i="15"/>
  <c r="T18" i="15" s="1"/>
  <c r="U18" i="15" s="1"/>
  <c r="P108" i="15"/>
  <c r="U108" i="15" s="1"/>
  <c r="P13" i="15"/>
  <c r="U73" i="15"/>
  <c r="U112" i="15"/>
  <c r="U110" i="50" l="1"/>
  <c r="U110" i="35"/>
  <c r="T77" i="52"/>
  <c r="U77" i="52" s="1"/>
  <c r="T76" i="52"/>
  <c r="U76" i="52" s="1"/>
  <c r="T76" i="34"/>
  <c r="U76" i="34" s="1"/>
  <c r="T77" i="34"/>
  <c r="U77" i="34" s="1"/>
  <c r="U110" i="42"/>
  <c r="U110" i="68"/>
  <c r="U110" i="55"/>
  <c r="U110" i="20"/>
  <c r="U110" i="44"/>
  <c r="U110" i="75"/>
  <c r="U110" i="25"/>
  <c r="U110" i="15"/>
  <c r="U110" i="30"/>
  <c r="U110" i="16"/>
  <c r="I29" i="60"/>
  <c r="I31" i="60" s="1"/>
  <c r="I45" i="60" s="1"/>
  <c r="I115" i="52"/>
  <c r="H90" i="60"/>
  <c r="I115" i="43"/>
  <c r="I115" i="76"/>
  <c r="I115" i="33"/>
  <c r="I117" i="33" s="1"/>
  <c r="H122" i="33" s="1"/>
  <c r="I115" i="24"/>
  <c r="I115" i="28"/>
  <c r="I115" i="34"/>
  <c r="I115" i="38"/>
  <c r="I117" i="38" s="1"/>
  <c r="H122" i="38" s="1"/>
  <c r="I115" i="69"/>
  <c r="I115" i="23"/>
  <c r="I115" i="66"/>
  <c r="I117" i="66" s="1"/>
  <c r="H122" i="66" s="1"/>
  <c r="I115" i="21"/>
  <c r="I117" i="21" s="1"/>
  <c r="H122" i="21" s="1"/>
  <c r="I115" i="25"/>
  <c r="I115" i="57"/>
  <c r="I115" i="67"/>
  <c r="I115" i="40"/>
  <c r="I115" i="78"/>
  <c r="I117" i="78" s="1"/>
  <c r="H122" i="78" s="1"/>
  <c r="I115" i="45"/>
  <c r="I115" i="31"/>
  <c r="I115" i="58"/>
  <c r="I115" i="44"/>
  <c r="I117" i="44" s="1"/>
  <c r="H122" i="44" s="1"/>
  <c r="I115" i="17"/>
  <c r="I115" i="71"/>
  <c r="I115" i="48"/>
  <c r="I117" i="48" s="1"/>
  <c r="H122" i="48" s="1"/>
  <c r="I115" i="26"/>
  <c r="I115" i="77"/>
  <c r="I115" i="37"/>
  <c r="I115" i="20"/>
  <c r="U15" i="15"/>
  <c r="O91" i="15"/>
  <c r="T91" i="15" s="1"/>
  <c r="U110" i="24"/>
  <c r="T13" i="24"/>
  <c r="P29" i="24"/>
  <c r="P62" i="24" s="1"/>
  <c r="T63" i="24" s="1"/>
  <c r="U15" i="26"/>
  <c r="O91" i="26"/>
  <c r="T91" i="26" s="1"/>
  <c r="U17" i="57"/>
  <c r="O92" i="57"/>
  <c r="T92" i="57" s="1"/>
  <c r="O92" i="33"/>
  <c r="T92" i="33" s="1"/>
  <c r="U17" i="33"/>
  <c r="O92" i="25"/>
  <c r="T92" i="25" s="1"/>
  <c r="U17" i="25"/>
  <c r="I115" i="30"/>
  <c r="P29" i="23"/>
  <c r="P62" i="23" s="1"/>
  <c r="T63" i="23" s="1"/>
  <c r="T13" i="23"/>
  <c r="U110" i="23"/>
  <c r="U110" i="48"/>
  <c r="U37" i="20"/>
  <c r="U43" i="20" s="1"/>
  <c r="R43" i="20"/>
  <c r="P29" i="38"/>
  <c r="P62" i="38" s="1"/>
  <c r="T63" i="38" s="1"/>
  <c r="T13" i="38"/>
  <c r="U110" i="38"/>
  <c r="P29" i="66"/>
  <c r="P62" i="66" s="1"/>
  <c r="T63" i="66" s="1"/>
  <c r="T13" i="66"/>
  <c r="U15" i="51"/>
  <c r="O91" i="51"/>
  <c r="T91" i="51" s="1"/>
  <c r="P29" i="69"/>
  <c r="P62" i="69" s="1"/>
  <c r="T63" i="69" s="1"/>
  <c r="T13" i="69"/>
  <c r="U17" i="21"/>
  <c r="O92" i="21"/>
  <c r="T92" i="21" s="1"/>
  <c r="P29" i="37"/>
  <c r="P62" i="37" s="1"/>
  <c r="T63" i="37" s="1"/>
  <c r="T13" i="37"/>
  <c r="O91" i="28"/>
  <c r="T91" i="28" s="1"/>
  <c r="U15" i="28"/>
  <c r="I70" i="60"/>
  <c r="U17" i="56"/>
  <c r="O92" i="56"/>
  <c r="T92" i="56" s="1"/>
  <c r="U17" i="36"/>
  <c r="O92" i="36"/>
  <c r="T92" i="36" s="1"/>
  <c r="U17" i="78"/>
  <c r="O92" i="78"/>
  <c r="T92" i="78" s="1"/>
  <c r="U37" i="26"/>
  <c r="U43" i="26" s="1"/>
  <c r="R43" i="26"/>
  <c r="U37" i="33"/>
  <c r="U43" i="33" s="1"/>
  <c r="R43" i="33"/>
  <c r="O92" i="18"/>
  <c r="T92" i="18" s="1"/>
  <c r="U17" i="18"/>
  <c r="R43" i="22"/>
  <c r="U37" i="22"/>
  <c r="U43" i="22" s="1"/>
  <c r="T13" i="16"/>
  <c r="P29" i="16"/>
  <c r="P62" i="16" s="1"/>
  <c r="T63" i="16" s="1"/>
  <c r="U15" i="31"/>
  <c r="O91" i="31"/>
  <c r="T91" i="31" s="1"/>
  <c r="U17" i="27"/>
  <c r="O92" i="27"/>
  <c r="T92" i="27" s="1"/>
  <c r="T13" i="55"/>
  <c r="P29" i="55"/>
  <c r="P62" i="55" s="1"/>
  <c r="T63" i="55" s="1"/>
  <c r="U17" i="69"/>
  <c r="O92" i="69"/>
  <c r="T92" i="69" s="1"/>
  <c r="U37" i="43"/>
  <c r="U43" i="43" s="1"/>
  <c r="R43" i="43"/>
  <c r="U15" i="40"/>
  <c r="O91" i="40"/>
  <c r="T91" i="40" s="1"/>
  <c r="U15" i="17"/>
  <c r="O91" i="17"/>
  <c r="T91" i="17" s="1"/>
  <c r="T13" i="44"/>
  <c r="P29" i="44"/>
  <c r="P62" i="44" s="1"/>
  <c r="T63" i="44" s="1"/>
  <c r="U17" i="37"/>
  <c r="O92" i="37"/>
  <c r="T92" i="37" s="1"/>
  <c r="H91" i="60"/>
  <c r="P29" i="35"/>
  <c r="P62" i="35" s="1"/>
  <c r="T63" i="35" s="1"/>
  <c r="T13" i="35"/>
  <c r="I77" i="60"/>
  <c r="R43" i="15"/>
  <c r="U37" i="15"/>
  <c r="U43" i="15" s="1"/>
  <c r="O92" i="24"/>
  <c r="T92" i="24" s="1"/>
  <c r="U17" i="24"/>
  <c r="U15" i="32"/>
  <c r="O91" i="32"/>
  <c r="T91" i="32" s="1"/>
  <c r="P29" i="56"/>
  <c r="P62" i="56" s="1"/>
  <c r="T63" i="56" s="1"/>
  <c r="T13" i="56"/>
  <c r="U37" i="77"/>
  <c r="U43" i="77" s="1"/>
  <c r="R43" i="77"/>
  <c r="U15" i="25"/>
  <c r="O91" i="25"/>
  <c r="T91" i="25" s="1"/>
  <c r="U17" i="23"/>
  <c r="O92" i="23"/>
  <c r="T92" i="23" s="1"/>
  <c r="U110" i="71"/>
  <c r="U15" i="71"/>
  <c r="O91" i="71"/>
  <c r="T91" i="71" s="1"/>
  <c r="U17" i="20"/>
  <c r="O92" i="20"/>
  <c r="T92" i="20" s="1"/>
  <c r="T13" i="30"/>
  <c r="P29" i="30"/>
  <c r="P62" i="30" s="1"/>
  <c r="T63" i="30" s="1"/>
  <c r="U17" i="38"/>
  <c r="O92" i="38"/>
  <c r="T92" i="38" s="1"/>
  <c r="U37" i="27"/>
  <c r="U43" i="27" s="1"/>
  <c r="R43" i="27"/>
  <c r="T70" i="34"/>
  <c r="U70" i="34" s="1"/>
  <c r="T72" i="34"/>
  <c r="U72" i="34" s="1"/>
  <c r="T68" i="34"/>
  <c r="U68" i="34" s="1"/>
  <c r="T71" i="34"/>
  <c r="U71" i="34" s="1"/>
  <c r="P29" i="21"/>
  <c r="P62" i="21" s="1"/>
  <c r="T63" i="21" s="1"/>
  <c r="T13" i="21"/>
  <c r="R43" i="45"/>
  <c r="U37" i="45"/>
  <c r="U43" i="45" s="1"/>
  <c r="U17" i="17"/>
  <c r="O92" i="17"/>
  <c r="T92" i="17" s="1"/>
  <c r="U110" i="39"/>
  <c r="I115" i="39"/>
  <c r="I117" i="39" s="1"/>
  <c r="H122" i="39" s="1"/>
  <c r="U37" i="50"/>
  <c r="U43" i="50" s="1"/>
  <c r="R43" i="50"/>
  <c r="U37" i="75"/>
  <c r="U43" i="75" s="1"/>
  <c r="R43" i="75"/>
  <c r="I115" i="51"/>
  <c r="I117" i="51" s="1"/>
  <c r="H122" i="51" s="1"/>
  <c r="I72" i="60"/>
  <c r="H83" i="60"/>
  <c r="H78" i="60"/>
  <c r="H85" i="60"/>
  <c r="H79" i="60"/>
  <c r="H80" i="60"/>
  <c r="H82" i="60"/>
  <c r="U110" i="26"/>
  <c r="I115" i="15"/>
  <c r="I117" i="15" s="1"/>
  <c r="H122" i="15" s="1"/>
  <c r="U15" i="48"/>
  <c r="O91" i="48"/>
  <c r="T91" i="48" s="1"/>
  <c r="R43" i="71"/>
  <c r="U37" i="71"/>
  <c r="U43" i="71" s="1"/>
  <c r="U17" i="51"/>
  <c r="O92" i="51"/>
  <c r="T92" i="51" s="1"/>
  <c r="P29" i="67"/>
  <c r="P62" i="67" s="1"/>
  <c r="T63" i="67" s="1"/>
  <c r="T13" i="67"/>
  <c r="O91" i="55"/>
  <c r="T91" i="55" s="1"/>
  <c r="U15" i="55"/>
  <c r="T29" i="34"/>
  <c r="R45" i="34" s="1"/>
  <c r="P65" i="34" s="1"/>
  <c r="T66" i="34" s="1"/>
  <c r="U13" i="34"/>
  <c r="U29" i="34" s="1"/>
  <c r="U45" i="34" s="1"/>
  <c r="O90" i="34"/>
  <c r="U37" i="68"/>
  <c r="U43" i="68" s="1"/>
  <c r="R43" i="68"/>
  <c r="T13" i="47"/>
  <c r="P29" i="47"/>
  <c r="P62" i="47" s="1"/>
  <c r="T63" i="47" s="1"/>
  <c r="I115" i="47"/>
  <c r="I117" i="47" s="1"/>
  <c r="H122" i="47" s="1"/>
  <c r="O91" i="35"/>
  <c r="T91" i="35" s="1"/>
  <c r="U15" i="35"/>
  <c r="U17" i="35"/>
  <c r="O92" i="35"/>
  <c r="T92" i="35" s="1"/>
  <c r="T13" i="76"/>
  <c r="P29" i="76"/>
  <c r="P62" i="76" s="1"/>
  <c r="T63" i="76" s="1"/>
  <c r="R43" i="36"/>
  <c r="U37" i="36"/>
  <c r="U43" i="36" s="1"/>
  <c r="U37" i="57"/>
  <c r="U43" i="57" s="1"/>
  <c r="R43" i="57"/>
  <c r="P29" i="18"/>
  <c r="P62" i="18" s="1"/>
  <c r="T63" i="18" s="1"/>
  <c r="T13" i="18"/>
  <c r="U17" i="71"/>
  <c r="O92" i="71"/>
  <c r="T92" i="71" s="1"/>
  <c r="T13" i="20"/>
  <c r="P29" i="20"/>
  <c r="P62" i="20" s="1"/>
  <c r="T63" i="20" s="1"/>
  <c r="O91" i="30"/>
  <c r="T91" i="30" s="1"/>
  <c r="U15" i="30"/>
  <c r="U15" i="16"/>
  <c r="O91" i="16"/>
  <c r="T91" i="16" s="1"/>
  <c r="I115" i="55"/>
  <c r="I117" i="55" s="1"/>
  <c r="H122" i="55" s="1"/>
  <c r="U15" i="66"/>
  <c r="O91" i="66"/>
  <c r="T91" i="66" s="1"/>
  <c r="U110" i="67"/>
  <c r="O92" i="55"/>
  <c r="T92" i="55" s="1"/>
  <c r="U17" i="55"/>
  <c r="U17" i="68"/>
  <c r="O92" i="68"/>
  <c r="T92" i="68" s="1"/>
  <c r="U17" i="42"/>
  <c r="O92" i="42"/>
  <c r="T92" i="42" s="1"/>
  <c r="T13" i="42"/>
  <c r="P29" i="42"/>
  <c r="P62" i="42" s="1"/>
  <c r="T63" i="42" s="1"/>
  <c r="U17" i="39"/>
  <c r="O92" i="39"/>
  <c r="T92" i="39" s="1"/>
  <c r="U15" i="47"/>
  <c r="O91" i="47"/>
  <c r="T91" i="47" s="1"/>
  <c r="U110" i="28"/>
  <c r="U15" i="75"/>
  <c r="O91" i="75"/>
  <c r="T91" i="75" s="1"/>
  <c r="I93" i="16"/>
  <c r="P29" i="26"/>
  <c r="P62" i="26" s="1"/>
  <c r="T63" i="26" s="1"/>
  <c r="T13" i="26"/>
  <c r="U17" i="15"/>
  <c r="O92" i="15"/>
  <c r="T92" i="15" s="1"/>
  <c r="U17" i="7"/>
  <c r="O92" i="7"/>
  <c r="T92" i="7" s="1"/>
  <c r="O91" i="24"/>
  <c r="T91" i="24" s="1"/>
  <c r="U15" i="24"/>
  <c r="U110" i="32"/>
  <c r="I115" i="68"/>
  <c r="I117" i="68" s="1"/>
  <c r="H122" i="68" s="1"/>
  <c r="U17" i="26"/>
  <c r="O92" i="26"/>
  <c r="T92" i="26" s="1"/>
  <c r="U110" i="57"/>
  <c r="T13" i="33"/>
  <c r="P29" i="33"/>
  <c r="P62" i="33" s="1"/>
  <c r="T63" i="33" s="1"/>
  <c r="U37" i="25"/>
  <c r="U43" i="25" s="1"/>
  <c r="R43" i="25"/>
  <c r="U37" i="18"/>
  <c r="U43" i="18" s="1"/>
  <c r="R43" i="18"/>
  <c r="O91" i="58"/>
  <c r="T91" i="58" s="1"/>
  <c r="U15" i="58"/>
  <c r="I115" i="50"/>
  <c r="I117" i="50" s="1"/>
  <c r="H122" i="50" s="1"/>
  <c r="U37" i="51"/>
  <c r="U43" i="51" s="1"/>
  <c r="R43" i="51"/>
  <c r="P29" i="43"/>
  <c r="P62" i="43" s="1"/>
  <c r="T63" i="43" s="1"/>
  <c r="T13" i="43"/>
  <c r="U110" i="43"/>
  <c r="U37" i="39"/>
  <c r="U43" i="39" s="1"/>
  <c r="R43" i="39"/>
  <c r="U15" i="37"/>
  <c r="O91" i="37"/>
  <c r="T91" i="37" s="1"/>
  <c r="I85" i="60"/>
  <c r="P29" i="70"/>
  <c r="P62" i="70" s="1"/>
  <c r="T63" i="70" s="1"/>
  <c r="T13" i="70"/>
  <c r="O91" i="76"/>
  <c r="T91" i="76" s="1"/>
  <c r="U15" i="76"/>
  <c r="I115" i="22"/>
  <c r="I117" i="22" s="1"/>
  <c r="U110" i="7"/>
  <c r="U37" i="78"/>
  <c r="U43" i="78" s="1"/>
  <c r="R43" i="78"/>
  <c r="P29" i="77"/>
  <c r="P62" i="77" s="1"/>
  <c r="T63" i="77" s="1"/>
  <c r="T13" i="77"/>
  <c r="U110" i="77"/>
  <c r="O91" i="20"/>
  <c r="T91" i="20" s="1"/>
  <c r="U15" i="20"/>
  <c r="U37" i="58"/>
  <c r="U43" i="58" s="1"/>
  <c r="R43" i="58"/>
  <c r="U110" i="58"/>
  <c r="I115" i="18"/>
  <c r="I117" i="18" s="1"/>
  <c r="T13" i="27"/>
  <c r="P29" i="27"/>
  <c r="P62" i="27" s="1"/>
  <c r="T63" i="27" s="1"/>
  <c r="U17" i="67"/>
  <c r="O92" i="67"/>
  <c r="T92" i="67" s="1"/>
  <c r="P29" i="45"/>
  <c r="P62" i="45" s="1"/>
  <c r="T63" i="45" s="1"/>
  <c r="T13" i="45"/>
  <c r="U110" i="45"/>
  <c r="I78" i="60"/>
  <c r="P29" i="50"/>
  <c r="P62" i="50" s="1"/>
  <c r="T63" i="50" s="1"/>
  <c r="T13" i="50"/>
  <c r="U17" i="28"/>
  <c r="O92" i="28"/>
  <c r="T92" i="28" s="1"/>
  <c r="U37" i="28"/>
  <c r="U43" i="28" s="1"/>
  <c r="R43" i="28"/>
  <c r="I115" i="35"/>
  <c r="I117" i="35" s="1"/>
  <c r="H122" i="35" s="1"/>
  <c r="U17" i="32"/>
  <c r="O92" i="32"/>
  <c r="T92" i="32" s="1"/>
  <c r="O91" i="33"/>
  <c r="T91" i="33" s="1"/>
  <c r="U15" i="33"/>
  <c r="P29" i="48"/>
  <c r="P62" i="48" s="1"/>
  <c r="T63" i="48" s="1"/>
  <c r="T13" i="48"/>
  <c r="U37" i="48"/>
  <c r="U43" i="48" s="1"/>
  <c r="R43" i="48"/>
  <c r="P29" i="58"/>
  <c r="P62" i="58" s="1"/>
  <c r="T63" i="58" s="1"/>
  <c r="T13" i="58"/>
  <c r="P29" i="31"/>
  <c r="P62" i="31" s="1"/>
  <c r="T63" i="31" s="1"/>
  <c r="T13" i="31"/>
  <c r="O92" i="31"/>
  <c r="T92" i="31" s="1"/>
  <c r="U17" i="31"/>
  <c r="O91" i="67"/>
  <c r="T91" i="67" s="1"/>
  <c r="U15" i="67"/>
  <c r="O90" i="52"/>
  <c r="T29" i="52"/>
  <c r="R45" i="52" s="1"/>
  <c r="P65" i="52" s="1"/>
  <c r="T66" i="52" s="1"/>
  <c r="U13" i="52"/>
  <c r="U29" i="52" s="1"/>
  <c r="U45" i="52" s="1"/>
  <c r="U17" i="43"/>
  <c r="O92" i="43"/>
  <c r="T92" i="43" s="1"/>
  <c r="O91" i="21"/>
  <c r="T91" i="21" s="1"/>
  <c r="U15" i="21"/>
  <c r="U110" i="40"/>
  <c r="U110" i="47"/>
  <c r="I80" i="60"/>
  <c r="U15" i="50"/>
  <c r="O91" i="50"/>
  <c r="T91" i="50" s="1"/>
  <c r="O91" i="70"/>
  <c r="T91" i="70" s="1"/>
  <c r="U15" i="70"/>
  <c r="T13" i="7"/>
  <c r="P29" i="7"/>
  <c r="P62" i="7" s="1"/>
  <c r="T63" i="7" s="1"/>
  <c r="R43" i="24"/>
  <c r="U37" i="24"/>
  <c r="U43" i="24" s="1"/>
  <c r="U15" i="56"/>
  <c r="O91" i="56"/>
  <c r="T91" i="56" s="1"/>
  <c r="T13" i="36"/>
  <c r="P29" i="36"/>
  <c r="P62" i="36" s="1"/>
  <c r="T63" i="36" s="1"/>
  <c r="U15" i="78"/>
  <c r="O91" i="78"/>
  <c r="T91" i="78" s="1"/>
  <c r="U15" i="77"/>
  <c r="O91" i="77"/>
  <c r="T91" i="77" s="1"/>
  <c r="U17" i="77"/>
  <c r="O92" i="77"/>
  <c r="T92" i="77" s="1"/>
  <c r="U15" i="57"/>
  <c r="O91" i="57"/>
  <c r="T91" i="57" s="1"/>
  <c r="P29" i="57"/>
  <c r="P62" i="57" s="1"/>
  <c r="T63" i="57" s="1"/>
  <c r="T13" i="57"/>
  <c r="R43" i="23"/>
  <c r="U37" i="23"/>
  <c r="U43" i="23" s="1"/>
  <c r="U17" i="48"/>
  <c r="O92" i="48"/>
  <c r="T92" i="48" s="1"/>
  <c r="O91" i="22"/>
  <c r="T91" i="22" s="1"/>
  <c r="U15" i="22"/>
  <c r="U110" i="22"/>
  <c r="I115" i="70"/>
  <c r="I117" i="70" s="1"/>
  <c r="H122" i="70" s="1"/>
  <c r="R43" i="38"/>
  <c r="U37" i="38"/>
  <c r="U43" i="38" s="1"/>
  <c r="U15" i="38"/>
  <c r="O91" i="38"/>
  <c r="T91" i="38" s="1"/>
  <c r="U17" i="58"/>
  <c r="O92" i="58"/>
  <c r="T92" i="58" s="1"/>
  <c r="U110" i="66"/>
  <c r="U110" i="31"/>
  <c r="I115" i="42"/>
  <c r="I117" i="42" s="1"/>
  <c r="H122" i="42" s="1"/>
  <c r="U110" i="51"/>
  <c r="P29" i="51"/>
  <c r="P62" i="51" s="1"/>
  <c r="T63" i="51" s="1"/>
  <c r="T13" i="51"/>
  <c r="O91" i="27"/>
  <c r="T91" i="27" s="1"/>
  <c r="U15" i="27"/>
  <c r="U37" i="67"/>
  <c r="U43" i="67" s="1"/>
  <c r="R43" i="67"/>
  <c r="R43" i="69"/>
  <c r="U37" i="69"/>
  <c r="U43" i="69" s="1"/>
  <c r="T68" i="52"/>
  <c r="U68" i="52" s="1"/>
  <c r="T71" i="52"/>
  <c r="U71" i="52" s="1"/>
  <c r="T70" i="52"/>
  <c r="U70" i="52" s="1"/>
  <c r="T72" i="52"/>
  <c r="U72" i="52" s="1"/>
  <c r="U17" i="40"/>
  <c r="O92" i="40"/>
  <c r="T92" i="40" s="1"/>
  <c r="U17" i="45"/>
  <c r="O92" i="45"/>
  <c r="T92" i="45" s="1"/>
  <c r="I115" i="75"/>
  <c r="I117" i="75" s="1"/>
  <c r="H122" i="75" s="1"/>
  <c r="U37" i="42"/>
  <c r="U43" i="42" s="1"/>
  <c r="R43" i="42"/>
  <c r="U15" i="44"/>
  <c r="O91" i="44"/>
  <c r="T91" i="44" s="1"/>
  <c r="U17" i="47"/>
  <c r="O92" i="47"/>
  <c r="T92" i="47" s="1"/>
  <c r="I83" i="60"/>
  <c r="I84" i="7"/>
  <c r="U17" i="50"/>
  <c r="O92" i="50"/>
  <c r="T92" i="50" s="1"/>
  <c r="U110" i="70"/>
  <c r="U37" i="7"/>
  <c r="U43" i="7" s="1"/>
  <c r="R43" i="7"/>
  <c r="P29" i="32"/>
  <c r="P62" i="32" s="1"/>
  <c r="T63" i="32" s="1"/>
  <c r="T13" i="32"/>
  <c r="U15" i="23"/>
  <c r="O91" i="23"/>
  <c r="T91" i="23" s="1"/>
  <c r="U17" i="30"/>
  <c r="O92" i="30"/>
  <c r="T92" i="30" s="1"/>
  <c r="U37" i="16"/>
  <c r="U43" i="16" s="1"/>
  <c r="R43" i="16"/>
  <c r="U37" i="55"/>
  <c r="U43" i="55" s="1"/>
  <c r="R43" i="55"/>
  <c r="O91" i="43"/>
  <c r="T91" i="43" s="1"/>
  <c r="U15" i="43"/>
  <c r="T13" i="68"/>
  <c r="P29" i="68"/>
  <c r="P62" i="68" s="1"/>
  <c r="T63" i="68" s="1"/>
  <c r="U37" i="40"/>
  <c r="U43" i="40" s="1"/>
  <c r="R43" i="40"/>
  <c r="I115" i="27"/>
  <c r="I117" i="27" s="1"/>
  <c r="H122" i="27" s="1"/>
  <c r="U110" i="17"/>
  <c r="T13" i="39"/>
  <c r="P29" i="39"/>
  <c r="P62" i="39" s="1"/>
  <c r="T63" i="39" s="1"/>
  <c r="U37" i="37"/>
  <c r="U43" i="37" s="1"/>
  <c r="R43" i="37"/>
  <c r="I79" i="60"/>
  <c r="U37" i="35"/>
  <c r="U43" i="35" s="1"/>
  <c r="R43" i="35"/>
  <c r="I71" i="60"/>
  <c r="U110" i="76"/>
  <c r="P29" i="15"/>
  <c r="P62" i="15" s="1"/>
  <c r="T63" i="15" s="1"/>
  <c r="T13" i="15"/>
  <c r="U15" i="7"/>
  <c r="O91" i="7"/>
  <c r="T91" i="7" s="1"/>
  <c r="U110" i="56"/>
  <c r="P29" i="78"/>
  <c r="P62" i="78" s="1"/>
  <c r="T63" i="78" s="1"/>
  <c r="T13" i="78"/>
  <c r="U110" i="33"/>
  <c r="P29" i="25"/>
  <c r="P62" i="25" s="1"/>
  <c r="T63" i="25" s="1"/>
  <c r="T13" i="25"/>
  <c r="U15" i="18"/>
  <c r="O91" i="18"/>
  <c r="T91" i="18" s="1"/>
  <c r="U17" i="22"/>
  <c r="O92" i="22"/>
  <c r="T92" i="22" s="1"/>
  <c r="U37" i="30"/>
  <c r="U43" i="30" s="1"/>
  <c r="R43" i="30"/>
  <c r="R43" i="66"/>
  <c r="U37" i="66"/>
  <c r="U43" i="66" s="1"/>
  <c r="U17" i="66"/>
  <c r="O92" i="66"/>
  <c r="T92" i="66" s="1"/>
  <c r="U37" i="31"/>
  <c r="U43" i="31" s="1"/>
  <c r="R43" i="31"/>
  <c r="H77" i="60"/>
  <c r="H71" i="60"/>
  <c r="H72" i="60"/>
  <c r="H68" i="60"/>
  <c r="H70" i="60"/>
  <c r="H76" i="60"/>
  <c r="U15" i="68"/>
  <c r="O91" i="68"/>
  <c r="T91" i="68" s="1"/>
  <c r="U110" i="21"/>
  <c r="R43" i="21"/>
  <c r="U37" i="21"/>
  <c r="U43" i="21" s="1"/>
  <c r="T13" i="40"/>
  <c r="P29" i="40"/>
  <c r="P62" i="40" s="1"/>
  <c r="T63" i="40" s="1"/>
  <c r="U37" i="17"/>
  <c r="U43" i="17" s="1"/>
  <c r="R43" i="17"/>
  <c r="O91" i="42"/>
  <c r="T91" i="42" s="1"/>
  <c r="U15" i="42"/>
  <c r="I115" i="36"/>
  <c r="I117" i="36" s="1"/>
  <c r="H122" i="36" s="1"/>
  <c r="I115" i="56"/>
  <c r="I117" i="56" s="1"/>
  <c r="H122" i="56" s="1"/>
  <c r="P29" i="28"/>
  <c r="P62" i="28" s="1"/>
  <c r="T63" i="28" s="1"/>
  <c r="T13" i="28"/>
  <c r="T13" i="75"/>
  <c r="P29" i="75"/>
  <c r="P62" i="75" s="1"/>
  <c r="T63" i="75" s="1"/>
  <c r="I68" i="60"/>
  <c r="U17" i="70"/>
  <c r="O92" i="70"/>
  <c r="T92" i="70" s="1"/>
  <c r="R43" i="32"/>
  <c r="U37" i="32"/>
  <c r="U43" i="32" s="1"/>
  <c r="U37" i="56"/>
  <c r="U43" i="56" s="1"/>
  <c r="R43" i="56"/>
  <c r="O91" i="36"/>
  <c r="T91" i="36" s="1"/>
  <c r="U15" i="36"/>
  <c r="U110" i="36"/>
  <c r="U110" i="78"/>
  <c r="U110" i="18"/>
  <c r="I115" i="32"/>
  <c r="I117" i="32" s="1"/>
  <c r="H122" i="32" s="1"/>
  <c r="T13" i="71"/>
  <c r="P29" i="71"/>
  <c r="P62" i="71" s="1"/>
  <c r="T63" i="71" s="1"/>
  <c r="P29" i="22"/>
  <c r="P62" i="22" s="1"/>
  <c r="T63" i="22" s="1"/>
  <c r="T13" i="22"/>
  <c r="U17" i="16"/>
  <c r="O92" i="16"/>
  <c r="T92" i="16" s="1"/>
  <c r="U110" i="27"/>
  <c r="U15" i="69"/>
  <c r="O91" i="69"/>
  <c r="T91" i="69" s="1"/>
  <c r="U110" i="69"/>
  <c r="O91" i="45"/>
  <c r="T91" i="45" s="1"/>
  <c r="U15" i="45"/>
  <c r="P29" i="17"/>
  <c r="P62" i="17" s="1"/>
  <c r="T63" i="17" s="1"/>
  <c r="T13" i="17"/>
  <c r="O92" i="44"/>
  <c r="T92" i="44" s="1"/>
  <c r="U17" i="44"/>
  <c r="U37" i="44"/>
  <c r="U43" i="44" s="1"/>
  <c r="R43" i="44"/>
  <c r="O91" i="39"/>
  <c r="T91" i="39" s="1"/>
  <c r="U15" i="39"/>
  <c r="U37" i="47"/>
  <c r="U43" i="47" s="1"/>
  <c r="R43" i="47"/>
  <c r="U110" i="37"/>
  <c r="U17" i="75"/>
  <c r="O92" i="75"/>
  <c r="T92" i="75" s="1"/>
  <c r="I76" i="60"/>
  <c r="U37" i="70"/>
  <c r="U43" i="70" s="1"/>
  <c r="R43" i="70"/>
  <c r="U17" i="76"/>
  <c r="O92" i="76"/>
  <c r="T92" i="76" s="1"/>
  <c r="U37" i="76"/>
  <c r="U43" i="76" s="1"/>
  <c r="R43" i="76"/>
  <c r="T77" i="56" l="1"/>
  <c r="U77" i="56" s="1"/>
  <c r="T76" i="56"/>
  <c r="U76" i="56" s="1"/>
  <c r="T77" i="37"/>
  <c r="U77" i="37" s="1"/>
  <c r="T76" i="37"/>
  <c r="U76" i="37" s="1"/>
  <c r="T77" i="75"/>
  <c r="U77" i="75" s="1"/>
  <c r="T76" i="75"/>
  <c r="U76" i="75" s="1"/>
  <c r="T77" i="42"/>
  <c r="U77" i="42" s="1"/>
  <c r="T76" i="42"/>
  <c r="U76" i="42" s="1"/>
  <c r="T77" i="20"/>
  <c r="U77" i="20" s="1"/>
  <c r="T76" i="20"/>
  <c r="U76" i="20" s="1"/>
  <c r="T76" i="71"/>
  <c r="U76" i="71" s="1"/>
  <c r="T77" i="71"/>
  <c r="U77" i="71" s="1"/>
  <c r="T77" i="48"/>
  <c r="U77" i="48" s="1"/>
  <c r="T76" i="48"/>
  <c r="U76" i="48" s="1"/>
  <c r="T77" i="69"/>
  <c r="U77" i="69" s="1"/>
  <c r="T76" i="69"/>
  <c r="U76" i="69" s="1"/>
  <c r="T77" i="39"/>
  <c r="U77" i="39" s="1"/>
  <c r="T76" i="39"/>
  <c r="U76" i="39" s="1"/>
  <c r="T77" i="78"/>
  <c r="U77" i="78" s="1"/>
  <c r="T76" i="78"/>
  <c r="U76" i="78" s="1"/>
  <c r="T77" i="32"/>
  <c r="U77" i="32" s="1"/>
  <c r="T76" i="32"/>
  <c r="U76" i="32" s="1"/>
  <c r="T77" i="26"/>
  <c r="U77" i="26" s="1"/>
  <c r="T76" i="26"/>
  <c r="U76" i="26" s="1"/>
  <c r="T76" i="7"/>
  <c r="U76" i="7" s="1"/>
  <c r="T77" i="7"/>
  <c r="U77" i="7" s="1"/>
  <c r="T76" i="57"/>
  <c r="U76" i="57" s="1"/>
  <c r="T77" i="57"/>
  <c r="U77" i="57" s="1"/>
  <c r="T76" i="76"/>
  <c r="U76" i="76" s="1"/>
  <c r="T77" i="76"/>
  <c r="U77" i="76" s="1"/>
  <c r="T77" i="38"/>
  <c r="U77" i="38" s="1"/>
  <c r="T76" i="38"/>
  <c r="U76" i="38" s="1"/>
  <c r="T76" i="24"/>
  <c r="U76" i="24" s="1"/>
  <c r="T77" i="24"/>
  <c r="U77" i="24" s="1"/>
  <c r="T77" i="77"/>
  <c r="U77" i="77" s="1"/>
  <c r="T76" i="77"/>
  <c r="U76" i="77" s="1"/>
  <c r="T76" i="22"/>
  <c r="U76" i="22" s="1"/>
  <c r="T77" i="22"/>
  <c r="U77" i="22" s="1"/>
  <c r="T77" i="23"/>
  <c r="U77" i="23" s="1"/>
  <c r="T76" i="23"/>
  <c r="U76" i="23" s="1"/>
  <c r="T77" i="47"/>
  <c r="U77" i="47" s="1"/>
  <c r="T76" i="47"/>
  <c r="U76" i="47" s="1"/>
  <c r="T77" i="51"/>
  <c r="U77" i="51" s="1"/>
  <c r="T76" i="51"/>
  <c r="U76" i="51" s="1"/>
  <c r="T77" i="17"/>
  <c r="U77" i="17" s="1"/>
  <c r="T76" i="17"/>
  <c r="U76" i="17" s="1"/>
  <c r="T77" i="70"/>
  <c r="U77" i="70" s="1"/>
  <c r="T76" i="70"/>
  <c r="U76" i="70" s="1"/>
  <c r="T77" i="68"/>
  <c r="U77" i="68" s="1"/>
  <c r="T76" i="68"/>
  <c r="U76" i="68" s="1"/>
  <c r="T77" i="67"/>
  <c r="U77" i="67" s="1"/>
  <c r="T76" i="67"/>
  <c r="U76" i="67" s="1"/>
  <c r="T77" i="44"/>
  <c r="U77" i="44" s="1"/>
  <c r="T76" i="44"/>
  <c r="U76" i="44" s="1"/>
  <c r="T77" i="16"/>
  <c r="U77" i="16" s="1"/>
  <c r="T76" i="16"/>
  <c r="U76" i="16" s="1"/>
  <c r="T77" i="31"/>
  <c r="U77" i="31" s="1"/>
  <c r="T76" i="31"/>
  <c r="U76" i="31" s="1"/>
  <c r="T77" i="50"/>
  <c r="U77" i="50" s="1"/>
  <c r="T76" i="50"/>
  <c r="U76" i="50" s="1"/>
  <c r="T77" i="58"/>
  <c r="U77" i="58" s="1"/>
  <c r="T76" i="58"/>
  <c r="U76" i="58" s="1"/>
  <c r="T77" i="43"/>
  <c r="U77" i="43" s="1"/>
  <c r="T76" i="43"/>
  <c r="U76" i="43" s="1"/>
  <c r="T76" i="30"/>
  <c r="U76" i="30" s="1"/>
  <c r="T77" i="30"/>
  <c r="U77" i="30" s="1"/>
  <c r="T76" i="36"/>
  <c r="U76" i="36" s="1"/>
  <c r="T77" i="36"/>
  <c r="U77" i="36" s="1"/>
  <c r="T77" i="45"/>
  <c r="U77" i="45" s="1"/>
  <c r="T76" i="45"/>
  <c r="U76" i="45" s="1"/>
  <c r="T76" i="28"/>
  <c r="U76" i="28" s="1"/>
  <c r="T77" i="28"/>
  <c r="U77" i="28" s="1"/>
  <c r="T77" i="25"/>
  <c r="U77" i="25" s="1"/>
  <c r="T76" i="25"/>
  <c r="U76" i="25" s="1"/>
  <c r="T76" i="27"/>
  <c r="U76" i="27" s="1"/>
  <c r="T77" i="27"/>
  <c r="U77" i="27" s="1"/>
  <c r="T76" i="18"/>
  <c r="U76" i="18" s="1"/>
  <c r="T77" i="18"/>
  <c r="U77" i="18" s="1"/>
  <c r="T77" i="55"/>
  <c r="U77" i="55" s="1"/>
  <c r="T76" i="55"/>
  <c r="U76" i="55" s="1"/>
  <c r="T77" i="21"/>
  <c r="U77" i="21" s="1"/>
  <c r="T76" i="21"/>
  <c r="U76" i="21" s="1"/>
  <c r="T77" i="35"/>
  <c r="U77" i="35" s="1"/>
  <c r="T76" i="35"/>
  <c r="U76" i="35" s="1"/>
  <c r="T77" i="66"/>
  <c r="U77" i="66" s="1"/>
  <c r="T76" i="66"/>
  <c r="U76" i="66" s="1"/>
  <c r="T76" i="33"/>
  <c r="U76" i="33" s="1"/>
  <c r="T77" i="33"/>
  <c r="U77" i="33" s="1"/>
  <c r="T77" i="40"/>
  <c r="U77" i="40" s="1"/>
  <c r="T76" i="40"/>
  <c r="U76" i="40" s="1"/>
  <c r="T77" i="15"/>
  <c r="U77" i="15" s="1"/>
  <c r="T76" i="15"/>
  <c r="U76" i="15" s="1"/>
  <c r="I117" i="71"/>
  <c r="I117" i="28"/>
  <c r="H122" i="28" s="1"/>
  <c r="I122" i="28" s="1"/>
  <c r="I117" i="20"/>
  <c r="I117" i="30"/>
  <c r="H122" i="30" s="1"/>
  <c r="I117" i="77"/>
  <c r="H122" i="77" s="1"/>
  <c r="I117" i="69"/>
  <c r="H122" i="69" s="1"/>
  <c r="I122" i="69" s="1"/>
  <c r="I117" i="67"/>
  <c r="H122" i="67" s="1"/>
  <c r="I122" i="67" s="1"/>
  <c r="I134" i="67" s="1"/>
  <c r="I117" i="58"/>
  <c r="H122" i="58" s="1"/>
  <c r="I122" i="58" s="1"/>
  <c r="I134" i="58" s="1"/>
  <c r="I117" i="57"/>
  <c r="H122" i="57" s="1"/>
  <c r="I117" i="76"/>
  <c r="H122" i="76" s="1"/>
  <c r="I122" i="76" s="1"/>
  <c r="I134" i="76" s="1"/>
  <c r="I117" i="52"/>
  <c r="H122" i="52" s="1"/>
  <c r="I122" i="52" s="1"/>
  <c r="I134" i="52" s="1"/>
  <c r="I117" i="45"/>
  <c r="H122" i="45" s="1"/>
  <c r="I122" i="45" s="1"/>
  <c r="I134" i="45" s="1"/>
  <c r="I117" i="43"/>
  <c r="H122" i="43" s="1"/>
  <c r="I122" i="43" s="1"/>
  <c r="I117" i="40"/>
  <c r="H122" i="40" s="1"/>
  <c r="I122" i="40" s="1"/>
  <c r="I134" i="40" s="1"/>
  <c r="I117" i="37"/>
  <c r="H122" i="37" s="1"/>
  <c r="I122" i="37" s="1"/>
  <c r="I117" i="23"/>
  <c r="I117" i="34"/>
  <c r="H122" i="34" s="1"/>
  <c r="I122" i="34" s="1"/>
  <c r="I117" i="31"/>
  <c r="I117" i="26"/>
  <c r="I117" i="24"/>
  <c r="I117" i="25"/>
  <c r="H122" i="25" s="1"/>
  <c r="I122" i="25" s="1"/>
  <c r="I117" i="17"/>
  <c r="I93" i="60"/>
  <c r="J93" i="60" s="1"/>
  <c r="T78" i="52"/>
  <c r="U78" i="52" s="1"/>
  <c r="T80" i="52"/>
  <c r="U80" i="52" s="1"/>
  <c r="T85" i="52"/>
  <c r="U85" i="52" s="1"/>
  <c r="T79" i="52"/>
  <c r="U79" i="52" s="1"/>
  <c r="T29" i="28"/>
  <c r="U13" i="28"/>
  <c r="U29" i="28" s="1"/>
  <c r="U45" i="28" s="1"/>
  <c r="O90" i="28"/>
  <c r="T68" i="39"/>
  <c r="U68" i="39" s="1"/>
  <c r="T71" i="39"/>
  <c r="U71" i="39" s="1"/>
  <c r="T70" i="39"/>
  <c r="U70" i="39" s="1"/>
  <c r="T72" i="39"/>
  <c r="U72" i="39" s="1"/>
  <c r="I84" i="60"/>
  <c r="T90" i="52"/>
  <c r="U93" i="52" s="1"/>
  <c r="O93" i="52"/>
  <c r="T70" i="45"/>
  <c r="U70" i="45" s="1"/>
  <c r="T72" i="45"/>
  <c r="U72" i="45" s="1"/>
  <c r="T71" i="45"/>
  <c r="U71" i="45" s="1"/>
  <c r="T68" i="45"/>
  <c r="U68" i="45" s="1"/>
  <c r="T29" i="43"/>
  <c r="R45" i="43" s="1"/>
  <c r="P65" i="43" s="1"/>
  <c r="T66" i="43" s="1"/>
  <c r="O90" i="43"/>
  <c r="U13" i="43"/>
  <c r="U29" i="43" s="1"/>
  <c r="U45" i="43" s="1"/>
  <c r="T70" i="44"/>
  <c r="U70" i="44" s="1"/>
  <c r="T72" i="44"/>
  <c r="U72" i="44" s="1"/>
  <c r="T71" i="44"/>
  <c r="U71" i="44" s="1"/>
  <c r="T68" i="44"/>
  <c r="U68" i="44" s="1"/>
  <c r="O90" i="23"/>
  <c r="T29" i="23"/>
  <c r="R45" i="23" s="1"/>
  <c r="P65" i="23" s="1"/>
  <c r="T66" i="23" s="1"/>
  <c r="U13" i="23"/>
  <c r="U29" i="23" s="1"/>
  <c r="U45" i="23" s="1"/>
  <c r="T29" i="22"/>
  <c r="R45" i="22" s="1"/>
  <c r="P65" i="22" s="1"/>
  <c r="T66" i="22" s="1"/>
  <c r="O90" i="22"/>
  <c r="U13" i="22"/>
  <c r="U29" i="22" s="1"/>
  <c r="U45" i="22" s="1"/>
  <c r="T70" i="28"/>
  <c r="U70" i="28" s="1"/>
  <c r="T72" i="28"/>
  <c r="U72" i="28" s="1"/>
  <c r="T71" i="28"/>
  <c r="U71" i="28" s="1"/>
  <c r="T68" i="28"/>
  <c r="U68" i="28" s="1"/>
  <c r="U13" i="25"/>
  <c r="U29" i="25" s="1"/>
  <c r="U45" i="25" s="1"/>
  <c r="T29" i="25"/>
  <c r="R45" i="25" s="1"/>
  <c r="P65" i="25" s="1"/>
  <c r="T66" i="25" s="1"/>
  <c r="O90" i="25"/>
  <c r="O90" i="15"/>
  <c r="T29" i="15"/>
  <c r="R45" i="15" s="1"/>
  <c r="P65" i="15" s="1"/>
  <c r="T66" i="15" s="1"/>
  <c r="U13" i="15"/>
  <c r="U29" i="15" s="1"/>
  <c r="U45" i="15" s="1"/>
  <c r="U13" i="39"/>
  <c r="U29" i="39" s="1"/>
  <c r="U45" i="39" s="1"/>
  <c r="O90" i="39"/>
  <c r="T29" i="39"/>
  <c r="R45" i="39" s="1"/>
  <c r="P65" i="39" s="1"/>
  <c r="T66" i="39" s="1"/>
  <c r="O90" i="51"/>
  <c r="T29" i="51"/>
  <c r="R45" i="51" s="1"/>
  <c r="P65" i="51" s="1"/>
  <c r="T66" i="51" s="1"/>
  <c r="U13" i="51"/>
  <c r="U29" i="51" s="1"/>
  <c r="U45" i="51" s="1"/>
  <c r="T70" i="43"/>
  <c r="U70" i="43" s="1"/>
  <c r="T72" i="43"/>
  <c r="U72" i="43" s="1"/>
  <c r="T68" i="43"/>
  <c r="U68" i="43" s="1"/>
  <c r="T71" i="43"/>
  <c r="U71" i="43" s="1"/>
  <c r="T68" i="47"/>
  <c r="U68" i="47" s="1"/>
  <c r="T71" i="47"/>
  <c r="U71" i="47" s="1"/>
  <c r="T70" i="47"/>
  <c r="U70" i="47" s="1"/>
  <c r="T72" i="47"/>
  <c r="U72" i="47" s="1"/>
  <c r="T29" i="44"/>
  <c r="U13" i="44"/>
  <c r="U29" i="44" s="1"/>
  <c r="U45" i="44" s="1"/>
  <c r="O90" i="44"/>
  <c r="T29" i="37"/>
  <c r="R45" i="37" s="1"/>
  <c r="P65" i="37" s="1"/>
  <c r="T66" i="37" s="1"/>
  <c r="U13" i="37"/>
  <c r="U29" i="37" s="1"/>
  <c r="U45" i="37" s="1"/>
  <c r="O90" i="37"/>
  <c r="O90" i="66"/>
  <c r="U13" i="66"/>
  <c r="U29" i="66" s="1"/>
  <c r="U45" i="66" s="1"/>
  <c r="T29" i="66"/>
  <c r="R45" i="66" s="1"/>
  <c r="P65" i="66" s="1"/>
  <c r="T66" i="66" s="1"/>
  <c r="T68" i="23"/>
  <c r="U68" i="23" s="1"/>
  <c r="T71" i="23"/>
  <c r="U71" i="23" s="1"/>
  <c r="T70" i="23"/>
  <c r="U70" i="23" s="1"/>
  <c r="T72" i="23"/>
  <c r="U72" i="23" s="1"/>
  <c r="U13" i="32"/>
  <c r="U29" i="32" s="1"/>
  <c r="U45" i="32" s="1"/>
  <c r="O90" i="32"/>
  <c r="T29" i="32"/>
  <c r="R45" i="32" s="1"/>
  <c r="P65" i="32" s="1"/>
  <c r="T66" i="32" s="1"/>
  <c r="T70" i="51"/>
  <c r="U70" i="51" s="1"/>
  <c r="T71" i="51"/>
  <c r="U71" i="51" s="1"/>
  <c r="T68" i="51"/>
  <c r="U68" i="51" s="1"/>
  <c r="T72" i="51"/>
  <c r="U72" i="51" s="1"/>
  <c r="U13" i="47"/>
  <c r="U29" i="47" s="1"/>
  <c r="U45" i="47" s="1"/>
  <c r="O90" i="47"/>
  <c r="T29" i="47"/>
  <c r="R45" i="47" s="1"/>
  <c r="P65" i="47" s="1"/>
  <c r="T66" i="47" s="1"/>
  <c r="T68" i="30"/>
  <c r="U68" i="30" s="1"/>
  <c r="T71" i="30"/>
  <c r="U71" i="30" s="1"/>
  <c r="T70" i="30"/>
  <c r="U70" i="30" s="1"/>
  <c r="T72" i="30"/>
  <c r="U72" i="30" s="1"/>
  <c r="T70" i="37"/>
  <c r="U70" i="37" s="1"/>
  <c r="T72" i="37"/>
  <c r="U72" i="37" s="1"/>
  <c r="T68" i="37"/>
  <c r="U68" i="37" s="1"/>
  <c r="T71" i="37"/>
  <c r="U71" i="37" s="1"/>
  <c r="T70" i="66"/>
  <c r="U70" i="66" s="1"/>
  <c r="T72" i="66"/>
  <c r="U72" i="66" s="1"/>
  <c r="T68" i="66"/>
  <c r="U68" i="66" s="1"/>
  <c r="T71" i="66"/>
  <c r="U71" i="66" s="1"/>
  <c r="T71" i="24"/>
  <c r="U71" i="24" s="1"/>
  <c r="T68" i="24"/>
  <c r="U68" i="24" s="1"/>
  <c r="T72" i="24"/>
  <c r="U72" i="24" s="1"/>
  <c r="T70" i="24"/>
  <c r="U70" i="24" s="1"/>
  <c r="I122" i="78"/>
  <c r="T70" i="22"/>
  <c r="U70" i="22" s="1"/>
  <c r="T72" i="22"/>
  <c r="U72" i="22" s="1"/>
  <c r="T71" i="22"/>
  <c r="U71" i="22" s="1"/>
  <c r="T68" i="22"/>
  <c r="U68" i="22" s="1"/>
  <c r="T68" i="17"/>
  <c r="U68" i="17" s="1"/>
  <c r="T71" i="17"/>
  <c r="U71" i="17" s="1"/>
  <c r="T72" i="17"/>
  <c r="U72" i="17" s="1"/>
  <c r="T70" i="17"/>
  <c r="U70" i="17" s="1"/>
  <c r="T68" i="71"/>
  <c r="U68" i="71" s="1"/>
  <c r="T71" i="71"/>
  <c r="U71" i="71" s="1"/>
  <c r="T72" i="71"/>
  <c r="U72" i="71" s="1"/>
  <c r="T70" i="71"/>
  <c r="U70" i="71" s="1"/>
  <c r="T68" i="32"/>
  <c r="U68" i="32" s="1"/>
  <c r="T71" i="32"/>
  <c r="U71" i="32" s="1"/>
  <c r="T72" i="32"/>
  <c r="U72" i="32" s="1"/>
  <c r="T70" i="32"/>
  <c r="U70" i="32" s="1"/>
  <c r="T29" i="48"/>
  <c r="R45" i="48" s="1"/>
  <c r="P65" i="48" s="1"/>
  <c r="T66" i="48" s="1"/>
  <c r="U13" i="48"/>
  <c r="U29" i="48" s="1"/>
  <c r="U45" i="48" s="1"/>
  <c r="O90" i="48"/>
  <c r="R45" i="28"/>
  <c r="P65" i="28" s="1"/>
  <c r="T66" i="28" s="1"/>
  <c r="U13" i="70"/>
  <c r="U29" i="70" s="1"/>
  <c r="U45" i="70" s="1"/>
  <c r="T29" i="70"/>
  <c r="R45" i="70" s="1"/>
  <c r="P65" i="70" s="1"/>
  <c r="T66" i="70" s="1"/>
  <c r="O90" i="70"/>
  <c r="T68" i="33"/>
  <c r="U68" i="33" s="1"/>
  <c r="T71" i="33"/>
  <c r="U71" i="33" s="1"/>
  <c r="T70" i="33"/>
  <c r="U70" i="33" s="1"/>
  <c r="T72" i="33"/>
  <c r="U72" i="33" s="1"/>
  <c r="T29" i="21"/>
  <c r="R45" i="21" s="1"/>
  <c r="P65" i="21" s="1"/>
  <c r="T66" i="21" s="1"/>
  <c r="O90" i="21"/>
  <c r="U13" i="21"/>
  <c r="U29" i="21" s="1"/>
  <c r="U45" i="21" s="1"/>
  <c r="U13" i="30"/>
  <c r="U29" i="30" s="1"/>
  <c r="U45" i="30" s="1"/>
  <c r="O90" i="30"/>
  <c r="T29" i="30"/>
  <c r="R45" i="30" s="1"/>
  <c r="P65" i="30" s="1"/>
  <c r="T66" i="30" s="1"/>
  <c r="T70" i="55"/>
  <c r="U70" i="55" s="1"/>
  <c r="T72" i="55"/>
  <c r="U72" i="55" s="1"/>
  <c r="T68" i="55"/>
  <c r="U68" i="55" s="1"/>
  <c r="T71" i="55"/>
  <c r="U71" i="55" s="1"/>
  <c r="T29" i="24"/>
  <c r="R45" i="24" s="1"/>
  <c r="P65" i="24" s="1"/>
  <c r="T66" i="24" s="1"/>
  <c r="U13" i="24"/>
  <c r="U29" i="24" s="1"/>
  <c r="U45" i="24" s="1"/>
  <c r="O90" i="24"/>
  <c r="I122" i="48"/>
  <c r="I134" i="48" s="1"/>
  <c r="T70" i="48"/>
  <c r="U70" i="48" s="1"/>
  <c r="T72" i="48"/>
  <c r="U72" i="48" s="1"/>
  <c r="T68" i="48"/>
  <c r="U68" i="48" s="1"/>
  <c r="T71" i="48"/>
  <c r="U71" i="48" s="1"/>
  <c r="T29" i="77"/>
  <c r="U13" i="77"/>
  <c r="U29" i="77" s="1"/>
  <c r="U45" i="77" s="1"/>
  <c r="O90" i="77"/>
  <c r="T70" i="70"/>
  <c r="U70" i="70" s="1"/>
  <c r="T71" i="70"/>
  <c r="U71" i="70" s="1"/>
  <c r="T72" i="70"/>
  <c r="U72" i="70" s="1"/>
  <c r="T68" i="70"/>
  <c r="U68" i="70" s="1"/>
  <c r="U13" i="33"/>
  <c r="U29" i="33" s="1"/>
  <c r="U45" i="33" s="1"/>
  <c r="O90" i="33"/>
  <c r="T29" i="33"/>
  <c r="R45" i="33" s="1"/>
  <c r="P65" i="33" s="1"/>
  <c r="T66" i="33" s="1"/>
  <c r="T68" i="20"/>
  <c r="U68" i="20" s="1"/>
  <c r="T71" i="20"/>
  <c r="U71" i="20" s="1"/>
  <c r="T72" i="20"/>
  <c r="U72" i="20" s="1"/>
  <c r="T70" i="20"/>
  <c r="U70" i="20" s="1"/>
  <c r="T68" i="76"/>
  <c r="U68" i="76" s="1"/>
  <c r="T71" i="76"/>
  <c r="U71" i="76" s="1"/>
  <c r="T70" i="76"/>
  <c r="U70" i="76" s="1"/>
  <c r="T72" i="76"/>
  <c r="U72" i="76" s="1"/>
  <c r="T70" i="21"/>
  <c r="U70" i="21" s="1"/>
  <c r="T72" i="21"/>
  <c r="U72" i="21" s="1"/>
  <c r="T68" i="21"/>
  <c r="U68" i="21" s="1"/>
  <c r="T71" i="21"/>
  <c r="U71" i="21" s="1"/>
  <c r="T29" i="55"/>
  <c r="R45" i="55" s="1"/>
  <c r="P65" i="55" s="1"/>
  <c r="T66" i="55" s="1"/>
  <c r="U13" i="55"/>
  <c r="U29" i="55" s="1"/>
  <c r="U45" i="55" s="1"/>
  <c r="O90" i="55"/>
  <c r="T29" i="38"/>
  <c r="R45" i="38" s="1"/>
  <c r="P65" i="38" s="1"/>
  <c r="T66" i="38" s="1"/>
  <c r="O90" i="38"/>
  <c r="U13" i="38"/>
  <c r="U29" i="38" s="1"/>
  <c r="U45" i="38" s="1"/>
  <c r="I122" i="38"/>
  <c r="T29" i="31"/>
  <c r="R45" i="31" s="1"/>
  <c r="P65" i="31" s="1"/>
  <c r="T66" i="31" s="1"/>
  <c r="U13" i="31"/>
  <c r="U29" i="31" s="1"/>
  <c r="U45" i="31" s="1"/>
  <c r="O90" i="31"/>
  <c r="T68" i="27"/>
  <c r="U68" i="27" s="1"/>
  <c r="T71" i="27"/>
  <c r="U71" i="27" s="1"/>
  <c r="T72" i="27"/>
  <c r="U72" i="27" s="1"/>
  <c r="T70" i="27"/>
  <c r="U70" i="27" s="1"/>
  <c r="T70" i="77"/>
  <c r="U70" i="77" s="1"/>
  <c r="T72" i="77"/>
  <c r="U72" i="77" s="1"/>
  <c r="T68" i="77"/>
  <c r="U68" i="77" s="1"/>
  <c r="T71" i="77"/>
  <c r="U71" i="77" s="1"/>
  <c r="U13" i="26"/>
  <c r="U29" i="26" s="1"/>
  <c r="U45" i="26" s="1"/>
  <c r="O90" i="26"/>
  <c r="T29" i="26"/>
  <c r="R45" i="26" s="1"/>
  <c r="P65" i="26" s="1"/>
  <c r="T66" i="26" s="1"/>
  <c r="U13" i="20"/>
  <c r="U29" i="20" s="1"/>
  <c r="U45" i="20" s="1"/>
  <c r="O90" i="20"/>
  <c r="T29" i="20"/>
  <c r="U13" i="76"/>
  <c r="U29" i="76" s="1"/>
  <c r="U45" i="76" s="1"/>
  <c r="O90" i="76"/>
  <c r="T29" i="76"/>
  <c r="R45" i="76" s="1"/>
  <c r="P65" i="76" s="1"/>
  <c r="T66" i="76" s="1"/>
  <c r="T29" i="35"/>
  <c r="R45" i="35" s="1"/>
  <c r="P65" i="35" s="1"/>
  <c r="T66" i="35" s="1"/>
  <c r="U13" i="35"/>
  <c r="U29" i="35" s="1"/>
  <c r="U45" i="35" s="1"/>
  <c r="O90" i="35"/>
  <c r="T70" i="38"/>
  <c r="U70" i="38" s="1"/>
  <c r="T72" i="38"/>
  <c r="U72" i="38" s="1"/>
  <c r="T71" i="38"/>
  <c r="U71" i="38" s="1"/>
  <c r="T68" i="38"/>
  <c r="U68" i="38" s="1"/>
  <c r="U13" i="78"/>
  <c r="U29" i="78" s="1"/>
  <c r="U45" i="78" s="1"/>
  <c r="O90" i="78"/>
  <c r="T29" i="78"/>
  <c r="R45" i="78" s="1"/>
  <c r="P65" i="78" s="1"/>
  <c r="T66" i="78" s="1"/>
  <c r="T70" i="68"/>
  <c r="U70" i="68" s="1"/>
  <c r="T72" i="68"/>
  <c r="U72" i="68" s="1"/>
  <c r="T68" i="68"/>
  <c r="U68" i="68" s="1"/>
  <c r="T71" i="68"/>
  <c r="U71" i="68" s="1"/>
  <c r="T71" i="7"/>
  <c r="U71" i="7" s="1"/>
  <c r="T68" i="7"/>
  <c r="U68" i="7" s="1"/>
  <c r="T72" i="7"/>
  <c r="U72" i="7" s="1"/>
  <c r="T70" i="7"/>
  <c r="U70" i="7" s="1"/>
  <c r="T70" i="31"/>
  <c r="U70" i="31" s="1"/>
  <c r="T72" i="31"/>
  <c r="U72" i="31" s="1"/>
  <c r="T68" i="31"/>
  <c r="U68" i="31" s="1"/>
  <c r="T71" i="31"/>
  <c r="U71" i="31" s="1"/>
  <c r="U13" i="27"/>
  <c r="U29" i="27" s="1"/>
  <c r="U45" i="27" s="1"/>
  <c r="O90" i="27"/>
  <c r="T29" i="27"/>
  <c r="R45" i="27" s="1"/>
  <c r="P65" i="27" s="1"/>
  <c r="T66" i="27" s="1"/>
  <c r="T68" i="26"/>
  <c r="U68" i="26" s="1"/>
  <c r="T71" i="26"/>
  <c r="U71" i="26" s="1"/>
  <c r="T72" i="26"/>
  <c r="U72" i="26" s="1"/>
  <c r="T70" i="26"/>
  <c r="U70" i="26" s="1"/>
  <c r="T29" i="67"/>
  <c r="R45" i="67" s="1"/>
  <c r="P65" i="67" s="1"/>
  <c r="T66" i="67" s="1"/>
  <c r="U13" i="67"/>
  <c r="U29" i="67" s="1"/>
  <c r="U45" i="67" s="1"/>
  <c r="O90" i="67"/>
  <c r="R45" i="77"/>
  <c r="P65" i="77" s="1"/>
  <c r="T66" i="77" s="1"/>
  <c r="T70" i="35"/>
  <c r="U70" i="35" s="1"/>
  <c r="T72" i="35"/>
  <c r="U72" i="35" s="1"/>
  <c r="T68" i="35"/>
  <c r="U68" i="35" s="1"/>
  <c r="T71" i="35"/>
  <c r="U71" i="35" s="1"/>
  <c r="O90" i="71"/>
  <c r="U13" i="71"/>
  <c r="U29" i="71" s="1"/>
  <c r="U45" i="71" s="1"/>
  <c r="T29" i="71"/>
  <c r="R45" i="71" s="1"/>
  <c r="P65" i="71" s="1"/>
  <c r="T66" i="71" s="1"/>
  <c r="T68" i="78"/>
  <c r="U68" i="78" s="1"/>
  <c r="T71" i="78"/>
  <c r="U71" i="78" s="1"/>
  <c r="T70" i="78"/>
  <c r="U70" i="78" s="1"/>
  <c r="T72" i="78"/>
  <c r="U72" i="78" s="1"/>
  <c r="U13" i="68"/>
  <c r="U29" i="68" s="1"/>
  <c r="U45" i="68" s="1"/>
  <c r="O90" i="68"/>
  <c r="T29" i="68"/>
  <c r="R45" i="68" s="1"/>
  <c r="P65" i="68" s="1"/>
  <c r="T66" i="68" s="1"/>
  <c r="U13" i="7"/>
  <c r="U29" i="7" s="1"/>
  <c r="U45" i="7" s="1"/>
  <c r="O90" i="7"/>
  <c r="T29" i="7"/>
  <c r="R45" i="7" s="1"/>
  <c r="P65" i="7" s="1"/>
  <c r="T66" i="7" s="1"/>
  <c r="T29" i="58"/>
  <c r="R45" i="58" s="1"/>
  <c r="P65" i="58" s="1"/>
  <c r="T66" i="58" s="1"/>
  <c r="U13" i="58"/>
  <c r="U29" i="58" s="1"/>
  <c r="U45" i="58" s="1"/>
  <c r="O90" i="58"/>
  <c r="T29" i="50"/>
  <c r="R45" i="50" s="1"/>
  <c r="P65" i="50" s="1"/>
  <c r="T66" i="50" s="1"/>
  <c r="U13" i="50"/>
  <c r="U29" i="50" s="1"/>
  <c r="U45" i="50" s="1"/>
  <c r="O90" i="50"/>
  <c r="T70" i="42"/>
  <c r="U70" i="42" s="1"/>
  <c r="T72" i="42"/>
  <c r="U72" i="42" s="1"/>
  <c r="T68" i="42"/>
  <c r="U68" i="42" s="1"/>
  <c r="T71" i="42"/>
  <c r="U71" i="42" s="1"/>
  <c r="T72" i="67"/>
  <c r="U72" i="67" s="1"/>
  <c r="T70" i="67"/>
  <c r="U70" i="67" s="1"/>
  <c r="T71" i="67"/>
  <c r="U71" i="67" s="1"/>
  <c r="T68" i="67"/>
  <c r="U68" i="67" s="1"/>
  <c r="R45" i="20"/>
  <c r="P65" i="20" s="1"/>
  <c r="T66" i="20" s="1"/>
  <c r="O90" i="17"/>
  <c r="T29" i="17"/>
  <c r="R45" i="17" s="1"/>
  <c r="P65" i="17" s="1"/>
  <c r="T66" i="17" s="1"/>
  <c r="U13" i="17"/>
  <c r="U29" i="17" s="1"/>
  <c r="U45" i="17" s="1"/>
  <c r="T70" i="58"/>
  <c r="U70" i="58" s="1"/>
  <c r="T71" i="58"/>
  <c r="U71" i="58" s="1"/>
  <c r="T68" i="58"/>
  <c r="U68" i="58" s="1"/>
  <c r="T72" i="58"/>
  <c r="U72" i="58" s="1"/>
  <c r="T70" i="50"/>
  <c r="U70" i="50" s="1"/>
  <c r="T72" i="50"/>
  <c r="U72" i="50" s="1"/>
  <c r="T68" i="50"/>
  <c r="U68" i="50" s="1"/>
  <c r="T71" i="50"/>
  <c r="U71" i="50" s="1"/>
  <c r="T29" i="42"/>
  <c r="R45" i="42" s="1"/>
  <c r="P65" i="42" s="1"/>
  <c r="T66" i="42" s="1"/>
  <c r="U13" i="42"/>
  <c r="U29" i="42" s="1"/>
  <c r="U45" i="42" s="1"/>
  <c r="O90" i="42"/>
  <c r="U13" i="18"/>
  <c r="U29" i="18" s="1"/>
  <c r="U45" i="18" s="1"/>
  <c r="O90" i="18"/>
  <c r="T29" i="18"/>
  <c r="R45" i="18" s="1"/>
  <c r="P65" i="18" s="1"/>
  <c r="T66" i="18" s="1"/>
  <c r="O90" i="56"/>
  <c r="T29" i="56"/>
  <c r="R45" i="56" s="1"/>
  <c r="P65" i="56" s="1"/>
  <c r="T66" i="56" s="1"/>
  <c r="U13" i="56"/>
  <c r="U29" i="56" s="1"/>
  <c r="U45" i="56" s="1"/>
  <c r="O90" i="69"/>
  <c r="T29" i="69"/>
  <c r="R45" i="69" s="1"/>
  <c r="P65" i="69" s="1"/>
  <c r="T66" i="69" s="1"/>
  <c r="U13" i="69"/>
  <c r="U29" i="69" s="1"/>
  <c r="U45" i="69" s="1"/>
  <c r="T70" i="25"/>
  <c r="U70" i="25" s="1"/>
  <c r="T72" i="25"/>
  <c r="U72" i="25" s="1"/>
  <c r="T68" i="25"/>
  <c r="U68" i="25" s="1"/>
  <c r="T71" i="25"/>
  <c r="U71" i="25" s="1"/>
  <c r="R45" i="44"/>
  <c r="P65" i="44" s="1"/>
  <c r="T66" i="44" s="1"/>
  <c r="T68" i="36"/>
  <c r="U68" i="36" s="1"/>
  <c r="T72" i="36"/>
  <c r="U72" i="36" s="1"/>
  <c r="T70" i="36"/>
  <c r="U70" i="36" s="1"/>
  <c r="T71" i="36"/>
  <c r="U71" i="36" s="1"/>
  <c r="I122" i="66"/>
  <c r="I134" i="66" s="1"/>
  <c r="T68" i="18"/>
  <c r="U68" i="18" s="1"/>
  <c r="T71" i="18"/>
  <c r="U71" i="18" s="1"/>
  <c r="T72" i="18"/>
  <c r="U72" i="18" s="1"/>
  <c r="T70" i="18"/>
  <c r="U70" i="18" s="1"/>
  <c r="O93" i="34"/>
  <c r="T90" i="34"/>
  <c r="U93" i="34" s="1"/>
  <c r="T70" i="56"/>
  <c r="U70" i="56" s="1"/>
  <c r="T72" i="56"/>
  <c r="U72" i="56" s="1"/>
  <c r="T68" i="56"/>
  <c r="U68" i="56" s="1"/>
  <c r="T71" i="56"/>
  <c r="U71" i="56" s="1"/>
  <c r="T68" i="69"/>
  <c r="U68" i="69" s="1"/>
  <c r="T71" i="69"/>
  <c r="U71" i="69" s="1"/>
  <c r="T70" i="69"/>
  <c r="U70" i="69" s="1"/>
  <c r="T72" i="69"/>
  <c r="U72" i="69" s="1"/>
  <c r="I122" i="33"/>
  <c r="T68" i="15"/>
  <c r="U68" i="15" s="1"/>
  <c r="T71" i="15"/>
  <c r="U71" i="15" s="1"/>
  <c r="T70" i="15"/>
  <c r="U70" i="15" s="1"/>
  <c r="T72" i="15"/>
  <c r="U72" i="15" s="1"/>
  <c r="T68" i="75"/>
  <c r="U68" i="75" s="1"/>
  <c r="T71" i="75"/>
  <c r="U71" i="75" s="1"/>
  <c r="T70" i="75"/>
  <c r="U70" i="75" s="1"/>
  <c r="T72" i="75"/>
  <c r="U72" i="75" s="1"/>
  <c r="T29" i="40"/>
  <c r="R45" i="40" s="1"/>
  <c r="P65" i="40" s="1"/>
  <c r="T66" i="40" s="1"/>
  <c r="O90" i="40"/>
  <c r="U13" i="40"/>
  <c r="U29" i="40" s="1"/>
  <c r="U45" i="40" s="1"/>
  <c r="U13" i="57"/>
  <c r="U29" i="57" s="1"/>
  <c r="U45" i="57" s="1"/>
  <c r="T29" i="57"/>
  <c r="R45" i="57" s="1"/>
  <c r="P65" i="57" s="1"/>
  <c r="T66" i="57" s="1"/>
  <c r="O90" i="57"/>
  <c r="T29" i="36"/>
  <c r="R45" i="36" s="1"/>
  <c r="P65" i="36" s="1"/>
  <c r="T66" i="36" s="1"/>
  <c r="O90" i="36"/>
  <c r="U13" i="36"/>
  <c r="U29" i="36" s="1"/>
  <c r="U45" i="36" s="1"/>
  <c r="T68" i="16"/>
  <c r="U68" i="16" s="1"/>
  <c r="T71" i="16"/>
  <c r="U71" i="16" s="1"/>
  <c r="T70" i="16"/>
  <c r="U70" i="16" s="1"/>
  <c r="T72" i="16"/>
  <c r="U72" i="16" s="1"/>
  <c r="T70" i="40"/>
  <c r="U70" i="40" s="1"/>
  <c r="T72" i="40"/>
  <c r="U72" i="40" s="1"/>
  <c r="T68" i="40"/>
  <c r="U68" i="40" s="1"/>
  <c r="T71" i="40"/>
  <c r="U71" i="40" s="1"/>
  <c r="O90" i="75"/>
  <c r="U13" i="75"/>
  <c r="U29" i="75" s="1"/>
  <c r="U45" i="75" s="1"/>
  <c r="T29" i="75"/>
  <c r="R45" i="75" s="1"/>
  <c r="P65" i="75" s="1"/>
  <c r="T66" i="75" s="1"/>
  <c r="I122" i="21"/>
  <c r="T70" i="57"/>
  <c r="U70" i="57" s="1"/>
  <c r="T72" i="57"/>
  <c r="U72" i="57" s="1"/>
  <c r="T68" i="57"/>
  <c r="U68" i="57" s="1"/>
  <c r="T71" i="57"/>
  <c r="U71" i="57" s="1"/>
  <c r="T29" i="45"/>
  <c r="R45" i="45" s="1"/>
  <c r="P65" i="45" s="1"/>
  <c r="T66" i="45" s="1"/>
  <c r="O90" i="45"/>
  <c r="U13" i="45"/>
  <c r="U29" i="45" s="1"/>
  <c r="U45" i="45" s="1"/>
  <c r="T85" i="34"/>
  <c r="U85" i="34" s="1"/>
  <c r="T79" i="34"/>
  <c r="U79" i="34" s="1"/>
  <c r="T78" i="34"/>
  <c r="U78" i="34" s="1"/>
  <c r="T80" i="34"/>
  <c r="U80" i="34" s="1"/>
  <c r="U13" i="16"/>
  <c r="U29" i="16" s="1"/>
  <c r="U45" i="16" s="1"/>
  <c r="O90" i="16"/>
  <c r="T29" i="16"/>
  <c r="R45" i="16" s="1"/>
  <c r="P65" i="16" s="1"/>
  <c r="T66" i="16" s="1"/>
  <c r="I122" i="44"/>
  <c r="I134" i="28" l="1"/>
  <c r="I124" i="28"/>
  <c r="I128" i="28" s="1"/>
  <c r="I132" i="28" s="1"/>
  <c r="E133" i="64" s="1"/>
  <c r="G133" i="64" s="1"/>
  <c r="I124" i="69"/>
  <c r="I128" i="69" s="1"/>
  <c r="I132" i="69" s="1"/>
  <c r="E395" i="64" s="1"/>
  <c r="G395" i="64" s="1"/>
  <c r="I134" i="69"/>
  <c r="I122" i="57"/>
  <c r="I124" i="43"/>
  <c r="I128" i="43" s="1"/>
  <c r="I132" i="43" s="1"/>
  <c r="I134" i="43"/>
  <c r="I124" i="25"/>
  <c r="I128" i="25" s="1"/>
  <c r="I132" i="25" s="1"/>
  <c r="E90" i="64" s="1"/>
  <c r="G90" i="64" s="1"/>
  <c r="I134" i="25"/>
  <c r="U114" i="34"/>
  <c r="I120" i="34" s="1"/>
  <c r="U114" i="52"/>
  <c r="I120" i="52" s="1"/>
  <c r="I122" i="77"/>
  <c r="I124" i="77" s="1"/>
  <c r="I128" i="77" s="1"/>
  <c r="I132" i="77" s="1"/>
  <c r="T79" i="7"/>
  <c r="U79" i="7" s="1"/>
  <c r="T80" i="7"/>
  <c r="U80" i="7" s="1"/>
  <c r="T78" i="7"/>
  <c r="U78" i="7" s="1"/>
  <c r="T85" i="7"/>
  <c r="U85" i="7" s="1"/>
  <c r="T78" i="71"/>
  <c r="U78" i="71" s="1"/>
  <c r="T79" i="71"/>
  <c r="U79" i="71" s="1"/>
  <c r="T85" i="71"/>
  <c r="U85" i="71" s="1"/>
  <c r="T80" i="71"/>
  <c r="U80" i="71" s="1"/>
  <c r="T78" i="70"/>
  <c r="U78" i="70" s="1"/>
  <c r="T80" i="70"/>
  <c r="U80" i="70" s="1"/>
  <c r="T85" i="70"/>
  <c r="U85" i="70" s="1"/>
  <c r="T79" i="70"/>
  <c r="U79" i="70" s="1"/>
  <c r="T78" i="26"/>
  <c r="U78" i="26" s="1"/>
  <c r="T80" i="26"/>
  <c r="U80" i="26" s="1"/>
  <c r="T79" i="26"/>
  <c r="U79" i="26" s="1"/>
  <c r="T85" i="26"/>
  <c r="U85" i="26" s="1"/>
  <c r="T79" i="33"/>
  <c r="U79" i="33" s="1"/>
  <c r="T78" i="33"/>
  <c r="U78" i="33" s="1"/>
  <c r="T80" i="33"/>
  <c r="U80" i="33" s="1"/>
  <c r="T85" i="33"/>
  <c r="U85" i="33" s="1"/>
  <c r="T78" i="25"/>
  <c r="U78" i="25" s="1"/>
  <c r="T80" i="25"/>
  <c r="U80" i="25" s="1"/>
  <c r="T85" i="25"/>
  <c r="U85" i="25" s="1"/>
  <c r="T79" i="25"/>
  <c r="U79" i="25" s="1"/>
  <c r="T78" i="38"/>
  <c r="U78" i="38" s="1"/>
  <c r="T80" i="38"/>
  <c r="U80" i="38" s="1"/>
  <c r="T85" i="38"/>
  <c r="U85" i="38" s="1"/>
  <c r="T79" i="38"/>
  <c r="U79" i="38" s="1"/>
  <c r="T85" i="21"/>
  <c r="U85" i="21" s="1"/>
  <c r="T79" i="21"/>
  <c r="U79" i="21" s="1"/>
  <c r="T78" i="21"/>
  <c r="U78" i="21" s="1"/>
  <c r="T80" i="21"/>
  <c r="U80" i="21" s="1"/>
  <c r="T78" i="69"/>
  <c r="U78" i="69" s="1"/>
  <c r="T80" i="69"/>
  <c r="U80" i="69" s="1"/>
  <c r="T79" i="69"/>
  <c r="U79" i="69" s="1"/>
  <c r="T85" i="69"/>
  <c r="U85" i="69" s="1"/>
  <c r="T85" i="40"/>
  <c r="U85" i="40" s="1"/>
  <c r="T79" i="40"/>
  <c r="U79" i="40" s="1"/>
  <c r="T78" i="40"/>
  <c r="U78" i="40" s="1"/>
  <c r="T80" i="40"/>
  <c r="U80" i="40" s="1"/>
  <c r="T85" i="68"/>
  <c r="U85" i="68" s="1"/>
  <c r="T79" i="68"/>
  <c r="U79" i="68" s="1"/>
  <c r="T78" i="68"/>
  <c r="U78" i="68" s="1"/>
  <c r="T80" i="68"/>
  <c r="U80" i="68" s="1"/>
  <c r="T78" i="31"/>
  <c r="U78" i="31" s="1"/>
  <c r="T80" i="31"/>
  <c r="U80" i="31" s="1"/>
  <c r="T85" i="31"/>
  <c r="U85" i="31" s="1"/>
  <c r="T79" i="31"/>
  <c r="U79" i="31" s="1"/>
  <c r="T85" i="56"/>
  <c r="U85" i="56" s="1"/>
  <c r="T80" i="56"/>
  <c r="U80" i="56" s="1"/>
  <c r="T78" i="56"/>
  <c r="U78" i="56" s="1"/>
  <c r="T79" i="56"/>
  <c r="U79" i="56" s="1"/>
  <c r="T85" i="48"/>
  <c r="U85" i="48" s="1"/>
  <c r="T79" i="48"/>
  <c r="U79" i="48" s="1"/>
  <c r="T80" i="48"/>
  <c r="U80" i="48" s="1"/>
  <c r="T78" i="48"/>
  <c r="U78" i="48" s="1"/>
  <c r="T78" i="35"/>
  <c r="U78" i="35" s="1"/>
  <c r="T80" i="35"/>
  <c r="U80" i="35" s="1"/>
  <c r="T85" i="35"/>
  <c r="U85" i="35" s="1"/>
  <c r="T79" i="35"/>
  <c r="U79" i="35" s="1"/>
  <c r="T79" i="36"/>
  <c r="U79" i="36" s="1"/>
  <c r="T78" i="36"/>
  <c r="U78" i="36" s="1"/>
  <c r="T80" i="36"/>
  <c r="U80" i="36" s="1"/>
  <c r="T85" i="36"/>
  <c r="U85" i="36" s="1"/>
  <c r="T78" i="45"/>
  <c r="U78" i="45" s="1"/>
  <c r="T80" i="45"/>
  <c r="U80" i="45" s="1"/>
  <c r="T85" i="45"/>
  <c r="U85" i="45" s="1"/>
  <c r="T79" i="45"/>
  <c r="U79" i="45" s="1"/>
  <c r="T85" i="42"/>
  <c r="U85" i="42" s="1"/>
  <c r="T79" i="42"/>
  <c r="U79" i="42" s="1"/>
  <c r="T78" i="42"/>
  <c r="U78" i="42" s="1"/>
  <c r="T80" i="42"/>
  <c r="U80" i="42" s="1"/>
  <c r="T78" i="75"/>
  <c r="U78" i="75" s="1"/>
  <c r="T80" i="75"/>
  <c r="U80" i="75" s="1"/>
  <c r="T85" i="75"/>
  <c r="U85" i="75" s="1"/>
  <c r="T79" i="75"/>
  <c r="U79" i="75" s="1"/>
  <c r="T85" i="57"/>
  <c r="U85" i="57" s="1"/>
  <c r="T79" i="57"/>
  <c r="U79" i="57" s="1"/>
  <c r="T80" i="57"/>
  <c r="U80" i="57" s="1"/>
  <c r="T78" i="57"/>
  <c r="U78" i="57" s="1"/>
  <c r="T78" i="78"/>
  <c r="U78" i="78" s="1"/>
  <c r="T80" i="78"/>
  <c r="U80" i="78" s="1"/>
  <c r="T85" i="78"/>
  <c r="U85" i="78" s="1"/>
  <c r="T79" i="78"/>
  <c r="U79" i="78" s="1"/>
  <c r="T78" i="22"/>
  <c r="U78" i="22" s="1"/>
  <c r="T80" i="22"/>
  <c r="U80" i="22" s="1"/>
  <c r="T85" i="22"/>
  <c r="U85" i="22" s="1"/>
  <c r="T79" i="22"/>
  <c r="U79" i="22" s="1"/>
  <c r="I124" i="76"/>
  <c r="I128" i="76" s="1"/>
  <c r="I132" i="76" s="1"/>
  <c r="I122" i="55"/>
  <c r="T90" i="69"/>
  <c r="U93" i="69" s="1"/>
  <c r="O93" i="69"/>
  <c r="T79" i="20"/>
  <c r="U79" i="20" s="1"/>
  <c r="T78" i="20"/>
  <c r="U78" i="20" s="1"/>
  <c r="T80" i="20"/>
  <c r="U80" i="20" s="1"/>
  <c r="T85" i="20"/>
  <c r="U85" i="20" s="1"/>
  <c r="T90" i="7"/>
  <c r="U93" i="7" s="1"/>
  <c r="O93" i="7"/>
  <c r="T90" i="35"/>
  <c r="U93" i="35" s="1"/>
  <c r="O93" i="35"/>
  <c r="O93" i="26"/>
  <c r="T90" i="26"/>
  <c r="U93" i="26" s="1"/>
  <c r="T90" i="38"/>
  <c r="U93" i="38" s="1"/>
  <c r="O93" i="38"/>
  <c r="I122" i="42"/>
  <c r="I134" i="42" s="1"/>
  <c r="O93" i="24"/>
  <c r="T90" i="24"/>
  <c r="U93" i="24" s="1"/>
  <c r="O93" i="21"/>
  <c r="T90" i="21"/>
  <c r="U93" i="21" s="1"/>
  <c r="I122" i="27"/>
  <c r="I134" i="27" s="1"/>
  <c r="O93" i="28"/>
  <c r="T90" i="28"/>
  <c r="U93" i="28" s="1"/>
  <c r="I124" i="58"/>
  <c r="I128" i="58" s="1"/>
  <c r="I132" i="58" s="1"/>
  <c r="T79" i="30"/>
  <c r="U79" i="30" s="1"/>
  <c r="T78" i="30"/>
  <c r="U78" i="30" s="1"/>
  <c r="T80" i="30"/>
  <c r="U80" i="30" s="1"/>
  <c r="T85" i="30"/>
  <c r="U85" i="30" s="1"/>
  <c r="I122" i="32"/>
  <c r="T78" i="32"/>
  <c r="U78" i="32" s="1"/>
  <c r="T80" i="32"/>
  <c r="U80" i="32" s="1"/>
  <c r="T79" i="32"/>
  <c r="U79" i="32" s="1"/>
  <c r="T85" i="32"/>
  <c r="U85" i="32" s="1"/>
  <c r="I122" i="51"/>
  <c r="I134" i="51" s="1"/>
  <c r="I124" i="37"/>
  <c r="I128" i="37" s="1"/>
  <c r="I132" i="37" s="1"/>
  <c r="T79" i="16"/>
  <c r="U79" i="16" s="1"/>
  <c r="T78" i="16"/>
  <c r="U78" i="16" s="1"/>
  <c r="T80" i="16"/>
  <c r="U80" i="16" s="1"/>
  <c r="T85" i="16"/>
  <c r="U85" i="16" s="1"/>
  <c r="I124" i="44"/>
  <c r="I128" i="44" s="1"/>
  <c r="I132" i="44" s="1"/>
  <c r="I122" i="68"/>
  <c r="T78" i="50"/>
  <c r="U78" i="50" s="1"/>
  <c r="T80" i="50"/>
  <c r="U80" i="50" s="1"/>
  <c r="T85" i="50"/>
  <c r="U85" i="50" s="1"/>
  <c r="T79" i="50"/>
  <c r="U79" i="50" s="1"/>
  <c r="I122" i="50"/>
  <c r="I134" i="50" s="1"/>
  <c r="T90" i="31"/>
  <c r="U93" i="31" s="1"/>
  <c r="O93" i="31"/>
  <c r="T90" i="77"/>
  <c r="U93" i="77" s="1"/>
  <c r="O93" i="77"/>
  <c r="T85" i="28"/>
  <c r="U85" i="28" s="1"/>
  <c r="T79" i="28"/>
  <c r="U79" i="28" s="1"/>
  <c r="T78" i="28"/>
  <c r="U78" i="28" s="1"/>
  <c r="T80" i="28"/>
  <c r="U80" i="28" s="1"/>
  <c r="I134" i="37"/>
  <c r="T90" i="43"/>
  <c r="U93" i="43" s="1"/>
  <c r="O93" i="43"/>
  <c r="T78" i="17"/>
  <c r="U78" i="17" s="1"/>
  <c r="T80" i="17"/>
  <c r="U80" i="17" s="1"/>
  <c r="T79" i="17"/>
  <c r="U79" i="17" s="1"/>
  <c r="T85" i="17"/>
  <c r="U85" i="17" s="1"/>
  <c r="T78" i="58"/>
  <c r="U78" i="58" s="1"/>
  <c r="T80" i="58"/>
  <c r="U80" i="58" s="1"/>
  <c r="T85" i="58"/>
  <c r="U85" i="58" s="1"/>
  <c r="T79" i="58"/>
  <c r="U79" i="58" s="1"/>
  <c r="T80" i="67"/>
  <c r="U80" i="67" s="1"/>
  <c r="T85" i="67"/>
  <c r="U85" i="67" s="1"/>
  <c r="T78" i="67"/>
  <c r="U78" i="67" s="1"/>
  <c r="T79" i="67"/>
  <c r="U79" i="67" s="1"/>
  <c r="O93" i="55"/>
  <c r="T90" i="55"/>
  <c r="U93" i="55" s="1"/>
  <c r="T90" i="48"/>
  <c r="U93" i="48" s="1"/>
  <c r="O93" i="48"/>
  <c r="T90" i="15"/>
  <c r="U93" i="15" s="1"/>
  <c r="O93" i="15"/>
  <c r="T90" i="22"/>
  <c r="U93" i="22" s="1"/>
  <c r="O93" i="22"/>
  <c r="T90" i="57"/>
  <c r="U93" i="57" s="1"/>
  <c r="O93" i="57"/>
  <c r="T78" i="66"/>
  <c r="U78" i="66" s="1"/>
  <c r="T80" i="66"/>
  <c r="U80" i="66" s="1"/>
  <c r="T85" i="66"/>
  <c r="U85" i="66" s="1"/>
  <c r="T79" i="66"/>
  <c r="U79" i="66" s="1"/>
  <c r="O93" i="39"/>
  <c r="T90" i="39"/>
  <c r="U93" i="39" s="1"/>
  <c r="I124" i="40"/>
  <c r="I128" i="40" s="1"/>
  <c r="I132" i="40" s="1"/>
  <c r="I134" i="44"/>
  <c r="I124" i="66"/>
  <c r="I128" i="66" s="1"/>
  <c r="I132" i="66" s="1"/>
  <c r="O93" i="56"/>
  <c r="T90" i="56"/>
  <c r="U93" i="56" s="1"/>
  <c r="O93" i="17"/>
  <c r="T90" i="17"/>
  <c r="U93" i="17" s="1"/>
  <c r="T90" i="50"/>
  <c r="U93" i="50" s="1"/>
  <c r="O93" i="50"/>
  <c r="T90" i="71"/>
  <c r="U93" i="71" s="1"/>
  <c r="O93" i="71"/>
  <c r="T78" i="77"/>
  <c r="U78" i="77" s="1"/>
  <c r="T80" i="77"/>
  <c r="U80" i="77" s="1"/>
  <c r="T85" i="77"/>
  <c r="U85" i="77" s="1"/>
  <c r="T79" i="77"/>
  <c r="U79" i="77" s="1"/>
  <c r="I122" i="15"/>
  <c r="I122" i="36"/>
  <c r="I122" i="35"/>
  <c r="I134" i="35" s="1"/>
  <c r="T90" i="32"/>
  <c r="U93" i="32" s="1"/>
  <c r="O93" i="32"/>
  <c r="T90" i="66"/>
  <c r="U93" i="66" s="1"/>
  <c r="O93" i="66"/>
  <c r="I122" i="70"/>
  <c r="T90" i="25"/>
  <c r="U93" i="25" s="1"/>
  <c r="O93" i="25"/>
  <c r="T90" i="23"/>
  <c r="U93" i="23" s="1"/>
  <c r="O93" i="23"/>
  <c r="I124" i="52"/>
  <c r="I128" i="52" s="1"/>
  <c r="I132" i="52" s="1"/>
  <c r="O93" i="42"/>
  <c r="T90" i="42"/>
  <c r="U93" i="42" s="1"/>
  <c r="T78" i="23"/>
  <c r="U78" i="23" s="1"/>
  <c r="T80" i="23"/>
  <c r="U80" i="23" s="1"/>
  <c r="T85" i="23"/>
  <c r="U85" i="23" s="1"/>
  <c r="T79" i="23"/>
  <c r="U79" i="23" s="1"/>
  <c r="O93" i="27"/>
  <c r="T90" i="27"/>
  <c r="U93" i="27" s="1"/>
  <c r="T79" i="76"/>
  <c r="U79" i="76" s="1"/>
  <c r="T78" i="76"/>
  <c r="U78" i="76" s="1"/>
  <c r="T80" i="76"/>
  <c r="U80" i="76" s="1"/>
  <c r="T85" i="76"/>
  <c r="U85" i="76" s="1"/>
  <c r="O93" i="76"/>
  <c r="T90" i="76"/>
  <c r="U93" i="76" s="1"/>
  <c r="T79" i="24"/>
  <c r="U79" i="24" s="1"/>
  <c r="T78" i="24"/>
  <c r="U78" i="24" s="1"/>
  <c r="T80" i="24"/>
  <c r="U80" i="24" s="1"/>
  <c r="T85" i="24"/>
  <c r="U85" i="24" s="1"/>
  <c r="I122" i="30"/>
  <c r="O93" i="37"/>
  <c r="T90" i="37"/>
  <c r="U93" i="37" s="1"/>
  <c r="T85" i="44"/>
  <c r="U85" i="44" s="1"/>
  <c r="T79" i="44"/>
  <c r="U79" i="44" s="1"/>
  <c r="T80" i="44"/>
  <c r="U80" i="44" s="1"/>
  <c r="T78" i="44"/>
  <c r="U78" i="44" s="1"/>
  <c r="T78" i="37"/>
  <c r="U78" i="37" s="1"/>
  <c r="T80" i="37"/>
  <c r="U80" i="37" s="1"/>
  <c r="T85" i="37"/>
  <c r="U85" i="37" s="1"/>
  <c r="T79" i="37"/>
  <c r="U79" i="37" s="1"/>
  <c r="T79" i="27"/>
  <c r="U79" i="27" s="1"/>
  <c r="T78" i="27"/>
  <c r="U78" i="27" s="1"/>
  <c r="T80" i="27"/>
  <c r="U80" i="27" s="1"/>
  <c r="T85" i="27"/>
  <c r="U85" i="27" s="1"/>
  <c r="T90" i="67"/>
  <c r="U93" i="67" s="1"/>
  <c r="O93" i="67"/>
  <c r="T78" i="47"/>
  <c r="U78" i="47" s="1"/>
  <c r="T80" i="47"/>
  <c r="U80" i="47" s="1"/>
  <c r="T85" i="47"/>
  <c r="U85" i="47" s="1"/>
  <c r="T79" i="47"/>
  <c r="U79" i="47" s="1"/>
  <c r="I124" i="38"/>
  <c r="I128" i="38" s="1"/>
  <c r="I132" i="38" s="1"/>
  <c r="I122" i="47"/>
  <c r="T90" i="47"/>
  <c r="U93" i="47" s="1"/>
  <c r="O93" i="47"/>
  <c r="T78" i="18"/>
  <c r="U78" i="18" s="1"/>
  <c r="T80" i="18"/>
  <c r="U80" i="18" s="1"/>
  <c r="T85" i="18"/>
  <c r="U85" i="18" s="1"/>
  <c r="T79" i="18"/>
  <c r="U79" i="18" s="1"/>
  <c r="I124" i="21"/>
  <c r="I128" i="21" s="1"/>
  <c r="I132" i="21" s="1"/>
  <c r="I122" i="39"/>
  <c r="I134" i="39" s="1"/>
  <c r="I122" i="75"/>
  <c r="I134" i="75" s="1"/>
  <c r="I124" i="45"/>
  <c r="I128" i="45" s="1"/>
  <c r="I132" i="45" s="1"/>
  <c r="O93" i="58"/>
  <c r="T90" i="58"/>
  <c r="U93" i="58" s="1"/>
  <c r="O93" i="68"/>
  <c r="T90" i="68"/>
  <c r="U93" i="68" s="1"/>
  <c r="I134" i="38"/>
  <c r="O93" i="33"/>
  <c r="T90" i="33"/>
  <c r="U93" i="33" s="1"/>
  <c r="T78" i="15"/>
  <c r="U78" i="15" s="1"/>
  <c r="T80" i="15"/>
  <c r="U80" i="15" s="1"/>
  <c r="T85" i="15"/>
  <c r="U85" i="15" s="1"/>
  <c r="T79" i="15"/>
  <c r="U79" i="15" s="1"/>
  <c r="O93" i="16"/>
  <c r="T90" i="16"/>
  <c r="U93" i="16" s="1"/>
  <c r="T90" i="45"/>
  <c r="U93" i="45" s="1"/>
  <c r="O93" i="45"/>
  <c r="I124" i="33"/>
  <c r="I128" i="33" s="1"/>
  <c r="I132" i="33" s="1"/>
  <c r="I124" i="34"/>
  <c r="I128" i="34" s="1"/>
  <c r="I132" i="34" s="1"/>
  <c r="I122" i="56"/>
  <c r="O93" i="20"/>
  <c r="T90" i="20"/>
  <c r="U93" i="20" s="1"/>
  <c r="I124" i="67"/>
  <c r="I128" i="67" s="1"/>
  <c r="I132" i="67" s="1"/>
  <c r="I134" i="21"/>
  <c r="T78" i="43"/>
  <c r="U78" i="43" s="1"/>
  <c r="T80" i="43"/>
  <c r="U80" i="43" s="1"/>
  <c r="T85" i="43"/>
  <c r="U85" i="43" s="1"/>
  <c r="T79" i="43"/>
  <c r="U79" i="43" s="1"/>
  <c r="O93" i="36"/>
  <c r="T90" i="36"/>
  <c r="U93" i="36" s="1"/>
  <c r="I134" i="33"/>
  <c r="O93" i="18"/>
  <c r="T90" i="18"/>
  <c r="U93" i="18" s="1"/>
  <c r="I134" i="34"/>
  <c r="O93" i="78"/>
  <c r="T90" i="78"/>
  <c r="U93" i="78" s="1"/>
  <c r="O93" i="30"/>
  <c r="T90" i="30"/>
  <c r="U93" i="30" s="1"/>
  <c r="T78" i="51"/>
  <c r="U78" i="51" s="1"/>
  <c r="T80" i="51"/>
  <c r="U80" i="51" s="1"/>
  <c r="T85" i="51"/>
  <c r="U85" i="51" s="1"/>
  <c r="T79" i="51"/>
  <c r="U79" i="51" s="1"/>
  <c r="I124" i="78"/>
  <c r="I128" i="78" s="1"/>
  <c r="I132" i="78" s="1"/>
  <c r="O93" i="51"/>
  <c r="T90" i="51"/>
  <c r="U93" i="51" s="1"/>
  <c r="O93" i="75"/>
  <c r="T90" i="75"/>
  <c r="U93" i="75" s="1"/>
  <c r="T85" i="55"/>
  <c r="U85" i="55" s="1"/>
  <c r="T79" i="55"/>
  <c r="U79" i="55" s="1"/>
  <c r="T78" i="55"/>
  <c r="U78" i="55" s="1"/>
  <c r="T80" i="55"/>
  <c r="U80" i="55" s="1"/>
  <c r="T79" i="39"/>
  <c r="U79" i="39" s="1"/>
  <c r="T78" i="39"/>
  <c r="U78" i="39" s="1"/>
  <c r="T80" i="39"/>
  <c r="U80" i="39" s="1"/>
  <c r="T85" i="39"/>
  <c r="U85" i="39" s="1"/>
  <c r="O93" i="40"/>
  <c r="T90" i="40"/>
  <c r="U93" i="40" s="1"/>
  <c r="I124" i="48"/>
  <c r="I128" i="48" s="1"/>
  <c r="I132" i="48" s="1"/>
  <c r="O93" i="70"/>
  <c r="T90" i="70"/>
  <c r="U93" i="70" s="1"/>
  <c r="I134" i="78"/>
  <c r="T90" i="44"/>
  <c r="U93" i="44" s="1"/>
  <c r="O93" i="44"/>
  <c r="U114" i="17" l="1"/>
  <c r="I120" i="17" s="1"/>
  <c r="I124" i="30"/>
  <c r="I128" i="30" s="1"/>
  <c r="I132" i="30" s="1"/>
  <c r="I124" i="57"/>
  <c r="I128" i="57" s="1"/>
  <c r="I132" i="57" s="1"/>
  <c r="I134" i="57"/>
  <c r="E252" i="64"/>
  <c r="G252" i="64" s="1"/>
  <c r="U114" i="25"/>
  <c r="I120" i="25" s="1"/>
  <c r="U114" i="70"/>
  <c r="I120" i="70" s="1"/>
  <c r="U114" i="30"/>
  <c r="I120" i="30" s="1"/>
  <c r="U114" i="31"/>
  <c r="I120" i="31" s="1"/>
  <c r="H122" i="31" s="1"/>
  <c r="U114" i="68"/>
  <c r="I120" i="68" s="1"/>
  <c r="U114" i="45"/>
  <c r="I120" i="45" s="1"/>
  <c r="U114" i="67"/>
  <c r="I120" i="67" s="1"/>
  <c r="U114" i="20"/>
  <c r="I120" i="20" s="1"/>
  <c r="H122" i="20" s="1"/>
  <c r="U114" i="71"/>
  <c r="I120" i="71" s="1"/>
  <c r="U114" i="16"/>
  <c r="I120" i="16" s="1"/>
  <c r="U114" i="37"/>
  <c r="I120" i="37" s="1"/>
  <c r="U114" i="32"/>
  <c r="I120" i="32" s="1"/>
  <c r="U114" i="21"/>
  <c r="I120" i="21" s="1"/>
  <c r="U114" i="51"/>
  <c r="I120" i="51" s="1"/>
  <c r="U114" i="22"/>
  <c r="I120" i="22" s="1"/>
  <c r="U114" i="26"/>
  <c r="I120" i="26" s="1"/>
  <c r="U114" i="42"/>
  <c r="I120" i="42" s="1"/>
  <c r="U114" i="48"/>
  <c r="I120" i="48" s="1"/>
  <c r="U114" i="35"/>
  <c r="I120" i="35" s="1"/>
  <c r="U114" i="44"/>
  <c r="I120" i="44" s="1"/>
  <c r="U114" i="36"/>
  <c r="I120" i="36" s="1"/>
  <c r="U114" i="47"/>
  <c r="I120" i="47" s="1"/>
  <c r="U114" i="50"/>
  <c r="I120" i="50" s="1"/>
  <c r="U114" i="55"/>
  <c r="I120" i="55" s="1"/>
  <c r="U114" i="77"/>
  <c r="I120" i="77" s="1"/>
  <c r="U114" i="24"/>
  <c r="I120" i="24" s="1"/>
  <c r="H122" i="24" s="1"/>
  <c r="U114" i="33"/>
  <c r="I120" i="33" s="1"/>
  <c r="U114" i="43"/>
  <c r="I120" i="43" s="1"/>
  <c r="U114" i="56"/>
  <c r="I120" i="56" s="1"/>
  <c r="U114" i="75"/>
  <c r="I120" i="75" s="1"/>
  <c r="U114" i="27"/>
  <c r="I120" i="27" s="1"/>
  <c r="U114" i="57"/>
  <c r="I120" i="57" s="1"/>
  <c r="U114" i="78"/>
  <c r="I120" i="78" s="1"/>
  <c r="U114" i="23"/>
  <c r="I120" i="23" s="1"/>
  <c r="H122" i="23" s="1"/>
  <c r="U114" i="38"/>
  <c r="I120" i="38" s="1"/>
  <c r="U114" i="69"/>
  <c r="I120" i="69" s="1"/>
  <c r="U114" i="15"/>
  <c r="I120" i="15" s="1"/>
  <c r="U114" i="40"/>
  <c r="I120" i="40" s="1"/>
  <c r="U114" i="18"/>
  <c r="I120" i="18" s="1"/>
  <c r="H122" i="18" s="1"/>
  <c r="U114" i="58"/>
  <c r="I120" i="58" s="1"/>
  <c r="U114" i="39"/>
  <c r="I120" i="39" s="1"/>
  <c r="U114" i="28"/>
  <c r="I120" i="28" s="1"/>
  <c r="U114" i="76"/>
  <c r="I120" i="76" s="1"/>
  <c r="U114" i="66"/>
  <c r="I120" i="66" s="1"/>
  <c r="U114" i="7"/>
  <c r="I120" i="7" s="1"/>
  <c r="I134" i="77"/>
  <c r="I134" i="30"/>
  <c r="E442" i="64"/>
  <c r="G442" i="64" s="1"/>
  <c r="I124" i="75"/>
  <c r="I128" i="75" s="1"/>
  <c r="I132" i="75" s="1"/>
  <c r="E161" i="64"/>
  <c r="G161" i="64" s="1"/>
  <c r="E314" i="64"/>
  <c r="G314" i="64" s="1"/>
  <c r="I124" i="35"/>
  <c r="I128" i="35" s="1"/>
  <c r="I132" i="35" s="1"/>
  <c r="I124" i="50"/>
  <c r="I128" i="50" s="1"/>
  <c r="I132" i="50" s="1"/>
  <c r="I124" i="47"/>
  <c r="I128" i="47" s="1"/>
  <c r="I132" i="47" s="1"/>
  <c r="E370" i="64"/>
  <c r="G370" i="64" s="1"/>
  <c r="I134" i="47"/>
  <c r="I124" i="36"/>
  <c r="I128" i="36" s="1"/>
  <c r="I132" i="36" s="1"/>
  <c r="E432" i="64"/>
  <c r="G432" i="64" s="1"/>
  <c r="I124" i="55"/>
  <c r="I128" i="55" s="1"/>
  <c r="I132" i="55" s="1"/>
  <c r="I124" i="56"/>
  <c r="I128" i="56" s="1"/>
  <c r="I132" i="56" s="1"/>
  <c r="I134" i="56"/>
  <c r="I124" i="39"/>
  <c r="I128" i="39" s="1"/>
  <c r="I132" i="39" s="1"/>
  <c r="E212" i="64"/>
  <c r="G212" i="64" s="1"/>
  <c r="I134" i="36"/>
  <c r="I134" i="55"/>
  <c r="I124" i="15"/>
  <c r="I128" i="15" s="1"/>
  <c r="I132" i="15" s="1"/>
  <c r="E204" i="64"/>
  <c r="G204" i="64" s="1"/>
  <c r="I124" i="32"/>
  <c r="I128" i="32" s="1"/>
  <c r="I132" i="32" s="1"/>
  <c r="I124" i="27"/>
  <c r="I128" i="27" s="1"/>
  <c r="I132" i="27" s="1"/>
  <c r="E333" i="64"/>
  <c r="G333" i="64" s="1"/>
  <c r="I124" i="51"/>
  <c r="I128" i="51" s="1"/>
  <c r="I132" i="51" s="1"/>
  <c r="E80" i="64"/>
  <c r="G80" i="64" s="1"/>
  <c r="I134" i="15"/>
  <c r="I134" i="32"/>
  <c r="E287" i="64"/>
  <c r="G287" i="64" s="1"/>
  <c r="I124" i="70"/>
  <c r="I128" i="70" s="1"/>
  <c r="I132" i="70" s="1"/>
  <c r="E379" i="64"/>
  <c r="G379" i="64" s="1"/>
  <c r="E262" i="64"/>
  <c r="G262" i="64" s="1"/>
  <c r="I134" i="70"/>
  <c r="E386" i="64"/>
  <c r="G386" i="64" s="1"/>
  <c r="I124" i="68"/>
  <c r="I128" i="68" s="1"/>
  <c r="I132" i="68" s="1"/>
  <c r="I124" i="42"/>
  <c r="I128" i="42" s="1"/>
  <c r="I132" i="42" s="1"/>
  <c r="E170" i="64"/>
  <c r="G170" i="64" s="1"/>
  <c r="E270" i="64"/>
  <c r="G270" i="64" s="1"/>
  <c r="E233" i="64"/>
  <c r="G233" i="64" s="1"/>
  <c r="I134" i="68"/>
  <c r="E451" i="64" l="1"/>
  <c r="G451" i="64" s="1"/>
  <c r="E361" i="64"/>
  <c r="G361" i="64" s="1"/>
  <c r="H122" i="26"/>
  <c r="I122" i="26" s="1"/>
  <c r="H122" i="22"/>
  <c r="I122" i="22" s="1"/>
  <c r="H122" i="17"/>
  <c r="I122" i="17" s="1"/>
  <c r="H122" i="71"/>
  <c r="I122" i="71" s="1"/>
  <c r="E323" i="64"/>
  <c r="G323" i="64" s="1"/>
  <c r="I122" i="31"/>
  <c r="E15" i="64"/>
  <c r="G15" i="64" s="1"/>
  <c r="I122" i="23"/>
  <c r="I134" i="23" s="1"/>
  <c r="E343" i="64"/>
  <c r="G343" i="64" s="1"/>
  <c r="I122" i="20"/>
  <c r="E193" i="64"/>
  <c r="G193" i="64" s="1"/>
  <c r="E305" i="64"/>
  <c r="G305" i="64" s="1"/>
  <c r="I122" i="24"/>
  <c r="E405" i="64"/>
  <c r="G405" i="64" s="1"/>
  <c r="E242" i="64"/>
  <c r="G242" i="64" s="1"/>
  <c r="E297" i="64"/>
  <c r="G297" i="64" s="1"/>
  <c r="I122" i="18"/>
  <c r="E223" i="64"/>
  <c r="G223" i="64" s="1"/>
  <c r="E124" i="64"/>
  <c r="G124" i="64" s="1"/>
  <c r="E424" i="64"/>
  <c r="G424" i="64" s="1"/>
  <c r="I120" i="60"/>
  <c r="E178" i="64"/>
  <c r="G178" i="64" s="1"/>
  <c r="E278" i="64"/>
  <c r="G278" i="64" s="1"/>
  <c r="E151" i="64"/>
  <c r="G151" i="64" s="1"/>
  <c r="E354" i="64"/>
  <c r="G354" i="64" s="1"/>
  <c r="I134" i="17" l="1"/>
  <c r="I124" i="17"/>
  <c r="I128" i="17" s="1"/>
  <c r="I132" i="17" s="1"/>
  <c r="E53" i="64" s="1"/>
  <c r="G53" i="64" s="1"/>
  <c r="I124" i="22"/>
  <c r="I128" i="22" s="1"/>
  <c r="I132" i="22" s="1"/>
  <c r="E109" i="64" s="1"/>
  <c r="G109" i="64" s="1"/>
  <c r="I134" i="71"/>
  <c r="I124" i="71"/>
  <c r="I128" i="71" s="1"/>
  <c r="I132" i="71" s="1"/>
  <c r="E415" i="64" s="1"/>
  <c r="G415" i="64" s="1"/>
  <c r="I134" i="26"/>
  <c r="I124" i="26"/>
  <c r="I128" i="26" s="1"/>
  <c r="I132" i="26" s="1"/>
  <c r="I134" i="22"/>
  <c r="I124" i="20"/>
  <c r="I128" i="20" s="1"/>
  <c r="I132" i="20" s="1"/>
  <c r="I134" i="20"/>
  <c r="I124" i="18"/>
  <c r="I128" i="18" s="1"/>
  <c r="I132" i="18" s="1"/>
  <c r="I124" i="24"/>
  <c r="I128" i="24" s="1"/>
  <c r="I132" i="24" s="1"/>
  <c r="I134" i="24"/>
  <c r="I124" i="23"/>
  <c r="I128" i="23" s="1"/>
  <c r="I132" i="23" s="1"/>
  <c r="I134" i="18"/>
  <c r="I124" i="31"/>
  <c r="I128" i="31" s="1"/>
  <c r="I132" i="31" s="1"/>
  <c r="I134" i="31"/>
  <c r="E117" i="64" l="1"/>
  <c r="G117" i="64" s="1"/>
  <c r="E72" i="64"/>
  <c r="G72" i="64" s="1"/>
  <c r="E100" i="64"/>
  <c r="G100" i="64" s="1"/>
  <c r="E60" i="64"/>
  <c r="G60" i="64" s="1"/>
  <c r="E142" i="64"/>
  <c r="G142" i="64" s="1"/>
  <c r="E185" i="64"/>
  <c r="G185" i="64" s="1"/>
  <c r="E52" i="7" l="1"/>
  <c r="E55" i="7"/>
  <c r="I55" i="7" s="1"/>
  <c r="E58" i="7"/>
  <c r="I58" i="7" s="1"/>
  <c r="E53" i="7"/>
  <c r="E56" i="7"/>
  <c r="I56" i="7" s="1"/>
  <c r="E50" i="7"/>
  <c r="E54" i="7"/>
  <c r="E51" i="7"/>
  <c r="I51" i="7" s="1"/>
  <c r="C50" i="60"/>
  <c r="E57" i="7"/>
  <c r="I57" i="7" s="1"/>
  <c r="C53" i="60"/>
  <c r="C54" i="60"/>
  <c r="C51" i="60"/>
  <c r="C55" i="60"/>
  <c r="C59" i="7"/>
  <c r="C56" i="60"/>
  <c r="C57" i="60"/>
  <c r="C52" i="60"/>
  <c r="C58" i="60"/>
  <c r="J16" i="7" l="1"/>
  <c r="I52" i="7"/>
  <c r="E59" i="7"/>
  <c r="I54" i="7"/>
  <c r="I50" i="7"/>
  <c r="C59" i="60"/>
  <c r="J18" i="7"/>
  <c r="I53" i="7"/>
  <c r="J14" i="7"/>
  <c r="I59" i="7" l="1"/>
  <c r="I115" i="7" s="1"/>
  <c r="I117" i="7" l="1"/>
  <c r="H122" i="7" l="1"/>
  <c r="I122" i="7" l="1"/>
  <c r="I124" i="7" l="1"/>
  <c r="I134" i="7"/>
  <c r="I128" i="7" l="1"/>
  <c r="I132" i="7" s="1"/>
  <c r="E5" i="64" l="1"/>
  <c r="G5" i="64" l="1"/>
  <c r="D53" i="60" l="1"/>
  <c r="D57" i="60"/>
  <c r="D50" i="60"/>
  <c r="D54" i="60"/>
  <c r="D55" i="60"/>
  <c r="D52" i="60"/>
  <c r="D56" i="60"/>
  <c r="D51" i="60"/>
  <c r="D59" i="16"/>
  <c r="E57" i="16" s="1"/>
  <c r="D58" i="60"/>
  <c r="D59" i="60" l="1"/>
  <c r="E57" i="60"/>
  <c r="I57" i="16"/>
  <c r="I57" i="60" s="1"/>
  <c r="E58" i="16"/>
  <c r="E55" i="16"/>
  <c r="E50" i="16"/>
  <c r="E53" i="16"/>
  <c r="E51" i="16"/>
  <c r="E109" i="16"/>
  <c r="E52" i="16"/>
  <c r="E54" i="16"/>
  <c r="E108" i="16"/>
  <c r="E107" i="16"/>
  <c r="E56" i="16"/>
  <c r="E54" i="60" l="1"/>
  <c r="I54" i="16"/>
  <c r="I54" i="60" s="1"/>
  <c r="I107" i="16"/>
  <c r="E107" i="60"/>
  <c r="E52" i="60"/>
  <c r="I52" i="16"/>
  <c r="I52" i="60" s="1"/>
  <c r="I55" i="16"/>
  <c r="I55" i="60" s="1"/>
  <c r="E55" i="60"/>
  <c r="E108" i="60"/>
  <c r="I108" i="16"/>
  <c r="I108" i="60" s="1"/>
  <c r="E109" i="60"/>
  <c r="I109" i="16"/>
  <c r="I109" i="60" s="1"/>
  <c r="E51" i="60"/>
  <c r="I51" i="16"/>
  <c r="I51" i="60" s="1"/>
  <c r="I53" i="16"/>
  <c r="I53" i="60" s="1"/>
  <c r="J16" i="16"/>
  <c r="E53" i="60"/>
  <c r="E59" i="16"/>
  <c r="J14" i="16"/>
  <c r="E50" i="60"/>
  <c r="I50" i="16"/>
  <c r="I58" i="16"/>
  <c r="I58" i="60" s="1"/>
  <c r="E58" i="60"/>
  <c r="J18" i="16"/>
  <c r="E56" i="60"/>
  <c r="I56" i="16"/>
  <c r="I56" i="60" s="1"/>
  <c r="E59" i="60" l="1"/>
  <c r="I59" i="16"/>
  <c r="I50" i="60"/>
  <c r="I59" i="60" s="1"/>
  <c r="I110" i="16"/>
  <c r="I115" i="16" s="1"/>
  <c r="I107" i="60"/>
  <c r="I110" i="60" s="1"/>
  <c r="I115" i="60" l="1"/>
  <c r="I117" i="16"/>
  <c r="J115" i="60" l="1"/>
  <c r="H122" i="60"/>
  <c r="H122" i="16"/>
  <c r="I117" i="60"/>
  <c r="I122" i="16" l="1"/>
  <c r="I134" i="16"/>
  <c r="I134" i="60" s="1"/>
  <c r="I122" i="60" l="1"/>
  <c r="I124" i="16"/>
  <c r="I128" i="16" l="1"/>
  <c r="I132" i="16" s="1"/>
  <c r="I124" i="60"/>
  <c r="I128" i="60" s="1"/>
  <c r="J124" i="60" l="1"/>
  <c r="I132" i="60"/>
  <c r="E37" i="64"/>
  <c r="G37" i="64" l="1"/>
  <c r="G465" i="64" s="1"/>
  <c r="E465" i="64"/>
  <c r="E472" i="64"/>
  <c r="J132" i="60"/>
  <c r="G472" i="64" l="1"/>
  <c r="G494" i="64" s="1"/>
  <c r="G495" i="64" s="1"/>
  <c r="E494" i="64"/>
  <c r="E495" i="64" s="1"/>
  <c r="G466" i="64"/>
</calcChain>
</file>

<file path=xl/comments1.xml><?xml version="1.0" encoding="utf-8"?>
<comments xmlns="http://schemas.openxmlformats.org/spreadsheetml/2006/main">
  <authors>
    <author>RSO</author>
  </authors>
  <commentList>
    <comment ref="J14" authorId="0" shapeId="0">
      <text>
        <r>
          <rPr>
            <sz val="9"/>
            <color indexed="81"/>
            <rFont val="Tahoma"/>
            <family val="2"/>
          </rPr>
          <t>Check that Program 111 = lines 47-49</t>
        </r>
      </text>
    </comment>
    <comment ref="J16" authorId="0" shapeId="0">
      <text>
        <r>
          <rPr>
            <sz val="9"/>
            <color indexed="81"/>
            <rFont val="Tahoma"/>
            <family val="2"/>
          </rPr>
          <t>Check that Program 112 = lines 50 - 52</t>
        </r>
      </text>
    </comment>
    <comment ref="J18" authorId="0" shapeId="0">
      <text>
        <r>
          <rPr>
            <sz val="9"/>
            <color indexed="81"/>
            <rFont val="Tahoma"/>
            <family val="2"/>
          </rPr>
          <t>Check that Program 113 = lines 53 - 55</t>
        </r>
      </text>
    </comment>
  </commentList>
</comments>
</file>

<file path=xl/comments10.xml><?xml version="1.0" encoding="utf-8"?>
<comments xmlns="http://schemas.openxmlformats.org/spreadsheetml/2006/main">
  <authors>
    <author>RSO</author>
  </authors>
  <commentList>
    <comment ref="J14" authorId="0" shapeId="0">
      <text>
        <r>
          <rPr>
            <sz val="9"/>
            <color indexed="81"/>
            <rFont val="Tahoma"/>
            <family val="2"/>
          </rPr>
          <t>Check that Program 111 = lines 47-49</t>
        </r>
      </text>
    </comment>
    <comment ref="J16" authorId="0" shapeId="0">
      <text>
        <r>
          <rPr>
            <sz val="9"/>
            <color indexed="81"/>
            <rFont val="Tahoma"/>
            <family val="2"/>
          </rPr>
          <t>Check that Program 112 = lines 50 - 52</t>
        </r>
      </text>
    </comment>
    <comment ref="J18" authorId="0" shapeId="0">
      <text>
        <r>
          <rPr>
            <sz val="9"/>
            <color indexed="81"/>
            <rFont val="Tahoma"/>
            <family val="2"/>
          </rPr>
          <t>Check that Program 113 = lines 53 - 55</t>
        </r>
      </text>
    </comment>
  </commentList>
</comments>
</file>

<file path=xl/comments11.xml><?xml version="1.0" encoding="utf-8"?>
<comments xmlns="http://schemas.openxmlformats.org/spreadsheetml/2006/main">
  <authors>
    <author>RSO</author>
  </authors>
  <commentList>
    <comment ref="J14" authorId="0" shapeId="0">
      <text>
        <r>
          <rPr>
            <sz val="9"/>
            <color indexed="81"/>
            <rFont val="Tahoma"/>
            <family val="2"/>
          </rPr>
          <t>Check that Program 111 = lines 47-49</t>
        </r>
      </text>
    </comment>
    <comment ref="J16" authorId="0" shapeId="0">
      <text>
        <r>
          <rPr>
            <sz val="9"/>
            <color indexed="81"/>
            <rFont val="Tahoma"/>
            <family val="2"/>
          </rPr>
          <t>Check that Program 112 = lines 50 - 52</t>
        </r>
      </text>
    </comment>
    <comment ref="J18" authorId="0" shapeId="0">
      <text>
        <r>
          <rPr>
            <sz val="9"/>
            <color indexed="81"/>
            <rFont val="Tahoma"/>
            <family val="2"/>
          </rPr>
          <t>Check that Program 113 = lines 53 - 55</t>
        </r>
      </text>
    </comment>
  </commentList>
</comments>
</file>

<file path=xl/comments12.xml><?xml version="1.0" encoding="utf-8"?>
<comments xmlns="http://schemas.openxmlformats.org/spreadsheetml/2006/main">
  <authors>
    <author>RSO</author>
  </authors>
  <commentList>
    <comment ref="J14" authorId="0" shapeId="0">
      <text>
        <r>
          <rPr>
            <sz val="9"/>
            <color indexed="81"/>
            <rFont val="Tahoma"/>
            <family val="2"/>
          </rPr>
          <t>Check that Program 111 = lines 47-49</t>
        </r>
      </text>
    </comment>
    <comment ref="J16" authorId="0" shapeId="0">
      <text>
        <r>
          <rPr>
            <sz val="9"/>
            <color indexed="81"/>
            <rFont val="Tahoma"/>
            <family val="2"/>
          </rPr>
          <t>Check that Program 112 = lines 50 - 52</t>
        </r>
      </text>
    </comment>
    <comment ref="J18" authorId="0" shapeId="0">
      <text>
        <r>
          <rPr>
            <sz val="9"/>
            <color indexed="81"/>
            <rFont val="Tahoma"/>
            <family val="2"/>
          </rPr>
          <t>Check that Program 113 = lines 53 - 55</t>
        </r>
      </text>
    </comment>
  </commentList>
</comments>
</file>

<file path=xl/comments13.xml><?xml version="1.0" encoding="utf-8"?>
<comments xmlns="http://schemas.openxmlformats.org/spreadsheetml/2006/main">
  <authors>
    <author>RSO</author>
  </authors>
  <commentList>
    <comment ref="J14" authorId="0" shapeId="0">
      <text>
        <r>
          <rPr>
            <sz val="9"/>
            <color indexed="81"/>
            <rFont val="Tahoma"/>
            <family val="2"/>
          </rPr>
          <t>Check that Program 111 = lines 47-49</t>
        </r>
      </text>
    </comment>
    <comment ref="J16" authorId="0" shapeId="0">
      <text>
        <r>
          <rPr>
            <sz val="9"/>
            <color indexed="81"/>
            <rFont val="Tahoma"/>
            <family val="2"/>
          </rPr>
          <t>Check that Program 112 = lines 50 - 52</t>
        </r>
      </text>
    </comment>
    <comment ref="J18" authorId="0" shapeId="0">
      <text>
        <r>
          <rPr>
            <sz val="9"/>
            <color indexed="81"/>
            <rFont val="Tahoma"/>
            <family val="2"/>
          </rPr>
          <t>Check that Program 113 = lines 53 - 55</t>
        </r>
      </text>
    </comment>
  </commentList>
</comments>
</file>

<file path=xl/comments14.xml><?xml version="1.0" encoding="utf-8"?>
<comments xmlns="http://schemas.openxmlformats.org/spreadsheetml/2006/main">
  <authors>
    <author>RSO</author>
  </authors>
  <commentList>
    <comment ref="J14" authorId="0" shapeId="0">
      <text>
        <r>
          <rPr>
            <sz val="9"/>
            <color indexed="81"/>
            <rFont val="Tahoma"/>
            <family val="2"/>
          </rPr>
          <t>Check that Program 111 = lines 47-49</t>
        </r>
      </text>
    </comment>
    <comment ref="J16" authorId="0" shapeId="0">
      <text>
        <r>
          <rPr>
            <sz val="9"/>
            <color indexed="81"/>
            <rFont val="Tahoma"/>
            <family val="2"/>
          </rPr>
          <t>Check that Program 112 = lines 50 - 52</t>
        </r>
      </text>
    </comment>
    <comment ref="J18" authorId="0" shapeId="0">
      <text>
        <r>
          <rPr>
            <sz val="9"/>
            <color indexed="81"/>
            <rFont val="Tahoma"/>
            <family val="2"/>
          </rPr>
          <t>Check that Program 113 = lines 53 - 55</t>
        </r>
      </text>
    </comment>
  </commentList>
</comments>
</file>

<file path=xl/comments15.xml><?xml version="1.0" encoding="utf-8"?>
<comments xmlns="http://schemas.openxmlformats.org/spreadsheetml/2006/main">
  <authors>
    <author>RSO</author>
  </authors>
  <commentList>
    <comment ref="J14" authorId="0" shapeId="0">
      <text>
        <r>
          <rPr>
            <sz val="9"/>
            <color indexed="81"/>
            <rFont val="Tahoma"/>
            <family val="2"/>
          </rPr>
          <t>Check that Program 111 = lines 47-49</t>
        </r>
      </text>
    </comment>
    <comment ref="J16" authorId="0" shapeId="0">
      <text>
        <r>
          <rPr>
            <sz val="9"/>
            <color indexed="81"/>
            <rFont val="Tahoma"/>
            <family val="2"/>
          </rPr>
          <t>Check that Program 112 = lines 50 - 52</t>
        </r>
      </text>
    </comment>
    <comment ref="J18" authorId="0" shapeId="0">
      <text>
        <r>
          <rPr>
            <sz val="9"/>
            <color indexed="81"/>
            <rFont val="Tahoma"/>
            <family val="2"/>
          </rPr>
          <t>Check that Program 113 = lines 53 - 55</t>
        </r>
      </text>
    </comment>
  </commentList>
</comments>
</file>

<file path=xl/comments16.xml><?xml version="1.0" encoding="utf-8"?>
<comments xmlns="http://schemas.openxmlformats.org/spreadsheetml/2006/main">
  <authors>
    <author>RSO</author>
  </authors>
  <commentList>
    <comment ref="J14" authorId="0" shapeId="0">
      <text>
        <r>
          <rPr>
            <sz val="9"/>
            <color indexed="81"/>
            <rFont val="Tahoma"/>
            <family val="2"/>
          </rPr>
          <t>Check that Program 111 = lines 47-49</t>
        </r>
      </text>
    </comment>
    <comment ref="J16" authorId="0" shapeId="0">
      <text>
        <r>
          <rPr>
            <sz val="9"/>
            <color indexed="81"/>
            <rFont val="Tahoma"/>
            <family val="2"/>
          </rPr>
          <t>Check that Program 112 = lines 50 - 52</t>
        </r>
      </text>
    </comment>
    <comment ref="J18" authorId="0" shapeId="0">
      <text>
        <r>
          <rPr>
            <sz val="9"/>
            <color indexed="81"/>
            <rFont val="Tahoma"/>
            <family val="2"/>
          </rPr>
          <t>Check that Program 113 = lines 53 - 55</t>
        </r>
      </text>
    </comment>
  </commentList>
</comments>
</file>

<file path=xl/comments17.xml><?xml version="1.0" encoding="utf-8"?>
<comments xmlns="http://schemas.openxmlformats.org/spreadsheetml/2006/main">
  <authors>
    <author>RSO</author>
  </authors>
  <commentList>
    <comment ref="J14" authorId="0" shapeId="0">
      <text>
        <r>
          <rPr>
            <sz val="9"/>
            <color indexed="81"/>
            <rFont val="Tahoma"/>
            <family val="2"/>
          </rPr>
          <t>Check that Program 111 = lines 47-49</t>
        </r>
      </text>
    </comment>
    <comment ref="J16" authorId="0" shapeId="0">
      <text>
        <r>
          <rPr>
            <sz val="9"/>
            <color indexed="81"/>
            <rFont val="Tahoma"/>
            <family val="2"/>
          </rPr>
          <t>Check that Program 112 = lines 50 - 52</t>
        </r>
      </text>
    </comment>
    <comment ref="J18" authorId="0" shapeId="0">
      <text>
        <r>
          <rPr>
            <sz val="9"/>
            <color indexed="81"/>
            <rFont val="Tahoma"/>
            <family val="2"/>
          </rPr>
          <t>Check that Program 113 = lines 53 - 55</t>
        </r>
      </text>
    </comment>
  </commentList>
</comments>
</file>

<file path=xl/comments18.xml><?xml version="1.0" encoding="utf-8"?>
<comments xmlns="http://schemas.openxmlformats.org/spreadsheetml/2006/main">
  <authors>
    <author>RSO</author>
  </authors>
  <commentList>
    <comment ref="J14" authorId="0" shapeId="0">
      <text>
        <r>
          <rPr>
            <sz val="9"/>
            <color indexed="81"/>
            <rFont val="Tahoma"/>
            <family val="2"/>
          </rPr>
          <t>Check that Program 111 = lines 47-49</t>
        </r>
      </text>
    </comment>
    <comment ref="J16" authorId="0" shapeId="0">
      <text>
        <r>
          <rPr>
            <sz val="9"/>
            <color indexed="81"/>
            <rFont val="Tahoma"/>
            <family val="2"/>
          </rPr>
          <t>Check that Program 112 = lines 50 - 52</t>
        </r>
      </text>
    </comment>
    <comment ref="J18" authorId="0" shapeId="0">
      <text>
        <r>
          <rPr>
            <sz val="9"/>
            <color indexed="81"/>
            <rFont val="Tahoma"/>
            <family val="2"/>
          </rPr>
          <t>Check that Program 113 = lines 53 - 55</t>
        </r>
      </text>
    </comment>
  </commentList>
</comments>
</file>

<file path=xl/comments19.xml><?xml version="1.0" encoding="utf-8"?>
<comments xmlns="http://schemas.openxmlformats.org/spreadsheetml/2006/main">
  <authors>
    <author>RSO</author>
  </authors>
  <commentList>
    <comment ref="J14" authorId="0" shapeId="0">
      <text>
        <r>
          <rPr>
            <sz val="9"/>
            <color indexed="81"/>
            <rFont val="Tahoma"/>
            <family val="2"/>
          </rPr>
          <t>Check that Program 111 = lines 47-49</t>
        </r>
      </text>
    </comment>
    <comment ref="J16" authorId="0" shapeId="0">
      <text>
        <r>
          <rPr>
            <sz val="9"/>
            <color indexed="81"/>
            <rFont val="Tahoma"/>
            <family val="2"/>
          </rPr>
          <t>Check that Program 112 = lines 50 - 52</t>
        </r>
      </text>
    </comment>
    <comment ref="J18" authorId="0" shapeId="0">
      <text>
        <r>
          <rPr>
            <sz val="9"/>
            <color indexed="81"/>
            <rFont val="Tahoma"/>
            <family val="2"/>
          </rPr>
          <t>Check that Program 113 = lines 53 - 55</t>
        </r>
      </text>
    </comment>
  </commentList>
</comments>
</file>

<file path=xl/comments2.xml><?xml version="1.0" encoding="utf-8"?>
<comments xmlns="http://schemas.openxmlformats.org/spreadsheetml/2006/main">
  <authors>
    <author>RSO</author>
  </authors>
  <commentList>
    <comment ref="J14" authorId="0" shapeId="0">
      <text>
        <r>
          <rPr>
            <sz val="9"/>
            <color indexed="81"/>
            <rFont val="Tahoma"/>
            <family val="2"/>
          </rPr>
          <t>Check that Program 111 = lines 47-49</t>
        </r>
      </text>
    </comment>
    <comment ref="J16" authorId="0" shapeId="0">
      <text>
        <r>
          <rPr>
            <sz val="9"/>
            <color indexed="81"/>
            <rFont val="Tahoma"/>
            <family val="2"/>
          </rPr>
          <t>Check that Program 112 = lines 50 - 52</t>
        </r>
      </text>
    </comment>
    <comment ref="J18" authorId="0" shapeId="0">
      <text>
        <r>
          <rPr>
            <sz val="9"/>
            <color indexed="81"/>
            <rFont val="Tahoma"/>
            <family val="2"/>
          </rPr>
          <t>Check that Program 113 = lines 53 - 55</t>
        </r>
      </text>
    </comment>
  </commentList>
</comments>
</file>

<file path=xl/comments20.xml><?xml version="1.0" encoding="utf-8"?>
<comments xmlns="http://schemas.openxmlformats.org/spreadsheetml/2006/main">
  <authors>
    <author>RSO</author>
  </authors>
  <commentList>
    <comment ref="J14" authorId="0" shapeId="0">
      <text>
        <r>
          <rPr>
            <sz val="9"/>
            <color indexed="81"/>
            <rFont val="Tahoma"/>
            <family val="2"/>
          </rPr>
          <t>Check that Program 111 = lines 47-49</t>
        </r>
      </text>
    </comment>
    <comment ref="J16" authorId="0" shapeId="0">
      <text>
        <r>
          <rPr>
            <sz val="9"/>
            <color indexed="81"/>
            <rFont val="Tahoma"/>
            <family val="2"/>
          </rPr>
          <t>Check that Program 112 = lines 50 - 52</t>
        </r>
      </text>
    </comment>
    <comment ref="J18" authorId="0" shapeId="0">
      <text>
        <r>
          <rPr>
            <sz val="9"/>
            <color indexed="81"/>
            <rFont val="Tahoma"/>
            <family val="2"/>
          </rPr>
          <t>Check that Program 113 = lines 53 - 55</t>
        </r>
      </text>
    </comment>
  </commentList>
</comments>
</file>

<file path=xl/comments21.xml><?xml version="1.0" encoding="utf-8"?>
<comments xmlns="http://schemas.openxmlformats.org/spreadsheetml/2006/main">
  <authors>
    <author>RSO</author>
  </authors>
  <commentList>
    <comment ref="J14" authorId="0" shapeId="0">
      <text>
        <r>
          <rPr>
            <sz val="9"/>
            <color indexed="81"/>
            <rFont val="Tahoma"/>
            <family val="2"/>
          </rPr>
          <t>Check that Program 111 = lines 47-49</t>
        </r>
      </text>
    </comment>
    <comment ref="J16" authorId="0" shapeId="0">
      <text>
        <r>
          <rPr>
            <sz val="9"/>
            <color indexed="81"/>
            <rFont val="Tahoma"/>
            <family val="2"/>
          </rPr>
          <t>Check that Program 112 = lines 50 - 52</t>
        </r>
      </text>
    </comment>
    <comment ref="J18" authorId="0" shapeId="0">
      <text>
        <r>
          <rPr>
            <sz val="9"/>
            <color indexed="81"/>
            <rFont val="Tahoma"/>
            <family val="2"/>
          </rPr>
          <t>Check that Program 113 = lines 53 - 55</t>
        </r>
      </text>
    </comment>
  </commentList>
</comments>
</file>

<file path=xl/comments22.xml><?xml version="1.0" encoding="utf-8"?>
<comments xmlns="http://schemas.openxmlformats.org/spreadsheetml/2006/main">
  <authors>
    <author>RSO</author>
  </authors>
  <commentList>
    <comment ref="J14" authorId="0" shapeId="0">
      <text>
        <r>
          <rPr>
            <sz val="9"/>
            <color indexed="81"/>
            <rFont val="Tahoma"/>
            <family val="2"/>
          </rPr>
          <t>Check that Program 111 = lines 47-49</t>
        </r>
      </text>
    </comment>
    <comment ref="J16" authorId="0" shapeId="0">
      <text>
        <r>
          <rPr>
            <sz val="9"/>
            <color indexed="81"/>
            <rFont val="Tahoma"/>
            <family val="2"/>
          </rPr>
          <t>Check that Program 112 = lines 50 - 52</t>
        </r>
      </text>
    </comment>
    <comment ref="J18" authorId="0" shapeId="0">
      <text>
        <r>
          <rPr>
            <sz val="9"/>
            <color indexed="81"/>
            <rFont val="Tahoma"/>
            <family val="2"/>
          </rPr>
          <t>Check that Program 113 = lines 53 - 55</t>
        </r>
      </text>
    </comment>
  </commentList>
</comments>
</file>

<file path=xl/comments23.xml><?xml version="1.0" encoding="utf-8"?>
<comments xmlns="http://schemas.openxmlformats.org/spreadsheetml/2006/main">
  <authors>
    <author>RSO</author>
  </authors>
  <commentList>
    <comment ref="J14" authorId="0" shapeId="0">
      <text>
        <r>
          <rPr>
            <sz val="9"/>
            <color indexed="81"/>
            <rFont val="Tahoma"/>
            <family val="2"/>
          </rPr>
          <t>Check that Program 111 = lines 47-49</t>
        </r>
      </text>
    </comment>
    <comment ref="J16" authorId="0" shapeId="0">
      <text>
        <r>
          <rPr>
            <sz val="9"/>
            <color indexed="81"/>
            <rFont val="Tahoma"/>
            <family val="2"/>
          </rPr>
          <t>Check that Program 112 = lines 50 - 52</t>
        </r>
      </text>
    </comment>
    <comment ref="J18" authorId="0" shapeId="0">
      <text>
        <r>
          <rPr>
            <sz val="9"/>
            <color indexed="81"/>
            <rFont val="Tahoma"/>
            <family val="2"/>
          </rPr>
          <t>Check that Program 113 = lines 53 - 55</t>
        </r>
      </text>
    </comment>
  </commentList>
</comments>
</file>

<file path=xl/comments24.xml><?xml version="1.0" encoding="utf-8"?>
<comments xmlns="http://schemas.openxmlformats.org/spreadsheetml/2006/main">
  <authors>
    <author>RSO</author>
  </authors>
  <commentList>
    <comment ref="J14" authorId="0" shapeId="0">
      <text>
        <r>
          <rPr>
            <sz val="9"/>
            <color indexed="81"/>
            <rFont val="Tahoma"/>
            <family val="2"/>
          </rPr>
          <t>Check that Program 111 = lines 47-49</t>
        </r>
      </text>
    </comment>
    <comment ref="J16" authorId="0" shapeId="0">
      <text>
        <r>
          <rPr>
            <sz val="9"/>
            <color indexed="81"/>
            <rFont val="Tahoma"/>
            <family val="2"/>
          </rPr>
          <t>Check that Program 112 = lines 50 - 52</t>
        </r>
      </text>
    </comment>
    <comment ref="J18" authorId="0" shapeId="0">
      <text>
        <r>
          <rPr>
            <sz val="9"/>
            <color indexed="81"/>
            <rFont val="Tahoma"/>
            <family val="2"/>
          </rPr>
          <t>Check that Program 113 = lines 53 - 55</t>
        </r>
      </text>
    </comment>
  </commentList>
</comments>
</file>

<file path=xl/comments25.xml><?xml version="1.0" encoding="utf-8"?>
<comments xmlns="http://schemas.openxmlformats.org/spreadsheetml/2006/main">
  <authors>
    <author>RSO</author>
  </authors>
  <commentList>
    <comment ref="J14" authorId="0" shapeId="0">
      <text>
        <r>
          <rPr>
            <sz val="9"/>
            <color indexed="81"/>
            <rFont val="Tahoma"/>
            <family val="2"/>
          </rPr>
          <t>Check that Program 111 = lines 47-49</t>
        </r>
      </text>
    </comment>
    <comment ref="J16" authorId="0" shapeId="0">
      <text>
        <r>
          <rPr>
            <sz val="9"/>
            <color indexed="81"/>
            <rFont val="Tahoma"/>
            <family val="2"/>
          </rPr>
          <t>Check that Program 112 = lines 50 - 52</t>
        </r>
      </text>
    </comment>
    <comment ref="J18" authorId="0" shapeId="0">
      <text>
        <r>
          <rPr>
            <sz val="9"/>
            <color indexed="81"/>
            <rFont val="Tahoma"/>
            <family val="2"/>
          </rPr>
          <t>Check that Program 113 = lines 53 - 55</t>
        </r>
      </text>
    </comment>
  </commentList>
</comments>
</file>

<file path=xl/comments26.xml><?xml version="1.0" encoding="utf-8"?>
<comments xmlns="http://schemas.openxmlformats.org/spreadsheetml/2006/main">
  <authors>
    <author>RSO</author>
  </authors>
  <commentList>
    <comment ref="J14" authorId="0" shapeId="0">
      <text>
        <r>
          <rPr>
            <sz val="9"/>
            <color indexed="81"/>
            <rFont val="Tahoma"/>
            <family val="2"/>
          </rPr>
          <t>Check that Program 111 = lines 47-49</t>
        </r>
      </text>
    </comment>
    <comment ref="J16" authorId="0" shapeId="0">
      <text>
        <r>
          <rPr>
            <sz val="9"/>
            <color indexed="81"/>
            <rFont val="Tahoma"/>
            <family val="2"/>
          </rPr>
          <t>Check that Program 112 = lines 50 - 52</t>
        </r>
      </text>
    </comment>
    <comment ref="J18" authorId="0" shapeId="0">
      <text>
        <r>
          <rPr>
            <sz val="9"/>
            <color indexed="81"/>
            <rFont val="Tahoma"/>
            <family val="2"/>
          </rPr>
          <t>Check that Program 113 = lines 53 - 55</t>
        </r>
      </text>
    </comment>
  </commentList>
</comments>
</file>

<file path=xl/comments27.xml><?xml version="1.0" encoding="utf-8"?>
<comments xmlns="http://schemas.openxmlformats.org/spreadsheetml/2006/main">
  <authors>
    <author>RSO</author>
  </authors>
  <commentList>
    <comment ref="J14" authorId="0" shapeId="0">
      <text>
        <r>
          <rPr>
            <sz val="9"/>
            <color indexed="81"/>
            <rFont val="Tahoma"/>
            <family val="2"/>
          </rPr>
          <t>Check that Program 111 = lines 47-49</t>
        </r>
      </text>
    </comment>
    <comment ref="J16" authorId="0" shapeId="0">
      <text>
        <r>
          <rPr>
            <sz val="9"/>
            <color indexed="81"/>
            <rFont val="Tahoma"/>
            <family val="2"/>
          </rPr>
          <t>Check that Program 112 = lines 50 - 52</t>
        </r>
      </text>
    </comment>
    <comment ref="J18" authorId="0" shapeId="0">
      <text>
        <r>
          <rPr>
            <sz val="9"/>
            <color indexed="81"/>
            <rFont val="Tahoma"/>
            <family val="2"/>
          </rPr>
          <t>Check that Program 113 = lines 53 - 55</t>
        </r>
      </text>
    </comment>
  </commentList>
</comments>
</file>

<file path=xl/comments28.xml><?xml version="1.0" encoding="utf-8"?>
<comments xmlns="http://schemas.openxmlformats.org/spreadsheetml/2006/main">
  <authors>
    <author>RSO</author>
  </authors>
  <commentList>
    <comment ref="J14" authorId="0" shapeId="0">
      <text>
        <r>
          <rPr>
            <sz val="9"/>
            <color indexed="81"/>
            <rFont val="Tahoma"/>
            <family val="2"/>
          </rPr>
          <t>Check that Program 111 = lines 47-49</t>
        </r>
      </text>
    </comment>
    <comment ref="J16" authorId="0" shapeId="0">
      <text>
        <r>
          <rPr>
            <sz val="9"/>
            <color indexed="81"/>
            <rFont val="Tahoma"/>
            <family val="2"/>
          </rPr>
          <t>Check that Program 112 = lines 50 - 52</t>
        </r>
      </text>
    </comment>
    <comment ref="J18" authorId="0" shapeId="0">
      <text>
        <r>
          <rPr>
            <sz val="9"/>
            <color indexed="81"/>
            <rFont val="Tahoma"/>
            <family val="2"/>
          </rPr>
          <t>Check that Program 113 = lines 53 - 55</t>
        </r>
      </text>
    </comment>
  </commentList>
</comments>
</file>

<file path=xl/comments29.xml><?xml version="1.0" encoding="utf-8"?>
<comments xmlns="http://schemas.openxmlformats.org/spreadsheetml/2006/main">
  <authors>
    <author>RSO</author>
  </authors>
  <commentList>
    <comment ref="J14" authorId="0" shapeId="0">
      <text>
        <r>
          <rPr>
            <sz val="9"/>
            <color indexed="81"/>
            <rFont val="Tahoma"/>
            <family val="2"/>
          </rPr>
          <t>Check that Program 111 = lines 47-49</t>
        </r>
      </text>
    </comment>
    <comment ref="J16" authorId="0" shapeId="0">
      <text>
        <r>
          <rPr>
            <sz val="9"/>
            <color indexed="81"/>
            <rFont val="Tahoma"/>
            <family val="2"/>
          </rPr>
          <t>Check that Program 112 = lines 50 - 52</t>
        </r>
      </text>
    </comment>
    <comment ref="J18" authorId="0" shapeId="0">
      <text>
        <r>
          <rPr>
            <sz val="9"/>
            <color indexed="81"/>
            <rFont val="Tahoma"/>
            <family val="2"/>
          </rPr>
          <t>Check that Program 113 = lines 53 - 55</t>
        </r>
      </text>
    </comment>
  </commentList>
</comments>
</file>

<file path=xl/comments3.xml><?xml version="1.0" encoding="utf-8"?>
<comments xmlns="http://schemas.openxmlformats.org/spreadsheetml/2006/main">
  <authors>
    <author>RSO</author>
  </authors>
  <commentList>
    <comment ref="J14" authorId="0" shapeId="0">
      <text>
        <r>
          <rPr>
            <sz val="9"/>
            <color indexed="81"/>
            <rFont val="Tahoma"/>
            <family val="2"/>
          </rPr>
          <t>Check that Program 111 = lines 47-49</t>
        </r>
      </text>
    </comment>
    <comment ref="J16" authorId="0" shapeId="0">
      <text>
        <r>
          <rPr>
            <sz val="9"/>
            <color indexed="81"/>
            <rFont val="Tahoma"/>
            <family val="2"/>
          </rPr>
          <t>Check that Program 112 = lines 50 - 52</t>
        </r>
      </text>
    </comment>
    <comment ref="J18" authorId="0" shapeId="0">
      <text>
        <r>
          <rPr>
            <sz val="9"/>
            <color indexed="81"/>
            <rFont val="Tahoma"/>
            <family val="2"/>
          </rPr>
          <t>Check that Program 113 = lines 53 - 55</t>
        </r>
      </text>
    </comment>
  </commentList>
</comments>
</file>

<file path=xl/comments30.xml><?xml version="1.0" encoding="utf-8"?>
<comments xmlns="http://schemas.openxmlformats.org/spreadsheetml/2006/main">
  <authors>
    <author>RSO</author>
  </authors>
  <commentList>
    <comment ref="J14" authorId="0" shapeId="0">
      <text>
        <r>
          <rPr>
            <sz val="9"/>
            <color indexed="81"/>
            <rFont val="Tahoma"/>
            <family val="2"/>
          </rPr>
          <t>Check that Program 111 = lines 47-49</t>
        </r>
      </text>
    </comment>
    <comment ref="J16" authorId="0" shapeId="0">
      <text>
        <r>
          <rPr>
            <sz val="9"/>
            <color indexed="81"/>
            <rFont val="Tahoma"/>
            <family val="2"/>
          </rPr>
          <t>Check that Program 112 = lines 50 - 52</t>
        </r>
      </text>
    </comment>
    <comment ref="J18" authorId="0" shapeId="0">
      <text>
        <r>
          <rPr>
            <sz val="9"/>
            <color indexed="81"/>
            <rFont val="Tahoma"/>
            <family val="2"/>
          </rPr>
          <t>Check that Program 113 = lines 53 - 55</t>
        </r>
      </text>
    </comment>
  </commentList>
</comments>
</file>

<file path=xl/comments31.xml><?xml version="1.0" encoding="utf-8"?>
<comments xmlns="http://schemas.openxmlformats.org/spreadsheetml/2006/main">
  <authors>
    <author>RSO</author>
  </authors>
  <commentList>
    <comment ref="J14" authorId="0" shapeId="0">
      <text>
        <r>
          <rPr>
            <sz val="9"/>
            <color indexed="81"/>
            <rFont val="Tahoma"/>
            <family val="2"/>
          </rPr>
          <t>Check that Program 111 = lines 47-49</t>
        </r>
      </text>
    </comment>
    <comment ref="J16" authorId="0" shapeId="0">
      <text>
        <r>
          <rPr>
            <sz val="9"/>
            <color indexed="81"/>
            <rFont val="Tahoma"/>
            <family val="2"/>
          </rPr>
          <t>Check that Program 112 = lines 50 - 52</t>
        </r>
      </text>
    </comment>
    <comment ref="J18" authorId="0" shapeId="0">
      <text>
        <r>
          <rPr>
            <sz val="9"/>
            <color indexed="81"/>
            <rFont val="Tahoma"/>
            <family val="2"/>
          </rPr>
          <t>Check that Program 113 = lines 53 - 55</t>
        </r>
      </text>
    </comment>
  </commentList>
</comments>
</file>

<file path=xl/comments32.xml><?xml version="1.0" encoding="utf-8"?>
<comments xmlns="http://schemas.openxmlformats.org/spreadsheetml/2006/main">
  <authors>
    <author>RSO</author>
  </authors>
  <commentList>
    <comment ref="J14" authorId="0" shapeId="0">
      <text>
        <r>
          <rPr>
            <sz val="9"/>
            <color indexed="81"/>
            <rFont val="Tahoma"/>
            <family val="2"/>
          </rPr>
          <t>Check that Program 111 = lines 47-49</t>
        </r>
      </text>
    </comment>
    <comment ref="J16" authorId="0" shapeId="0">
      <text>
        <r>
          <rPr>
            <sz val="9"/>
            <color indexed="81"/>
            <rFont val="Tahoma"/>
            <family val="2"/>
          </rPr>
          <t>Check that Program 112 = lines 50 - 52</t>
        </r>
      </text>
    </comment>
    <comment ref="J18" authorId="0" shapeId="0">
      <text>
        <r>
          <rPr>
            <sz val="9"/>
            <color indexed="81"/>
            <rFont val="Tahoma"/>
            <family val="2"/>
          </rPr>
          <t>Check that Program 113 = lines 53 - 55</t>
        </r>
      </text>
    </comment>
  </commentList>
</comments>
</file>

<file path=xl/comments33.xml><?xml version="1.0" encoding="utf-8"?>
<comments xmlns="http://schemas.openxmlformats.org/spreadsheetml/2006/main">
  <authors>
    <author>RSO</author>
  </authors>
  <commentList>
    <comment ref="J14" authorId="0" shapeId="0">
      <text>
        <r>
          <rPr>
            <sz val="9"/>
            <color indexed="81"/>
            <rFont val="Tahoma"/>
            <family val="2"/>
          </rPr>
          <t>Check that Program 111 = lines 47-49</t>
        </r>
      </text>
    </comment>
    <comment ref="J16" authorId="0" shapeId="0">
      <text>
        <r>
          <rPr>
            <sz val="9"/>
            <color indexed="81"/>
            <rFont val="Tahoma"/>
            <family val="2"/>
          </rPr>
          <t>Check that Program 112 = lines 50 - 52</t>
        </r>
      </text>
    </comment>
    <comment ref="J18" authorId="0" shapeId="0">
      <text>
        <r>
          <rPr>
            <sz val="9"/>
            <color indexed="81"/>
            <rFont val="Tahoma"/>
            <family val="2"/>
          </rPr>
          <t>Check that Program 113 = lines 53 - 55</t>
        </r>
      </text>
    </comment>
  </commentList>
</comments>
</file>

<file path=xl/comments34.xml><?xml version="1.0" encoding="utf-8"?>
<comments xmlns="http://schemas.openxmlformats.org/spreadsheetml/2006/main">
  <authors>
    <author>RSO</author>
  </authors>
  <commentList>
    <comment ref="J14" authorId="0" shapeId="0">
      <text>
        <r>
          <rPr>
            <sz val="9"/>
            <color indexed="81"/>
            <rFont val="Tahoma"/>
            <family val="2"/>
          </rPr>
          <t>Check that Program 111 = lines 47-49</t>
        </r>
      </text>
    </comment>
    <comment ref="J16" authorId="0" shapeId="0">
      <text>
        <r>
          <rPr>
            <sz val="9"/>
            <color indexed="81"/>
            <rFont val="Tahoma"/>
            <family val="2"/>
          </rPr>
          <t>Check that Program 112 = lines 50 - 52</t>
        </r>
      </text>
    </comment>
    <comment ref="J18" authorId="0" shapeId="0">
      <text>
        <r>
          <rPr>
            <sz val="9"/>
            <color indexed="81"/>
            <rFont val="Tahoma"/>
            <family val="2"/>
          </rPr>
          <t>Check that Program 113 = lines 53 - 55</t>
        </r>
      </text>
    </comment>
  </commentList>
</comments>
</file>

<file path=xl/comments35.xml><?xml version="1.0" encoding="utf-8"?>
<comments xmlns="http://schemas.openxmlformats.org/spreadsheetml/2006/main">
  <authors>
    <author>RSO</author>
  </authors>
  <commentList>
    <comment ref="J14" authorId="0" shapeId="0">
      <text>
        <r>
          <rPr>
            <sz val="9"/>
            <color indexed="81"/>
            <rFont val="Tahoma"/>
            <family val="2"/>
          </rPr>
          <t>Check that Program 111 = lines 47-49</t>
        </r>
      </text>
    </comment>
    <comment ref="J16" authorId="0" shapeId="0">
      <text>
        <r>
          <rPr>
            <sz val="9"/>
            <color indexed="81"/>
            <rFont val="Tahoma"/>
            <family val="2"/>
          </rPr>
          <t>Check that Program 112 = lines 50 - 52</t>
        </r>
      </text>
    </comment>
    <comment ref="J18" authorId="0" shapeId="0">
      <text>
        <r>
          <rPr>
            <sz val="9"/>
            <color indexed="81"/>
            <rFont val="Tahoma"/>
            <family val="2"/>
          </rPr>
          <t>Check that Program 113 = lines 53 - 55</t>
        </r>
      </text>
    </comment>
  </commentList>
</comments>
</file>

<file path=xl/comments36.xml><?xml version="1.0" encoding="utf-8"?>
<comments xmlns="http://schemas.openxmlformats.org/spreadsheetml/2006/main">
  <authors>
    <author>RSO</author>
  </authors>
  <commentList>
    <comment ref="J14" authorId="0" shapeId="0">
      <text>
        <r>
          <rPr>
            <sz val="9"/>
            <color indexed="81"/>
            <rFont val="Tahoma"/>
            <family val="2"/>
          </rPr>
          <t>Check that Program 111 = lines 47-49</t>
        </r>
      </text>
    </comment>
    <comment ref="J16" authorId="0" shapeId="0">
      <text>
        <r>
          <rPr>
            <sz val="9"/>
            <color indexed="81"/>
            <rFont val="Tahoma"/>
            <family val="2"/>
          </rPr>
          <t>Check that Program 112 = lines 50 - 52</t>
        </r>
      </text>
    </comment>
    <comment ref="J18" authorId="0" shapeId="0">
      <text>
        <r>
          <rPr>
            <sz val="9"/>
            <color indexed="81"/>
            <rFont val="Tahoma"/>
            <family val="2"/>
          </rPr>
          <t>Check that Program 113 = lines 53 - 55</t>
        </r>
      </text>
    </comment>
  </commentList>
</comments>
</file>

<file path=xl/comments37.xml><?xml version="1.0" encoding="utf-8"?>
<comments xmlns="http://schemas.openxmlformats.org/spreadsheetml/2006/main">
  <authors>
    <author>RSO</author>
  </authors>
  <commentList>
    <comment ref="J14" authorId="0" shapeId="0">
      <text>
        <r>
          <rPr>
            <sz val="9"/>
            <color indexed="81"/>
            <rFont val="Tahoma"/>
            <family val="2"/>
          </rPr>
          <t>Check that Program 111 = lines 47-49</t>
        </r>
      </text>
    </comment>
    <comment ref="J16" authorId="0" shapeId="0">
      <text>
        <r>
          <rPr>
            <sz val="9"/>
            <color indexed="81"/>
            <rFont val="Tahoma"/>
            <family val="2"/>
          </rPr>
          <t>Check that Program 112 = lines 50 - 52</t>
        </r>
      </text>
    </comment>
    <comment ref="J18" authorId="0" shapeId="0">
      <text>
        <r>
          <rPr>
            <sz val="9"/>
            <color indexed="81"/>
            <rFont val="Tahoma"/>
            <family val="2"/>
          </rPr>
          <t>Check that Program 113 = lines 53 - 55</t>
        </r>
      </text>
    </comment>
  </commentList>
</comments>
</file>

<file path=xl/comments38.xml><?xml version="1.0" encoding="utf-8"?>
<comments xmlns="http://schemas.openxmlformats.org/spreadsheetml/2006/main">
  <authors>
    <author>RSO</author>
  </authors>
  <commentList>
    <comment ref="J14" authorId="0" shapeId="0">
      <text>
        <r>
          <rPr>
            <sz val="9"/>
            <color indexed="81"/>
            <rFont val="Tahoma"/>
            <family val="2"/>
          </rPr>
          <t>Check that Program 111 = lines 47-49</t>
        </r>
      </text>
    </comment>
    <comment ref="J16" authorId="0" shapeId="0">
      <text>
        <r>
          <rPr>
            <sz val="9"/>
            <color indexed="81"/>
            <rFont val="Tahoma"/>
            <family val="2"/>
          </rPr>
          <t>Check that Program 112 = lines 50 - 52</t>
        </r>
      </text>
    </comment>
    <comment ref="J18" authorId="0" shapeId="0">
      <text>
        <r>
          <rPr>
            <sz val="9"/>
            <color indexed="81"/>
            <rFont val="Tahoma"/>
            <family val="2"/>
          </rPr>
          <t>Check that Program 113 = lines 53 - 55</t>
        </r>
      </text>
    </comment>
  </commentList>
</comments>
</file>

<file path=xl/comments39.xml><?xml version="1.0" encoding="utf-8"?>
<comments xmlns="http://schemas.openxmlformats.org/spreadsheetml/2006/main">
  <authors>
    <author>RSO</author>
  </authors>
  <commentList>
    <comment ref="J14" authorId="0" shapeId="0">
      <text>
        <r>
          <rPr>
            <sz val="9"/>
            <color indexed="81"/>
            <rFont val="Tahoma"/>
            <family val="2"/>
          </rPr>
          <t>Check that Program 111 = lines 47-49</t>
        </r>
      </text>
    </comment>
    <comment ref="J16" authorId="0" shapeId="0">
      <text>
        <r>
          <rPr>
            <sz val="9"/>
            <color indexed="81"/>
            <rFont val="Tahoma"/>
            <family val="2"/>
          </rPr>
          <t>Check that Program 112 = lines 50 - 52</t>
        </r>
      </text>
    </comment>
    <comment ref="J18" authorId="0" shapeId="0">
      <text>
        <r>
          <rPr>
            <sz val="9"/>
            <color indexed="81"/>
            <rFont val="Tahoma"/>
            <family val="2"/>
          </rPr>
          <t>Check that Program 113 = lines 53 - 55</t>
        </r>
      </text>
    </comment>
  </commentList>
</comments>
</file>

<file path=xl/comments4.xml><?xml version="1.0" encoding="utf-8"?>
<comments xmlns="http://schemas.openxmlformats.org/spreadsheetml/2006/main">
  <authors>
    <author>RSO</author>
  </authors>
  <commentList>
    <comment ref="J14" authorId="0" shapeId="0">
      <text>
        <r>
          <rPr>
            <sz val="9"/>
            <color indexed="81"/>
            <rFont val="Tahoma"/>
            <family val="2"/>
          </rPr>
          <t>Check that Program 111 = lines 47-49</t>
        </r>
      </text>
    </comment>
    <comment ref="J16" authorId="0" shapeId="0">
      <text>
        <r>
          <rPr>
            <sz val="9"/>
            <color indexed="81"/>
            <rFont val="Tahoma"/>
            <family val="2"/>
          </rPr>
          <t>Check that Program 112 = lines 50 - 52</t>
        </r>
      </text>
    </comment>
    <comment ref="J18" authorId="0" shapeId="0">
      <text>
        <r>
          <rPr>
            <sz val="9"/>
            <color indexed="81"/>
            <rFont val="Tahoma"/>
            <family val="2"/>
          </rPr>
          <t>Check that Program 113 = lines 56
 - 58</t>
        </r>
      </text>
    </comment>
  </commentList>
</comments>
</file>

<file path=xl/comments40.xml><?xml version="1.0" encoding="utf-8"?>
<comments xmlns="http://schemas.openxmlformats.org/spreadsheetml/2006/main">
  <authors>
    <author>RSO</author>
  </authors>
  <commentList>
    <comment ref="J14" authorId="0" shapeId="0">
      <text>
        <r>
          <rPr>
            <sz val="9"/>
            <color indexed="81"/>
            <rFont val="Tahoma"/>
            <family val="2"/>
          </rPr>
          <t>Check that Program 111 = lines 47-49</t>
        </r>
      </text>
    </comment>
    <comment ref="J16" authorId="0" shapeId="0">
      <text>
        <r>
          <rPr>
            <sz val="9"/>
            <color indexed="81"/>
            <rFont val="Tahoma"/>
            <family val="2"/>
          </rPr>
          <t>Check that Program 112 = lines 50 - 52</t>
        </r>
      </text>
    </comment>
    <comment ref="J18" authorId="0" shapeId="0">
      <text>
        <r>
          <rPr>
            <sz val="9"/>
            <color indexed="81"/>
            <rFont val="Tahoma"/>
            <family val="2"/>
          </rPr>
          <t>Check that Program 113 = lines 53 - 55</t>
        </r>
      </text>
    </comment>
  </commentList>
</comments>
</file>

<file path=xl/comments41.xml><?xml version="1.0" encoding="utf-8"?>
<comments xmlns="http://schemas.openxmlformats.org/spreadsheetml/2006/main">
  <authors>
    <author>RSO</author>
  </authors>
  <commentList>
    <comment ref="J14" authorId="0" shapeId="0">
      <text>
        <r>
          <rPr>
            <sz val="9"/>
            <color indexed="81"/>
            <rFont val="Tahoma"/>
            <family val="2"/>
          </rPr>
          <t>Check that Program 111 = lines 47-49</t>
        </r>
      </text>
    </comment>
    <comment ref="J16" authorId="0" shapeId="0">
      <text>
        <r>
          <rPr>
            <sz val="9"/>
            <color indexed="81"/>
            <rFont val="Tahoma"/>
            <family val="2"/>
          </rPr>
          <t>Check that Program 112 = lines 50 - 52</t>
        </r>
      </text>
    </comment>
    <comment ref="J18" authorId="0" shapeId="0">
      <text>
        <r>
          <rPr>
            <sz val="9"/>
            <color indexed="81"/>
            <rFont val="Tahoma"/>
            <family val="2"/>
          </rPr>
          <t>Check that Program 113 = lines 53 - 55</t>
        </r>
      </text>
    </comment>
  </commentList>
</comments>
</file>

<file path=xl/comments42.xml><?xml version="1.0" encoding="utf-8"?>
<comments xmlns="http://schemas.openxmlformats.org/spreadsheetml/2006/main">
  <authors>
    <author>RSO</author>
  </authors>
  <commentList>
    <comment ref="J14" authorId="0" shapeId="0">
      <text>
        <r>
          <rPr>
            <sz val="9"/>
            <color indexed="81"/>
            <rFont val="Tahoma"/>
            <family val="2"/>
          </rPr>
          <t>Check that Program 111 = lines 47-49</t>
        </r>
      </text>
    </comment>
    <comment ref="J16" authorId="0" shapeId="0">
      <text>
        <r>
          <rPr>
            <sz val="9"/>
            <color indexed="81"/>
            <rFont val="Tahoma"/>
            <family val="2"/>
          </rPr>
          <t>Check that Program 112 = lines 50 - 52</t>
        </r>
      </text>
    </comment>
    <comment ref="J18" authorId="0" shapeId="0">
      <text>
        <r>
          <rPr>
            <sz val="9"/>
            <color indexed="81"/>
            <rFont val="Tahoma"/>
            <family val="2"/>
          </rPr>
          <t>Check that Program 113 = lines 53 - 55</t>
        </r>
      </text>
    </comment>
  </commentList>
</comments>
</file>

<file path=xl/comments43.xml><?xml version="1.0" encoding="utf-8"?>
<comments xmlns="http://schemas.openxmlformats.org/spreadsheetml/2006/main">
  <authors>
    <author>RSO</author>
  </authors>
  <commentList>
    <comment ref="J14" authorId="0" shapeId="0">
      <text>
        <r>
          <rPr>
            <sz val="9"/>
            <color indexed="81"/>
            <rFont val="Tahoma"/>
            <family val="2"/>
          </rPr>
          <t>Check that Program 111 = lines 47-49</t>
        </r>
      </text>
    </comment>
    <comment ref="J16" authorId="0" shapeId="0">
      <text>
        <r>
          <rPr>
            <sz val="9"/>
            <color indexed="81"/>
            <rFont val="Tahoma"/>
            <family val="2"/>
          </rPr>
          <t>Check that Program 112 = lines 50 - 52</t>
        </r>
      </text>
    </comment>
    <comment ref="J18" authorId="0" shapeId="0">
      <text>
        <r>
          <rPr>
            <sz val="9"/>
            <color indexed="81"/>
            <rFont val="Tahoma"/>
            <family val="2"/>
          </rPr>
          <t>Check that Program 113 = lines 53 - 55</t>
        </r>
      </text>
    </comment>
  </commentList>
</comments>
</file>

<file path=xl/comments44.xml><?xml version="1.0" encoding="utf-8"?>
<comments xmlns="http://schemas.openxmlformats.org/spreadsheetml/2006/main">
  <authors>
    <author>RSO</author>
  </authors>
  <commentList>
    <comment ref="J14" authorId="0" shapeId="0">
      <text>
        <r>
          <rPr>
            <sz val="9"/>
            <color indexed="81"/>
            <rFont val="Tahoma"/>
            <family val="2"/>
          </rPr>
          <t>Check that Program 111 = lines 47-49</t>
        </r>
      </text>
    </comment>
    <comment ref="J16" authorId="0" shapeId="0">
      <text>
        <r>
          <rPr>
            <sz val="9"/>
            <color indexed="81"/>
            <rFont val="Tahoma"/>
            <family val="2"/>
          </rPr>
          <t>Check that Program 112 = lines 50 - 52</t>
        </r>
      </text>
    </comment>
    <comment ref="J18" authorId="0" shapeId="0">
      <text>
        <r>
          <rPr>
            <sz val="9"/>
            <color indexed="81"/>
            <rFont val="Tahoma"/>
            <family val="2"/>
          </rPr>
          <t>Check that Program 113 = lines 53 - 55</t>
        </r>
      </text>
    </comment>
  </commentList>
</comments>
</file>

<file path=xl/comments45.xml><?xml version="1.0" encoding="utf-8"?>
<comments xmlns="http://schemas.openxmlformats.org/spreadsheetml/2006/main">
  <authors>
    <author>RSO</author>
  </authors>
  <commentList>
    <comment ref="J14" authorId="0" shapeId="0">
      <text>
        <r>
          <rPr>
            <sz val="9"/>
            <color indexed="81"/>
            <rFont val="Tahoma"/>
            <family val="2"/>
          </rPr>
          <t>Check that Program 111 = lines 47-49</t>
        </r>
      </text>
    </comment>
    <comment ref="J16" authorId="0" shapeId="0">
      <text>
        <r>
          <rPr>
            <sz val="9"/>
            <color indexed="81"/>
            <rFont val="Tahoma"/>
            <family val="2"/>
          </rPr>
          <t>Check that Program 112 = lines 50 - 52</t>
        </r>
      </text>
    </comment>
    <comment ref="J18" authorId="0" shapeId="0">
      <text>
        <r>
          <rPr>
            <sz val="9"/>
            <color indexed="81"/>
            <rFont val="Tahoma"/>
            <family val="2"/>
          </rPr>
          <t>Check that Program 113 = lines 53 - 55</t>
        </r>
      </text>
    </comment>
  </commentList>
</comments>
</file>

<file path=xl/comments46.xml><?xml version="1.0" encoding="utf-8"?>
<comments xmlns="http://schemas.openxmlformats.org/spreadsheetml/2006/main">
  <authors>
    <author>RSO</author>
  </authors>
  <commentList>
    <comment ref="J14" authorId="0" shapeId="0">
      <text>
        <r>
          <rPr>
            <sz val="9"/>
            <color indexed="81"/>
            <rFont val="Tahoma"/>
            <family val="2"/>
          </rPr>
          <t>Check that Program 111 = lines 47-49</t>
        </r>
      </text>
    </comment>
    <comment ref="J16" authorId="0" shapeId="0">
      <text>
        <r>
          <rPr>
            <sz val="9"/>
            <color indexed="81"/>
            <rFont val="Tahoma"/>
            <family val="2"/>
          </rPr>
          <t>Check that Program 112 = lines 50 - 52</t>
        </r>
      </text>
    </comment>
    <comment ref="J18" authorId="0" shapeId="0">
      <text>
        <r>
          <rPr>
            <sz val="9"/>
            <color indexed="81"/>
            <rFont val="Tahoma"/>
            <family val="2"/>
          </rPr>
          <t>Check that Program 113 = lines 53 - 55</t>
        </r>
      </text>
    </comment>
  </commentList>
</comments>
</file>

<file path=xl/comments47.xml><?xml version="1.0" encoding="utf-8"?>
<comments xmlns="http://schemas.openxmlformats.org/spreadsheetml/2006/main">
  <authors>
    <author>RSO</author>
  </authors>
  <commentList>
    <comment ref="J14" authorId="0" shapeId="0">
      <text>
        <r>
          <rPr>
            <sz val="9"/>
            <color indexed="81"/>
            <rFont val="Tahoma"/>
            <family val="2"/>
          </rPr>
          <t>Check that Program 111 = lines 47-49</t>
        </r>
      </text>
    </comment>
    <comment ref="J16" authorId="0" shapeId="0">
      <text>
        <r>
          <rPr>
            <sz val="9"/>
            <color indexed="81"/>
            <rFont val="Tahoma"/>
            <family val="2"/>
          </rPr>
          <t>Check that Program 112 = lines 50 - 52</t>
        </r>
      </text>
    </comment>
    <comment ref="J18" authorId="0" shapeId="0">
      <text>
        <r>
          <rPr>
            <sz val="9"/>
            <color indexed="81"/>
            <rFont val="Tahoma"/>
            <family val="2"/>
          </rPr>
          <t>Check that Program 113 = lines 53 - 55</t>
        </r>
      </text>
    </comment>
  </commentList>
</comments>
</file>

<file path=xl/comments48.xml><?xml version="1.0" encoding="utf-8"?>
<comments xmlns="http://schemas.openxmlformats.org/spreadsheetml/2006/main">
  <authors>
    <author>RSO</author>
  </authors>
  <commentList>
    <comment ref="J14" authorId="0" shapeId="0">
      <text>
        <r>
          <rPr>
            <sz val="9"/>
            <color indexed="81"/>
            <rFont val="Tahoma"/>
            <family val="2"/>
          </rPr>
          <t>Check that Program 111 = lines 47-49</t>
        </r>
      </text>
    </comment>
    <comment ref="J16" authorId="0" shapeId="0">
      <text>
        <r>
          <rPr>
            <sz val="9"/>
            <color indexed="81"/>
            <rFont val="Tahoma"/>
            <family val="2"/>
          </rPr>
          <t>Check that Program 112 = lines 50 - 52</t>
        </r>
      </text>
    </comment>
    <comment ref="J18" authorId="0" shapeId="0">
      <text>
        <r>
          <rPr>
            <sz val="9"/>
            <color indexed="81"/>
            <rFont val="Tahoma"/>
            <family val="2"/>
          </rPr>
          <t>Check that Program 113 = lines 53 - 55</t>
        </r>
      </text>
    </comment>
  </commentList>
</comments>
</file>

<file path=xl/comments49.xml><?xml version="1.0" encoding="utf-8"?>
<comments xmlns="http://schemas.openxmlformats.org/spreadsheetml/2006/main">
  <authors>
    <author>RSO</author>
  </authors>
  <commentList>
    <comment ref="J14" authorId="0" shapeId="0">
      <text>
        <r>
          <rPr>
            <sz val="9"/>
            <color indexed="81"/>
            <rFont val="Tahoma"/>
            <family val="2"/>
          </rPr>
          <t>Check that Program 111 = lines 47-49</t>
        </r>
      </text>
    </comment>
    <comment ref="J16" authorId="0" shapeId="0">
      <text>
        <r>
          <rPr>
            <sz val="9"/>
            <color indexed="81"/>
            <rFont val="Tahoma"/>
            <family val="2"/>
          </rPr>
          <t>Check that Program 112 = lines 50 - 52</t>
        </r>
      </text>
    </comment>
    <comment ref="J18" authorId="0" shapeId="0">
      <text>
        <r>
          <rPr>
            <sz val="9"/>
            <color indexed="81"/>
            <rFont val="Tahoma"/>
            <family val="2"/>
          </rPr>
          <t>Check that Program 113 = lines 53 - 55</t>
        </r>
      </text>
    </comment>
  </commentList>
</comments>
</file>

<file path=xl/comments5.xml><?xml version="1.0" encoding="utf-8"?>
<comments xmlns="http://schemas.openxmlformats.org/spreadsheetml/2006/main">
  <authors>
    <author>RSO</author>
  </authors>
  <commentList>
    <comment ref="J14" authorId="0" shapeId="0">
      <text>
        <r>
          <rPr>
            <sz val="9"/>
            <color indexed="81"/>
            <rFont val="Tahoma"/>
            <family val="2"/>
          </rPr>
          <t>Check that Program 111 = lines 47-49</t>
        </r>
      </text>
    </comment>
    <comment ref="J16" authorId="0" shapeId="0">
      <text>
        <r>
          <rPr>
            <sz val="9"/>
            <color indexed="81"/>
            <rFont val="Tahoma"/>
            <family val="2"/>
          </rPr>
          <t>Check that Program 112 = lines 50 - 52</t>
        </r>
      </text>
    </comment>
    <comment ref="J18" authorId="0" shapeId="0">
      <text>
        <r>
          <rPr>
            <sz val="9"/>
            <color indexed="81"/>
            <rFont val="Tahoma"/>
            <family val="2"/>
          </rPr>
          <t>Check that Program 113 = lines 53 - 55</t>
        </r>
      </text>
    </comment>
  </commentList>
</comments>
</file>

<file path=xl/comments6.xml><?xml version="1.0" encoding="utf-8"?>
<comments xmlns="http://schemas.openxmlformats.org/spreadsheetml/2006/main">
  <authors>
    <author>RSO</author>
  </authors>
  <commentList>
    <comment ref="J14" authorId="0" shapeId="0">
      <text>
        <r>
          <rPr>
            <sz val="9"/>
            <color indexed="81"/>
            <rFont val="Tahoma"/>
            <family val="2"/>
          </rPr>
          <t>Check that Program 111 = lines 47-49</t>
        </r>
      </text>
    </comment>
    <comment ref="J16" authorId="0" shapeId="0">
      <text>
        <r>
          <rPr>
            <sz val="9"/>
            <color indexed="81"/>
            <rFont val="Tahoma"/>
            <family val="2"/>
          </rPr>
          <t>Check that Program 112 = lines 50 - 52</t>
        </r>
      </text>
    </comment>
    <comment ref="J18" authorId="0" shapeId="0">
      <text>
        <r>
          <rPr>
            <sz val="9"/>
            <color indexed="81"/>
            <rFont val="Tahoma"/>
            <family val="2"/>
          </rPr>
          <t>Check that Program 113 = lines 53 - 55</t>
        </r>
      </text>
    </comment>
  </commentList>
</comments>
</file>

<file path=xl/comments7.xml><?xml version="1.0" encoding="utf-8"?>
<comments xmlns="http://schemas.openxmlformats.org/spreadsheetml/2006/main">
  <authors>
    <author>RSO</author>
  </authors>
  <commentList>
    <comment ref="J14" authorId="0" shapeId="0">
      <text>
        <r>
          <rPr>
            <sz val="9"/>
            <color indexed="81"/>
            <rFont val="Tahoma"/>
            <family val="2"/>
          </rPr>
          <t>Check that Program 111 = lines 47-49</t>
        </r>
      </text>
    </comment>
    <comment ref="J16" authorId="0" shapeId="0">
      <text>
        <r>
          <rPr>
            <sz val="9"/>
            <color indexed="81"/>
            <rFont val="Tahoma"/>
            <family val="2"/>
          </rPr>
          <t>Check that Program 112 = lines 50 - 52</t>
        </r>
      </text>
    </comment>
    <comment ref="J18" authorId="0" shapeId="0">
      <text>
        <r>
          <rPr>
            <sz val="9"/>
            <color indexed="81"/>
            <rFont val="Tahoma"/>
            <family val="2"/>
          </rPr>
          <t>Check that Program 113 = lines 53 - 55</t>
        </r>
      </text>
    </comment>
  </commentList>
</comments>
</file>

<file path=xl/comments8.xml><?xml version="1.0" encoding="utf-8"?>
<comments xmlns="http://schemas.openxmlformats.org/spreadsheetml/2006/main">
  <authors>
    <author>RSO</author>
  </authors>
  <commentList>
    <comment ref="J14" authorId="0" shapeId="0">
      <text>
        <r>
          <rPr>
            <sz val="9"/>
            <color indexed="81"/>
            <rFont val="Tahoma"/>
            <family val="2"/>
          </rPr>
          <t>Check that Program 111 = lines 47-49</t>
        </r>
      </text>
    </comment>
    <comment ref="J16" authorId="0" shapeId="0">
      <text>
        <r>
          <rPr>
            <sz val="9"/>
            <color indexed="81"/>
            <rFont val="Tahoma"/>
            <family val="2"/>
          </rPr>
          <t>Check that Program 112 = lines 50 - 52</t>
        </r>
      </text>
    </comment>
    <comment ref="J18" authorId="0" shapeId="0">
      <text>
        <r>
          <rPr>
            <sz val="9"/>
            <color indexed="81"/>
            <rFont val="Tahoma"/>
            <family val="2"/>
          </rPr>
          <t>Check that Program 113 = lines 53 - 55</t>
        </r>
      </text>
    </comment>
  </commentList>
</comments>
</file>

<file path=xl/comments9.xml><?xml version="1.0" encoding="utf-8"?>
<comments xmlns="http://schemas.openxmlformats.org/spreadsheetml/2006/main">
  <authors>
    <author>RSO</author>
  </authors>
  <commentList>
    <comment ref="J14" authorId="0" shapeId="0">
      <text>
        <r>
          <rPr>
            <sz val="9"/>
            <color indexed="81"/>
            <rFont val="Tahoma"/>
            <family val="2"/>
          </rPr>
          <t>Check that Program 111 = lines 50-52</t>
        </r>
      </text>
    </comment>
    <comment ref="J16" authorId="0" shapeId="0">
      <text>
        <r>
          <rPr>
            <sz val="9"/>
            <color indexed="81"/>
            <rFont val="Tahoma"/>
            <family val="2"/>
          </rPr>
          <t>Check that Program 112 = lines 50 - 52</t>
        </r>
      </text>
    </comment>
    <comment ref="J18" authorId="0" shapeId="0">
      <text>
        <r>
          <rPr>
            <sz val="9"/>
            <color indexed="81"/>
            <rFont val="Tahoma"/>
            <family val="2"/>
          </rPr>
          <t>Check that Program 113 = lines 53 - 55</t>
        </r>
      </text>
    </comment>
  </commentList>
</comments>
</file>

<file path=xl/sharedStrings.xml><?xml version="1.0" encoding="utf-8"?>
<sst xmlns="http://schemas.openxmlformats.org/spreadsheetml/2006/main" count="17742" uniqueCount="495">
  <si>
    <t xml:space="preserve">School District: </t>
  </si>
  <si>
    <t>Program</t>
  </si>
  <si>
    <t>FTE</t>
  </si>
  <si>
    <t>(b)</t>
  </si>
  <si>
    <t>(c)</t>
  </si>
  <si>
    <t>Totals</t>
  </si>
  <si>
    <t>x</t>
  </si>
  <si>
    <t>NOTES:</t>
  </si>
  <si>
    <t>Total</t>
  </si>
  <si>
    <t>Palm Beach</t>
  </si>
  <si>
    <t>Base Student Allocation</t>
  </si>
  <si>
    <t xml:space="preserve">District Cost Differential: </t>
  </si>
  <si>
    <t>Revenues flow to districts from state sources and from county tax collectors on various distribution schedules.</t>
  </si>
  <si>
    <t>=</t>
  </si>
  <si>
    <t>4-8</t>
  </si>
  <si>
    <t>9-12</t>
  </si>
  <si>
    <t>Total FTE with ESE Services</t>
  </si>
  <si>
    <t>(Insert district number in cell A1, enter, then strike F9. Your district data then pulls from Calculation Detail Sheets)</t>
  </si>
  <si>
    <t>Total Class Size Reduction Funds</t>
  </si>
  <si>
    <t xml:space="preserve">to obtain school's UFTE share.  </t>
  </si>
  <si>
    <t xml:space="preserve">to obtain school's WFTE share. </t>
  </si>
  <si>
    <t>PK-3</t>
  </si>
  <si>
    <t>PK - 3</t>
  </si>
  <si>
    <t xml:space="preserve"> Revenue Estimate Worksheet for___________Charter School </t>
  </si>
  <si>
    <t>Number of FTE</t>
  </si>
  <si>
    <t>Grade Level</t>
  </si>
  <si>
    <t>Matrix Level</t>
  </si>
  <si>
    <t>Guarantee Per Student</t>
  </si>
  <si>
    <t>Additional Funding from the ESE Guaranteed Allocation. Enter the FTE from 111,112, &amp; 113 by grade and matrix level.  Students who do not have a matrix level should be considered 251.  This total should equal all FTE from programs 111, 112 &amp; 113 above.</t>
  </si>
  <si>
    <t>101 Basic K-3</t>
  </si>
  <si>
    <t>111 Basic K-3 with ESE Services</t>
  </si>
  <si>
    <t>102 Basic 4-8</t>
  </si>
  <si>
    <t>112 Basic 4-8 with ESE Services</t>
  </si>
  <si>
    <t>103 Basic 9-12</t>
  </si>
  <si>
    <t>113 Basic 9-12 with ESE Services</t>
  </si>
  <si>
    <t>Letters Refer to Notes At Bottom:</t>
  </si>
  <si>
    <t>Base Funding</t>
  </si>
  <si>
    <t>Allocation</t>
  </si>
  <si>
    <t>Student</t>
  </si>
  <si>
    <t xml:space="preserve"> x</t>
  </si>
  <si>
    <t>Allocation factors</t>
  </si>
  <si>
    <t>(h)</t>
  </si>
  <si>
    <t>Total Funding for Calculating the Administrative fee of Charters with More Than 75% ESE Students.</t>
  </si>
  <si>
    <t xml:space="preserve">ESE Applications Allocation: </t>
  </si>
  <si>
    <t>Charter schools should contact their school district sponsor regarding eligibility and distribution of ESE Application funds.</t>
  </si>
  <si>
    <t>(j)</t>
  </si>
  <si>
    <t>Weighted FTE (not including Add-On)</t>
  </si>
  <si>
    <t>(1)</t>
  </si>
  <si>
    <t>(2)</t>
  </si>
  <si>
    <t>(3)</t>
  </si>
  <si>
    <t>(4)</t>
  </si>
  <si>
    <t>(5)</t>
  </si>
  <si>
    <t>Small District ESE Supplement</t>
  </si>
  <si>
    <t>Total Base Funding</t>
  </si>
  <si>
    <t>Total Additional FTE</t>
  </si>
  <si>
    <t xml:space="preserve">Total Funded Weighted FTE </t>
  </si>
  <si>
    <t>Advanced Placement</t>
  </si>
  <si>
    <t>International Baccalaureate</t>
  </si>
  <si>
    <t>Advanced International Certificate</t>
  </si>
  <si>
    <t>Industry Certified Career Education</t>
  </si>
  <si>
    <t>Early High School Graduation</t>
  </si>
  <si>
    <t>(b) District allocations multiplied by percentage from item 3A.</t>
  </si>
  <si>
    <t>(c) District allocations multiplied by percentage from item 3B.</t>
  </si>
  <si>
    <t>Additional FTE (a)</t>
  </si>
  <si>
    <t>Additional Base Funds</t>
  </si>
  <si>
    <t>Enter All Adjusted Fundable Riders</t>
  </si>
  <si>
    <t>Impact Aide Student Type</t>
  </si>
  <si>
    <t>Exempt Property Allocation</t>
  </si>
  <si>
    <t>Impact Aide Student Allocation</t>
  </si>
  <si>
    <t>Military and Indian Lands</t>
  </si>
  <si>
    <t>Civilians on Federal Lands</t>
  </si>
  <si>
    <t>Students with Disabilities</t>
  </si>
  <si>
    <t>(2) x (3)</t>
  </si>
  <si>
    <t>Weighted FTE</t>
  </si>
  <si>
    <t>2015-16</t>
  </si>
  <si>
    <t>(WFTE x BSA x DCD)</t>
  </si>
  <si>
    <t>Cost Factor</t>
  </si>
  <si>
    <t>Total ESE Guarantee</t>
  </si>
  <si>
    <t>by district's total UFTE:</t>
  </si>
  <si>
    <t>by district's total WFTE:</t>
  </si>
  <si>
    <t>in Section 1, cell E38 above:</t>
  </si>
  <si>
    <t>Enter All Adjusted ESE Riders</t>
  </si>
  <si>
    <t>8.   Instructional Materials Allocation (UFTE share)</t>
  </si>
  <si>
    <t>7.   Safe Schools Allocation (UFTE share)</t>
  </si>
  <si>
    <t>5.   Discretionary Millage Compression Allocation (UFTE share)</t>
  </si>
  <si>
    <t>4.   Supplemental Academic Instruction (UFTE share)</t>
  </si>
  <si>
    <t>1.   2015-16 FEFP State and Local Funding</t>
  </si>
  <si>
    <t>2.   ESE Guaranteed Allocation:</t>
  </si>
  <si>
    <t xml:space="preserve">3A. Divide school's Unweighted FTE (UFTE) total computed </t>
  </si>
  <si>
    <t xml:space="preserve">3B. Divide school's Weighted FTE (WFTE) total computed </t>
  </si>
  <si>
    <t>(*Total FTE should equal total in Section 1, column (4) and should not include any additional FTE from Section 1.)</t>
  </si>
  <si>
    <t>Number of Students</t>
  </si>
  <si>
    <t>Administrative fees:</t>
  </si>
  <si>
    <t>Other:</t>
  </si>
  <si>
    <t>Impact Aid Student Type</t>
  </si>
  <si>
    <t>If you have more than a 75% ESE student population, please place a 1 in the following box:</t>
  </si>
  <si>
    <t>5.   Discretionary Millage Compression Allocation</t>
  </si>
  <si>
    <t>Letters in Parentheses Refer to Notes at Bottom of Worksheet:</t>
  </si>
  <si>
    <t>Additional Funding from the ESE Guaranteed Allocation. Enter the FTE from 111,112 and 113 by grade and matrix level.  Students who do not have a matrix level should be considered 251.  This total should equal all FTE from programs 111, 112 and 113 above.</t>
  </si>
  <si>
    <t>Dual Enrollment Instructional Materials Allocation</t>
  </si>
  <si>
    <t>(g)</t>
  </si>
  <si>
    <t>Charter schools should contact their school district sponsor regarding eligibility and distribution of ESE Applications funds.</t>
  </si>
  <si>
    <t>Less Administrative Fee (5% for up to 250 students of Un-Weighted FTE)</t>
  </si>
  <si>
    <t>Total Estimated Revenue</t>
  </si>
  <si>
    <t>Previous Charter School Payments Made</t>
  </si>
  <si>
    <t>Current month's payment amount</t>
  </si>
  <si>
    <t>This tab of the worksheet is Set up to show estimated funding based on Unweighted FTE for charter schools with ESE populations of more</t>
  </si>
  <si>
    <t>than 75% so that the proper administrative fee can be estimated. It should not be necessary to enter data on this page.</t>
  </si>
  <si>
    <r>
      <t xml:space="preserve">254 ESE Level 4 </t>
    </r>
    <r>
      <rPr>
        <b/>
        <i/>
        <sz val="12"/>
        <rFont val="Calibri"/>
        <family val="2"/>
      </rPr>
      <t>(Grade Level PK-3</t>
    </r>
    <r>
      <rPr>
        <b/>
        <sz val="12"/>
        <rFont val="Calibri"/>
        <family val="2"/>
      </rPr>
      <t>)</t>
    </r>
  </si>
  <si>
    <r>
      <t xml:space="preserve">254 ESE Level 4 </t>
    </r>
    <r>
      <rPr>
        <b/>
        <i/>
        <sz val="12"/>
        <rFont val="Calibri"/>
        <family val="2"/>
      </rPr>
      <t>(Grade Level 4-8)</t>
    </r>
  </si>
  <si>
    <r>
      <t>254 ESE Level 4</t>
    </r>
    <r>
      <rPr>
        <b/>
        <i/>
        <sz val="12"/>
        <rFont val="Calibri"/>
        <family val="2"/>
      </rPr>
      <t xml:space="preserve"> (Grade Level 9-12)</t>
    </r>
  </si>
  <si>
    <r>
      <t xml:space="preserve">255 ESE Level 5 </t>
    </r>
    <r>
      <rPr>
        <b/>
        <i/>
        <sz val="12"/>
        <rFont val="Calibri"/>
        <family val="2"/>
      </rPr>
      <t>(Grade Level PK-3</t>
    </r>
    <r>
      <rPr>
        <b/>
        <sz val="12"/>
        <rFont val="Calibri"/>
        <family val="2"/>
      </rPr>
      <t>)</t>
    </r>
  </si>
  <si>
    <r>
      <t xml:space="preserve">255 ESE Level 5 </t>
    </r>
    <r>
      <rPr>
        <b/>
        <i/>
        <sz val="12"/>
        <rFont val="Calibri"/>
        <family val="2"/>
      </rPr>
      <t>(Grade Level 4-8)</t>
    </r>
  </si>
  <si>
    <r>
      <t>255 ESE Level 5</t>
    </r>
    <r>
      <rPr>
        <b/>
        <i/>
        <sz val="12"/>
        <rFont val="Calibri"/>
        <family val="2"/>
      </rPr>
      <t xml:space="preserve"> (Grade Level 9-12)</t>
    </r>
  </si>
  <si>
    <r>
      <t xml:space="preserve">130 ESOL </t>
    </r>
    <r>
      <rPr>
        <b/>
        <i/>
        <sz val="12"/>
        <rFont val="Calibri"/>
        <family val="2"/>
      </rPr>
      <t>(Grade Level PK-3)</t>
    </r>
  </si>
  <si>
    <r>
      <t xml:space="preserve">130 ESOL </t>
    </r>
    <r>
      <rPr>
        <b/>
        <i/>
        <sz val="12"/>
        <rFont val="Calibri"/>
        <family val="2"/>
      </rPr>
      <t>(Grade Level 4-8)</t>
    </r>
  </si>
  <si>
    <r>
      <t xml:space="preserve">130 ESOL </t>
    </r>
    <r>
      <rPr>
        <b/>
        <i/>
        <sz val="12"/>
        <rFont val="Calibri"/>
        <family val="2"/>
      </rPr>
      <t>(Grade Level 9-12)</t>
    </r>
  </si>
  <si>
    <r>
      <t xml:space="preserve">300 Career Education </t>
    </r>
    <r>
      <rPr>
        <b/>
        <i/>
        <sz val="12"/>
        <rFont val="Calibri"/>
        <family val="2"/>
      </rPr>
      <t>(Grades 9-12)</t>
    </r>
  </si>
  <si>
    <r>
      <t>Dual Enrollment Instructional Materials Allocation (See footnote e</t>
    </r>
    <r>
      <rPr>
        <b/>
        <i/>
        <sz val="12"/>
        <rFont val="Calibri"/>
        <family val="2"/>
      </rPr>
      <t xml:space="preserve"> </t>
    </r>
    <r>
      <rPr>
        <b/>
        <sz val="12"/>
        <rFont val="Calibri"/>
        <family val="2"/>
      </rPr>
      <t xml:space="preserve">below) </t>
    </r>
  </si>
  <si>
    <r>
      <rPr>
        <b/>
        <sz val="12"/>
        <rFont val="Calibri"/>
        <family val="2"/>
      </rPr>
      <t xml:space="preserve">X             </t>
    </r>
    <r>
      <rPr>
        <b/>
        <u/>
        <sz val="12"/>
        <rFont val="Calibri"/>
        <family val="2"/>
      </rPr>
      <t>DCD</t>
    </r>
    <r>
      <rPr>
        <b/>
        <sz val="12"/>
        <rFont val="Calibri"/>
        <family val="2"/>
      </rPr>
      <t xml:space="preserve">            X</t>
    </r>
  </si>
  <si>
    <r>
      <t xml:space="preserve">Total </t>
    </r>
    <r>
      <rPr>
        <b/>
        <sz val="12"/>
        <color indexed="30"/>
        <rFont val="Calibri"/>
        <family val="2"/>
      </rPr>
      <t>*</t>
    </r>
  </si>
  <si>
    <t>Excess of Administrative Fees to be Allocated to Capital Expenditures</t>
  </si>
  <si>
    <t xml:space="preserve">District Cost Differential:   </t>
  </si>
  <si>
    <t xml:space="preserve">Base Student Allocation:   </t>
  </si>
  <si>
    <t>Oct 2014</t>
  </si>
  <si>
    <t>Feb 2015</t>
  </si>
  <si>
    <t xml:space="preserve">Total Additional FTE   </t>
  </si>
  <si>
    <t xml:space="preserve">Total Funded Weighted FTE   </t>
  </si>
  <si>
    <t xml:space="preserve">Additional Base Funds  </t>
  </si>
  <si>
    <t xml:space="preserve">Total Base Funding  </t>
  </si>
  <si>
    <t>Grade</t>
  </si>
  <si>
    <t>Level</t>
  </si>
  <si>
    <t>Matrix</t>
  </si>
  <si>
    <t>Guarantee</t>
  </si>
  <si>
    <t>Per Student</t>
  </si>
  <si>
    <t xml:space="preserve">    ÷                    District's Total UFTE</t>
  </si>
  <si>
    <t>3A.   Divide school's Unweighted FTE (UFTE) total computed in Section 1, cell E28 above by the district's total UFTE to obtain school's</t>
  </si>
  <si>
    <t>3B.   Divide school's Weighted FTE (WFTE) total computed in Section 1, cell E41 above by the district's total WFTE to obtain school's</t>
  </si>
  <si>
    <t xml:space="preserve">          UFTE share.                Charter School UFTE: </t>
  </si>
  <si>
    <t xml:space="preserve">          WFTE share.              Charter School WFTE: </t>
  </si>
  <si>
    <t xml:space="preserve">    ÷                    District's Total WFTE</t>
  </si>
  <si>
    <t xml:space="preserve">        .748 Mills (UFTE share)</t>
  </si>
  <si>
    <t>ESE Applications Allocation</t>
  </si>
  <si>
    <t xml:space="preserve">Total Class Size Reduction Funds  </t>
  </si>
  <si>
    <t>(not including Add-On)</t>
  </si>
  <si>
    <r>
      <t xml:space="preserve">Total </t>
    </r>
    <r>
      <rPr>
        <b/>
        <sz val="12"/>
        <color indexed="30"/>
        <rFont val="Calibri"/>
        <family val="2"/>
      </rPr>
      <t xml:space="preserve">*   </t>
    </r>
  </si>
  <si>
    <t xml:space="preserve">9-12       </t>
  </si>
  <si>
    <t xml:space="preserve">4-8       </t>
  </si>
  <si>
    <t xml:space="preserve">PK - 3      </t>
  </si>
  <si>
    <t>Factors</t>
  </si>
  <si>
    <r>
      <rPr>
        <b/>
        <sz val="12"/>
        <rFont val="Calibri"/>
        <family val="2"/>
      </rPr>
      <t xml:space="preserve">  X   </t>
    </r>
    <r>
      <rPr>
        <b/>
        <u/>
        <sz val="12"/>
        <rFont val="Calibri"/>
        <family val="2"/>
      </rPr>
      <t>DCD</t>
    </r>
    <r>
      <rPr>
        <b/>
        <sz val="12"/>
        <rFont val="Calibri"/>
        <family val="2"/>
      </rPr>
      <t xml:space="preserve">   X</t>
    </r>
  </si>
  <si>
    <t>Average</t>
  </si>
  <si>
    <t>Impact Aide</t>
  </si>
  <si>
    <t>Exempt Property</t>
  </si>
  <si>
    <t>Revenue Estimate Worksheet: Academy for Positive Learning - 0664</t>
  </si>
  <si>
    <t>Revenue Estimate Worksheet: South Tech Charter Academy - 1571</t>
  </si>
  <si>
    <t>Revenue Estimate Worksheet: Ed Venture Charter School - 2521</t>
  </si>
  <si>
    <t>Revenue Estimate Worksheet: Potentials Charter School - 2531</t>
  </si>
  <si>
    <t>Revenue Estimate Worksheet: Believers Academy - 3400</t>
  </si>
  <si>
    <t>Revenue Estimate Worksheet: Western Academy Charter School - 2911</t>
  </si>
  <si>
    <t>Revenue Estimate Worksheet: Palm Beach School for Autism - 2941</t>
  </si>
  <si>
    <t>Revenue Estimate Worksheet: Imagine Schools - Chancellor Campus - 3381</t>
  </si>
  <si>
    <t>Revenue Estimate Worksheet: Glades Academy - 3382</t>
  </si>
  <si>
    <t>Revenue Estimate Worksheet: Seagull Academy for Independent Living - 3391</t>
  </si>
  <si>
    <t>Revenue Estimate Worksheet: Montessori Academy of Early Enrichment - 3394</t>
  </si>
  <si>
    <t>Revenue Estimate Worksheet: G-Star School of the Arts for Motion Pictures &amp; Television - 3396</t>
  </si>
  <si>
    <t>Revenue Estimate Worksheet: Everglades Preparatory Academy - 3398</t>
  </si>
  <si>
    <t>Revenue Estimate Worksheet: Quantum High School - 3401</t>
  </si>
  <si>
    <t>Revenue Estimate Worksheet: Somerset Academy Boca East - 3413</t>
  </si>
  <si>
    <t>Revenue Estimate Worksheet: Worthington High School - 3421</t>
  </si>
  <si>
    <t>Revenue Estimate Worksheet: Renaissance Charter School at West Palm Beach - 3431</t>
  </si>
  <si>
    <t>Revenue Estimate Worksheet: SouthTech Preparatory Academy - 3441</t>
  </si>
  <si>
    <t>Revenue Estimate Worksheet: Ben Gamla Charter School - 3941</t>
  </si>
  <si>
    <t>Revenue Estimate Worksheet: Gardens School of Technology Arts - 3961</t>
  </si>
  <si>
    <t>Revenue Estimate Worksheet: Renaissance Charter School at Wellington - 4001</t>
  </si>
  <si>
    <t>Revenue Estimate Worksheet: Renaissance Charter School at Summit - 4002</t>
  </si>
  <si>
    <t>Revenue Estimate Worksheet: Somerset Academy Canyons Middle School - 4012</t>
  </si>
  <si>
    <t>Revenue Estimate Worksheet: Somerset Academy Canyons High School - 4013</t>
  </si>
  <si>
    <t>Revenue Estimate Worksheet: Somerset Academy Boca Middle School - 4041</t>
  </si>
  <si>
    <t>Revenue Estimate Worksheet: Renaissance Charter School at Cypress - 4050</t>
  </si>
  <si>
    <t>Revenue Estimate Worksheet: Renaissance Charter School at Central Palm - 4051</t>
  </si>
  <si>
    <t>School District:</t>
  </si>
  <si>
    <t>District Funding</t>
  </si>
  <si>
    <t>0.748 Discretionary Local Effort</t>
  </si>
  <si>
    <t>0.748 Mills Compression</t>
  </si>
  <si>
    <t>Reading Allocation</t>
  </si>
  <si>
    <t>Instructional Materials</t>
  </si>
  <si>
    <t>Funding Per FTE</t>
  </si>
  <si>
    <t>Virtual Education Contribution Per FTE</t>
  </si>
  <si>
    <t>Total Funding Per FTE</t>
  </si>
  <si>
    <t>Total FTE</t>
  </si>
  <si>
    <t>Total Virtual Funding</t>
  </si>
  <si>
    <t>Total Virtual Funding net of Completion Factor</t>
  </si>
  <si>
    <t>Less: Administrative Fee (5% for Virtual)</t>
  </si>
  <si>
    <t>Base FEFP Funding</t>
  </si>
  <si>
    <t>District Total Unweighted FTE</t>
  </si>
  <si>
    <t>(a)</t>
  </si>
  <si>
    <t>(a) / (b)</t>
  </si>
  <si>
    <t>Estimated Completion Factor - Based on K-12 state-wide average</t>
  </si>
  <si>
    <t>Totals non-virtual schools</t>
  </si>
  <si>
    <t>Virtual schools ($5,476.28/FTE)</t>
  </si>
  <si>
    <t>Totals all schools</t>
  </si>
  <si>
    <t xml:space="preserve">          UFTE share.          Charter School UFTE: </t>
  </si>
  <si>
    <t>School #</t>
  </si>
  <si>
    <t>Description</t>
  </si>
  <si>
    <t>0664</t>
  </si>
  <si>
    <t>1461</t>
  </si>
  <si>
    <t>1571</t>
  </si>
  <si>
    <t>2521</t>
  </si>
  <si>
    <t>2531</t>
  </si>
  <si>
    <t>2791</t>
  </si>
  <si>
    <t>2801</t>
  </si>
  <si>
    <t>2911</t>
  </si>
  <si>
    <t>2941</t>
  </si>
  <si>
    <t>3083</t>
  </si>
  <si>
    <t>3345</t>
  </si>
  <si>
    <t>3381</t>
  </si>
  <si>
    <t>3382</t>
  </si>
  <si>
    <t>3391</t>
  </si>
  <si>
    <t>3394</t>
  </si>
  <si>
    <t>3395</t>
  </si>
  <si>
    <t>3396</t>
  </si>
  <si>
    <t>3398</t>
  </si>
  <si>
    <t>3400</t>
  </si>
  <si>
    <t>3401</t>
  </si>
  <si>
    <t>3413</t>
  </si>
  <si>
    <t>3421</t>
  </si>
  <si>
    <t>3431</t>
  </si>
  <si>
    <t>3941</t>
  </si>
  <si>
    <t>3961</t>
  </si>
  <si>
    <t>3971</t>
  </si>
  <si>
    <t>4001</t>
  </si>
  <si>
    <t>Net payments</t>
  </si>
  <si>
    <t>Palm Beach County Charter Schools</t>
  </si>
  <si>
    <t>Sorted by School Name</t>
  </si>
  <si>
    <t>Dept #</t>
  </si>
  <si>
    <t>Charter School Name</t>
  </si>
  <si>
    <t>Academy for Positive Learning</t>
  </si>
  <si>
    <t>Believers Academy</t>
  </si>
  <si>
    <t>Inlet Grove Community High School</t>
  </si>
  <si>
    <t>Ben Gamla Charter School</t>
  </si>
  <si>
    <t>South Tech Charter Academy</t>
  </si>
  <si>
    <t>Ed Venture</t>
  </si>
  <si>
    <t>Potentials Charter School</t>
  </si>
  <si>
    <t>Everglades Preparatory Academy</t>
  </si>
  <si>
    <t>Western Academy Charter School</t>
  </si>
  <si>
    <t>Palm Beach School for Autism</t>
  </si>
  <si>
    <t>4020</t>
  </si>
  <si>
    <t>4061</t>
  </si>
  <si>
    <t>Imagine Schools - Chancellor Campus</t>
  </si>
  <si>
    <t>Gardens School of Technology Arts</t>
  </si>
  <si>
    <t xml:space="preserve">Glades Academy </t>
  </si>
  <si>
    <t>G-Star School of the Arts for Motion Pictures and Television</t>
  </si>
  <si>
    <t>Seagull Academy for Independent Living</t>
  </si>
  <si>
    <t>Montessori Academy of Early Enrichment</t>
  </si>
  <si>
    <t>Quantum High School</t>
  </si>
  <si>
    <t>Somerset Academy Boca</t>
  </si>
  <si>
    <t>Worthington High School</t>
  </si>
  <si>
    <t>3924</t>
  </si>
  <si>
    <t>Renaissance Charter School at WPB</t>
  </si>
  <si>
    <t>3441</t>
  </si>
  <si>
    <t>South Tech Preparatory Academy (Middle School)</t>
  </si>
  <si>
    <t>4051</t>
  </si>
  <si>
    <t>Renaissance Charter School at Central Palm</t>
  </si>
  <si>
    <t>4050</t>
  </si>
  <si>
    <t>Renaissance Charter School at Cypress</t>
  </si>
  <si>
    <t>4002</t>
  </si>
  <si>
    <t xml:space="preserve">Renaissance Charter School at Summit </t>
  </si>
  <si>
    <t>Renaissance Charter School at Wellington</t>
  </si>
  <si>
    <t>4012</t>
  </si>
  <si>
    <t xml:space="preserve">Somerset Academy Canyons Middle School </t>
  </si>
  <si>
    <t>4013</t>
  </si>
  <si>
    <t xml:space="preserve">Somerset Academy Canyons High School </t>
  </si>
  <si>
    <t>4041</t>
  </si>
  <si>
    <t xml:space="preserve">Somerset Academy Boca Middle School </t>
  </si>
  <si>
    <t>School Name</t>
  </si>
  <si>
    <t xml:space="preserve">G-Star School of the Arts </t>
  </si>
  <si>
    <t>South Tech Preparatory Academy (MS)</t>
  </si>
  <si>
    <t>School Police</t>
  </si>
  <si>
    <t>AT&amp;T</t>
  </si>
  <si>
    <t>Avaya</t>
  </si>
  <si>
    <t>Net</t>
  </si>
  <si>
    <t>Charter schools should contact their school district sponsor regarding eligible FTE. Please note that “Number of FTE” is NOT equivalent to number of students enrolled in these courses or programs. Please refer to footnote (a) below.</t>
  </si>
  <si>
    <t>4081</t>
  </si>
  <si>
    <t>Florida Futures Academy - North Campus</t>
  </si>
  <si>
    <t>Revenue Estimate Worksheet: Florida Futures Academy - North Campus - 4081</t>
  </si>
  <si>
    <t>WPB-xxxxxx</t>
  </si>
  <si>
    <t>State Funded Discretionary Contribution</t>
  </si>
  <si>
    <t>University Preparatory Academy</t>
  </si>
  <si>
    <t>4080</t>
  </si>
  <si>
    <t>H</t>
  </si>
  <si>
    <t>Current month's payment amount - Additional</t>
  </si>
  <si>
    <t>Previous Charter School Payments Made (July-Oct 2015 before this revised Oct revenue calculation)</t>
  </si>
  <si>
    <t>University Prep Palm Beach</t>
  </si>
  <si>
    <t>Revenue Estimate Worksheet: University Prep Palm Beach - 4080</t>
  </si>
  <si>
    <t>October 2015 FTE</t>
  </si>
  <si>
    <t>February 2016 FTE</t>
  </si>
  <si>
    <t>Remaining Estimated Revenue</t>
  </si>
  <si>
    <t>Number of Remaining Months</t>
  </si>
  <si>
    <t>Number of remaining months</t>
  </si>
  <si>
    <t xml:space="preserve">Totals per payment approval sheet  </t>
  </si>
  <si>
    <t>Adjustments</t>
  </si>
  <si>
    <t>Letters in Parentheses Refer to Notes at Bottom of Worksheet</t>
  </si>
  <si>
    <t>Revenue Estimate Worksheet: Inlet Grove Community High School - 1461</t>
  </si>
  <si>
    <t>Revenue Estimate Worksheet: All Charter Schools (Consolidated Tab)</t>
  </si>
  <si>
    <t xml:space="preserve">Total current month's FTE payment amount per Consolidated tab  </t>
  </si>
  <si>
    <t>The Learning Center at The Els Center of Excellence</t>
  </si>
  <si>
    <t>Revenue Estimate Worksheet: The Learning Center at The Els Center of Excellence - 2791</t>
  </si>
  <si>
    <t>Class Size Cat.</t>
  </si>
  <si>
    <t>Based on the 2015-16 FEFP 4th Calculation</t>
  </si>
  <si>
    <t>3A.   Divide school's Unweighted FTE (UFTE) total computed in Section 1, cell E29 above by the district's total UFTE to obtain school's</t>
  </si>
  <si>
    <t>3B.   Divide school's Weighted FTE (WFTE) total computed in Section 1, cell H29 above by the district's total WFTE to obtain school's</t>
  </si>
  <si>
    <t>in Section 1, cell P29 above:</t>
  </si>
  <si>
    <t>(a) Additional FTE includes FTE earned through Advanced Placement, International Baccalaureate, Advanced International Certificate of Education, Industry Certified Career</t>
  </si>
  <si>
    <t xml:space="preserve">graduation under the dual enrollment program as provided in s. 1011.62(l)(i), F.S.  </t>
  </si>
  <si>
    <t>(g) Numbers entered here will be multiplied by the district level transportation funding per rider. "All Adjusted Fundable Riders" should include both basic and ESE Riders.</t>
  </si>
  <si>
    <t>"All Adjusted ESE Riders" should include only ESE Riders.</t>
  </si>
  <si>
    <t xml:space="preserve">(h) The Federally Connected Student Supplement provides additional funding for students on federal lands that receive Section 8003 impact aide pursuant to s. 1011.62(13), F.S. </t>
  </si>
  <si>
    <t xml:space="preserve">before September 1 of each year whose full-time or job-share responsibility is the classroom instruction of students in prekindergarten through grade 12, including </t>
  </si>
  <si>
    <t>full-time media specialists and certified school counselors serving students in prekindergarten through grade 12, who are funded through the FEFP.</t>
  </si>
  <si>
    <t xml:space="preserve">unweighted full-time equivalent students. </t>
  </si>
  <si>
    <t xml:space="preserve">Administrative fees charged by the school district pursuant to s. 1002.33(20)(a), F.S., shall be calculated based upon 5% of available funds from the FEFP and categorical </t>
  </si>
  <si>
    <t>FEFP and categorical funding are recalculated during the year to reflect the revised number of full-time equivalent students reported during the survey periods designated</t>
  </si>
  <si>
    <t>by the Commissioner of Education.</t>
  </si>
  <si>
    <t>Revenue Estimate Worksheet: Connections Education Center of the Palm Beaches - 4100</t>
  </si>
  <si>
    <t>Pg 41/52 - 1st Calc</t>
  </si>
  <si>
    <t>Connections Education Center of the Palm Beaches</t>
  </si>
  <si>
    <t>4100</t>
  </si>
  <si>
    <t>In a letter dated 08/01/16, the school's governing board elected to voluntarily terminate the</t>
  </si>
  <si>
    <t>school's Charter effective 08/01/16.</t>
  </si>
  <si>
    <t>Revenue Estimate Worksheet: Somerset Academy Lakes - 4091</t>
  </si>
  <si>
    <t>Revenue Estimate Worksheet: Sports Leadership &amp; Management Middle School (SLAM) - 4090</t>
  </si>
  <si>
    <t>Revenue Estimate Worksheet: Virtual - 4XXX</t>
  </si>
  <si>
    <t>Sports Leadership &amp; Management MS (SLAM)</t>
  </si>
  <si>
    <t>Somerset Academy Lakes</t>
  </si>
  <si>
    <t>Sports Leadership &amp; Management (SLAM) MS</t>
  </si>
  <si>
    <t>NOTES TO ALL CHARTER SCHOOLS</t>
  </si>
  <si>
    <t>PY Final FEFP</t>
  </si>
  <si>
    <t>PY Dig C/R A/R</t>
  </si>
  <si>
    <t>PY Digital C/R</t>
  </si>
  <si>
    <t>4102</t>
  </si>
  <si>
    <t>BridgePrep Academy of PB</t>
  </si>
  <si>
    <t>Revenue Estimate Worksheet: BridgePrep Academy of PB - 4102</t>
  </si>
  <si>
    <t xml:space="preserve">Transportation </t>
  </si>
  <si>
    <t>Revenue Estimate Worksheet: Somerset Academy JFK Charter School - 3395</t>
  </si>
  <si>
    <t>Somerset Academy JFK Charter School</t>
  </si>
  <si>
    <t>(i) Teacher Classroom Supply Assistance Program allocation pursuant to s. 1012.71, F.S., for certified teachers employed by a public school district or public charter school</t>
  </si>
  <si>
    <t xml:space="preserve">(j) Funding based on student eligibility and meals provided, if participating in the National School Lunch Program. </t>
  </si>
  <si>
    <t>(k) Consistent with s. 1002.33(20)(a), F.S., for charter schools with a population of 75% or more ESE students, the administrative fee shall be calculated based on</t>
  </si>
  <si>
    <t>PY Class Size Cat.</t>
  </si>
  <si>
    <t>MS Course Recovery</t>
  </si>
  <si>
    <t>Feb 2018</t>
  </si>
  <si>
    <t>K-12 Initiative Grant</t>
  </si>
  <si>
    <t>(e)</t>
  </si>
  <si>
    <t>(i)</t>
  </si>
  <si>
    <t>(d) The Digital Classroom Allocation is provided pursuant to s. 1011.62(12), F.S.</t>
  </si>
  <si>
    <t xml:space="preserve">Education (CAPE), Early High School Graduation and the small district ESE Supplement, pursuant to s. 1011.62(1)(l-p), F.S. </t>
  </si>
  <si>
    <t>(e) School districts are required to pay for instructional materials used for the instruction of public high school students who are earning credit toward high school</t>
  </si>
  <si>
    <t>funding for which charter students may be eligible.  To calculate the administrative fee to be withheld for schools with more than 250 students, divide the school</t>
  </si>
  <si>
    <t xml:space="preserve">population into 250. Multiply that fraction times the funds available, then times 5%.  </t>
  </si>
  <si>
    <t xml:space="preserve">For high performing charter schools, administrative fees charged by the school district shall be calculated based upon 2% of available funds from the FEFP and categorical </t>
  </si>
  <si>
    <t xml:space="preserve">population into 250. Multiply that fraction times the funds available, then times 2%.  </t>
  </si>
  <si>
    <t>19.  Federally Connected Student Supplement (g)</t>
  </si>
  <si>
    <t>2018-19</t>
  </si>
  <si>
    <t>Revenue Estimate Worksheet: Sports Leadership &amp; Management (SLAM) MHS (Boca) - 4103</t>
  </si>
  <si>
    <t>Sports Leadership Arts Management (SLAM) - Boca</t>
  </si>
  <si>
    <t>9.    Mental Health Assistance Allocation (UFTE share)</t>
  </si>
  <si>
    <t>10.  Total Funds Compression Allocation (UFTE share)</t>
  </si>
  <si>
    <t>4103</t>
  </si>
  <si>
    <t>Sports Leadership Arts Management (SLAM) Acdemy MHS (Boca)</t>
  </si>
  <si>
    <t xml:space="preserve"> </t>
  </si>
  <si>
    <t>Oct 2018</t>
  </si>
  <si>
    <t>Please go to the bottom of the page.</t>
  </si>
  <si>
    <t>Sorted by School Number</t>
  </si>
  <si>
    <t>Revenue Estimate Worksheet: Olympus International Academy - 4030</t>
  </si>
  <si>
    <t>Revenue Estimate Worksheet: Sports Leadership &amp; Management (SLAM) Academy High School - 4111</t>
  </si>
  <si>
    <t>Projected</t>
  </si>
  <si>
    <t>Olympus International Academy</t>
  </si>
  <si>
    <t>The Learning Academy at The Els Center of Excellence</t>
  </si>
  <si>
    <t>LAN &amp; Internet</t>
  </si>
  <si>
    <t>4030</t>
  </si>
  <si>
    <t>Disallowed IDEA</t>
  </si>
  <si>
    <t>Palm Beach Preparatory Charter Academy</t>
  </si>
  <si>
    <t>SLAM HS Palm Beach</t>
  </si>
  <si>
    <t>Revenue Estimate Worksheet: Palm Beach Preparatory Charter Academy - 3971</t>
  </si>
  <si>
    <t>FL AG - FY18</t>
  </si>
  <si>
    <t>WPB-</t>
  </si>
  <si>
    <t>Revenue Estimate Worksheet: The Learning Academy at The Els Center of Excellence - 3083</t>
  </si>
  <si>
    <t>Franklin Academy - Boynton Beach</t>
  </si>
  <si>
    <t>Revenue Estimate Worksheet: Franklin Academy - Boynton Beach - 4020</t>
  </si>
  <si>
    <t>Franklin Academy - Palm Beach Gardens</t>
  </si>
  <si>
    <t>Revenue Estimate Worksheet: Franklin Academy - Palm Beach Gardens - 4061</t>
  </si>
  <si>
    <t>11.  Sparsity Supplement (WFTE share)</t>
  </si>
  <si>
    <t>12.  Reading Allocation (WFTE share)</t>
  </si>
  <si>
    <t>(k)</t>
  </si>
  <si>
    <t>Somerset Academy Wellington</t>
  </si>
  <si>
    <t>Revenue Estimate Worksheet: Somerset Academy Wellington - 4031</t>
  </si>
  <si>
    <t>13.  Discretionary Local Effort (WFTE share)</t>
  </si>
  <si>
    <t>14.  Proration to Funds Available (WFTE share)</t>
  </si>
  <si>
    <t>PY Safe Schl Alloc</t>
  </si>
  <si>
    <t>WPB-229862</t>
  </si>
  <si>
    <t>WPB-229839</t>
  </si>
  <si>
    <t>SWA Fees</t>
  </si>
  <si>
    <t>FL AG - FY20</t>
  </si>
  <si>
    <t>FY21 TSIA</t>
  </si>
  <si>
    <t>2021-22</t>
  </si>
  <si>
    <t>(f) This allocation will be frozen as of the 2021-22 FEFP Second Calculation and will not be recalculated throughout the year. Charter school allocations should be</t>
  </si>
  <si>
    <t xml:space="preserve">distributed on weighted FTE (or base funding as is done in the FEFP) and should not be recalculated with fluctuations in student enrollment later in the year. </t>
  </si>
  <si>
    <t>WPB-241201</t>
  </si>
  <si>
    <t>Oct 2021</t>
  </si>
  <si>
    <t>Feb 2022</t>
  </si>
  <si>
    <t>WPB-242548</t>
  </si>
  <si>
    <t>WPB-242343</t>
  </si>
  <si>
    <t>FY21 CSTAG Training</t>
  </si>
  <si>
    <t>TSIA deducted 07/21</t>
  </si>
  <si>
    <t>Unused FY21 TSIA Funds</t>
  </si>
  <si>
    <t>Unused FY21 TSIA add'l adj</t>
  </si>
  <si>
    <t>-</t>
  </si>
  <si>
    <t>WPB-245543</t>
  </si>
  <si>
    <t>WPB-245095</t>
  </si>
  <si>
    <t>WPB-247889</t>
  </si>
  <si>
    <t>WPB-248085</t>
  </si>
  <si>
    <t>WPB-248086</t>
  </si>
  <si>
    <t>WPB-248087</t>
  </si>
  <si>
    <t>Ends June 2022</t>
  </si>
  <si>
    <t>Ends May 2022</t>
  </si>
  <si>
    <t>18.  Student Transportation</t>
  </si>
  <si>
    <t>20.  Florida Teachers Classroom Supply Assistance Program</t>
  </si>
  <si>
    <t>21.  Food Service Allocation</t>
  </si>
  <si>
    <t>17.  Class size Reduction Funds:</t>
  </si>
  <si>
    <t>WPB-249234</t>
  </si>
  <si>
    <t>WPB-249895</t>
  </si>
  <si>
    <t>TSIA deducted 02/22</t>
  </si>
  <si>
    <t>6.   Safe Schools Allocation (UFTE share)</t>
  </si>
  <si>
    <t>7.   Instructional Materials Allocation (UFTE share)</t>
  </si>
  <si>
    <t>8.    Mental Health Assistance Allocation (UFTE share)</t>
  </si>
  <si>
    <t>9.  Total Funds Compression Allocation (UFTE share)</t>
  </si>
  <si>
    <t>10.  Sparsity Supplement (WFTE share)</t>
  </si>
  <si>
    <t>11.  Reading Allocation (WFTE share)</t>
  </si>
  <si>
    <t>12.  Discretionary Local Effort (WFTE share)</t>
  </si>
  <si>
    <t>13. Teacher Salary Increase Allocation Funds:</t>
  </si>
  <si>
    <t>Maintenance Portion (WFTE share)</t>
  </si>
  <si>
    <t>(c) (e)</t>
  </si>
  <si>
    <t>Growth Portion (WFTE share)</t>
  </si>
  <si>
    <t>Total TSIA Allocation (Maintenance + Growth)</t>
  </si>
  <si>
    <t>15.  Class Size Reduction Funds:</t>
  </si>
  <si>
    <t>16.  Student Transportation</t>
  </si>
  <si>
    <t>17.  Federally Connected Student Supplement</t>
  </si>
  <si>
    <t>18.  Florida Teachers Classroom Supply Assistance Program</t>
  </si>
  <si>
    <t>19.  Food Service Allocation</t>
  </si>
  <si>
    <t>Revenue Estimate Worksheet: Somerset Academy Wellington HS - 4131</t>
  </si>
  <si>
    <t>4131</t>
  </si>
  <si>
    <t>Somerset Academy Wellington HS</t>
  </si>
  <si>
    <t>WPB-254137</t>
  </si>
  <si>
    <t>WPB-255421</t>
  </si>
  <si>
    <t>WPB-254244</t>
  </si>
  <si>
    <t>Palm Beach Maritime Academy Secondary</t>
  </si>
  <si>
    <t>Palm Beach Maritime Academy Elementary</t>
  </si>
  <si>
    <t>WPB-255860</t>
  </si>
  <si>
    <t>Toussaint L'Ouverture High School</t>
  </si>
  <si>
    <t>Bright Futures Academy</t>
  </si>
  <si>
    <t>WPB-256551</t>
  </si>
  <si>
    <t>WPB-256685</t>
  </si>
  <si>
    <t>Oct 2022</t>
  </si>
  <si>
    <t>Feb 2023</t>
  </si>
  <si>
    <t>Based on the FLDOE 2022-23 FEFP Third Calculation</t>
  </si>
  <si>
    <t>1.   2022-23 FEFP State and Local Funding</t>
  </si>
  <si>
    <t>20. Total Less TSIA (for administrative fee calculation)</t>
  </si>
  <si>
    <t>20a.  Funding for the purpose of calculating the administrative fee for ESE charter schools.</t>
  </si>
  <si>
    <t>20.  Total Less TSIA (for administrative fee calculation)</t>
  </si>
  <si>
    <t xml:space="preserve">Fundable Riders  </t>
  </si>
  <si>
    <t xml:space="preserve">ESE Riders (Member Category L)  </t>
  </si>
  <si>
    <t>Revenue Estimate Worksheet: Career Academy of the Palm Beaches - 3345</t>
  </si>
  <si>
    <t>Revenue Estimate Worksheet: Palm Beach Maritime Academy Secondary - 3924</t>
  </si>
  <si>
    <t>Revenue Estimate Worksheet: Palm Beach Maritime Academy Elementary - 2801</t>
  </si>
  <si>
    <t>Career Academy of the Palm Beaches</t>
  </si>
  <si>
    <t>WPB-260215</t>
  </si>
  <si>
    <r>
      <rPr>
        <b/>
        <sz val="10"/>
        <color indexed="12"/>
        <rFont val="Calibri"/>
        <family val="2"/>
      </rPr>
      <t xml:space="preserve">Apr 2023 - </t>
    </r>
    <r>
      <rPr>
        <b/>
        <sz val="10"/>
        <rFont val="Calibri"/>
        <family val="2"/>
      </rPr>
      <t xml:space="preserve">FY </t>
    </r>
    <r>
      <rPr>
        <b/>
        <sz val="10"/>
        <color indexed="12"/>
        <rFont val="Calibri"/>
        <family val="2"/>
      </rPr>
      <t xml:space="preserve">2023 </t>
    </r>
    <r>
      <rPr>
        <b/>
        <sz val="10"/>
        <rFont val="Calibri"/>
        <family val="2"/>
      </rPr>
      <t>Charter School FTE Payment</t>
    </r>
  </si>
  <si>
    <t>FTE APR 23</t>
  </si>
  <si>
    <t>Apr 2023</t>
  </si>
  <si>
    <t>2022-23</t>
  </si>
  <si>
    <t>WPB-262457</t>
  </si>
  <si>
    <t>WPB-262952</t>
  </si>
  <si>
    <t>WPB-262318</t>
  </si>
  <si>
    <t>1. The FLDOE released the Feb 2023 FTE Survey 3 report on 03/23/23. FTE counts from this report are used in</t>
  </si>
  <si>
    <t>the April 2023 payment calculations. This report has been uploaded to the District's Charter School Fiscal</t>
  </si>
  <si>
    <t>Oversight web page.</t>
  </si>
  <si>
    <t>2. As of 04/05/23, 7:45am, the FLDOE has not released the 2022-23 Foruth Calculation Charter School Revenue</t>
  </si>
  <si>
    <t>Worksheet. The April 2023 payments are based on the 2022-23 Third Calculation.</t>
  </si>
  <si>
    <t>3. The ESE Guaranteed Allocation FTE numbers are not provided by the FLDOE, but by the District's IT</t>
  </si>
  <si>
    <t>Department. Updated information for the Feb 2023 Survey 3 has not yet been received from the IT</t>
  </si>
  <si>
    <t xml:space="preserve">from the Oct 2022 Survey 2. </t>
  </si>
  <si>
    <t xml:space="preserve">Department. The April 2023 ESE Guaranteed Allocation was calcuated based on the percentage breakout </t>
  </si>
  <si>
    <t>4. The Student Transportation FTE numbers are not provided by the FLDOE, but by the District's Transportation</t>
  </si>
  <si>
    <t>&amp; IT Departments. Updated information for the Feb 2023 Survey 3 has not yet been received.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</si>
</sst>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8">
    <numFmt numFmtId="7" formatCode="&quot;$&quot;#,##0.00_);\(&quot;$&quot;#,##0.00\)"/>
    <numFmt numFmtId="41" formatCode="_(* #,##0_);_(* \(#,##0\);_(* &quot;-&quot;_);_(@_)"/>
    <numFmt numFmtId="44" formatCode="_(&quot;$&quot;* #,##0.00_);_(&quot;$&quot;* \(#,##0.00\);_(&quot;$&quot;* &quot;-&quot;??_);_(@_)"/>
    <numFmt numFmtId="43" formatCode="_(* #,##0.00_);_(* \(#,##0.00\);_(* &quot;-&quot;??_);_(@_)"/>
    <numFmt numFmtId="164" formatCode="_-&quot;$&quot;* #,##0.00_-;\-&quot;$&quot;* #,##0.00_-;_-&quot;$&quot;* &quot;-&quot;??_-;_-@_-"/>
    <numFmt numFmtId="165" formatCode="_-* #,##0.00_-;\-* #,##0.00_-;_-* &quot;-&quot;??_-;_-@_-"/>
    <numFmt numFmtId="166" formatCode="0.0000%"/>
    <numFmt numFmtId="167" formatCode="#,##0.0000"/>
    <numFmt numFmtId="168" formatCode="0.000"/>
    <numFmt numFmtId="169" formatCode="0.0000"/>
    <numFmt numFmtId="170" formatCode="_-&quot;$&quot;* #,##0_-;\-&quot;$&quot;* #,##0_-;_-&quot;$&quot;* &quot;-&quot;??_-;_-@_-"/>
    <numFmt numFmtId="171" formatCode="0."/>
    <numFmt numFmtId="172" formatCode="#,##0.0000\ \ \ _);\(#,##0.0000\)"/>
    <numFmt numFmtId="173" formatCode="_(* #,##0.0000_);_(* \(#,##0.0000\);_(* &quot;-&quot;????_);_(@_)"/>
    <numFmt numFmtId="174" formatCode="#,##0.0000\ \ \ \ \ \ \ \ \ \ _);\(#,##0.0000\ \ \ \ \ \ \ \ \ \ \)"/>
    <numFmt numFmtId="175" formatCode="#,##0.00\ \ \ \ _);\(#,##0.00\)"/>
    <numFmt numFmtId="176" formatCode="#,##0._);\(#,##0.\)"/>
    <numFmt numFmtId="177" formatCode="#,##0;[Red]\(#,##0\)"/>
  </numFmts>
  <fonts count="42" x14ac:knownFonts="1">
    <font>
      <sz val="10"/>
      <name val="Arial"/>
    </font>
    <font>
      <sz val="10"/>
      <name val="Arial"/>
      <family val="2"/>
    </font>
    <font>
      <sz val="8"/>
      <name val="Arial"/>
      <family val="2"/>
    </font>
    <font>
      <b/>
      <sz val="12"/>
      <name val="Calibri"/>
      <family val="2"/>
    </font>
    <font>
      <b/>
      <i/>
      <sz val="12"/>
      <name val="Calibri"/>
      <family val="2"/>
    </font>
    <font>
      <b/>
      <u/>
      <sz val="12"/>
      <name val="Calibri"/>
      <family val="2"/>
    </font>
    <font>
      <b/>
      <sz val="12"/>
      <color indexed="30"/>
      <name val="Calibri"/>
      <family val="2"/>
    </font>
    <font>
      <sz val="9"/>
      <color indexed="81"/>
      <name val="Tahoma"/>
      <family val="2"/>
    </font>
    <font>
      <b/>
      <sz val="10"/>
      <name val="Calibri"/>
      <family val="2"/>
    </font>
    <font>
      <b/>
      <sz val="8"/>
      <name val="Arial"/>
      <family val="2"/>
    </font>
    <font>
      <b/>
      <sz val="10"/>
      <color indexed="12"/>
      <name val="Calibri"/>
      <family val="2"/>
    </font>
    <font>
      <sz val="11"/>
      <color theme="1"/>
      <name val="Calibri"/>
      <family val="2"/>
      <scheme val="minor"/>
    </font>
    <font>
      <b/>
      <sz val="16"/>
      <name val="Calibri"/>
      <family val="2"/>
      <scheme val="minor"/>
    </font>
    <font>
      <b/>
      <sz val="12"/>
      <name val="Calibri"/>
      <family val="2"/>
      <scheme val="minor"/>
    </font>
    <font>
      <b/>
      <sz val="12"/>
      <color indexed="12"/>
      <name val="Calibri"/>
      <family val="2"/>
      <scheme val="minor"/>
    </font>
    <font>
      <sz val="12"/>
      <name val="Calibri"/>
      <family val="2"/>
      <scheme val="minor"/>
    </font>
    <font>
      <sz val="10"/>
      <name val="Calibri"/>
      <family val="2"/>
      <scheme val="minor"/>
    </font>
    <font>
      <b/>
      <sz val="10"/>
      <name val="Calibri"/>
      <family val="2"/>
      <scheme val="minor"/>
    </font>
    <font>
      <b/>
      <sz val="12"/>
      <color rgb="FF00B050"/>
      <name val="Calibri"/>
      <family val="2"/>
      <scheme val="minor"/>
    </font>
    <font>
      <b/>
      <sz val="12"/>
      <color rgb="FFFF0000"/>
      <name val="Calibri"/>
      <family val="2"/>
      <scheme val="minor"/>
    </font>
    <font>
      <b/>
      <sz val="12"/>
      <color indexed="10"/>
      <name val="Calibri"/>
      <family val="2"/>
      <scheme val="minor"/>
    </font>
    <font>
      <b/>
      <sz val="12"/>
      <color indexed="8"/>
      <name val="Calibri"/>
      <family val="2"/>
      <scheme val="minor"/>
    </font>
    <font>
      <b/>
      <sz val="12"/>
      <color rgb="FF0000FF"/>
      <name val="Calibri"/>
      <family val="2"/>
      <scheme val="minor"/>
    </font>
    <font>
      <b/>
      <u/>
      <sz val="12"/>
      <name val="Calibri"/>
      <family val="2"/>
      <scheme val="minor"/>
    </font>
    <font>
      <i/>
      <sz val="12"/>
      <name val="Calibri"/>
      <family val="2"/>
      <scheme val="minor"/>
    </font>
    <font>
      <b/>
      <sz val="12"/>
      <color theme="0"/>
      <name val="Calibri"/>
      <family val="2"/>
      <scheme val="minor"/>
    </font>
    <font>
      <sz val="12"/>
      <color rgb="FF0000FF"/>
      <name val="Calibri"/>
      <family val="2"/>
      <scheme val="minor"/>
    </font>
    <font>
      <sz val="12"/>
      <color theme="1"/>
      <name val="Calibri"/>
      <family val="2"/>
      <scheme val="minor"/>
    </font>
    <font>
      <b/>
      <sz val="12"/>
      <color theme="1"/>
      <name val="Calibri"/>
      <family val="2"/>
      <scheme val="minor"/>
    </font>
    <font>
      <sz val="10"/>
      <color theme="1"/>
      <name val="Calibri"/>
      <family val="2"/>
      <scheme val="minor"/>
    </font>
    <font>
      <b/>
      <sz val="10"/>
      <color rgb="FF0000FF"/>
      <name val="Calibri"/>
      <family val="2"/>
      <scheme val="minor"/>
    </font>
    <font>
      <sz val="10"/>
      <color rgb="FF0000FF"/>
      <name val="Calibri"/>
      <family val="2"/>
      <scheme val="minor"/>
    </font>
    <font>
      <b/>
      <i/>
      <sz val="10"/>
      <name val="Calibri"/>
      <family val="2"/>
      <scheme val="minor"/>
    </font>
    <font>
      <b/>
      <sz val="10"/>
      <color rgb="FFFF0000"/>
      <name val="Calibri"/>
      <family val="2"/>
      <scheme val="minor"/>
    </font>
    <font>
      <b/>
      <sz val="8"/>
      <color rgb="FFFFFF00"/>
      <name val="Arial"/>
      <family val="2"/>
    </font>
    <font>
      <b/>
      <u/>
      <sz val="10"/>
      <name val="Calibri"/>
      <family val="2"/>
      <scheme val="minor"/>
    </font>
    <font>
      <sz val="10"/>
      <color rgb="FFFFFF00"/>
      <name val="Calibri"/>
      <family val="2"/>
      <scheme val="minor"/>
    </font>
    <font>
      <b/>
      <sz val="11"/>
      <name val="Calibri"/>
      <family val="2"/>
      <scheme val="minor"/>
    </font>
    <font>
      <b/>
      <sz val="11"/>
      <color indexed="12"/>
      <name val="Calibri"/>
      <family val="2"/>
      <scheme val="minor"/>
    </font>
    <font>
      <i/>
      <sz val="10"/>
      <name val="Calibri"/>
      <family val="2"/>
      <scheme val="minor"/>
    </font>
    <font>
      <sz val="8"/>
      <color rgb="FFFF0000"/>
      <name val="Calibri"/>
      <family val="2"/>
      <scheme val="minor"/>
    </font>
    <font>
      <sz val="8"/>
      <color indexed="10"/>
      <name val="Calibri"/>
      <family val="2"/>
      <scheme val="minor"/>
    </font>
  </fonts>
  <fills count="10">
    <fill>
      <patternFill patternType="none"/>
    </fill>
    <fill>
      <patternFill patternType="gray125"/>
    </fill>
    <fill>
      <patternFill patternType="solid">
        <fgColor rgb="FFFFFF99"/>
        <bgColor indexed="64"/>
      </patternFill>
    </fill>
    <fill>
      <patternFill patternType="solid">
        <fgColor rgb="FFFFFF00"/>
        <bgColor indexed="64"/>
      </patternFill>
    </fill>
    <fill>
      <patternFill patternType="solid">
        <fgColor theme="0" tint="-0.14999847407452621"/>
        <bgColor indexed="64"/>
      </patternFill>
    </fill>
    <fill>
      <patternFill patternType="solid">
        <fgColor theme="5" tint="0.59999389629810485"/>
        <bgColor indexed="64"/>
      </patternFill>
    </fill>
    <fill>
      <patternFill patternType="solid">
        <fgColor rgb="FFFFFF66"/>
        <bgColor indexed="64"/>
      </patternFill>
    </fill>
    <fill>
      <patternFill patternType="solid">
        <fgColor theme="0" tint="-4.9989318521683403E-2"/>
        <bgColor indexed="64"/>
      </patternFill>
    </fill>
    <fill>
      <patternFill patternType="solid">
        <fgColor theme="6" tint="0.39997558519241921"/>
        <bgColor indexed="64"/>
      </patternFill>
    </fill>
    <fill>
      <patternFill patternType="solid">
        <fgColor theme="1"/>
        <bgColor indexed="64"/>
      </patternFill>
    </fill>
  </fills>
  <borders count="23">
    <border>
      <left/>
      <right/>
      <top/>
      <bottom/>
      <diagonal/>
    </border>
    <border>
      <left/>
      <right/>
      <top/>
      <bottom style="thin">
        <color indexed="64"/>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style="medium">
        <color indexed="64"/>
      </left>
      <right/>
      <top/>
      <bottom/>
      <diagonal/>
    </border>
    <border>
      <left/>
      <right/>
      <top/>
      <bottom style="double">
        <color indexed="64"/>
      </bottom>
      <diagonal/>
    </border>
    <border>
      <left/>
      <right/>
      <top style="thin">
        <color indexed="64"/>
      </top>
      <bottom style="double">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bottom/>
      <diagonal/>
    </border>
    <border>
      <left/>
      <right style="medium">
        <color indexed="64"/>
      </right>
      <top/>
      <bottom style="medium">
        <color indexed="64"/>
      </bottom>
      <diagonal/>
    </border>
    <border>
      <left/>
      <right/>
      <top style="medium">
        <color indexed="64"/>
      </top>
      <bottom/>
      <diagonal/>
    </border>
    <border>
      <left style="medium">
        <color indexed="64"/>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style="medium">
        <color indexed="64"/>
      </bottom>
      <diagonal/>
    </border>
    <border>
      <left/>
      <right/>
      <top style="medium">
        <color indexed="64"/>
      </top>
      <bottom style="thin">
        <color indexed="64"/>
      </bottom>
      <diagonal/>
    </border>
  </borders>
  <cellStyleXfs count="11">
    <xf numFmtId="0" fontId="0" fillId="0" borderId="0"/>
    <xf numFmtId="43" fontId="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165" fontId="1" fillId="0" borderId="0" applyFont="0" applyFill="0" applyBorder="0" applyAlignment="0" applyProtection="0"/>
    <xf numFmtId="44" fontId="1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1" fillId="0" borderId="0"/>
    <xf numFmtId="9" fontId="11" fillId="0" borderId="0" applyFont="0" applyFill="0" applyBorder="0" applyAlignment="0" applyProtection="0"/>
  </cellStyleXfs>
  <cellXfs count="544">
    <xf numFmtId="0" fontId="0" fillId="0" borderId="0" xfId="0"/>
    <xf numFmtId="0" fontId="12" fillId="0" borderId="0" xfId="0" quotePrefix="1" applyFont="1" applyAlignment="1">
      <alignment horizontal="left"/>
    </xf>
    <xf numFmtId="0" fontId="12" fillId="0" borderId="0" xfId="0" applyFont="1"/>
    <xf numFmtId="0" fontId="13" fillId="0" borderId="0" xfId="0" applyFont="1"/>
    <xf numFmtId="4" fontId="14" fillId="0" borderId="0" xfId="0" applyNumberFormat="1" applyFont="1"/>
    <xf numFmtId="4" fontId="14" fillId="2" borderId="0" xfId="0" applyNumberFormat="1" applyFont="1" applyFill="1"/>
    <xf numFmtId="4" fontId="14" fillId="2" borderId="0" xfId="0" applyNumberFormat="1" applyFont="1" applyFill="1" applyAlignment="1">
      <alignment horizontal="left"/>
    </xf>
    <xf numFmtId="0" fontId="15" fillId="0" borderId="0" xfId="0" applyFont="1" applyAlignment="1">
      <alignment horizontal="center"/>
    </xf>
    <xf numFmtId="7" fontId="16" fillId="0" borderId="0" xfId="0" applyNumberFormat="1" applyFont="1" applyAlignment="1">
      <alignment horizontal="center"/>
    </xf>
    <xf numFmtId="168" fontId="13" fillId="0" borderId="0" xfId="0" applyNumberFormat="1" applyFont="1" applyAlignment="1">
      <alignment wrapText="1"/>
    </xf>
    <xf numFmtId="4" fontId="13" fillId="0" borderId="0" xfId="0" applyNumberFormat="1" applyFont="1" applyAlignment="1">
      <alignment horizontal="center" wrapText="1"/>
    </xf>
    <xf numFmtId="164" fontId="13" fillId="0" borderId="0" xfId="6" applyFont="1" applyBorder="1" applyAlignment="1">
      <alignment horizontal="center" wrapText="1"/>
    </xf>
    <xf numFmtId="0" fontId="15" fillId="2" borderId="0" xfId="0" applyFont="1" applyFill="1" applyAlignment="1">
      <alignment horizontal="center"/>
    </xf>
    <xf numFmtId="7" fontId="16" fillId="2" borderId="0" xfId="0" applyNumberFormat="1" applyFont="1" applyFill="1" applyAlignment="1">
      <alignment horizontal="center"/>
    </xf>
    <xf numFmtId="168" fontId="13" fillId="2" borderId="0" xfId="0" applyNumberFormat="1" applyFont="1" applyFill="1" applyAlignment="1">
      <alignment wrapText="1"/>
    </xf>
    <xf numFmtId="4" fontId="13" fillId="2" borderId="0" xfId="0" applyNumberFormat="1" applyFont="1" applyFill="1" applyAlignment="1">
      <alignment horizontal="center" wrapText="1"/>
    </xf>
    <xf numFmtId="164" fontId="13" fillId="2" borderId="0" xfId="6" applyFont="1" applyFill="1" applyBorder="1" applyAlignment="1">
      <alignment horizontal="center" wrapText="1"/>
    </xf>
    <xf numFmtId="4" fontId="13" fillId="0" borderId="1" xfId="0" applyNumberFormat="1" applyFont="1" applyBorder="1" applyAlignment="1">
      <alignment horizontal="center" wrapText="1"/>
    </xf>
    <xf numFmtId="164" fontId="13" fillId="0" borderId="1" xfId="6" applyFont="1" applyBorder="1" applyAlignment="1">
      <alignment horizontal="center" wrapText="1"/>
    </xf>
    <xf numFmtId="4" fontId="13" fillId="2" borderId="1" xfId="0" applyNumberFormat="1" applyFont="1" applyFill="1" applyBorder="1" applyAlignment="1">
      <alignment horizontal="center" wrapText="1"/>
    </xf>
    <xf numFmtId="164" fontId="17" fillId="2" borderId="1" xfId="6" applyFont="1" applyFill="1" applyBorder="1" applyAlignment="1">
      <alignment horizontal="center" wrapText="1"/>
    </xf>
    <xf numFmtId="4" fontId="13" fillId="0" borderId="1" xfId="0" quotePrefix="1" applyNumberFormat="1" applyFont="1" applyBorder="1" applyAlignment="1">
      <alignment horizontal="center"/>
    </xf>
    <xf numFmtId="164" fontId="13" fillId="0" borderId="1" xfId="6" quotePrefix="1" applyFont="1" applyBorder="1" applyAlignment="1">
      <alignment horizontal="center"/>
    </xf>
    <xf numFmtId="4" fontId="13" fillId="2" borderId="1" xfId="0" quotePrefix="1" applyNumberFormat="1" applyFont="1" applyFill="1" applyBorder="1" applyAlignment="1">
      <alignment horizontal="center"/>
    </xf>
    <xf numFmtId="164" fontId="13" fillId="2" borderId="1" xfId="6" quotePrefix="1" applyFont="1" applyFill="1" applyBorder="1" applyAlignment="1">
      <alignment horizontal="center"/>
    </xf>
    <xf numFmtId="170" fontId="13" fillId="0" borderId="0" xfId="6" applyNumberFormat="1" applyFont="1" applyBorder="1" applyAlignment="1">
      <alignment horizontal="center"/>
    </xf>
    <xf numFmtId="170" fontId="13" fillId="2" borderId="0" xfId="6" applyNumberFormat="1" applyFont="1" applyFill="1" applyBorder="1" applyAlignment="1">
      <alignment horizontal="center"/>
    </xf>
    <xf numFmtId="0" fontId="13" fillId="0" borderId="0" xfId="0" applyFont="1" applyAlignment="1">
      <alignment horizontal="right"/>
    </xf>
    <xf numFmtId="2" fontId="13" fillId="0" borderId="0" xfId="0" applyNumberFormat="1" applyFont="1" applyAlignment="1">
      <alignment horizontal="center"/>
    </xf>
    <xf numFmtId="0" fontId="13" fillId="2" borderId="0" xfId="0" applyFont="1" applyFill="1" applyAlignment="1">
      <alignment horizontal="right"/>
    </xf>
    <xf numFmtId="2" fontId="18" fillId="2" borderId="0" xfId="0" applyNumberFormat="1" applyFont="1" applyFill="1" applyAlignment="1">
      <alignment horizontal="center"/>
    </xf>
    <xf numFmtId="2" fontId="13" fillId="2" borderId="0" xfId="0" applyNumberFormat="1" applyFont="1" applyFill="1" applyAlignment="1">
      <alignment horizontal="center"/>
    </xf>
    <xf numFmtId="164" fontId="17" fillId="0" borderId="1" xfId="6" applyFont="1" applyBorder="1" applyAlignment="1">
      <alignment horizontal="center" wrapText="1"/>
    </xf>
    <xf numFmtId="169" fontId="13" fillId="0" borderId="0" xfId="0" applyNumberFormat="1" applyFont="1" applyAlignment="1">
      <alignment horizontal="right"/>
    </xf>
    <xf numFmtId="169" fontId="13" fillId="2" borderId="0" xfId="0" applyNumberFormat="1" applyFont="1" applyFill="1" applyAlignment="1">
      <alignment horizontal="right"/>
    </xf>
    <xf numFmtId="169" fontId="18" fillId="0" borderId="0" xfId="0" applyNumberFormat="1" applyFont="1" applyAlignment="1">
      <alignment horizontal="right"/>
    </xf>
    <xf numFmtId="169" fontId="18" fillId="2" borderId="0" xfId="0" applyNumberFormat="1" applyFont="1" applyFill="1" applyAlignment="1">
      <alignment horizontal="right"/>
    </xf>
    <xf numFmtId="0" fontId="13" fillId="0" borderId="1" xfId="0" applyFont="1" applyBorder="1"/>
    <xf numFmtId="0" fontId="13" fillId="2" borderId="1" xfId="0" applyFont="1" applyFill="1" applyBorder="1"/>
    <xf numFmtId="0" fontId="13" fillId="0" borderId="0" xfId="0" applyFont="1" applyAlignment="1">
      <alignment horizontal="center"/>
    </xf>
    <xf numFmtId="0" fontId="13" fillId="2" borderId="0" xfId="0" applyFont="1" applyFill="1" applyAlignment="1">
      <alignment horizontal="center"/>
    </xf>
    <xf numFmtId="0" fontId="13" fillId="0" borderId="0" xfId="0" quotePrefix="1" applyFont="1" applyAlignment="1">
      <alignment horizontal="center"/>
    </xf>
    <xf numFmtId="0" fontId="13" fillId="2" borderId="0" xfId="0" quotePrefix="1" applyFont="1" applyFill="1" applyAlignment="1">
      <alignment horizontal="center"/>
    </xf>
    <xf numFmtId="4" fontId="18" fillId="2" borderId="1" xfId="0" applyNumberFormat="1" applyFont="1" applyFill="1" applyBorder="1" applyAlignment="1">
      <alignment horizontal="center"/>
    </xf>
    <xf numFmtId="0" fontId="15" fillId="0" borderId="0" xfId="0" quotePrefix="1" applyFont="1" applyAlignment="1">
      <alignment horizontal="center"/>
    </xf>
    <xf numFmtId="0" fontId="15" fillId="0" borderId="1" xfId="0" quotePrefix="1" applyFont="1" applyBorder="1" applyAlignment="1">
      <alignment horizontal="center"/>
    </xf>
    <xf numFmtId="4" fontId="13" fillId="0" borderId="0" xfId="0" quotePrefix="1" applyNumberFormat="1" applyFont="1" applyAlignment="1">
      <alignment horizontal="center"/>
    </xf>
    <xf numFmtId="4" fontId="13" fillId="2" borderId="0" xfId="0" quotePrefix="1" applyNumberFormat="1" applyFont="1" applyFill="1" applyAlignment="1">
      <alignment horizontal="center"/>
    </xf>
    <xf numFmtId="0" fontId="13" fillId="2" borderId="0" xfId="0" applyFont="1" applyFill="1" applyAlignment="1">
      <alignment horizontal="left"/>
    </xf>
    <xf numFmtId="169" fontId="13" fillId="0" borderId="0" xfId="0" applyNumberFormat="1" applyFont="1" applyAlignment="1">
      <alignment horizontal="center"/>
    </xf>
    <xf numFmtId="169" fontId="13" fillId="2" borderId="0" xfId="0" applyNumberFormat="1" applyFont="1" applyFill="1" applyAlignment="1">
      <alignment horizontal="center"/>
    </xf>
    <xf numFmtId="4" fontId="13" fillId="2" borderId="0" xfId="0" applyNumberFormat="1" applyFont="1" applyFill="1" applyAlignment="1">
      <alignment horizontal="center"/>
    </xf>
    <xf numFmtId="16" fontId="13" fillId="0" borderId="0" xfId="0" quotePrefix="1" applyNumberFormat="1" applyFont="1" applyAlignment="1">
      <alignment horizontal="right"/>
    </xf>
    <xf numFmtId="16" fontId="13" fillId="2" borderId="0" xfId="0" quotePrefix="1" applyNumberFormat="1" applyFont="1" applyFill="1" applyAlignment="1">
      <alignment horizontal="right"/>
    </xf>
    <xf numFmtId="0" fontId="13" fillId="2" borderId="0" xfId="0" applyFont="1" applyFill="1"/>
    <xf numFmtId="0" fontId="13" fillId="0" borderId="0" xfId="0" quotePrefix="1" applyFont="1" applyAlignment="1">
      <alignment horizontal="right"/>
    </xf>
    <xf numFmtId="0" fontId="13" fillId="2" borderId="0" xfId="0" quotePrefix="1" applyFont="1" applyFill="1" applyAlignment="1">
      <alignment horizontal="right"/>
    </xf>
    <xf numFmtId="169" fontId="13" fillId="2" borderId="2" xfId="0" applyNumberFormat="1" applyFont="1" applyFill="1" applyBorder="1" applyAlignment="1">
      <alignment horizontal="center"/>
    </xf>
    <xf numFmtId="165" fontId="13" fillId="0" borderId="0" xfId="4" applyFont="1" applyBorder="1" applyAlignment="1">
      <alignment horizontal="right"/>
    </xf>
    <xf numFmtId="165" fontId="13" fillId="2" borderId="0" xfId="4" applyFont="1" applyFill="1" applyBorder="1" applyAlignment="1">
      <alignment horizontal="right"/>
    </xf>
    <xf numFmtId="169" fontId="13" fillId="2" borderId="3" xfId="0" applyNumberFormat="1" applyFont="1" applyFill="1" applyBorder="1" applyAlignment="1">
      <alignment horizontal="center"/>
    </xf>
    <xf numFmtId="38" fontId="13" fillId="2" borderId="0" xfId="0" quotePrefix="1" applyNumberFormat="1" applyFont="1" applyFill="1"/>
    <xf numFmtId="0" fontId="13" fillId="0" borderId="1" xfId="0" applyFont="1" applyBorder="1" applyAlignment="1">
      <alignment horizontal="center"/>
    </xf>
    <xf numFmtId="0" fontId="13" fillId="2" borderId="1" xfId="0" applyFont="1" applyFill="1" applyBorder="1" applyAlignment="1">
      <alignment horizontal="center"/>
    </xf>
    <xf numFmtId="7" fontId="13" fillId="3" borderId="0" xfId="0" applyNumberFormat="1" applyFont="1" applyFill="1"/>
    <xf numFmtId="7" fontId="13" fillId="2" borderId="0" xfId="0" applyNumberFormat="1" applyFont="1" applyFill="1"/>
    <xf numFmtId="7" fontId="13" fillId="3" borderId="1" xfId="0" applyNumberFormat="1" applyFont="1" applyFill="1" applyBorder="1"/>
    <xf numFmtId="7" fontId="13" fillId="2" borderId="1" xfId="0" applyNumberFormat="1" applyFont="1" applyFill="1" applyBorder="1"/>
    <xf numFmtId="0" fontId="19" fillId="0" borderId="0" xfId="0" applyFont="1"/>
    <xf numFmtId="0" fontId="19" fillId="2" borderId="0" xfId="0" applyFont="1" applyFill="1"/>
    <xf numFmtId="170" fontId="13" fillId="2" borderId="3" xfId="0" applyNumberFormat="1" applyFont="1" applyFill="1" applyBorder="1"/>
    <xf numFmtId="3" fontId="13" fillId="0" borderId="0" xfId="0" quotePrefix="1" applyNumberFormat="1" applyFont="1" applyAlignment="1">
      <alignment horizontal="center"/>
    </xf>
    <xf numFmtId="0" fontId="13" fillId="0" borderId="0" xfId="0" applyFont="1" applyAlignment="1">
      <alignment horizontal="left"/>
    </xf>
    <xf numFmtId="0" fontId="19" fillId="4" borderId="4" xfId="0" applyFont="1" applyFill="1" applyBorder="1" applyAlignment="1">
      <alignment horizontal="center"/>
    </xf>
    <xf numFmtId="0" fontId="17" fillId="2" borderId="0" xfId="0" applyFont="1" applyFill="1"/>
    <xf numFmtId="0" fontId="17" fillId="2" borderId="0" xfId="0" quotePrefix="1" applyFont="1" applyFill="1" applyAlignment="1">
      <alignment horizontal="left"/>
    </xf>
    <xf numFmtId="0" fontId="17" fillId="0" borderId="0" xfId="0" applyFont="1" applyAlignment="1">
      <alignment horizontal="left"/>
    </xf>
    <xf numFmtId="171" fontId="13" fillId="0" borderId="0" xfId="0" applyNumberFormat="1" applyFont="1" applyAlignment="1">
      <alignment horizontal="left"/>
    </xf>
    <xf numFmtId="169" fontId="15" fillId="0" borderId="0" xfId="0" applyNumberFormat="1" applyFont="1"/>
    <xf numFmtId="0" fontId="13" fillId="0" borderId="0" xfId="0" applyFont="1" applyAlignment="1">
      <alignment vertical="center"/>
    </xf>
    <xf numFmtId="170" fontId="13" fillId="0" borderId="0" xfId="0" applyNumberFormat="1" applyFont="1" applyAlignment="1">
      <alignment vertical="center"/>
    </xf>
    <xf numFmtId="171" fontId="13" fillId="0" borderId="0" xfId="0" applyNumberFormat="1" applyFont="1" applyAlignment="1">
      <alignment horizontal="left" vertical="center"/>
    </xf>
    <xf numFmtId="0" fontId="15" fillId="0" borderId="0" xfId="0" applyFont="1" applyAlignment="1">
      <alignment vertical="center"/>
    </xf>
    <xf numFmtId="172" fontId="13" fillId="0" borderId="0" xfId="0" applyNumberFormat="1" applyFont="1"/>
    <xf numFmtId="0" fontId="13" fillId="0" borderId="0" xfId="0" quotePrefix="1" applyFont="1" applyAlignment="1">
      <alignment horizontal="left"/>
    </xf>
    <xf numFmtId="0" fontId="20" fillId="0" borderId="3" xfId="0" applyFont="1" applyBorder="1"/>
    <xf numFmtId="4" fontId="13" fillId="2" borderId="0" xfId="0" applyNumberFormat="1" applyFont="1" applyFill="1" applyAlignment="1">
      <alignment horizontal="left"/>
    </xf>
    <xf numFmtId="0" fontId="15" fillId="0" borderId="0" xfId="0" quotePrefix="1" applyFont="1"/>
    <xf numFmtId="0" fontId="15" fillId="0" borderId="0" xfId="0" quotePrefix="1" applyFont="1" applyAlignment="1">
      <alignment horizontal="right"/>
    </xf>
    <xf numFmtId="49" fontId="15" fillId="0" borderId="0" xfId="0" applyNumberFormat="1" applyFont="1"/>
    <xf numFmtId="49" fontId="15" fillId="0" borderId="0" xfId="0" applyNumberFormat="1" applyFont="1" applyProtection="1">
      <protection locked="0"/>
    </xf>
    <xf numFmtId="7" fontId="19" fillId="0" borderId="0" xfId="0" quotePrefix="1" applyNumberFormat="1" applyFont="1" applyAlignment="1">
      <alignment horizontal="center"/>
    </xf>
    <xf numFmtId="7" fontId="19" fillId="0" borderId="0" xfId="0" applyNumberFormat="1" applyFont="1" applyAlignment="1">
      <alignment horizontal="center"/>
    </xf>
    <xf numFmtId="0" fontId="19" fillId="0" borderId="1" xfId="0" applyFont="1" applyBorder="1" applyAlignment="1">
      <alignment horizontal="center"/>
    </xf>
    <xf numFmtId="0" fontId="20" fillId="0" borderId="1" xfId="0" quotePrefix="1" applyFont="1" applyBorder="1"/>
    <xf numFmtId="0" fontId="13" fillId="0" borderId="1" xfId="0" quotePrefix="1" applyFont="1" applyBorder="1" applyAlignment="1">
      <alignment horizontal="center"/>
    </xf>
    <xf numFmtId="172" fontId="13" fillId="0" borderId="1" xfId="0" applyNumberFormat="1" applyFont="1" applyBorder="1"/>
    <xf numFmtId="43" fontId="13" fillId="0" borderId="1" xfId="1" applyFont="1" applyBorder="1" applyAlignment="1"/>
    <xf numFmtId="167" fontId="13" fillId="2" borderId="1" xfId="0" applyNumberFormat="1" applyFont="1" applyFill="1" applyBorder="1"/>
    <xf numFmtId="170" fontId="13" fillId="2" borderId="1" xfId="6" applyNumberFormat="1" applyFont="1" applyFill="1" applyBorder="1" applyAlignment="1"/>
    <xf numFmtId="43" fontId="13" fillId="0" borderId="5" xfId="1" applyFont="1" applyBorder="1" applyAlignment="1"/>
    <xf numFmtId="170" fontId="13" fillId="2" borderId="5" xfId="6" applyNumberFormat="1" applyFont="1" applyFill="1" applyBorder="1" applyAlignment="1"/>
    <xf numFmtId="172" fontId="13" fillId="0" borderId="5" xfId="0" applyNumberFormat="1" applyFont="1" applyBorder="1"/>
    <xf numFmtId="169" fontId="13" fillId="2" borderId="5" xfId="0" applyNumberFormat="1" applyFont="1" applyFill="1" applyBorder="1"/>
    <xf numFmtId="43" fontId="13" fillId="0" borderId="0" xfId="1" applyFont="1" applyBorder="1" applyAlignment="1"/>
    <xf numFmtId="169" fontId="13" fillId="2" borderId="0" xfId="0" applyNumberFormat="1" applyFont="1" applyFill="1"/>
    <xf numFmtId="170" fontId="13" fillId="2" borderId="0" xfId="6" applyNumberFormat="1" applyFont="1" applyFill="1" applyBorder="1" applyAlignment="1"/>
    <xf numFmtId="169" fontId="13" fillId="0" borderId="0" xfId="0" applyNumberFormat="1" applyFont="1"/>
    <xf numFmtId="2" fontId="19" fillId="0" borderId="1" xfId="0" applyNumberFormat="1" applyFont="1" applyBorder="1"/>
    <xf numFmtId="2" fontId="13" fillId="0" borderId="0" xfId="0" applyNumberFormat="1" applyFont="1"/>
    <xf numFmtId="2" fontId="13" fillId="0" borderId="0" xfId="0" quotePrefix="1" applyNumberFormat="1" applyFont="1" applyAlignment="1">
      <alignment horizontal="right"/>
    </xf>
    <xf numFmtId="170" fontId="13" fillId="2" borderId="3" xfId="6" applyNumberFormat="1" applyFont="1" applyFill="1" applyBorder="1" applyAlignment="1"/>
    <xf numFmtId="2" fontId="13" fillId="0" borderId="0" xfId="0" quotePrefix="1" applyNumberFormat="1" applyFont="1" applyAlignment="1">
      <alignment horizontal="center"/>
    </xf>
    <xf numFmtId="0" fontId="21" fillId="0" borderId="0" xfId="0" quotePrefix="1" applyFont="1" applyAlignment="1">
      <alignment horizontal="center"/>
    </xf>
    <xf numFmtId="0" fontId="21" fillId="0" borderId="1" xfId="0" quotePrefix="1" applyFont="1" applyBorder="1" applyAlignment="1">
      <alignment horizontal="center"/>
    </xf>
    <xf numFmtId="0" fontId="21" fillId="2" borderId="1" xfId="0" applyFont="1" applyFill="1" applyBorder="1" applyAlignment="1">
      <alignment horizontal="center"/>
    </xf>
    <xf numFmtId="43" fontId="22" fillId="4" borderId="1" xfId="1" applyFont="1" applyFill="1" applyBorder="1" applyAlignment="1"/>
    <xf numFmtId="170" fontId="21" fillId="2" borderId="1" xfId="6" applyNumberFormat="1" applyFont="1" applyFill="1" applyBorder="1" applyAlignment="1"/>
    <xf numFmtId="170" fontId="13" fillId="2" borderId="1" xfId="0" applyNumberFormat="1" applyFont="1" applyFill="1" applyBorder="1"/>
    <xf numFmtId="43" fontId="13" fillId="0" borderId="6" xfId="1" applyFont="1" applyBorder="1" applyAlignment="1"/>
    <xf numFmtId="170" fontId="13" fillId="2" borderId="6" xfId="6" applyNumberFormat="1" applyFont="1" applyFill="1" applyBorder="1" applyAlignment="1"/>
    <xf numFmtId="43" fontId="18" fillId="0" borderId="1" xfId="1" applyFont="1" applyBorder="1" applyAlignment="1">
      <alignment horizontal="center"/>
    </xf>
    <xf numFmtId="4" fontId="23" fillId="0" borderId="0" xfId="0" applyNumberFormat="1" applyFont="1"/>
    <xf numFmtId="166" fontId="18" fillId="0" borderId="0" xfId="0" applyNumberFormat="1" applyFont="1" applyAlignment="1">
      <alignment horizontal="center"/>
    </xf>
    <xf numFmtId="166" fontId="18" fillId="0" borderId="0" xfId="0" applyNumberFormat="1" applyFont="1"/>
    <xf numFmtId="43" fontId="13" fillId="0" borderId="0" xfId="1" applyFont="1" applyFill="1" applyBorder="1" applyAlignment="1"/>
    <xf numFmtId="0" fontId="13" fillId="0" borderId="1" xfId="0" applyFont="1" applyBorder="1" applyAlignment="1">
      <alignment horizontal="left"/>
    </xf>
    <xf numFmtId="166" fontId="18" fillId="0" borderId="1" xfId="0" applyNumberFormat="1" applyFont="1" applyBorder="1" applyAlignment="1">
      <alignment horizontal="center"/>
    </xf>
    <xf numFmtId="0" fontId="13" fillId="2" borderId="1" xfId="0" applyFont="1" applyFill="1" applyBorder="1" applyAlignment="1">
      <alignment horizontal="left"/>
    </xf>
    <xf numFmtId="166" fontId="18" fillId="2" borderId="0" xfId="0" applyNumberFormat="1" applyFont="1" applyFill="1" applyAlignment="1">
      <alignment horizontal="left"/>
    </xf>
    <xf numFmtId="166" fontId="18" fillId="2" borderId="1" xfId="0" applyNumberFormat="1" applyFont="1" applyFill="1" applyBorder="1" applyAlignment="1">
      <alignment horizontal="left"/>
    </xf>
    <xf numFmtId="166" fontId="13" fillId="0" borderId="0" xfId="0" applyNumberFormat="1" applyFont="1"/>
    <xf numFmtId="38" fontId="13" fillId="2" borderId="1" xfId="0" applyNumberFormat="1" applyFont="1" applyFill="1" applyBorder="1"/>
    <xf numFmtId="166" fontId="13" fillId="2" borderId="0" xfId="0" applyNumberFormat="1" applyFont="1" applyFill="1"/>
    <xf numFmtId="3" fontId="13" fillId="2" borderId="1" xfId="0" applyNumberFormat="1" applyFont="1" applyFill="1" applyBorder="1"/>
    <xf numFmtId="170" fontId="13" fillId="0" borderId="0" xfId="6" applyNumberFormat="1" applyFont="1" applyBorder="1" applyAlignment="1"/>
    <xf numFmtId="41" fontId="13" fillId="0" borderId="0" xfId="1" applyNumberFormat="1" applyFont="1" applyFill="1" applyBorder="1" applyAlignment="1"/>
    <xf numFmtId="3" fontId="13" fillId="2" borderId="0" xfId="0" applyNumberFormat="1" applyFont="1" applyFill="1"/>
    <xf numFmtId="0" fontId="23" fillId="0" borderId="0" xfId="0" applyFont="1"/>
    <xf numFmtId="0" fontId="23" fillId="0" borderId="0" xfId="0" quotePrefix="1" applyFont="1" applyAlignment="1">
      <alignment horizontal="left"/>
    </xf>
    <xf numFmtId="4" fontId="13" fillId="0" borderId="1" xfId="0" applyNumberFormat="1" applyFont="1" applyBorder="1" applyAlignment="1">
      <alignment horizontal="center"/>
    </xf>
    <xf numFmtId="4" fontId="13" fillId="0" borderId="0" xfId="0" applyNumberFormat="1" applyFont="1"/>
    <xf numFmtId="165" fontId="13" fillId="0" borderId="0" xfId="4" quotePrefix="1" applyFont="1" applyBorder="1" applyAlignment="1">
      <alignment horizontal="right"/>
    </xf>
    <xf numFmtId="165" fontId="13" fillId="0" borderId="0" xfId="4" applyFont="1" applyBorder="1" applyAlignment="1"/>
    <xf numFmtId="165" fontId="13" fillId="0" borderId="7" xfId="4" quotePrefix="1" applyFont="1" applyBorder="1" applyAlignment="1">
      <alignment horizontal="right"/>
    </xf>
    <xf numFmtId="2" fontId="24" fillId="0" borderId="0" xfId="0" applyNumberFormat="1" applyFont="1" applyAlignment="1">
      <alignment horizontal="left"/>
    </xf>
    <xf numFmtId="2" fontId="24" fillId="2" borderId="0" xfId="0" applyNumberFormat="1" applyFont="1" applyFill="1" applyAlignment="1">
      <alignment horizontal="left"/>
    </xf>
    <xf numFmtId="4" fontId="13" fillId="2" borderId="0" xfId="0" quotePrefix="1" applyNumberFormat="1" applyFont="1" applyFill="1" applyAlignment="1">
      <alignment horizontal="left"/>
    </xf>
    <xf numFmtId="4" fontId="13" fillId="0" borderId="0" xfId="0" applyNumberFormat="1" applyFont="1" applyAlignment="1">
      <alignment horizontal="center"/>
    </xf>
    <xf numFmtId="0" fontId="19" fillId="0" borderId="0" xfId="0" applyFont="1" applyAlignment="1">
      <alignment horizontal="right"/>
    </xf>
    <xf numFmtId="4" fontId="13" fillId="0" borderId="0" xfId="0" applyNumberFormat="1" applyFont="1" applyAlignment="1">
      <alignment horizontal="left"/>
    </xf>
    <xf numFmtId="38" fontId="13" fillId="0" borderId="0" xfId="0" quotePrefix="1" applyNumberFormat="1" applyFont="1"/>
    <xf numFmtId="0" fontId="19" fillId="2" borderId="0" xfId="0" applyFont="1" applyFill="1" applyAlignment="1">
      <alignment horizontal="right"/>
    </xf>
    <xf numFmtId="0" fontId="19" fillId="2" borderId="0" xfId="0" applyFont="1" applyFill="1" applyAlignment="1">
      <alignment horizontal="center"/>
    </xf>
    <xf numFmtId="170" fontId="13" fillId="2" borderId="8" xfId="0" applyNumberFormat="1" applyFont="1" applyFill="1" applyBorder="1"/>
    <xf numFmtId="43" fontId="13" fillId="0" borderId="8" xfId="1" applyFont="1" applyBorder="1" applyAlignment="1"/>
    <xf numFmtId="170" fontId="13" fillId="0" borderId="0" xfId="0" applyNumberFormat="1" applyFont="1"/>
    <xf numFmtId="0" fontId="15" fillId="0" borderId="0" xfId="0" applyFont="1"/>
    <xf numFmtId="43" fontId="13" fillId="4" borderId="1" xfId="1" applyFont="1" applyFill="1" applyBorder="1" applyAlignment="1"/>
    <xf numFmtId="7" fontId="13" fillId="0" borderId="0" xfId="0" applyNumberFormat="1" applyFont="1" applyAlignment="1">
      <alignment horizontal="center"/>
    </xf>
    <xf numFmtId="170" fontId="13" fillId="2" borderId="0" xfId="0" applyNumberFormat="1" applyFont="1" applyFill="1"/>
    <xf numFmtId="0" fontId="25" fillId="0" borderId="0" xfId="0" applyFont="1"/>
    <xf numFmtId="0" fontId="22" fillId="0" borderId="0" xfId="0" applyFont="1" applyAlignment="1">
      <alignment horizontal="center"/>
    </xf>
    <xf numFmtId="43" fontId="22" fillId="4" borderId="6" xfId="1" applyFont="1" applyFill="1" applyBorder="1" applyAlignment="1"/>
    <xf numFmtId="43" fontId="13" fillId="4" borderId="6" xfId="1" applyFont="1" applyFill="1" applyBorder="1" applyAlignment="1"/>
    <xf numFmtId="43" fontId="22" fillId="4" borderId="0" xfId="1" applyFont="1" applyFill="1" applyBorder="1" applyAlignment="1"/>
    <xf numFmtId="43" fontId="13" fillId="4" borderId="0" xfId="1" applyFont="1" applyFill="1" applyBorder="1" applyAlignment="1"/>
    <xf numFmtId="172" fontId="13" fillId="0" borderId="6" xfId="0" applyNumberFormat="1" applyFont="1" applyBorder="1"/>
    <xf numFmtId="0" fontId="13" fillId="0" borderId="0" xfId="0" applyFont="1" applyAlignment="1">
      <alignment horizontal="left" indent="1"/>
    </xf>
    <xf numFmtId="43" fontId="26" fillId="4" borderId="6" xfId="1" applyFont="1" applyFill="1" applyBorder="1" applyAlignment="1"/>
    <xf numFmtId="4" fontId="19" fillId="0" borderId="6" xfId="0" applyNumberFormat="1" applyFont="1" applyBorder="1"/>
    <xf numFmtId="43" fontId="26" fillId="4" borderId="1" xfId="1" applyFont="1" applyFill="1" applyBorder="1" applyAlignment="1"/>
    <xf numFmtId="43" fontId="26" fillId="4" borderId="0" xfId="1" applyFont="1" applyFill="1" applyBorder="1" applyAlignment="1"/>
    <xf numFmtId="4" fontId="19" fillId="0" borderId="0" xfId="0" applyNumberFormat="1" applyFont="1"/>
    <xf numFmtId="173" fontId="13" fillId="0" borderId="9" xfId="1" applyNumberFormat="1" applyFont="1" applyBorder="1" applyAlignment="1"/>
    <xf numFmtId="41" fontId="13" fillId="0" borderId="0" xfId="1" applyNumberFormat="1" applyFont="1" applyBorder="1" applyAlignment="1"/>
    <xf numFmtId="170" fontId="13" fillId="0" borderId="0" xfId="6" applyNumberFormat="1" applyFont="1" applyFill="1" applyBorder="1" applyAlignment="1"/>
    <xf numFmtId="43" fontId="13" fillId="0" borderId="1" xfId="1" applyFont="1" applyFill="1" applyBorder="1" applyAlignment="1"/>
    <xf numFmtId="43" fontId="13" fillId="5" borderId="8" xfId="1" applyFont="1" applyFill="1" applyBorder="1" applyAlignment="1"/>
    <xf numFmtId="0" fontId="13" fillId="0" borderId="0" xfId="0" applyFont="1" applyAlignment="1">
      <alignment horizontal="left" indent="2"/>
    </xf>
    <xf numFmtId="0" fontId="13" fillId="0" borderId="0" xfId="7" applyFont="1"/>
    <xf numFmtId="0" fontId="27" fillId="0" borderId="0" xfId="9" applyFont="1"/>
    <xf numFmtId="0" fontId="22" fillId="0" borderId="10" xfId="9" applyFont="1" applyBorder="1" applyAlignment="1">
      <alignment horizontal="right"/>
    </xf>
    <xf numFmtId="0" fontId="19" fillId="0" borderId="11" xfId="9" applyFont="1" applyBorder="1"/>
    <xf numFmtId="0" fontId="13" fillId="0" borderId="0" xfId="9" applyFont="1"/>
    <xf numFmtId="0" fontId="28" fillId="0" borderId="0" xfId="9" applyFont="1"/>
    <xf numFmtId="0" fontId="19" fillId="0" borderId="1" xfId="9" applyFont="1" applyBorder="1" applyAlignment="1">
      <alignment horizontal="center"/>
    </xf>
    <xf numFmtId="0" fontId="28" fillId="0" borderId="10" xfId="9" applyFont="1" applyBorder="1"/>
    <xf numFmtId="0" fontId="28" fillId="0" borderId="11" xfId="9" applyFont="1" applyBorder="1" applyAlignment="1">
      <alignment horizontal="center"/>
    </xf>
    <xf numFmtId="44" fontId="27" fillId="0" borderId="0" xfId="9" applyNumberFormat="1" applyFont="1"/>
    <xf numFmtId="0" fontId="28" fillId="0" borderId="0" xfId="9" applyFont="1" applyAlignment="1">
      <alignment horizontal="right"/>
    </xf>
    <xf numFmtId="43" fontId="19" fillId="0" borderId="1" xfId="3" applyFont="1" applyBorder="1"/>
    <xf numFmtId="9" fontId="15" fillId="0" borderId="1" xfId="10" applyFont="1" applyBorder="1"/>
    <xf numFmtId="43" fontId="15" fillId="0" borderId="1" xfId="3" applyFont="1" applyBorder="1"/>
    <xf numFmtId="49" fontId="12" fillId="0" borderId="0" xfId="9" quotePrefix="1" applyNumberFormat="1" applyFont="1" applyAlignment="1">
      <alignment horizontal="left"/>
    </xf>
    <xf numFmtId="0" fontId="13" fillId="0" borderId="0" xfId="7" quotePrefix="1" applyFont="1" applyAlignment="1">
      <alignment horizontal="left"/>
    </xf>
    <xf numFmtId="0" fontId="28" fillId="0" borderId="0" xfId="9" quotePrefix="1" applyFont="1" applyAlignment="1">
      <alignment horizontal="left"/>
    </xf>
    <xf numFmtId="43" fontId="28" fillId="0" borderId="5" xfId="1" applyFont="1" applyBorder="1"/>
    <xf numFmtId="43" fontId="13" fillId="0" borderId="0" xfId="1" quotePrefix="1" applyFont="1" applyBorder="1" applyAlignment="1"/>
    <xf numFmtId="43" fontId="28" fillId="0" borderId="0" xfId="1" applyFont="1" applyBorder="1"/>
    <xf numFmtId="41" fontId="28" fillId="0" borderId="5" xfId="1" applyNumberFormat="1" applyFont="1" applyBorder="1"/>
    <xf numFmtId="41" fontId="28" fillId="0" borderId="0" xfId="1" applyNumberFormat="1" applyFont="1" applyBorder="1"/>
    <xf numFmtId="41" fontId="28" fillId="0" borderId="1" xfId="1" applyNumberFormat="1" applyFont="1" applyBorder="1"/>
    <xf numFmtId="0" fontId="22" fillId="0" borderId="5" xfId="9" applyFont="1" applyBorder="1" applyAlignment="1">
      <alignment horizontal="right"/>
    </xf>
    <xf numFmtId="0" fontId="28" fillId="0" borderId="5" xfId="9" applyFont="1" applyBorder="1"/>
    <xf numFmtId="43" fontId="19" fillId="0" borderId="0" xfId="3" applyFont="1" applyBorder="1"/>
    <xf numFmtId="43" fontId="27" fillId="0" borderId="0" xfId="1" applyFont="1"/>
    <xf numFmtId="0" fontId="28" fillId="0" borderId="0" xfId="9" quotePrefix="1" applyFont="1" applyAlignment="1">
      <alignment horizontal="left" indent="1"/>
    </xf>
    <xf numFmtId="0" fontId="27" fillId="0" borderId="0" xfId="9" quotePrefix="1" applyFont="1" applyAlignment="1">
      <alignment horizontal="left"/>
    </xf>
    <xf numFmtId="43" fontId="27" fillId="0" borderId="0" xfId="1" applyFont="1" applyBorder="1"/>
    <xf numFmtId="43" fontId="13" fillId="0" borderId="6" xfId="1" applyFont="1" applyFill="1" applyBorder="1" applyAlignment="1"/>
    <xf numFmtId="43" fontId="13" fillId="0" borderId="0" xfId="1" applyFont="1" applyAlignment="1"/>
    <xf numFmtId="0" fontId="16" fillId="0" borderId="0" xfId="0" applyFont="1"/>
    <xf numFmtId="0" fontId="16" fillId="0" borderId="0" xfId="0" applyFont="1" applyAlignment="1">
      <alignment horizontal="left"/>
    </xf>
    <xf numFmtId="1" fontId="17" fillId="0" borderId="0" xfId="0" quotePrefix="1" applyNumberFormat="1" applyFont="1" applyAlignment="1">
      <alignment horizontal="left"/>
    </xf>
    <xf numFmtId="1" fontId="16" fillId="0" borderId="0" xfId="0" applyNumberFormat="1" applyFont="1" applyAlignment="1">
      <alignment horizontal="center"/>
    </xf>
    <xf numFmtId="0" fontId="16" fillId="0" borderId="0" xfId="0" applyFont="1" applyAlignment="1">
      <alignment horizontal="center"/>
    </xf>
    <xf numFmtId="1" fontId="17" fillId="0" borderId="4" xfId="0" applyNumberFormat="1" applyFont="1" applyBorder="1" applyAlignment="1">
      <alignment horizontal="center"/>
    </xf>
    <xf numFmtId="0" fontId="17" fillId="0" borderId="10" xfId="0" applyFont="1" applyBorder="1" applyAlignment="1">
      <alignment horizontal="center"/>
    </xf>
    <xf numFmtId="0" fontId="17" fillId="0" borderId="0" xfId="0" applyFont="1" applyAlignment="1">
      <alignment horizontal="center"/>
    </xf>
    <xf numFmtId="1" fontId="16" fillId="0" borderId="0" xfId="7" applyNumberFormat="1" applyFont="1" applyAlignment="1">
      <alignment horizontal="center"/>
    </xf>
    <xf numFmtId="0" fontId="16" fillId="0" borderId="0" xfId="0" quotePrefix="1" applyFont="1"/>
    <xf numFmtId="43" fontId="16" fillId="0" borderId="0" xfId="7" applyNumberFormat="1" applyFont="1"/>
    <xf numFmtId="0" fontId="17" fillId="4" borderId="0" xfId="0" applyFont="1" applyFill="1" applyAlignment="1">
      <alignment horizontal="center"/>
    </xf>
    <xf numFmtId="1" fontId="16" fillId="4" borderId="0" xfId="7" applyNumberFormat="1" applyFont="1" applyFill="1" applyAlignment="1">
      <alignment horizontal="center"/>
    </xf>
    <xf numFmtId="43" fontId="16" fillId="4" borderId="0" xfId="7" applyNumberFormat="1" applyFont="1" applyFill="1"/>
    <xf numFmtId="43" fontId="16" fillId="0" borderId="0" xfId="0" applyNumberFormat="1" applyFont="1"/>
    <xf numFmtId="43" fontId="16" fillId="0" borderId="9" xfId="0" applyNumberFormat="1" applyFont="1" applyBorder="1"/>
    <xf numFmtId="49" fontId="17" fillId="0" borderId="0" xfId="2" quotePrefix="1" applyNumberFormat="1" applyFont="1" applyAlignment="1">
      <alignment horizontal="left"/>
    </xf>
    <xf numFmtId="0" fontId="17" fillId="0" borderId="0" xfId="7" applyFont="1"/>
    <xf numFmtId="49" fontId="17" fillId="0" borderId="0" xfId="7" applyNumberFormat="1" applyFont="1" applyAlignment="1">
      <alignment horizontal="left"/>
    </xf>
    <xf numFmtId="49" fontId="17" fillId="0" borderId="0" xfId="2" applyNumberFormat="1" applyFont="1" applyAlignment="1">
      <alignment horizontal="left"/>
    </xf>
    <xf numFmtId="49" fontId="17" fillId="0" borderId="4" xfId="7" quotePrefix="1" applyNumberFormat="1" applyFont="1" applyBorder="1" applyAlignment="1">
      <alignment horizontal="center"/>
    </xf>
    <xf numFmtId="0" fontId="17" fillId="0" borderId="4" xfId="7" quotePrefix="1" applyFont="1" applyBorder="1" applyAlignment="1">
      <alignment horizontal="center"/>
    </xf>
    <xf numFmtId="49" fontId="29" fillId="0" borderId="0" xfId="7" quotePrefix="1" applyNumberFormat="1" applyFont="1" applyAlignment="1">
      <alignment horizontal="center" vertical="center"/>
    </xf>
    <xf numFmtId="177" fontId="29" fillId="0" borderId="0" xfId="7" quotePrefix="1" applyNumberFormat="1" applyFont="1" applyAlignment="1">
      <alignment horizontal="left"/>
    </xf>
    <xf numFmtId="177" fontId="29" fillId="0" borderId="0" xfId="7" applyNumberFormat="1" applyFont="1"/>
    <xf numFmtId="0" fontId="16" fillId="0" borderId="0" xfId="7" applyFont="1"/>
    <xf numFmtId="49" fontId="29" fillId="0" borderId="0" xfId="7" applyNumberFormat="1" applyFont="1" applyAlignment="1">
      <alignment horizontal="center" vertical="center"/>
    </xf>
    <xf numFmtId="0" fontId="16" fillId="0" borderId="0" xfId="7" quotePrefix="1" applyFont="1" applyAlignment="1">
      <alignment horizontal="left"/>
    </xf>
    <xf numFmtId="176" fontId="16" fillId="0" borderId="0" xfId="0" applyNumberFormat="1" applyFont="1"/>
    <xf numFmtId="1" fontId="17" fillId="0" borderId="0" xfId="0" quotePrefix="1" applyNumberFormat="1" applyFont="1"/>
    <xf numFmtId="1" fontId="16" fillId="0" borderId="0" xfId="0" applyNumberFormat="1" applyFont="1"/>
    <xf numFmtId="1" fontId="16" fillId="0" borderId="0" xfId="7" applyNumberFormat="1" applyFont="1"/>
    <xf numFmtId="1" fontId="16" fillId="4" borderId="0" xfId="7" applyNumberFormat="1" applyFont="1" applyFill="1"/>
    <xf numFmtId="1" fontId="17" fillId="0" borderId="10" xfId="0" applyNumberFormat="1" applyFont="1" applyBorder="1" applyAlignment="1">
      <alignment horizontal="center"/>
    </xf>
    <xf numFmtId="7" fontId="15" fillId="0" borderId="0" xfId="0" applyNumberFormat="1" applyFont="1" applyAlignment="1">
      <alignment horizontal="left"/>
    </xf>
    <xf numFmtId="169" fontId="15" fillId="0" borderId="0" xfId="0" applyNumberFormat="1" applyFont="1" applyAlignment="1">
      <alignment horizontal="center"/>
    </xf>
    <xf numFmtId="170" fontId="21" fillId="0" borderId="0" xfId="6" applyNumberFormat="1" applyFont="1" applyFill="1" applyBorder="1" applyAlignment="1"/>
    <xf numFmtId="43" fontId="18" fillId="0" borderId="1" xfId="1" applyFont="1" applyFill="1" applyBorder="1" applyAlignment="1">
      <alignment horizontal="center"/>
    </xf>
    <xf numFmtId="7" fontId="13" fillId="0" borderId="0" xfId="0" applyNumberFormat="1" applyFont="1"/>
    <xf numFmtId="7" fontId="13" fillId="0" borderId="1" xfId="0" applyNumberFormat="1" applyFont="1" applyBorder="1"/>
    <xf numFmtId="4" fontId="13" fillId="0" borderId="2" xfId="0" applyNumberFormat="1" applyFont="1" applyBorder="1"/>
    <xf numFmtId="4" fontId="14" fillId="0" borderId="2" xfId="0" applyNumberFormat="1" applyFont="1" applyBorder="1" applyAlignment="1">
      <alignment horizontal="left"/>
    </xf>
    <xf numFmtId="4" fontId="14" fillId="0" borderId="2" xfId="0" applyNumberFormat="1" applyFont="1" applyBorder="1"/>
    <xf numFmtId="1" fontId="16" fillId="4" borderId="0" xfId="7" applyNumberFormat="1" applyFont="1" applyFill="1" applyAlignment="1">
      <alignment horizontal="left" indent="1"/>
    </xf>
    <xf numFmtId="0" fontId="17" fillId="0" borderId="0" xfId="0" quotePrefix="1" applyFont="1" applyAlignment="1">
      <alignment horizontal="center"/>
    </xf>
    <xf numFmtId="1" fontId="16" fillId="0" borderId="0" xfId="7" applyNumberFormat="1" applyFont="1" applyAlignment="1">
      <alignment horizontal="left" indent="1"/>
    </xf>
    <xf numFmtId="0" fontId="16" fillId="0" borderId="0" xfId="0" quotePrefix="1" applyFont="1" applyAlignment="1">
      <alignment horizontal="left" indent="1"/>
    </xf>
    <xf numFmtId="0" fontId="16" fillId="4" borderId="0" xfId="0" quotePrefix="1" applyFont="1" applyFill="1" applyAlignment="1">
      <alignment horizontal="left" indent="1"/>
    </xf>
    <xf numFmtId="0" fontId="17" fillId="0" borderId="4" xfId="0" applyFont="1" applyBorder="1" applyAlignment="1">
      <alignment horizontal="center"/>
    </xf>
    <xf numFmtId="4" fontId="14" fillId="0" borderId="0" xfId="0" applyNumberFormat="1" applyFont="1" applyAlignment="1">
      <alignment horizontal="left"/>
    </xf>
    <xf numFmtId="4" fontId="13" fillId="0" borderId="2" xfId="0" applyNumberFormat="1" applyFont="1" applyBorder="1" applyAlignment="1">
      <alignment horizontal="left"/>
    </xf>
    <xf numFmtId="0" fontId="13" fillId="0" borderId="0" xfId="0" applyFont="1" applyAlignment="1">
      <alignment horizontal="left" indent="3"/>
    </xf>
    <xf numFmtId="0" fontId="13" fillId="0" borderId="0" xfId="0" quotePrefix="1" applyFont="1" applyAlignment="1">
      <alignment horizontal="left" indent="3"/>
    </xf>
    <xf numFmtId="0" fontId="15" fillId="0" borderId="0" xfId="0" applyFont="1" applyAlignment="1">
      <alignment horizontal="left" indent="3"/>
    </xf>
    <xf numFmtId="43" fontId="13" fillId="0" borderId="0" xfId="0" applyNumberFormat="1" applyFont="1"/>
    <xf numFmtId="1" fontId="30" fillId="0" borderId="0" xfId="0" quotePrefix="1" applyNumberFormat="1" applyFont="1" applyAlignment="1">
      <alignment horizontal="left"/>
    </xf>
    <xf numFmtId="43" fontId="16" fillId="0" borderId="0" xfId="1" applyFont="1"/>
    <xf numFmtId="43" fontId="17" fillId="0" borderId="0" xfId="1" quotePrefix="1" applyFont="1" applyFill="1" applyBorder="1" applyAlignment="1">
      <alignment horizontal="center"/>
    </xf>
    <xf numFmtId="43" fontId="16" fillId="0" borderId="0" xfId="1" applyFont="1" applyFill="1" applyBorder="1" applyAlignment="1"/>
    <xf numFmtId="0" fontId="16" fillId="0" borderId="0" xfId="0" quotePrefix="1" applyFont="1" applyAlignment="1">
      <alignment horizontal="left"/>
    </xf>
    <xf numFmtId="0" fontId="16" fillId="0" borderId="0" xfId="0" quotePrefix="1" applyFont="1" applyAlignment="1">
      <alignment horizontal="center"/>
    </xf>
    <xf numFmtId="0" fontId="17" fillId="0" borderId="0" xfId="0" quotePrefix="1" applyFont="1" applyAlignment="1">
      <alignment vertical="center"/>
    </xf>
    <xf numFmtId="41" fontId="22" fillId="0" borderId="0" xfId="1" applyNumberFormat="1" applyFont="1" applyFill="1" applyBorder="1"/>
    <xf numFmtId="43" fontId="22" fillId="0" borderId="1" xfId="1" quotePrefix="1" applyFont="1" applyBorder="1" applyAlignment="1"/>
    <xf numFmtId="43" fontId="26" fillId="0" borderId="0" xfId="9" applyNumberFormat="1" applyFont="1"/>
    <xf numFmtId="43" fontId="26" fillId="0" borderId="1" xfId="9" applyNumberFormat="1" applyFont="1" applyBorder="1"/>
    <xf numFmtId="0" fontId="15" fillId="0" borderId="0" xfId="0" quotePrefix="1" applyFont="1" applyAlignment="1">
      <alignment horizontal="left"/>
    </xf>
    <xf numFmtId="43" fontId="22" fillId="0" borderId="1" xfId="1" applyFont="1" applyBorder="1"/>
    <xf numFmtId="16" fontId="13" fillId="0" borderId="0" xfId="0" applyNumberFormat="1" applyFont="1"/>
    <xf numFmtId="0" fontId="17" fillId="0" borderId="0" xfId="0" applyFont="1"/>
    <xf numFmtId="0" fontId="17" fillId="0" borderId="0" xfId="0" quotePrefix="1" applyFont="1" applyAlignment="1">
      <alignment horizontal="left" indent="4"/>
    </xf>
    <xf numFmtId="0" fontId="22" fillId="0" borderId="0" xfId="0" quotePrefix="1" applyFont="1" applyAlignment="1">
      <alignment horizontal="left"/>
    </xf>
    <xf numFmtId="0" fontId="22" fillId="0" borderId="0" xfId="0" applyFont="1"/>
    <xf numFmtId="0" fontId="22" fillId="0" borderId="0" xfId="0" quotePrefix="1" applyFont="1" applyAlignment="1">
      <alignment horizontal="left" indent="4"/>
    </xf>
    <xf numFmtId="0" fontId="13" fillId="4" borderId="4" xfId="0" applyFont="1" applyFill="1" applyBorder="1" applyAlignment="1">
      <alignment horizontal="left"/>
    </xf>
    <xf numFmtId="0" fontId="13" fillId="4" borderId="4" xfId="0" applyFont="1" applyFill="1" applyBorder="1" applyAlignment="1">
      <alignment horizontal="center"/>
    </xf>
    <xf numFmtId="0" fontId="28" fillId="0" borderId="0" xfId="9" quotePrefix="1" applyFont="1" applyAlignment="1">
      <alignment horizontal="right"/>
    </xf>
    <xf numFmtId="43" fontId="31" fillId="0" borderId="0" xfId="1" applyFont="1"/>
    <xf numFmtId="0" fontId="31" fillId="0" borderId="0" xfId="0" applyFont="1"/>
    <xf numFmtId="1" fontId="16" fillId="0" borderId="0" xfId="7" quotePrefix="1" applyNumberFormat="1" applyFont="1" applyAlignment="1">
      <alignment horizontal="left"/>
    </xf>
    <xf numFmtId="1" fontId="16" fillId="4" borderId="0" xfId="7" quotePrefix="1" applyNumberFormat="1" applyFont="1" applyFill="1" applyAlignment="1">
      <alignment horizontal="left"/>
    </xf>
    <xf numFmtId="1" fontId="16" fillId="0" borderId="0" xfId="2" applyNumberFormat="1" applyFont="1" applyFill="1" applyBorder="1" applyAlignment="1">
      <alignment horizontal="center"/>
    </xf>
    <xf numFmtId="1" fontId="16" fillId="0" borderId="0" xfId="2" applyNumberFormat="1" applyFont="1" applyFill="1" applyBorder="1" applyAlignment="1"/>
    <xf numFmtId="1" fontId="16" fillId="0" borderId="0" xfId="2" quotePrefix="1" applyNumberFormat="1" applyFont="1" applyFill="1" applyBorder="1" applyAlignment="1">
      <alignment horizontal="left"/>
    </xf>
    <xf numFmtId="43" fontId="13" fillId="0" borderId="0" xfId="1" applyFont="1" applyBorder="1" applyAlignment="1">
      <alignment horizontal="center"/>
    </xf>
    <xf numFmtId="37" fontId="13" fillId="0" borderId="1" xfId="1" applyNumberFormat="1" applyFont="1" applyBorder="1" applyAlignment="1"/>
    <xf numFmtId="43" fontId="22" fillId="0" borderId="0" xfId="1" applyFont="1" applyBorder="1"/>
    <xf numFmtId="43" fontId="13" fillId="5" borderId="9" xfId="1" applyFont="1" applyFill="1" applyBorder="1" applyAlignment="1"/>
    <xf numFmtId="0" fontId="16" fillId="0" borderId="0" xfId="0" quotePrefix="1" applyFont="1" applyAlignment="1">
      <alignment horizontal="right"/>
    </xf>
    <xf numFmtId="43" fontId="17" fillId="0" borderId="4" xfId="1" quotePrefix="1" applyFont="1" applyFill="1" applyBorder="1" applyAlignment="1">
      <alignment horizontal="center"/>
    </xf>
    <xf numFmtId="43" fontId="22" fillId="0" borderId="1" xfId="1" applyFont="1" applyBorder="1" applyAlignment="1"/>
    <xf numFmtId="37" fontId="22" fillId="0" borderId="1" xfId="1" applyNumberFormat="1" applyFont="1" applyBorder="1" applyAlignment="1"/>
    <xf numFmtId="37" fontId="22" fillId="0" borderId="1" xfId="1" applyNumberFormat="1" applyFont="1" applyBorder="1" applyAlignment="1">
      <alignment horizontal="center"/>
    </xf>
    <xf numFmtId="43" fontId="22" fillId="0" borderId="1" xfId="1" applyFont="1" applyBorder="1" applyAlignment="1">
      <alignment horizontal="center"/>
    </xf>
    <xf numFmtId="37" fontId="22" fillId="0" borderId="0" xfId="1" applyNumberFormat="1" applyFont="1"/>
    <xf numFmtId="41" fontId="22" fillId="0" borderId="0" xfId="1" applyNumberFormat="1" applyFont="1" applyFill="1" applyBorder="1" applyAlignment="1"/>
    <xf numFmtId="49" fontId="16" fillId="0" borderId="0" xfId="0" quotePrefix="1" applyNumberFormat="1" applyFont="1"/>
    <xf numFmtId="49" fontId="16" fillId="0" borderId="0" xfId="0" quotePrefix="1" applyNumberFormat="1" applyFont="1" applyAlignment="1">
      <alignment horizontal="left" indent="1"/>
    </xf>
    <xf numFmtId="49" fontId="16" fillId="4" borderId="0" xfId="0" quotePrefix="1" applyNumberFormat="1" applyFont="1" applyFill="1"/>
    <xf numFmtId="49" fontId="16" fillId="4" borderId="0" xfId="0" quotePrefix="1" applyNumberFormat="1" applyFont="1" applyFill="1" applyAlignment="1">
      <alignment horizontal="left" indent="1"/>
    </xf>
    <xf numFmtId="49" fontId="16" fillId="4" borderId="0" xfId="7" applyNumberFormat="1" applyFont="1" applyFill="1" applyAlignment="1">
      <alignment horizontal="left" indent="1"/>
    </xf>
    <xf numFmtId="49" fontId="16" fillId="0" borderId="0" xfId="0" quotePrefix="1" applyNumberFormat="1" applyFont="1" applyAlignment="1">
      <alignment horizontal="left"/>
    </xf>
    <xf numFmtId="49" fontId="16" fillId="0" borderId="0" xfId="0" applyNumberFormat="1" applyFont="1"/>
    <xf numFmtId="0" fontId="13" fillId="0" borderId="0" xfId="0" quotePrefix="1" applyFont="1" applyAlignment="1">
      <alignment horizontal="left" indent="1"/>
    </xf>
    <xf numFmtId="49" fontId="22" fillId="0" borderId="0" xfId="7" applyNumberFormat="1" applyFont="1"/>
    <xf numFmtId="0" fontId="16" fillId="0" borderId="0" xfId="0" applyFont="1" applyAlignment="1">
      <alignment horizontal="right"/>
    </xf>
    <xf numFmtId="0" fontId="17" fillId="0" borderId="0" xfId="0" quotePrefix="1" applyFont="1" applyAlignment="1">
      <alignment horizontal="left" vertical="top"/>
    </xf>
    <xf numFmtId="0" fontId="12" fillId="0" borderId="0" xfId="0" quotePrefix="1" applyFont="1"/>
    <xf numFmtId="169" fontId="15" fillId="6" borderId="0" xfId="0" applyNumberFormat="1" applyFont="1" applyFill="1" applyAlignment="1">
      <alignment horizontal="center"/>
    </xf>
    <xf numFmtId="170" fontId="21" fillId="6" borderId="0" xfId="6" applyNumberFormat="1" applyFont="1" applyFill="1" applyBorder="1" applyAlignment="1"/>
    <xf numFmtId="4" fontId="22" fillId="6" borderId="1" xfId="0" applyNumberFormat="1" applyFont="1" applyFill="1" applyBorder="1" applyAlignment="1">
      <alignment horizontal="center"/>
    </xf>
    <xf numFmtId="43" fontId="22" fillId="6" borderId="1" xfId="1" applyFont="1" applyFill="1" applyBorder="1" applyAlignment="1"/>
    <xf numFmtId="0" fontId="16" fillId="0" borderId="0" xfId="0" applyFont="1" applyAlignment="1">
      <alignment horizontal="left" indent="3"/>
    </xf>
    <xf numFmtId="41" fontId="22" fillId="6" borderId="0" xfId="1" applyNumberFormat="1" applyFont="1" applyFill="1" applyBorder="1" applyAlignment="1"/>
    <xf numFmtId="175" fontId="22" fillId="6" borderId="0" xfId="0" applyNumberFormat="1" applyFont="1" applyFill="1"/>
    <xf numFmtId="38" fontId="22" fillId="6" borderId="0" xfId="0" quotePrefix="1" applyNumberFormat="1" applyFont="1" applyFill="1"/>
    <xf numFmtId="0" fontId="32" fillId="0" borderId="0" xfId="0" applyFont="1"/>
    <xf numFmtId="0" fontId="22" fillId="3" borderId="0" xfId="0" quotePrefix="1" applyFont="1" applyFill="1" applyAlignment="1">
      <alignment horizontal="left"/>
    </xf>
    <xf numFmtId="0" fontId="22" fillId="3" borderId="0" xfId="0" applyFont="1" applyFill="1"/>
    <xf numFmtId="16" fontId="16" fillId="0" borderId="0" xfId="0" applyNumberFormat="1" applyFont="1"/>
    <xf numFmtId="43" fontId="31" fillId="0" borderId="0" xfId="1" applyFont="1" applyFill="1"/>
    <xf numFmtId="43" fontId="16" fillId="0" borderId="0" xfId="1" applyFont="1" applyFill="1"/>
    <xf numFmtId="7" fontId="15" fillId="6" borderId="0" xfId="0" applyNumberFormat="1" applyFont="1" applyFill="1" applyAlignment="1">
      <alignment horizontal="left"/>
    </xf>
    <xf numFmtId="4" fontId="13" fillId="6" borderId="1" xfId="0" applyNumberFormat="1" applyFont="1" applyFill="1" applyBorder="1" applyAlignment="1">
      <alignment horizontal="center"/>
    </xf>
    <xf numFmtId="43" fontId="13" fillId="6" borderId="1" xfId="1" applyFont="1" applyFill="1" applyBorder="1" applyAlignment="1"/>
    <xf numFmtId="41" fontId="13" fillId="6" borderId="0" xfId="1" applyNumberFormat="1" applyFont="1" applyFill="1" applyBorder="1" applyAlignment="1"/>
    <xf numFmtId="4" fontId="13" fillId="6" borderId="0" xfId="0" applyNumberFormat="1" applyFont="1" applyFill="1" applyAlignment="1">
      <alignment horizontal="center"/>
    </xf>
    <xf numFmtId="38" fontId="13" fillId="6" borderId="0" xfId="0" quotePrefix="1" applyNumberFormat="1" applyFont="1" applyFill="1"/>
    <xf numFmtId="164" fontId="13" fillId="0" borderId="0" xfId="6" quotePrefix="1" applyFont="1" applyBorder="1" applyAlignment="1">
      <alignment horizontal="center" wrapText="1"/>
    </xf>
    <xf numFmtId="3" fontId="13" fillId="2" borderId="0" xfId="0" quotePrefix="1" applyNumberFormat="1" applyFont="1" applyFill="1"/>
    <xf numFmtId="0" fontId="9" fillId="0" borderId="0" xfId="0" quotePrefix="1" applyFont="1" applyAlignment="1">
      <alignment horizontal="left"/>
    </xf>
    <xf numFmtId="0" fontId="31" fillId="0" borderId="0" xfId="0" quotePrefix="1" applyFont="1" applyAlignment="1">
      <alignment horizontal="left"/>
    </xf>
    <xf numFmtId="0" fontId="33" fillId="0" borderId="0" xfId="0" applyFont="1"/>
    <xf numFmtId="0" fontId="13" fillId="7" borderId="0" xfId="0" applyFont="1" applyFill="1"/>
    <xf numFmtId="0" fontId="13" fillId="7" borderId="0" xfId="0" applyFont="1" applyFill="1" applyAlignment="1">
      <alignment horizontal="left"/>
    </xf>
    <xf numFmtId="0" fontId="19" fillId="7" borderId="0" xfId="0" applyFont="1" applyFill="1"/>
    <xf numFmtId="43" fontId="13" fillId="7" borderId="0" xfId="1" applyFont="1" applyFill="1" applyBorder="1" applyAlignment="1"/>
    <xf numFmtId="49" fontId="16" fillId="0" borderId="0" xfId="7" applyNumberFormat="1" applyFont="1"/>
    <xf numFmtId="49" fontId="16" fillId="4" borderId="0" xfId="7" quotePrefix="1" applyNumberFormat="1" applyFont="1" applyFill="1" applyAlignment="1">
      <alignment horizontal="left" indent="1"/>
    </xf>
    <xf numFmtId="9" fontId="14" fillId="0" borderId="0" xfId="10" quotePrefix="1" applyFont="1" applyAlignment="1">
      <alignment horizontal="left"/>
    </xf>
    <xf numFmtId="0" fontId="33" fillId="0" borderId="3" xfId="0" quotePrefix="1" applyFont="1" applyBorder="1" applyAlignment="1">
      <alignment horizontal="center"/>
    </xf>
    <xf numFmtId="0" fontId="34" fillId="0" borderId="0" xfId="0" quotePrefix="1" applyFont="1" applyAlignment="1">
      <alignment horizontal="left"/>
    </xf>
    <xf numFmtId="16" fontId="31" fillId="0" borderId="0" xfId="0" applyNumberFormat="1" applyFont="1"/>
    <xf numFmtId="0" fontId="9" fillId="0" borderId="0" xfId="0" quotePrefix="1" applyFont="1" applyAlignment="1">
      <alignment horizontal="left" indent="1"/>
    </xf>
    <xf numFmtId="0" fontId="17" fillId="0" borderId="0" xfId="0" quotePrefix="1" applyFont="1" applyAlignment="1" applyProtection="1">
      <alignment horizontal="left"/>
      <protection locked="0"/>
    </xf>
    <xf numFmtId="0" fontId="17" fillId="0" borderId="0" xfId="0" applyFont="1" applyProtection="1">
      <protection locked="0"/>
    </xf>
    <xf numFmtId="0" fontId="17" fillId="0" borderId="0" xfId="0" quotePrefix="1" applyFont="1" applyAlignment="1" applyProtection="1">
      <alignment horizontal="left" indent="2"/>
      <protection locked="0"/>
    </xf>
    <xf numFmtId="170" fontId="13" fillId="0" borderId="0" xfId="6" quotePrefix="1" applyNumberFormat="1" applyFont="1" applyBorder="1" applyAlignment="1">
      <alignment horizontal="center"/>
    </xf>
    <xf numFmtId="0" fontId="34" fillId="0" borderId="0" xfId="0" quotePrefix="1" applyFont="1" applyAlignment="1">
      <alignment horizontal="left" indent="2"/>
    </xf>
    <xf numFmtId="16" fontId="13" fillId="0" borderId="0" xfId="0" applyNumberFormat="1" applyFont="1" applyAlignment="1">
      <alignment vertical="center"/>
    </xf>
    <xf numFmtId="0" fontId="19" fillId="0" borderId="1" xfId="0" quotePrefix="1" applyFont="1" applyBorder="1" applyAlignment="1">
      <alignment horizontal="center"/>
    </xf>
    <xf numFmtId="164" fontId="22" fillId="0" borderId="0" xfId="6" quotePrefix="1" applyFont="1" applyBorder="1" applyAlignment="1">
      <alignment horizontal="center" wrapText="1"/>
    </xf>
    <xf numFmtId="14" fontId="19" fillId="0" borderId="1" xfId="0" quotePrefix="1" applyNumberFormat="1" applyFont="1" applyBorder="1" applyAlignment="1">
      <alignment horizontal="center"/>
    </xf>
    <xf numFmtId="43" fontId="31" fillId="4" borderId="0" xfId="1" applyFont="1" applyFill="1" applyBorder="1" applyAlignment="1"/>
    <xf numFmtId="43" fontId="31" fillId="0" borderId="0" xfId="1" applyFont="1" applyFill="1" applyBorder="1" applyAlignment="1"/>
    <xf numFmtId="43" fontId="31" fillId="0" borderId="0" xfId="1" applyFont="1" applyFill="1" applyAlignment="1"/>
    <xf numFmtId="43" fontId="31" fillId="0" borderId="0" xfId="1" applyFont="1" applyFill="1" applyBorder="1"/>
    <xf numFmtId="0" fontId="16" fillId="4" borderId="0" xfId="0" applyFont="1" applyFill="1" applyAlignment="1">
      <alignment horizontal="center"/>
    </xf>
    <xf numFmtId="0" fontId="16" fillId="0" borderId="0" xfId="0" quotePrefix="1" applyFont="1" applyAlignment="1">
      <alignment horizontal="left" vertical="top"/>
    </xf>
    <xf numFmtId="17" fontId="19" fillId="0" borderId="0" xfId="0" quotePrefix="1" applyNumberFormat="1" applyFont="1" applyAlignment="1">
      <alignment horizontal="center"/>
    </xf>
    <xf numFmtId="7" fontId="16" fillId="0" borderId="0" xfId="0" quotePrefix="1" applyNumberFormat="1" applyFont="1" applyAlignment="1">
      <alignment horizontal="center"/>
    </xf>
    <xf numFmtId="0" fontId="9" fillId="2" borderId="12" xfId="0" quotePrefix="1" applyFont="1" applyFill="1" applyBorder="1" applyAlignment="1">
      <alignment horizontal="left"/>
    </xf>
    <xf numFmtId="0" fontId="34" fillId="2" borderId="12" xfId="0" quotePrefix="1" applyFont="1" applyFill="1" applyBorder="1" applyAlignment="1">
      <alignment horizontal="left" indent="1"/>
    </xf>
    <xf numFmtId="0" fontId="9" fillId="2" borderId="12" xfId="0" quotePrefix="1" applyFont="1" applyFill="1" applyBorder="1" applyAlignment="1">
      <alignment horizontal="left" indent="1"/>
    </xf>
    <xf numFmtId="0" fontId="34" fillId="2" borderId="12" xfId="0" quotePrefix="1" applyFont="1" applyFill="1" applyBorder="1" applyAlignment="1">
      <alignment horizontal="left" indent="2"/>
    </xf>
    <xf numFmtId="0" fontId="34" fillId="2" borderId="12" xfId="0" quotePrefix="1" applyFont="1" applyFill="1" applyBorder="1" applyAlignment="1">
      <alignment horizontal="left"/>
    </xf>
    <xf numFmtId="0" fontId="9" fillId="2" borderId="13" xfId="0" quotePrefix="1" applyFont="1" applyFill="1" applyBorder="1" applyAlignment="1">
      <alignment horizontal="left"/>
    </xf>
    <xf numFmtId="0" fontId="16" fillId="0" borderId="0" xfId="0" quotePrefix="1" applyFont="1" applyAlignment="1">
      <alignment horizontal="left" vertical="center" indent="1"/>
    </xf>
    <xf numFmtId="49" fontId="16" fillId="0" borderId="0" xfId="7" quotePrefix="1" applyNumberFormat="1" applyFont="1" applyAlignment="1">
      <alignment horizontal="left" indent="1"/>
    </xf>
    <xf numFmtId="0" fontId="32" fillId="0" borderId="0" xfId="0" applyFont="1" applyAlignment="1">
      <alignment horizontal="left"/>
    </xf>
    <xf numFmtId="0" fontId="16" fillId="2" borderId="0" xfId="0" applyFont="1" applyFill="1" applyAlignment="1">
      <alignment horizontal="left" indent="3"/>
    </xf>
    <xf numFmtId="0" fontId="17" fillId="0" borderId="0" xfId="0" applyFont="1" applyAlignment="1">
      <alignment vertical="center" wrapText="1"/>
    </xf>
    <xf numFmtId="0" fontId="17" fillId="0" borderId="0" xfId="0" quotePrefix="1" applyFont="1" applyAlignment="1" applyProtection="1">
      <alignment horizontal="left" vertical="center"/>
      <protection locked="0"/>
    </xf>
    <xf numFmtId="0" fontId="17" fillId="0" borderId="0" xfId="0" applyFont="1" applyAlignment="1" applyProtection="1">
      <alignment vertical="center"/>
      <protection locked="0"/>
    </xf>
    <xf numFmtId="0" fontId="17" fillId="0" borderId="0" xfId="0" applyFont="1" applyAlignment="1">
      <alignment vertical="center"/>
    </xf>
    <xf numFmtId="0" fontId="17" fillId="0" borderId="0" xfId="0" quotePrefix="1" applyFont="1" applyAlignment="1">
      <alignment horizontal="left" vertical="center"/>
    </xf>
    <xf numFmtId="0" fontId="32" fillId="0" borderId="0" xfId="0" quotePrefix="1" applyFont="1" applyAlignment="1">
      <alignment horizontal="left" vertical="center"/>
    </xf>
    <xf numFmtId="0" fontId="32" fillId="0" borderId="0" xfId="0" applyFont="1" applyAlignment="1">
      <alignment vertical="center"/>
    </xf>
    <xf numFmtId="0" fontId="17" fillId="0" borderId="0" xfId="0" quotePrefix="1" applyFont="1" applyAlignment="1" applyProtection="1">
      <alignment horizontal="left" vertical="center" indent="2"/>
      <protection locked="0"/>
    </xf>
    <xf numFmtId="0" fontId="17" fillId="0" borderId="0" xfId="0" applyFont="1" applyAlignment="1">
      <alignment horizontal="left" vertical="center" indent="2"/>
    </xf>
    <xf numFmtId="0" fontId="17" fillId="0" borderId="0" xfId="0" quotePrefix="1" applyFont="1" applyAlignment="1">
      <alignment horizontal="left" vertical="center" indent="2"/>
    </xf>
    <xf numFmtId="0" fontId="32" fillId="0" borderId="0" xfId="0" quotePrefix="1" applyFont="1" applyAlignment="1">
      <alignment horizontal="left" vertical="center" indent="1"/>
    </xf>
    <xf numFmtId="0" fontId="35" fillId="0" borderId="0" xfId="0" applyFont="1"/>
    <xf numFmtId="0" fontId="35" fillId="0" borderId="0" xfId="0" applyFont="1" applyAlignment="1">
      <alignment vertical="center"/>
    </xf>
    <xf numFmtId="0" fontId="32" fillId="0" borderId="0" xfId="0" applyFont="1" applyAlignment="1">
      <alignment horizontal="left" vertical="center"/>
    </xf>
    <xf numFmtId="0" fontId="35" fillId="0" borderId="0" xfId="0" quotePrefix="1" applyFont="1" applyAlignment="1" applyProtection="1">
      <alignment horizontal="left" vertical="center"/>
      <protection locked="0"/>
    </xf>
    <xf numFmtId="0" fontId="35" fillId="0" borderId="0" xfId="0" quotePrefix="1" applyFont="1" applyAlignment="1" applyProtection="1">
      <alignment horizontal="left"/>
      <protection locked="0"/>
    </xf>
    <xf numFmtId="0" fontId="32" fillId="0" borderId="0" xfId="0" quotePrefix="1" applyFont="1" applyAlignment="1" applyProtection="1">
      <alignment horizontal="left"/>
      <protection locked="0"/>
    </xf>
    <xf numFmtId="0" fontId="32" fillId="0" borderId="0" xfId="0" quotePrefix="1" applyFont="1" applyAlignment="1" applyProtection="1">
      <alignment horizontal="left" indent="1"/>
      <protection locked="0"/>
    </xf>
    <xf numFmtId="0" fontId="32" fillId="0" borderId="0" xfId="0" quotePrefix="1" applyFont="1" applyAlignment="1" applyProtection="1">
      <alignment horizontal="left" vertical="center"/>
      <protection locked="0"/>
    </xf>
    <xf numFmtId="0" fontId="32" fillId="0" borderId="0" xfId="0" quotePrefix="1" applyFont="1" applyAlignment="1" applyProtection="1">
      <alignment horizontal="left" vertical="center" indent="1"/>
      <protection locked="0"/>
    </xf>
    <xf numFmtId="1" fontId="16" fillId="0" borderId="0" xfId="7" quotePrefix="1" applyNumberFormat="1" applyFont="1" applyAlignment="1">
      <alignment horizontal="right"/>
    </xf>
    <xf numFmtId="43" fontId="16" fillId="0" borderId="0" xfId="7" applyNumberFormat="1" applyFont="1" applyAlignment="1">
      <alignment vertical="center"/>
    </xf>
    <xf numFmtId="164" fontId="13" fillId="2" borderId="0" xfId="6" quotePrefix="1" applyFont="1" applyFill="1" applyBorder="1" applyAlignment="1">
      <alignment horizontal="center" wrapText="1"/>
    </xf>
    <xf numFmtId="164" fontId="13" fillId="0" borderId="0" xfId="6" quotePrefix="1" applyFont="1" applyBorder="1" applyAlignment="1">
      <alignment horizontal="center"/>
    </xf>
    <xf numFmtId="16" fontId="17" fillId="0" borderId="0" xfId="0" applyNumberFormat="1" applyFont="1" applyAlignment="1">
      <alignment horizontal="left"/>
    </xf>
    <xf numFmtId="49" fontId="17" fillId="2" borderId="7" xfId="0" quotePrefix="1" applyNumberFormat="1" applyFont="1" applyFill="1" applyBorder="1" applyAlignment="1">
      <alignment horizontal="left"/>
    </xf>
    <xf numFmtId="49" fontId="33" fillId="2" borderId="0" xfId="0" quotePrefix="1" applyNumberFormat="1" applyFont="1" applyFill="1" applyAlignment="1">
      <alignment horizontal="center"/>
    </xf>
    <xf numFmtId="49" fontId="33" fillId="2" borderId="14" xfId="0" quotePrefix="1" applyNumberFormat="1" applyFont="1" applyFill="1" applyBorder="1" applyAlignment="1">
      <alignment horizontal="center"/>
    </xf>
    <xf numFmtId="49" fontId="17" fillId="2" borderId="2" xfId="0" applyNumberFormat="1" applyFont="1" applyFill="1" applyBorder="1"/>
    <xf numFmtId="49" fontId="17" fillId="2" borderId="15" xfId="0" applyNumberFormat="1" applyFont="1" applyFill="1" applyBorder="1"/>
    <xf numFmtId="0" fontId="16" fillId="0" borderId="0" xfId="0" quotePrefix="1" applyFont="1" applyAlignment="1">
      <alignment vertical="center"/>
    </xf>
    <xf numFmtId="0" fontId="16" fillId="4" borderId="0" xfId="0" quotePrefix="1" applyFont="1" applyFill="1" applyAlignment="1">
      <alignment horizontal="left" vertical="center" indent="1"/>
    </xf>
    <xf numFmtId="0" fontId="36" fillId="2" borderId="12" xfId="0" applyFont="1" applyFill="1" applyBorder="1"/>
    <xf numFmtId="1" fontId="16" fillId="4" borderId="0" xfId="7" applyNumberFormat="1" applyFont="1" applyFill="1" applyAlignment="1">
      <alignment horizontal="right" indent="1"/>
    </xf>
    <xf numFmtId="1" fontId="16" fillId="0" borderId="0" xfId="7" quotePrefix="1" applyNumberFormat="1" applyFont="1" applyAlignment="1">
      <alignment horizontal="right" indent="1"/>
    </xf>
    <xf numFmtId="0" fontId="16" fillId="0" borderId="0" xfId="0" quotePrefix="1" applyFont="1" applyAlignment="1">
      <alignment horizontal="left" vertical="center"/>
    </xf>
    <xf numFmtId="0" fontId="13" fillId="2" borderId="0" xfId="0" quotePrefix="1" applyFont="1" applyFill="1" applyAlignment="1">
      <alignment horizontal="left"/>
    </xf>
    <xf numFmtId="0" fontId="13" fillId="0" borderId="0" xfId="0" quotePrefix="1" applyFont="1" applyAlignment="1">
      <alignment horizontal="left" indent="2"/>
    </xf>
    <xf numFmtId="0" fontId="13" fillId="2" borderId="0" xfId="0" quotePrefix="1" applyFont="1" applyFill="1" applyAlignment="1">
      <alignment horizontal="left" indent="2"/>
    </xf>
    <xf numFmtId="0" fontId="13" fillId="2" borderId="0" xfId="0" quotePrefix="1" applyFont="1" applyFill="1" applyAlignment="1">
      <alignment horizontal="left" indent="3"/>
    </xf>
    <xf numFmtId="3" fontId="13" fillId="2" borderId="6" xfId="0" applyNumberFormat="1" applyFont="1" applyFill="1" applyBorder="1"/>
    <xf numFmtId="43" fontId="25" fillId="0" borderId="0" xfId="0" applyNumberFormat="1" applyFont="1"/>
    <xf numFmtId="0" fontId="9" fillId="0" borderId="16" xfId="0" quotePrefix="1" applyFont="1" applyBorder="1" applyAlignment="1">
      <alignment horizontal="left" indent="1"/>
    </xf>
    <xf numFmtId="0" fontId="22" fillId="4" borderId="4" xfId="0" applyFont="1" applyFill="1" applyBorder="1" applyAlignment="1">
      <alignment horizontal="center"/>
    </xf>
    <xf numFmtId="1" fontId="16" fillId="4" borderId="0" xfId="2" applyNumberFormat="1" applyFont="1" applyFill="1" applyBorder="1" applyAlignment="1">
      <alignment horizontal="center"/>
    </xf>
    <xf numFmtId="1" fontId="16" fillId="4" borderId="0" xfId="2" quotePrefix="1" applyNumberFormat="1" applyFont="1" applyFill="1" applyBorder="1" applyAlignment="1">
      <alignment horizontal="left"/>
    </xf>
    <xf numFmtId="49" fontId="16" fillId="4" borderId="0" xfId="0" quotePrefix="1" applyNumberFormat="1" applyFont="1" applyFill="1" applyAlignment="1">
      <alignment horizontal="left"/>
    </xf>
    <xf numFmtId="49" fontId="17" fillId="2" borderId="17" xfId="0" quotePrefix="1" applyNumberFormat="1" applyFont="1" applyFill="1" applyBorder="1" applyAlignment="1">
      <alignment horizontal="left" indent="1"/>
    </xf>
    <xf numFmtId="0" fontId="17" fillId="4" borderId="0" xfId="0" quotePrefix="1" applyFont="1" applyFill="1" applyAlignment="1">
      <alignment horizontal="center"/>
    </xf>
    <xf numFmtId="0" fontId="13" fillId="0" borderId="0" xfId="0" quotePrefix="1" applyFont="1"/>
    <xf numFmtId="0" fontId="17" fillId="2" borderId="7" xfId="0" quotePrefix="1" applyFont="1" applyFill="1" applyBorder="1" applyAlignment="1">
      <alignment horizontal="left"/>
    </xf>
    <xf numFmtId="0" fontId="17" fillId="2" borderId="7" xfId="0" quotePrefix="1" applyFont="1" applyFill="1" applyBorder="1" applyAlignment="1">
      <alignment horizontal="left" indent="1"/>
    </xf>
    <xf numFmtId="0" fontId="17" fillId="0" borderId="0" xfId="0" quotePrefix="1" applyFont="1" applyAlignment="1">
      <alignment horizontal="center"/>
    </xf>
    <xf numFmtId="0" fontId="33" fillId="0" borderId="18" xfId="0" quotePrefix="1" applyFont="1" applyBorder="1" applyAlignment="1">
      <alignment horizontal="center"/>
    </xf>
    <xf numFmtId="0" fontId="33" fillId="0" borderId="19" xfId="0" quotePrefix="1" applyFont="1" applyBorder="1" applyAlignment="1">
      <alignment horizontal="center"/>
    </xf>
    <xf numFmtId="0" fontId="33" fillId="0" borderId="20" xfId="0" quotePrefix="1" applyFont="1" applyBorder="1" applyAlignment="1">
      <alignment horizontal="center"/>
    </xf>
    <xf numFmtId="49" fontId="33" fillId="0" borderId="4" xfId="7" quotePrefix="1" applyNumberFormat="1" applyFont="1" applyBorder="1" applyAlignment="1">
      <alignment horizontal="center"/>
    </xf>
    <xf numFmtId="49" fontId="33" fillId="0" borderId="4" xfId="7" applyNumberFormat="1" applyFont="1" applyBorder="1" applyAlignment="1">
      <alignment horizontal="center"/>
    </xf>
    <xf numFmtId="0" fontId="14" fillId="0" borderId="7" xfId="0" applyFont="1" applyBorder="1" applyAlignment="1">
      <alignment horizontal="left"/>
    </xf>
    <xf numFmtId="0" fontId="14" fillId="0" borderId="0" xfId="0" applyFont="1" applyAlignment="1">
      <alignment horizontal="left"/>
    </xf>
    <xf numFmtId="4" fontId="13" fillId="0" borderId="0" xfId="0" applyNumberFormat="1" applyFont="1"/>
    <xf numFmtId="4" fontId="14" fillId="0" borderId="0" xfId="0" applyNumberFormat="1" applyFont="1" applyAlignment="1">
      <alignment horizontal="left"/>
    </xf>
    <xf numFmtId="4" fontId="13" fillId="0" borderId="0" xfId="0" quotePrefix="1" applyNumberFormat="1" applyFont="1" applyAlignment="1">
      <alignment horizontal="left"/>
    </xf>
    <xf numFmtId="168" fontId="13" fillId="0" borderId="0" xfId="0" applyNumberFormat="1" applyFont="1" applyAlignment="1">
      <alignment horizontal="center" wrapText="1"/>
    </xf>
    <xf numFmtId="0" fontId="13" fillId="0" borderId="1" xfId="0" applyFont="1" applyBorder="1" applyAlignment="1">
      <alignment horizontal="left" wrapText="1"/>
    </xf>
    <xf numFmtId="168" fontId="13" fillId="0" borderId="1" xfId="0" applyNumberFormat="1" applyFont="1" applyBorder="1" applyAlignment="1">
      <alignment horizontal="center" wrapText="1"/>
    </xf>
    <xf numFmtId="0" fontId="13" fillId="0" borderId="1" xfId="0" quotePrefix="1" applyFont="1" applyBorder="1" applyAlignment="1">
      <alignment horizontal="center"/>
    </xf>
    <xf numFmtId="168" fontId="13" fillId="0" borderId="1" xfId="0" quotePrefix="1" applyNumberFormat="1" applyFont="1" applyBorder="1" applyAlignment="1">
      <alignment horizontal="center"/>
    </xf>
    <xf numFmtId="0" fontId="13" fillId="0" borderId="6" xfId="0" applyFont="1" applyBorder="1" applyAlignment="1">
      <alignment horizontal="left"/>
    </xf>
    <xf numFmtId="168" fontId="13" fillId="0" borderId="6" xfId="0" applyNumberFormat="1" applyFont="1" applyBorder="1" applyAlignment="1">
      <alignment horizontal="center"/>
    </xf>
    <xf numFmtId="0" fontId="13" fillId="0" borderId="0" xfId="0" applyFont="1" applyAlignment="1">
      <alignment horizontal="left"/>
    </xf>
    <xf numFmtId="168" fontId="13" fillId="0" borderId="0" xfId="0" applyNumberFormat="1" applyFont="1" applyAlignment="1">
      <alignment horizontal="center"/>
    </xf>
    <xf numFmtId="0" fontId="13" fillId="0" borderId="0" xfId="0" quotePrefix="1" applyFont="1" applyAlignment="1">
      <alignment horizontal="left" indent="2"/>
    </xf>
    <xf numFmtId="0" fontId="13" fillId="0" borderId="0" xfId="0" applyFont="1" applyAlignment="1">
      <alignment horizontal="left" indent="2"/>
    </xf>
    <xf numFmtId="2" fontId="13" fillId="0" borderId="0" xfId="0" applyNumberFormat="1" applyFont="1" applyAlignment="1">
      <alignment horizontal="center"/>
    </xf>
    <xf numFmtId="0" fontId="13" fillId="0" borderId="0" xfId="0" applyFont="1" applyAlignment="1">
      <alignment horizontal="left" wrapText="1"/>
    </xf>
    <xf numFmtId="0" fontId="15" fillId="0" borderId="6" xfId="0" applyFont="1" applyBorder="1" applyAlignment="1">
      <alignment horizontal="left" vertical="center" wrapText="1"/>
    </xf>
    <xf numFmtId="0" fontId="15" fillId="0" borderId="0" xfId="0" applyFont="1" applyAlignment="1">
      <alignment horizontal="left" vertical="center" wrapText="1"/>
    </xf>
    <xf numFmtId="0" fontId="13" fillId="0" borderId="0" xfId="0" applyFont="1" applyAlignment="1">
      <alignment horizontal="right"/>
    </xf>
    <xf numFmtId="0" fontId="13" fillId="0" borderId="1" xfId="0" applyFont="1" applyBorder="1" applyAlignment="1">
      <alignment horizontal="center"/>
    </xf>
    <xf numFmtId="0" fontId="13" fillId="0" borderId="0" xfId="0" quotePrefix="1" applyFont="1" applyAlignment="1">
      <alignment horizontal="left"/>
    </xf>
    <xf numFmtId="0" fontId="13" fillId="0" borderId="0" xfId="0" quotePrefix="1" applyFont="1" applyAlignment="1">
      <alignment horizontal="center"/>
    </xf>
    <xf numFmtId="0" fontId="13" fillId="0" borderId="0" xfId="0" quotePrefix="1" applyFont="1" applyAlignment="1">
      <alignment horizontal="left" wrapText="1"/>
    </xf>
    <xf numFmtId="0" fontId="13" fillId="0" borderId="0" xfId="0" applyFont="1" applyAlignment="1">
      <alignment horizontal="center"/>
    </xf>
    <xf numFmtId="174" fontId="13" fillId="0" borderId="0" xfId="0" applyNumberFormat="1" applyFont="1"/>
    <xf numFmtId="7" fontId="13" fillId="0" borderId="0" xfId="0" applyNumberFormat="1" applyFont="1" applyAlignment="1">
      <alignment horizontal="right"/>
    </xf>
    <xf numFmtId="174" fontId="13" fillId="0" borderId="9" xfId="0" applyNumberFormat="1" applyFont="1" applyBorder="1"/>
    <xf numFmtId="2" fontId="24" fillId="0" borderId="0" xfId="0" applyNumberFormat="1" applyFont="1" applyAlignment="1">
      <alignment horizontal="left"/>
    </xf>
    <xf numFmtId="4" fontId="13" fillId="0" borderId="0" xfId="0" quotePrefix="1" applyNumberFormat="1" applyFont="1" applyAlignment="1">
      <alignment horizontal="center"/>
    </xf>
    <xf numFmtId="3" fontId="13" fillId="0" borderId="0" xfId="0" quotePrefix="1" applyNumberFormat="1" applyFont="1" applyAlignment="1">
      <alignment horizontal="center"/>
    </xf>
    <xf numFmtId="0" fontId="13" fillId="0" borderId="6" xfId="0" applyFont="1" applyBorder="1" applyAlignment="1">
      <alignment horizontal="left" indent="2"/>
    </xf>
    <xf numFmtId="7" fontId="13" fillId="0" borderId="6" xfId="0" applyNumberFormat="1" applyFont="1" applyBorder="1" applyAlignment="1">
      <alignment horizontal="right"/>
    </xf>
    <xf numFmtId="0" fontId="13" fillId="9" borderId="1" xfId="0" applyFont="1" applyFill="1" applyBorder="1" applyAlignment="1">
      <alignment horizontal="center"/>
    </xf>
    <xf numFmtId="0" fontId="17" fillId="2" borderId="0" xfId="0" applyFont="1" applyFill="1" applyAlignment="1">
      <alignment horizontal="left"/>
    </xf>
    <xf numFmtId="0" fontId="17" fillId="0" borderId="0" xfId="0" applyFont="1" applyAlignment="1">
      <alignment horizontal="left"/>
    </xf>
    <xf numFmtId="0" fontId="13" fillId="2" borderId="0" xfId="0" quotePrefix="1" applyFont="1" applyFill="1" applyAlignment="1">
      <alignment horizontal="left"/>
    </xf>
    <xf numFmtId="0" fontId="13" fillId="2" borderId="0" xfId="0" applyFont="1" applyFill="1" applyAlignment="1">
      <alignment horizontal="left"/>
    </xf>
    <xf numFmtId="0" fontId="13" fillId="2" borderId="0" xfId="0" applyFont="1" applyFill="1" applyAlignment="1">
      <alignment horizontal="right"/>
    </xf>
    <xf numFmtId="0" fontId="32" fillId="2" borderId="0" xfId="0" applyFont="1" applyFill="1" applyAlignment="1">
      <alignment horizontal="left"/>
    </xf>
    <xf numFmtId="0" fontId="13" fillId="2" borderId="1" xfId="0" applyFont="1" applyFill="1" applyBorder="1" applyAlignment="1">
      <alignment horizontal="left"/>
    </xf>
    <xf numFmtId="0" fontId="19" fillId="2" borderId="5" xfId="0" applyFont="1" applyFill="1" applyBorder="1" applyAlignment="1">
      <alignment horizontal="center"/>
    </xf>
    <xf numFmtId="0" fontId="13" fillId="2" borderId="1" xfId="0" applyFont="1" applyFill="1" applyBorder="1" applyAlignment="1">
      <alignment horizontal="center"/>
    </xf>
    <xf numFmtId="0" fontId="13" fillId="2" borderId="0" xfId="0" applyFont="1" applyFill="1" applyAlignment="1">
      <alignment horizontal="center"/>
    </xf>
    <xf numFmtId="7" fontId="13" fillId="2" borderId="6" xfId="0" applyNumberFormat="1" applyFont="1" applyFill="1" applyBorder="1" applyAlignment="1">
      <alignment horizontal="right"/>
    </xf>
    <xf numFmtId="7" fontId="13" fillId="2" borderId="0" xfId="0" applyNumberFormat="1" applyFont="1" applyFill="1" applyAlignment="1">
      <alignment horizontal="right"/>
    </xf>
    <xf numFmtId="0" fontId="19" fillId="2" borderId="0" xfId="0" applyFont="1" applyFill="1" applyAlignment="1">
      <alignment horizontal="right"/>
    </xf>
    <xf numFmtId="0" fontId="19" fillId="2" borderId="1" xfId="0" applyFont="1" applyFill="1" applyBorder="1" applyAlignment="1">
      <alignment horizontal="center"/>
    </xf>
    <xf numFmtId="169" fontId="37" fillId="2" borderId="0" xfId="0" applyNumberFormat="1" applyFont="1" applyFill="1" applyAlignment="1">
      <alignment horizontal="center"/>
    </xf>
    <xf numFmtId="165" fontId="13" fillId="2" borderId="7" xfId="4" applyFont="1" applyFill="1" applyBorder="1" applyAlignment="1">
      <alignment horizontal="right"/>
    </xf>
    <xf numFmtId="165" fontId="13" fillId="2" borderId="0" xfId="4" applyFont="1" applyFill="1" applyBorder="1" applyAlignment="1">
      <alignment horizontal="right"/>
    </xf>
    <xf numFmtId="2" fontId="24" fillId="2" borderId="0" xfId="0" applyNumberFormat="1" applyFont="1" applyFill="1" applyAlignment="1">
      <alignment horizontal="left"/>
    </xf>
    <xf numFmtId="4" fontId="13" fillId="2" borderId="0" xfId="0" quotePrefix="1" applyNumberFormat="1" applyFont="1" applyFill="1" applyAlignment="1">
      <alignment horizontal="left"/>
    </xf>
    <xf numFmtId="0" fontId="23" fillId="2" borderId="0" xfId="0" applyFont="1" applyFill="1" applyAlignment="1">
      <alignment horizontal="right"/>
    </xf>
    <xf numFmtId="0" fontId="23" fillId="2" borderId="0" xfId="0" applyFont="1" applyFill="1" applyAlignment="1">
      <alignment horizontal="center"/>
    </xf>
    <xf numFmtId="4" fontId="23" fillId="2" borderId="0" xfId="0" applyNumberFormat="1" applyFont="1" applyFill="1" applyAlignment="1">
      <alignment horizontal="left"/>
    </xf>
    <xf numFmtId="168" fontId="13" fillId="2" borderId="0" xfId="0" applyNumberFormat="1" applyFont="1" applyFill="1" applyAlignment="1">
      <alignment horizontal="left"/>
    </xf>
    <xf numFmtId="0" fontId="13" fillId="2" borderId="0" xfId="0" applyFont="1" applyFill="1" applyAlignment="1">
      <alignment horizontal="left" indent="3"/>
    </xf>
    <xf numFmtId="166" fontId="18" fillId="2" borderId="1" xfId="0" applyNumberFormat="1" applyFont="1" applyFill="1" applyBorder="1" applyAlignment="1">
      <alignment horizontal="left"/>
    </xf>
    <xf numFmtId="166" fontId="18" fillId="2" borderId="0" xfId="0" applyNumberFormat="1" applyFont="1" applyFill="1" applyAlignment="1">
      <alignment horizontal="left"/>
    </xf>
    <xf numFmtId="2" fontId="13" fillId="2" borderId="22" xfId="0" applyNumberFormat="1" applyFont="1" applyFill="1" applyBorder="1" applyAlignment="1">
      <alignment horizontal="center"/>
    </xf>
    <xf numFmtId="2" fontId="20" fillId="2" borderId="1" xfId="0" applyNumberFormat="1" applyFont="1" applyFill="1" applyBorder="1" applyAlignment="1">
      <alignment horizontal="center"/>
    </xf>
    <xf numFmtId="0" fontId="15" fillId="2" borderId="0" xfId="0" applyFont="1" applyFill="1" applyAlignment="1">
      <alignment horizontal="left" wrapText="1"/>
    </xf>
    <xf numFmtId="4" fontId="19" fillId="2" borderId="1" xfId="0" applyNumberFormat="1" applyFont="1" applyFill="1" applyBorder="1" applyAlignment="1">
      <alignment horizontal="center" wrapText="1"/>
    </xf>
    <xf numFmtId="4" fontId="19" fillId="2" borderId="5" xfId="0" applyNumberFormat="1" applyFont="1" applyFill="1" applyBorder="1" applyAlignment="1">
      <alignment horizontal="center" wrapText="1"/>
    </xf>
    <xf numFmtId="4" fontId="19" fillId="2" borderId="21" xfId="0" applyNumberFormat="1" applyFont="1" applyFill="1" applyBorder="1" applyAlignment="1">
      <alignment horizontal="center" wrapText="1"/>
    </xf>
    <xf numFmtId="2" fontId="13" fillId="2" borderId="0" xfId="0" applyNumberFormat="1" applyFont="1" applyFill="1" applyAlignment="1">
      <alignment horizontal="center"/>
    </xf>
    <xf numFmtId="0" fontId="13" fillId="2" borderId="0" xfId="0" applyFont="1" applyFill="1" applyAlignment="1">
      <alignment horizontal="left" wrapText="1"/>
    </xf>
    <xf numFmtId="0" fontId="13" fillId="2" borderId="1" xfId="0" applyFont="1" applyFill="1" applyBorder="1" applyAlignment="1">
      <alignment horizontal="left" wrapText="1"/>
    </xf>
    <xf numFmtId="2" fontId="19" fillId="2" borderId="1" xfId="0" applyNumberFormat="1" applyFont="1" applyFill="1" applyBorder="1" applyAlignment="1">
      <alignment horizontal="center"/>
    </xf>
    <xf numFmtId="0" fontId="13" fillId="2" borderId="6" xfId="0" applyFont="1" applyFill="1" applyBorder="1" applyAlignment="1">
      <alignment horizontal="left"/>
    </xf>
    <xf numFmtId="2" fontId="19" fillId="2" borderId="5" xfId="0" applyNumberFormat="1" applyFont="1" applyFill="1" applyBorder="1" applyAlignment="1">
      <alignment horizontal="center"/>
    </xf>
    <xf numFmtId="168" fontId="13" fillId="2" borderId="1" xfId="0" applyNumberFormat="1" applyFont="1" applyFill="1" applyBorder="1" applyAlignment="1">
      <alignment horizontal="center"/>
    </xf>
    <xf numFmtId="0" fontId="13" fillId="2" borderId="6" xfId="0" applyFont="1" applyFill="1" applyBorder="1" applyAlignment="1">
      <alignment horizontal="right"/>
    </xf>
    <xf numFmtId="2" fontId="18" fillId="2" borderId="1" xfId="0" applyNumberFormat="1" applyFont="1" applyFill="1" applyBorder="1" applyAlignment="1">
      <alignment horizontal="center"/>
    </xf>
    <xf numFmtId="168" fontId="13" fillId="2" borderId="0" xfId="0" applyNumberFormat="1" applyFont="1" applyFill="1" applyAlignment="1">
      <alignment horizontal="center"/>
    </xf>
    <xf numFmtId="0" fontId="15" fillId="2" borderId="0" xfId="0" applyFont="1" applyFill="1" applyAlignment="1">
      <alignment horizontal="left"/>
    </xf>
    <xf numFmtId="169" fontId="15" fillId="2" borderId="0" xfId="0" applyNumberFormat="1" applyFont="1" applyFill="1" applyAlignment="1">
      <alignment horizontal="left"/>
    </xf>
    <xf numFmtId="168" fontId="13" fillId="2" borderId="0" xfId="0" applyNumberFormat="1" applyFont="1" applyFill="1" applyAlignment="1">
      <alignment horizontal="center" wrapText="1"/>
    </xf>
    <xf numFmtId="0" fontId="20" fillId="2" borderId="1" xfId="0" applyFont="1" applyFill="1" applyBorder="1" applyAlignment="1">
      <alignment horizontal="center" wrapText="1"/>
    </xf>
    <xf numFmtId="168" fontId="13" fillId="2" borderId="1" xfId="0" applyNumberFormat="1" applyFont="1" applyFill="1" applyBorder="1" applyAlignment="1">
      <alignment horizontal="center" wrapText="1"/>
    </xf>
    <xf numFmtId="0" fontId="13" fillId="2" borderId="1" xfId="0" quotePrefix="1" applyFont="1" applyFill="1" applyBorder="1" applyAlignment="1">
      <alignment horizontal="center"/>
    </xf>
    <xf numFmtId="0" fontId="20" fillId="2" borderId="1" xfId="0" quotePrefix="1" applyFont="1" applyFill="1" applyBorder="1" applyAlignment="1">
      <alignment horizontal="center"/>
    </xf>
    <xf numFmtId="168" fontId="13" fillId="2" borderId="1" xfId="0" quotePrefix="1" applyNumberFormat="1" applyFont="1" applyFill="1" applyBorder="1" applyAlignment="1">
      <alignment horizontal="center"/>
    </xf>
    <xf numFmtId="168" fontId="13" fillId="2" borderId="6" xfId="0" applyNumberFormat="1" applyFont="1" applyFill="1" applyBorder="1" applyAlignment="1">
      <alignment horizontal="center"/>
    </xf>
    <xf numFmtId="0" fontId="38" fillId="0" borderId="7" xfId="0" applyFont="1" applyBorder="1" applyAlignment="1">
      <alignment horizontal="left"/>
    </xf>
    <xf numFmtId="0" fontId="38" fillId="0" borderId="0" xfId="0" applyFont="1" applyAlignment="1">
      <alignment horizontal="left"/>
    </xf>
    <xf numFmtId="0" fontId="12" fillId="2" borderId="0" xfId="0" applyFont="1" applyFill="1" applyAlignment="1">
      <alignment horizontal="center"/>
    </xf>
    <xf numFmtId="4" fontId="13" fillId="2" borderId="0" xfId="0" applyNumberFormat="1" applyFont="1" applyFill="1" applyAlignment="1">
      <alignment horizontal="left"/>
    </xf>
    <xf numFmtId="4" fontId="14" fillId="2" borderId="0" xfId="0" applyNumberFormat="1" applyFont="1" applyFill="1" applyAlignment="1">
      <alignment horizontal="left"/>
    </xf>
    <xf numFmtId="168" fontId="13" fillId="6" borderId="0" xfId="0" applyNumberFormat="1" applyFont="1" applyFill="1" applyAlignment="1">
      <alignment horizontal="center"/>
    </xf>
    <xf numFmtId="4" fontId="13" fillId="0" borderId="0" xfId="0" applyNumberFormat="1" applyFont="1" applyAlignment="1">
      <alignment horizontal="left"/>
    </xf>
    <xf numFmtId="0" fontId="15" fillId="2" borderId="0" xfId="0" applyFont="1" applyFill="1" applyAlignment="1">
      <alignment horizontal="center"/>
    </xf>
    <xf numFmtId="7" fontId="16" fillId="2" borderId="0" xfId="0" applyNumberFormat="1" applyFont="1" applyFill="1" applyAlignment="1">
      <alignment horizontal="center"/>
    </xf>
    <xf numFmtId="0" fontId="13" fillId="0" borderId="0" xfId="0" quotePrefix="1" applyFont="1" applyAlignment="1">
      <alignment horizontal="right"/>
    </xf>
    <xf numFmtId="168" fontId="13" fillId="6" borderId="6" xfId="0" applyNumberFormat="1" applyFont="1" applyFill="1" applyBorder="1" applyAlignment="1">
      <alignment horizontal="center"/>
    </xf>
    <xf numFmtId="2" fontId="40" fillId="0" borderId="0" xfId="0" applyNumberFormat="1" applyFont="1" applyAlignment="1">
      <alignment horizontal="center" wrapText="1"/>
    </xf>
    <xf numFmtId="2" fontId="40" fillId="0" borderId="1" xfId="0" applyNumberFormat="1" applyFont="1" applyBorder="1" applyAlignment="1">
      <alignment horizontal="center" wrapText="1"/>
    </xf>
    <xf numFmtId="2" fontId="39" fillId="0" borderId="0" xfId="0" applyNumberFormat="1" applyFont="1" applyAlignment="1">
      <alignment horizontal="left" indent="3"/>
    </xf>
    <xf numFmtId="2" fontId="41" fillId="0" borderId="0" xfId="0" applyNumberFormat="1" applyFont="1" applyAlignment="1">
      <alignment horizontal="center" wrapText="1"/>
    </xf>
    <xf numFmtId="2" fontId="41" fillId="0" borderId="1" xfId="0" applyNumberFormat="1" applyFont="1" applyBorder="1" applyAlignment="1">
      <alignment horizontal="center" wrapText="1"/>
    </xf>
    <xf numFmtId="7" fontId="13" fillId="8" borderId="6" xfId="0" applyNumberFormat="1" applyFont="1" applyFill="1" applyBorder="1" applyAlignment="1">
      <alignment horizontal="right"/>
    </xf>
  </cellXfs>
  <cellStyles count="11">
    <cellStyle name="Comma" xfId="1" builtinId="3"/>
    <cellStyle name="Comma 2" xfId="2"/>
    <cellStyle name="Comma 3 8" xfId="3"/>
    <cellStyle name="Comma_charter school revenue frame" xfId="4"/>
    <cellStyle name="Currency 2 8" xfId="5"/>
    <cellStyle name="Currency_charter school revenue frame" xfId="6"/>
    <cellStyle name="Normal" xfId="0" builtinId="0"/>
    <cellStyle name="Normal 2" xfId="7"/>
    <cellStyle name="Normal 2 2" xfId="8"/>
    <cellStyle name="Normal 3 8" xfId="9"/>
    <cellStyle name="Percent 3 8" xfId="10"/>
  </cellStyles>
  <dxfs count="213">
    <dxf>
      <font>
        <color theme="0"/>
      </font>
    </dxf>
    <dxf>
      <font>
        <b/>
        <i val="0"/>
      </font>
    </dxf>
    <dxf>
      <font>
        <color theme="0"/>
      </font>
    </dxf>
    <dxf>
      <font>
        <b/>
        <i val="0"/>
        <color rgb="FFFF0000"/>
      </font>
    </dxf>
    <dxf>
      <font>
        <color theme="0"/>
      </font>
    </dxf>
    <dxf>
      <font>
        <b/>
        <i val="0"/>
        <color rgb="FFFF0000"/>
      </font>
    </dxf>
    <dxf>
      <font>
        <color theme="0"/>
      </font>
    </dxf>
    <dxf>
      <font>
        <b/>
        <i val="0"/>
        <color rgb="FFFF0000"/>
      </font>
    </dxf>
    <dxf>
      <fill>
        <patternFill>
          <bgColor rgb="FFFFFF66"/>
        </patternFill>
      </fill>
    </dxf>
    <dxf>
      <fill>
        <patternFill>
          <bgColor theme="0" tint="-0.14996795556505021"/>
        </patternFill>
      </fill>
    </dxf>
    <dxf>
      <fill>
        <patternFill>
          <bgColor rgb="FFFFFF66"/>
        </patternFill>
      </fill>
    </dxf>
    <dxf>
      <fill>
        <patternFill>
          <bgColor theme="0" tint="-0.14996795556505021"/>
        </patternFill>
      </fill>
    </dxf>
    <dxf>
      <fill>
        <patternFill>
          <bgColor rgb="FFFFFF66"/>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b/>
        <i val="0"/>
        <color rgb="FFFF0000"/>
      </font>
    </dxf>
    <dxf>
      <font>
        <color theme="0"/>
      </font>
    </dxf>
    <dxf>
      <font>
        <b/>
        <i val="0"/>
        <color rgb="FFFF0000"/>
      </font>
    </dxf>
    <dxf>
      <font>
        <color theme="0"/>
      </font>
    </dxf>
    <dxf>
      <font>
        <color theme="0"/>
      </font>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CCFFCC"/>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printerSettings" Target="../printerSettings/printerSettings18.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18.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19.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0.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1.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2.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3.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4.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25.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26.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27.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28.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29.xml"/><Relationship Id="rId2" Type="http://schemas.openxmlformats.org/officeDocument/2006/relationships/vmlDrawing" Target="../drawings/vmlDrawing29.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30.xml"/><Relationship Id="rId2" Type="http://schemas.openxmlformats.org/officeDocument/2006/relationships/vmlDrawing" Target="../drawings/vmlDrawing30.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31.xml"/><Relationship Id="rId2" Type="http://schemas.openxmlformats.org/officeDocument/2006/relationships/vmlDrawing" Target="../drawings/vmlDrawing31.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32.xml"/><Relationship Id="rId2" Type="http://schemas.openxmlformats.org/officeDocument/2006/relationships/vmlDrawing" Target="../drawings/vmlDrawing32.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33.xml"/><Relationship Id="rId2" Type="http://schemas.openxmlformats.org/officeDocument/2006/relationships/vmlDrawing" Target="../drawings/vmlDrawing33.v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34.xml"/><Relationship Id="rId2" Type="http://schemas.openxmlformats.org/officeDocument/2006/relationships/vmlDrawing" Target="../drawings/vmlDrawing34.vml"/><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35.xml"/><Relationship Id="rId2" Type="http://schemas.openxmlformats.org/officeDocument/2006/relationships/vmlDrawing" Target="../drawings/vmlDrawing35.vml"/><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36.xml"/><Relationship Id="rId2" Type="http://schemas.openxmlformats.org/officeDocument/2006/relationships/vmlDrawing" Target="../drawings/vmlDrawing36.vml"/><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37.xml"/><Relationship Id="rId2" Type="http://schemas.openxmlformats.org/officeDocument/2006/relationships/vmlDrawing" Target="../drawings/vmlDrawing37.vml"/><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38.xml"/><Relationship Id="rId2" Type="http://schemas.openxmlformats.org/officeDocument/2006/relationships/vmlDrawing" Target="../drawings/vmlDrawing38.vml"/><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39.xml"/><Relationship Id="rId2" Type="http://schemas.openxmlformats.org/officeDocument/2006/relationships/vmlDrawing" Target="../drawings/vmlDrawing39.vml"/><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40.xml"/><Relationship Id="rId2" Type="http://schemas.openxmlformats.org/officeDocument/2006/relationships/vmlDrawing" Target="../drawings/vmlDrawing40.vml"/><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41.xml"/><Relationship Id="rId2" Type="http://schemas.openxmlformats.org/officeDocument/2006/relationships/vmlDrawing" Target="../drawings/vmlDrawing41.vml"/><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42.xml"/><Relationship Id="rId2" Type="http://schemas.openxmlformats.org/officeDocument/2006/relationships/vmlDrawing" Target="../drawings/vmlDrawing42.vml"/><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43.xml"/><Relationship Id="rId2" Type="http://schemas.openxmlformats.org/officeDocument/2006/relationships/vmlDrawing" Target="../drawings/vmlDrawing43.vml"/><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44.xml"/><Relationship Id="rId2" Type="http://schemas.openxmlformats.org/officeDocument/2006/relationships/vmlDrawing" Target="../drawings/vmlDrawing44.vml"/><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45.xml"/><Relationship Id="rId2" Type="http://schemas.openxmlformats.org/officeDocument/2006/relationships/vmlDrawing" Target="../drawings/vmlDrawing45.vml"/><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46.xml"/><Relationship Id="rId2" Type="http://schemas.openxmlformats.org/officeDocument/2006/relationships/vmlDrawing" Target="../drawings/vmlDrawing46.vml"/><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47.xml"/><Relationship Id="rId2" Type="http://schemas.openxmlformats.org/officeDocument/2006/relationships/vmlDrawing" Target="../drawings/vmlDrawing47.vml"/><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3" Type="http://schemas.openxmlformats.org/officeDocument/2006/relationships/comments" Target="../comments48.xml"/><Relationship Id="rId2" Type="http://schemas.openxmlformats.org/officeDocument/2006/relationships/vmlDrawing" Target="../drawings/vmlDrawing48.vml"/><Relationship Id="rId1" Type="http://schemas.openxmlformats.org/officeDocument/2006/relationships/printerSettings" Target="../printerSettings/printerSettings49.bin"/></Relationships>
</file>

<file path=xl/worksheets/_rels/sheet51.xml.rels><?xml version="1.0" encoding="UTF-8" standalone="yes"?>
<Relationships xmlns="http://schemas.openxmlformats.org/package/2006/relationships"><Relationship Id="rId3" Type="http://schemas.openxmlformats.org/officeDocument/2006/relationships/comments" Target="../comments49.xml"/><Relationship Id="rId2" Type="http://schemas.openxmlformats.org/officeDocument/2006/relationships/vmlDrawing" Target="../drawings/vmlDrawing49.vml"/><Relationship Id="rId1" Type="http://schemas.openxmlformats.org/officeDocument/2006/relationships/printerSettings" Target="../printerSettings/printerSettings50.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P525"/>
  <sheetViews>
    <sheetView showGridLines="0" tabSelected="1" zoomScaleNormal="100" workbookViewId="0">
      <pane ySplit="4" topLeftCell="A5" activePane="bottomLeft" state="frozen"/>
      <selection activeCell="E78" sqref="E78"/>
      <selection pane="bottomLeft" activeCell="E5" sqref="E5"/>
    </sheetView>
  </sheetViews>
  <sheetFormatPr defaultRowHeight="12.75" customHeight="1" x14ac:dyDescent="0.2"/>
  <cols>
    <col min="1" max="1" width="3" style="212" bestFit="1" customWidth="1"/>
    <col min="2" max="2" width="7.28515625" style="212" customWidth="1"/>
    <col min="3" max="3" width="43.28515625" style="212" customWidth="1"/>
    <col min="4" max="4" width="18.5703125" style="212" customWidth="1"/>
    <col min="5" max="5" width="14.42578125" style="212" customWidth="1"/>
    <col min="6" max="6" width="12.140625" style="268" bestFit="1" customWidth="1"/>
    <col min="7" max="7" width="13.5703125" style="212" customWidth="1"/>
    <col min="8" max="8" width="4.28515625" style="268" customWidth="1"/>
    <col min="9" max="9" width="75.7109375" style="212" bestFit="1" customWidth="1"/>
    <col min="10" max="10" width="9.5703125" style="212" bestFit="1" customWidth="1"/>
    <col min="11" max="16384" width="9.140625" style="212"/>
  </cols>
  <sheetData>
    <row r="1" spans="1:9" ht="12.75" customHeight="1" x14ac:dyDescent="0.2">
      <c r="A1" s="213"/>
      <c r="B1" s="214" t="s">
        <v>477</v>
      </c>
      <c r="C1" s="241"/>
      <c r="I1" s="273"/>
    </row>
    <row r="2" spans="1:9" ht="12.75" customHeight="1" x14ac:dyDescent="0.2">
      <c r="B2" s="267" t="str">
        <f>'0664'!A3</f>
        <v>Based on the FLDOE 2022-23 FEFP Third Calculation</v>
      </c>
      <c r="C2" s="242"/>
      <c r="E2" s="256"/>
      <c r="F2" s="269"/>
      <c r="G2" s="256"/>
      <c r="I2" s="282"/>
    </row>
    <row r="3" spans="1:9" ht="12.75" customHeight="1" thickBot="1" x14ac:dyDescent="0.25">
      <c r="B3" s="215"/>
      <c r="C3" s="242"/>
      <c r="E3" s="256"/>
      <c r="F3" s="435"/>
      <c r="G3" s="435"/>
      <c r="I3" s="282"/>
    </row>
    <row r="4" spans="1:9" ht="12.75" customHeight="1" thickBot="1" x14ac:dyDescent="0.25">
      <c r="A4" s="216"/>
      <c r="B4" s="217" t="s">
        <v>203</v>
      </c>
      <c r="C4" s="245" t="s">
        <v>275</v>
      </c>
      <c r="D4" s="218" t="s">
        <v>204</v>
      </c>
      <c r="E4" s="260" t="s">
        <v>2</v>
      </c>
      <c r="F4" s="301" t="s">
        <v>301</v>
      </c>
      <c r="G4" s="260" t="s">
        <v>281</v>
      </c>
      <c r="I4" s="352" t="s">
        <v>336</v>
      </c>
    </row>
    <row r="5" spans="1:9" s="290" customFormat="1" ht="12.75" customHeight="1" x14ac:dyDescent="0.2">
      <c r="A5" s="219">
        <v>1</v>
      </c>
      <c r="B5" s="220" t="s">
        <v>205</v>
      </c>
      <c r="C5" s="243" t="s">
        <v>237</v>
      </c>
      <c r="D5" s="343" t="s">
        <v>478</v>
      </c>
      <c r="E5" s="222">
        <f>'0664'!I$132</f>
        <v>71412.02</v>
      </c>
      <c r="F5" s="366"/>
      <c r="G5" s="222">
        <f>SUBTOTAL(109,E5:F14)</f>
        <v>71412.02</v>
      </c>
      <c r="H5" s="289"/>
      <c r="I5" s="373"/>
    </row>
    <row r="6" spans="1:9" s="290" customFormat="1" ht="12.75" hidden="1" customHeight="1" x14ac:dyDescent="0.2">
      <c r="A6" s="219"/>
      <c r="B6" s="220"/>
      <c r="C6" s="270"/>
      <c r="D6" s="379" t="s">
        <v>337</v>
      </c>
      <c r="E6" s="222"/>
      <c r="F6" s="366"/>
      <c r="G6" s="222"/>
      <c r="H6" s="289"/>
      <c r="I6" s="374"/>
    </row>
    <row r="7" spans="1:9" s="290" customFormat="1" ht="12.75" hidden="1" customHeight="1" x14ac:dyDescent="0.2">
      <c r="A7" s="219"/>
      <c r="B7" s="220"/>
      <c r="C7" s="270"/>
      <c r="D7" s="379" t="s">
        <v>413</v>
      </c>
      <c r="E7" s="222"/>
      <c r="F7" s="366"/>
      <c r="G7" s="222"/>
      <c r="H7" s="289"/>
      <c r="I7" s="374"/>
    </row>
    <row r="8" spans="1:9" s="290" customFormat="1" ht="12.75" hidden="1" customHeight="1" x14ac:dyDescent="0.2">
      <c r="A8" s="219"/>
      <c r="B8" s="220"/>
      <c r="C8" s="243"/>
      <c r="D8" s="258" t="s">
        <v>339</v>
      </c>
      <c r="E8" s="222"/>
      <c r="F8" s="366"/>
      <c r="G8" s="222"/>
      <c r="H8" s="289"/>
      <c r="I8" s="415"/>
    </row>
    <row r="9" spans="1:9" s="290" customFormat="1" ht="12.75" hidden="1" customHeight="1" x14ac:dyDescent="0.2">
      <c r="A9" s="219"/>
      <c r="B9" s="220"/>
      <c r="C9" s="243"/>
      <c r="D9" s="258" t="s">
        <v>338</v>
      </c>
      <c r="E9" s="222"/>
      <c r="F9" s="366"/>
      <c r="G9" s="222"/>
      <c r="H9" s="289"/>
      <c r="I9" s="415"/>
    </row>
    <row r="10" spans="1:9" s="290" customFormat="1" ht="12.75" hidden="1" customHeight="1" x14ac:dyDescent="0.2">
      <c r="A10" s="219"/>
      <c r="B10" s="220"/>
      <c r="C10" s="243"/>
      <c r="D10" s="258" t="s">
        <v>349</v>
      </c>
      <c r="E10" s="222"/>
      <c r="F10" s="366"/>
      <c r="G10" s="222"/>
      <c r="H10" s="289"/>
      <c r="I10" s="374"/>
    </row>
    <row r="11" spans="1:9" s="290" customFormat="1" ht="12.75" hidden="1" customHeight="1" x14ac:dyDescent="0.2">
      <c r="A11" s="219"/>
      <c r="B11" s="220"/>
      <c r="C11" s="243"/>
      <c r="D11" s="258" t="s">
        <v>339</v>
      </c>
      <c r="E11" s="222"/>
      <c r="F11" s="366"/>
      <c r="G11" s="222"/>
      <c r="H11" s="289"/>
      <c r="I11" s="377"/>
    </row>
    <row r="12" spans="1:9" s="290" customFormat="1" ht="12.75" hidden="1" customHeight="1" x14ac:dyDescent="0.2">
      <c r="A12" s="219"/>
      <c r="B12" s="220"/>
      <c r="C12" s="243"/>
      <c r="D12" s="258" t="s">
        <v>338</v>
      </c>
      <c r="E12" s="222"/>
      <c r="F12" s="366"/>
      <c r="G12" s="222"/>
      <c r="H12" s="289"/>
      <c r="I12" s="377"/>
    </row>
    <row r="13" spans="1:9" s="290" customFormat="1" ht="12.75" hidden="1" customHeight="1" x14ac:dyDescent="0.2">
      <c r="A13" s="219"/>
      <c r="B13" s="220"/>
      <c r="C13" s="243"/>
      <c r="D13" s="258" t="s">
        <v>308</v>
      </c>
      <c r="E13" s="222"/>
      <c r="F13" s="366"/>
      <c r="G13" s="222"/>
      <c r="H13" s="289"/>
      <c r="I13" s="375"/>
    </row>
    <row r="14" spans="1:9" s="290" customFormat="1" ht="12.75" hidden="1" customHeight="1" x14ac:dyDescent="0.2">
      <c r="A14" s="219"/>
      <c r="B14" s="220"/>
      <c r="C14" s="243"/>
      <c r="D14" s="309" t="s">
        <v>453</v>
      </c>
      <c r="E14" s="222"/>
      <c r="F14" s="366">
        <v>0</v>
      </c>
      <c r="G14" s="222"/>
      <c r="H14" s="289"/>
      <c r="I14" s="375"/>
    </row>
    <row r="15" spans="1:9" s="290" customFormat="1" ht="12.75" customHeight="1" x14ac:dyDescent="0.2">
      <c r="A15" s="223">
        <f>1+A5</f>
        <v>2</v>
      </c>
      <c r="B15" s="224" t="s">
        <v>206</v>
      </c>
      <c r="C15" s="244" t="s">
        <v>239</v>
      </c>
      <c r="D15" s="310" t="str">
        <f>$D$5</f>
        <v>FTE APR 23</v>
      </c>
      <c r="E15" s="225">
        <f>'1461'!I$132</f>
        <v>458201.51</v>
      </c>
      <c r="F15" s="365"/>
      <c r="G15" s="225">
        <f>SUBTOTAL(109,E15:F36)</f>
        <v>390784.15</v>
      </c>
      <c r="H15" s="289"/>
      <c r="I15" s="375" t="s">
        <v>372</v>
      </c>
    </row>
    <row r="16" spans="1:9" s="290" customFormat="1" ht="12.75" hidden="1" customHeight="1" x14ac:dyDescent="0.2">
      <c r="A16" s="223"/>
      <c r="B16" s="224"/>
      <c r="C16" s="244"/>
      <c r="D16" s="259" t="s">
        <v>337</v>
      </c>
      <c r="E16" s="225"/>
      <c r="F16" s="365"/>
      <c r="G16" s="225"/>
      <c r="H16" s="289"/>
      <c r="I16" s="376"/>
    </row>
    <row r="17" spans="1:12" s="290" customFormat="1" ht="12.75" hidden="1" customHeight="1" x14ac:dyDescent="0.2">
      <c r="A17" s="223"/>
      <c r="B17" s="224"/>
      <c r="C17" s="244"/>
      <c r="D17" s="414" t="s">
        <v>414</v>
      </c>
      <c r="E17" s="225"/>
      <c r="F17" s="365"/>
      <c r="G17" s="225"/>
      <c r="H17" s="289"/>
      <c r="I17" s="376"/>
    </row>
    <row r="18" spans="1:12" s="290" customFormat="1" ht="12.75" hidden="1" customHeight="1" x14ac:dyDescent="0.2">
      <c r="A18" s="223"/>
      <c r="B18" s="224"/>
      <c r="C18" s="244"/>
      <c r="D18" s="259" t="s">
        <v>339</v>
      </c>
      <c r="E18" s="225"/>
      <c r="F18" s="365"/>
      <c r="G18" s="225"/>
      <c r="H18" s="289"/>
      <c r="I18" s="377"/>
    </row>
    <row r="19" spans="1:12" s="290" customFormat="1" ht="12.75" hidden="1" customHeight="1" x14ac:dyDescent="0.2">
      <c r="A19" s="223"/>
      <c r="B19" s="224"/>
      <c r="C19" s="244"/>
      <c r="D19" s="259" t="s">
        <v>338</v>
      </c>
      <c r="E19" s="225"/>
      <c r="F19" s="365"/>
      <c r="G19" s="225"/>
      <c r="H19" s="289"/>
      <c r="I19" s="377"/>
    </row>
    <row r="20" spans="1:12" s="290" customFormat="1" ht="12.75" hidden="1" customHeight="1" x14ac:dyDescent="0.2">
      <c r="A20" s="223"/>
      <c r="B20" s="224"/>
      <c r="C20" s="244"/>
      <c r="D20" s="259" t="s">
        <v>349</v>
      </c>
      <c r="E20" s="225"/>
      <c r="F20" s="365"/>
      <c r="G20" s="225"/>
      <c r="H20" s="289"/>
      <c r="I20" s="377"/>
    </row>
    <row r="21" spans="1:12" s="290" customFormat="1" ht="12.75" hidden="1" customHeight="1" x14ac:dyDescent="0.2">
      <c r="A21" s="223"/>
      <c r="B21" s="224"/>
      <c r="C21" s="244"/>
      <c r="D21" s="259" t="s">
        <v>308</v>
      </c>
      <c r="E21" s="225"/>
      <c r="F21" s="365"/>
      <c r="G21" s="225"/>
      <c r="H21" s="289"/>
      <c r="I21" s="373"/>
    </row>
    <row r="22" spans="1:12" s="290" customFormat="1" ht="12.75" customHeight="1" x14ac:dyDescent="0.2">
      <c r="A22" s="223"/>
      <c r="B22" s="224"/>
      <c r="C22" s="255"/>
      <c r="D22" s="312" t="s">
        <v>343</v>
      </c>
      <c r="E22" s="225"/>
      <c r="F22" s="365">
        <v>-55575</v>
      </c>
      <c r="G22" s="225"/>
      <c r="H22" s="289"/>
      <c r="I22" s="375"/>
    </row>
    <row r="23" spans="1:12" s="290" customFormat="1" ht="12.75" customHeight="1" thickBot="1" x14ac:dyDescent="0.25">
      <c r="A23" s="223"/>
      <c r="B23" s="224"/>
      <c r="C23" s="255"/>
      <c r="D23" s="312" t="s">
        <v>278</v>
      </c>
      <c r="E23" s="225"/>
      <c r="F23" s="365">
        <v>-8454.5499999999993</v>
      </c>
      <c r="G23" s="225"/>
      <c r="H23" s="289"/>
      <c r="I23" s="378"/>
    </row>
    <row r="24" spans="1:12" s="290" customFormat="1" ht="12.75" customHeight="1" x14ac:dyDescent="0.2">
      <c r="A24" s="223"/>
      <c r="B24" s="224"/>
      <c r="C24" s="255"/>
      <c r="D24" s="312" t="s">
        <v>279</v>
      </c>
      <c r="E24" s="225"/>
      <c r="F24" s="365">
        <v>-133.4</v>
      </c>
      <c r="G24" s="225"/>
      <c r="H24" s="289"/>
      <c r="I24" s="425"/>
    </row>
    <row r="25" spans="1:12" s="290" customFormat="1" ht="12.75" hidden="1" customHeight="1" x14ac:dyDescent="0.2">
      <c r="A25" s="223"/>
      <c r="B25" s="224"/>
      <c r="C25" s="255"/>
      <c r="D25" s="350" t="s">
        <v>280</v>
      </c>
      <c r="E25" s="225"/>
      <c r="F25" s="365"/>
      <c r="G25" s="225"/>
      <c r="H25" s="289"/>
    </row>
    <row r="26" spans="1:12" s="290" customFormat="1" ht="12.75" customHeight="1" x14ac:dyDescent="0.2">
      <c r="A26" s="223"/>
      <c r="B26" s="224"/>
      <c r="C26" s="255"/>
      <c r="D26" s="312" t="s">
        <v>379</v>
      </c>
      <c r="E26" s="225"/>
      <c r="F26" s="365">
        <v>-150</v>
      </c>
      <c r="G26" s="225"/>
      <c r="H26" s="289"/>
      <c r="I26" s="355"/>
    </row>
    <row r="27" spans="1:12" s="290" customFormat="1" ht="12.75" hidden="1" customHeight="1" x14ac:dyDescent="0.2">
      <c r="A27" s="223"/>
      <c r="B27" s="224"/>
      <c r="C27" s="416" t="s">
        <v>424</v>
      </c>
      <c r="D27" s="350" t="s">
        <v>402</v>
      </c>
      <c r="E27" s="225"/>
      <c r="F27" s="365"/>
      <c r="G27" s="225"/>
      <c r="H27" s="289"/>
      <c r="I27" s="360"/>
    </row>
    <row r="28" spans="1:12" s="290" customFormat="1" ht="12.75" hidden="1" customHeight="1" x14ac:dyDescent="0.2">
      <c r="A28" s="223"/>
      <c r="B28" s="224"/>
      <c r="C28" s="255"/>
      <c r="D28" s="350" t="s">
        <v>404</v>
      </c>
      <c r="E28" s="225"/>
      <c r="F28" s="365"/>
      <c r="G28" s="225"/>
      <c r="H28" s="289"/>
      <c r="I28" s="360"/>
    </row>
    <row r="29" spans="1:12" s="290" customFormat="1" ht="12.75" hidden="1" customHeight="1" x14ac:dyDescent="0.2">
      <c r="A29" s="223"/>
      <c r="B29" s="224"/>
      <c r="C29" s="255"/>
      <c r="D29" s="350" t="s">
        <v>411</v>
      </c>
      <c r="E29" s="225"/>
      <c r="F29" s="365"/>
      <c r="G29" s="225"/>
      <c r="H29" s="289"/>
      <c r="I29" s="360"/>
    </row>
    <row r="30" spans="1:12" s="290" customFormat="1" ht="12.75" hidden="1" customHeight="1" x14ac:dyDescent="0.2">
      <c r="A30" s="223"/>
      <c r="B30" s="224"/>
      <c r="C30" s="255"/>
      <c r="D30" s="350" t="s">
        <v>418</v>
      </c>
      <c r="E30" s="225"/>
      <c r="F30" s="365"/>
      <c r="G30" s="225"/>
      <c r="H30" s="289"/>
      <c r="I30" s="360"/>
    </row>
    <row r="31" spans="1:12" s="290" customFormat="1" ht="12.75" hidden="1" customHeight="1" x14ac:dyDescent="0.2">
      <c r="A31" s="223"/>
      <c r="B31" s="224"/>
      <c r="C31" s="255"/>
      <c r="D31" s="350" t="s">
        <v>421</v>
      </c>
      <c r="E31" s="225"/>
      <c r="F31" s="365"/>
      <c r="G31" s="225"/>
      <c r="H31" s="289"/>
      <c r="I31" s="360"/>
      <c r="L31" s="354">
        <v>44630</v>
      </c>
    </row>
    <row r="32" spans="1:12" s="290" customFormat="1" ht="12.75" hidden="1" customHeight="1" x14ac:dyDescent="0.2">
      <c r="A32" s="223"/>
      <c r="B32" s="224"/>
      <c r="C32" s="255"/>
      <c r="D32" s="350" t="s">
        <v>422</v>
      </c>
      <c r="E32" s="225"/>
      <c r="F32" s="365"/>
      <c r="G32" s="225"/>
      <c r="H32" s="289"/>
      <c r="I32" s="360"/>
      <c r="L32" s="354">
        <f>L31-60</f>
        <v>44570</v>
      </c>
    </row>
    <row r="33" spans="1:13" s="290" customFormat="1" ht="12.75" hidden="1" customHeight="1" x14ac:dyDescent="0.2">
      <c r="A33" s="223"/>
      <c r="B33" s="224"/>
      <c r="C33" s="255"/>
      <c r="D33" s="350" t="s">
        <v>423</v>
      </c>
      <c r="E33" s="225"/>
      <c r="F33" s="365"/>
      <c r="G33" s="225"/>
      <c r="H33" s="289"/>
      <c r="I33" s="360"/>
    </row>
    <row r="34" spans="1:13" s="290" customFormat="1" ht="12.75" hidden="1" customHeight="1" x14ac:dyDescent="0.2">
      <c r="A34" s="223"/>
      <c r="B34" s="224"/>
      <c r="C34" s="255"/>
      <c r="D34" s="350" t="s">
        <v>430</v>
      </c>
      <c r="E34" s="225"/>
      <c r="F34" s="365"/>
      <c r="G34" s="225"/>
      <c r="H34" s="289"/>
      <c r="I34" s="360"/>
    </row>
    <row r="35" spans="1:13" s="290" customFormat="1" ht="12.75" hidden="1" customHeight="1" x14ac:dyDescent="0.2">
      <c r="A35" s="223"/>
      <c r="B35" s="224"/>
      <c r="C35" s="255"/>
      <c r="D35" s="350" t="s">
        <v>431</v>
      </c>
      <c r="E35" s="225"/>
      <c r="F35" s="365"/>
      <c r="G35" s="225"/>
      <c r="H35" s="289"/>
      <c r="I35" s="360"/>
    </row>
    <row r="36" spans="1:13" s="290" customFormat="1" ht="12.75" customHeight="1" x14ac:dyDescent="0.2">
      <c r="A36" s="223"/>
      <c r="B36" s="224"/>
      <c r="C36" s="255"/>
      <c r="D36" s="350" t="s">
        <v>481</v>
      </c>
      <c r="E36" s="225"/>
      <c r="F36" s="365">
        <v>-3104.41</v>
      </c>
      <c r="G36" s="225"/>
      <c r="H36" s="289"/>
      <c r="I36" s="355"/>
    </row>
    <row r="37" spans="1:13" s="290" customFormat="1" ht="12.75" customHeight="1" x14ac:dyDescent="0.2">
      <c r="A37" s="219">
        <f>1+A15</f>
        <v>3</v>
      </c>
      <c r="B37" s="220" t="s">
        <v>207</v>
      </c>
      <c r="C37" s="243" t="s">
        <v>241</v>
      </c>
      <c r="D37" s="308" t="str">
        <f>$D$5</f>
        <v>FTE APR 23</v>
      </c>
      <c r="E37" s="222">
        <f>'1571'!I$132</f>
        <v>741915.3</v>
      </c>
      <c r="F37" s="366"/>
      <c r="G37" s="222">
        <f>SUBTOTAL(109,E37:F52)</f>
        <v>733177.35</v>
      </c>
      <c r="H37" s="289"/>
      <c r="I37" s="355"/>
    </row>
    <row r="38" spans="1:13" s="290" customFormat="1" ht="12.75" hidden="1" customHeight="1" x14ac:dyDescent="0.2">
      <c r="A38" s="219"/>
      <c r="B38" s="220"/>
      <c r="C38" s="403"/>
      <c r="D38" s="258" t="s">
        <v>337</v>
      </c>
      <c r="E38" s="222"/>
      <c r="F38" s="366"/>
      <c r="G38" s="222"/>
      <c r="H38" s="289"/>
      <c r="I38" s="355"/>
    </row>
    <row r="39" spans="1:13" s="290" customFormat="1" ht="12.75" hidden="1" customHeight="1" x14ac:dyDescent="0.2">
      <c r="A39" s="219"/>
      <c r="B39" s="220"/>
      <c r="C39" s="243"/>
      <c r="D39" s="379" t="s">
        <v>414</v>
      </c>
      <c r="E39" s="222"/>
      <c r="F39" s="366"/>
      <c r="G39" s="222"/>
      <c r="H39" s="332"/>
      <c r="I39" s="355"/>
    </row>
    <row r="40" spans="1:13" s="290" customFormat="1" ht="12.75" hidden="1" customHeight="1" x14ac:dyDescent="0.2">
      <c r="A40" s="219"/>
      <c r="B40" s="220"/>
      <c r="C40" s="270"/>
      <c r="D40" s="379" t="s">
        <v>413</v>
      </c>
      <c r="E40" s="222"/>
      <c r="F40" s="366"/>
      <c r="G40" s="222"/>
      <c r="H40" s="289"/>
      <c r="I40" s="355"/>
    </row>
    <row r="41" spans="1:13" s="290" customFormat="1" ht="12.75" hidden="1" customHeight="1" x14ac:dyDescent="0.2">
      <c r="A41" s="219"/>
      <c r="B41" s="220"/>
      <c r="C41" s="243"/>
      <c r="D41" s="258" t="s">
        <v>339</v>
      </c>
      <c r="E41" s="222"/>
      <c r="F41" s="366"/>
      <c r="G41" s="222"/>
      <c r="H41" s="289"/>
      <c r="I41" s="355"/>
    </row>
    <row r="42" spans="1:13" s="290" customFormat="1" ht="12.75" hidden="1" customHeight="1" x14ac:dyDescent="0.2">
      <c r="A42" s="219"/>
      <c r="B42" s="220"/>
      <c r="C42" s="243"/>
      <c r="D42" s="258" t="s">
        <v>338</v>
      </c>
      <c r="E42" s="222"/>
      <c r="F42" s="366"/>
      <c r="G42" s="222"/>
      <c r="H42" s="289"/>
      <c r="I42" s="355"/>
    </row>
    <row r="43" spans="1:13" s="290" customFormat="1" ht="12.75" hidden="1" customHeight="1" x14ac:dyDescent="0.2">
      <c r="A43" s="219"/>
      <c r="B43" s="220"/>
      <c r="C43" s="243"/>
      <c r="D43" s="258" t="s">
        <v>349</v>
      </c>
      <c r="E43" s="222"/>
      <c r="F43" s="366"/>
      <c r="G43" s="222"/>
      <c r="H43" s="289"/>
      <c r="I43" s="355"/>
    </row>
    <row r="44" spans="1:13" s="290" customFormat="1" ht="12.75" hidden="1" customHeight="1" x14ac:dyDescent="0.2">
      <c r="A44" s="219"/>
      <c r="B44" s="220"/>
      <c r="C44" s="243"/>
      <c r="D44" s="258" t="s">
        <v>308</v>
      </c>
      <c r="E44" s="222"/>
      <c r="F44" s="366"/>
      <c r="G44" s="222"/>
      <c r="H44" s="289"/>
      <c r="I44" s="355"/>
    </row>
    <row r="45" spans="1:13" s="290" customFormat="1" ht="12.75" customHeight="1" x14ac:dyDescent="0.2">
      <c r="A45" s="219"/>
      <c r="B45" s="220"/>
      <c r="C45" s="257"/>
      <c r="D45" s="309" t="s">
        <v>278</v>
      </c>
      <c r="E45" s="222"/>
      <c r="F45" s="366">
        <v>-8454.5499999999993</v>
      </c>
      <c r="G45" s="222"/>
      <c r="H45" s="289"/>
      <c r="I45" s="355"/>
    </row>
    <row r="46" spans="1:13" s="290" customFormat="1" ht="12.75" customHeight="1" x14ac:dyDescent="0.2">
      <c r="A46" s="219"/>
      <c r="B46" s="220"/>
      <c r="C46" s="257"/>
      <c r="D46" s="309" t="s">
        <v>279</v>
      </c>
      <c r="E46" s="222"/>
      <c r="F46" s="366">
        <v>-133.4</v>
      </c>
      <c r="G46" s="222"/>
      <c r="H46" s="289"/>
      <c r="I46" s="355"/>
    </row>
    <row r="47" spans="1:13" s="290" customFormat="1" ht="12.75" hidden="1" customHeight="1" x14ac:dyDescent="0.2">
      <c r="A47" s="219"/>
      <c r="B47" s="220"/>
      <c r="C47" s="257"/>
      <c r="D47" s="309" t="s">
        <v>280</v>
      </c>
      <c r="E47" s="222"/>
      <c r="F47" s="366"/>
      <c r="G47" s="222"/>
      <c r="H47" s="289"/>
      <c r="I47" s="355"/>
      <c r="M47" s="354"/>
    </row>
    <row r="48" spans="1:13" ht="12.75" customHeight="1" x14ac:dyDescent="0.2">
      <c r="A48" s="219"/>
      <c r="B48" s="220"/>
      <c r="C48" s="257"/>
      <c r="D48" s="309" t="s">
        <v>379</v>
      </c>
      <c r="E48" s="222"/>
      <c r="F48" s="366">
        <v>-150</v>
      </c>
      <c r="G48" s="222"/>
      <c r="I48" s="355"/>
      <c r="M48" s="331"/>
    </row>
    <row r="49" spans="1:12" ht="12.75" hidden="1" customHeight="1" x14ac:dyDescent="0.2">
      <c r="A49" s="219"/>
      <c r="B49" s="220"/>
      <c r="C49" s="417" t="s">
        <v>425</v>
      </c>
      <c r="D49" s="309" t="s">
        <v>402</v>
      </c>
      <c r="E49" s="222"/>
      <c r="F49" s="366">
        <v>0</v>
      </c>
      <c r="G49" s="222"/>
      <c r="I49" s="355"/>
      <c r="L49" s="331"/>
    </row>
    <row r="50" spans="1:12" s="290" customFormat="1" ht="12.75" hidden="1" customHeight="1" x14ac:dyDescent="0.2">
      <c r="A50" s="219"/>
      <c r="B50" s="220"/>
      <c r="C50" s="257"/>
      <c r="D50" s="380" t="s">
        <v>404</v>
      </c>
      <c r="E50" s="222"/>
      <c r="F50" s="366"/>
      <c r="G50" s="222"/>
      <c r="H50" s="332"/>
      <c r="I50" s="355"/>
    </row>
    <row r="51" spans="1:12" ht="12.75" hidden="1" customHeight="1" x14ac:dyDescent="0.2">
      <c r="A51" s="219"/>
      <c r="B51" s="220"/>
      <c r="C51" s="257"/>
      <c r="D51" s="309" t="s">
        <v>386</v>
      </c>
      <c r="E51" s="222"/>
      <c r="F51" s="366">
        <v>0</v>
      </c>
      <c r="G51" s="222"/>
      <c r="I51" s="355"/>
    </row>
    <row r="52" spans="1:12" ht="12.75" hidden="1" customHeight="1" x14ac:dyDescent="0.2">
      <c r="A52" s="219"/>
      <c r="B52" s="220"/>
      <c r="C52" s="257"/>
      <c r="D52" s="309" t="s">
        <v>461</v>
      </c>
      <c r="E52" s="222"/>
      <c r="F52" s="366"/>
      <c r="G52" s="222"/>
      <c r="I52" s="355"/>
    </row>
    <row r="53" spans="1:12" s="290" customFormat="1" ht="12.75" customHeight="1" x14ac:dyDescent="0.2">
      <c r="A53" s="223">
        <f>1+A37</f>
        <v>4</v>
      </c>
      <c r="B53" s="224" t="s">
        <v>208</v>
      </c>
      <c r="C53" s="244" t="s">
        <v>242</v>
      </c>
      <c r="D53" s="310" t="str">
        <f>$D$5</f>
        <v>FTE APR 23</v>
      </c>
      <c r="E53" s="225">
        <f>'2521'!I$132</f>
        <v>91731.96</v>
      </c>
      <c r="F53" s="365"/>
      <c r="G53" s="225">
        <f>SUBTOTAL(109,E53:F59)</f>
        <v>91731.96</v>
      </c>
      <c r="H53" s="289"/>
      <c r="I53" s="342"/>
    </row>
    <row r="54" spans="1:12" s="290" customFormat="1" ht="12.75" hidden="1" customHeight="1" x14ac:dyDescent="0.2">
      <c r="A54" s="223"/>
      <c r="B54" s="224"/>
      <c r="C54" s="244"/>
      <c r="D54" s="259" t="s">
        <v>337</v>
      </c>
      <c r="E54" s="225"/>
      <c r="F54" s="365"/>
      <c r="G54" s="225"/>
      <c r="H54" s="289"/>
      <c r="I54" s="220"/>
    </row>
    <row r="55" spans="1:12" s="290" customFormat="1" ht="12.75" hidden="1" customHeight="1" x14ac:dyDescent="0.2">
      <c r="A55" s="223"/>
      <c r="B55" s="224"/>
      <c r="C55" s="244"/>
      <c r="D55" s="259" t="s">
        <v>339</v>
      </c>
      <c r="E55" s="225"/>
      <c r="F55" s="365"/>
      <c r="G55" s="225"/>
      <c r="H55" s="289"/>
      <c r="I55" s="220"/>
    </row>
    <row r="56" spans="1:12" s="290" customFormat="1" ht="12.75" hidden="1" customHeight="1" x14ac:dyDescent="0.2">
      <c r="A56" s="223"/>
      <c r="B56" s="224"/>
      <c r="C56" s="244"/>
      <c r="D56" s="259" t="s">
        <v>338</v>
      </c>
      <c r="E56" s="225"/>
      <c r="F56" s="365"/>
      <c r="G56" s="225"/>
      <c r="H56" s="289"/>
      <c r="I56" s="220"/>
    </row>
    <row r="57" spans="1:12" s="290" customFormat="1" ht="12.75" hidden="1" customHeight="1" x14ac:dyDescent="0.2">
      <c r="A57" s="223"/>
      <c r="B57" s="224"/>
      <c r="C57" s="244"/>
      <c r="D57" s="259" t="s">
        <v>349</v>
      </c>
      <c r="E57" s="225"/>
      <c r="F57" s="365"/>
      <c r="G57" s="225"/>
      <c r="H57" s="332"/>
      <c r="I57" s="342"/>
    </row>
    <row r="58" spans="1:12" s="290" customFormat="1" ht="12.75" hidden="1" customHeight="1" x14ac:dyDescent="0.2">
      <c r="A58" s="223"/>
      <c r="B58" s="224"/>
      <c r="C58" s="244"/>
      <c r="D58" s="259" t="s">
        <v>308</v>
      </c>
      <c r="E58" s="225"/>
      <c r="F58" s="365"/>
      <c r="G58" s="225"/>
      <c r="H58" s="289"/>
      <c r="I58" s="342"/>
    </row>
    <row r="59" spans="1:12" s="290" customFormat="1" ht="12.75" hidden="1" customHeight="1" x14ac:dyDescent="0.2">
      <c r="A59" s="223"/>
      <c r="B59" s="224"/>
      <c r="C59" s="244"/>
      <c r="D59" s="350" t="s">
        <v>386</v>
      </c>
      <c r="E59" s="225"/>
      <c r="F59" s="365"/>
      <c r="G59" s="225"/>
      <c r="H59" s="289"/>
      <c r="I59" s="342"/>
    </row>
    <row r="60" spans="1:12" s="290" customFormat="1" ht="12.75" customHeight="1" x14ac:dyDescent="0.2">
      <c r="A60" s="219">
        <f>1+A53</f>
        <v>5</v>
      </c>
      <c r="B60" s="220">
        <v>2531</v>
      </c>
      <c r="C60" s="243" t="s">
        <v>243</v>
      </c>
      <c r="D60" s="308" t="str">
        <f>$D$5</f>
        <v>FTE APR 23</v>
      </c>
      <c r="E60" s="222">
        <f>'2531'!I$132</f>
        <v>62491.05</v>
      </c>
      <c r="F60" s="366"/>
      <c r="G60" s="222">
        <f>SUBTOTAL(109,E60:F71)</f>
        <v>62491.05</v>
      </c>
      <c r="H60" s="289"/>
      <c r="I60" s="355"/>
    </row>
    <row r="61" spans="1:12" s="290" customFormat="1" ht="12.75" hidden="1" customHeight="1" x14ac:dyDescent="0.2">
      <c r="A61" s="219"/>
      <c r="B61" s="220"/>
      <c r="C61" s="243"/>
      <c r="D61" s="258" t="s">
        <v>337</v>
      </c>
      <c r="E61" s="222"/>
      <c r="F61" s="366"/>
      <c r="G61" s="222"/>
      <c r="H61" s="289"/>
      <c r="I61" s="257"/>
    </row>
    <row r="62" spans="1:12" s="290" customFormat="1" ht="12.75" hidden="1" customHeight="1" x14ac:dyDescent="0.2">
      <c r="A62" s="219"/>
      <c r="B62" s="220"/>
      <c r="C62" s="243"/>
      <c r="D62" s="379" t="s">
        <v>432</v>
      </c>
      <c r="E62" s="222"/>
      <c r="F62" s="366"/>
      <c r="G62" s="222"/>
      <c r="H62" s="332"/>
      <c r="I62" s="360"/>
    </row>
    <row r="63" spans="1:12" s="290" customFormat="1" ht="12.75" hidden="1" customHeight="1" x14ac:dyDescent="0.2">
      <c r="A63" s="219"/>
      <c r="B63" s="220"/>
      <c r="C63" s="243"/>
      <c r="D63" s="258" t="s">
        <v>415</v>
      </c>
      <c r="E63" s="222"/>
      <c r="F63" s="366"/>
      <c r="G63" s="222"/>
      <c r="H63" s="289"/>
      <c r="I63" s="257"/>
    </row>
    <row r="64" spans="1:12" s="290" customFormat="1" ht="12.75" hidden="1" customHeight="1" x14ac:dyDescent="0.2">
      <c r="A64" s="219"/>
      <c r="B64" s="220"/>
      <c r="C64" s="243"/>
      <c r="D64" s="379" t="s">
        <v>413</v>
      </c>
      <c r="E64" s="222"/>
      <c r="F64" s="366"/>
      <c r="G64" s="222"/>
      <c r="H64" s="289"/>
      <c r="I64" s="257"/>
    </row>
    <row r="65" spans="1:9" s="290" customFormat="1" ht="12.75" hidden="1" customHeight="1" x14ac:dyDescent="0.2">
      <c r="A65" s="219"/>
      <c r="B65" s="220"/>
      <c r="C65" s="243"/>
      <c r="D65" s="258" t="s">
        <v>339</v>
      </c>
      <c r="E65" s="222"/>
      <c r="F65" s="366"/>
      <c r="G65" s="222"/>
      <c r="H65" s="289"/>
      <c r="I65" s="257"/>
    </row>
    <row r="66" spans="1:9" s="290" customFormat="1" ht="12.75" hidden="1" customHeight="1" x14ac:dyDescent="0.2">
      <c r="A66" s="219"/>
      <c r="B66" s="220"/>
      <c r="C66" s="243"/>
      <c r="D66" s="258" t="s">
        <v>338</v>
      </c>
      <c r="E66" s="222"/>
      <c r="F66" s="366"/>
      <c r="G66" s="222"/>
      <c r="H66" s="289"/>
      <c r="I66" s="257"/>
    </row>
    <row r="67" spans="1:9" s="290" customFormat="1" ht="12.75" hidden="1" customHeight="1" x14ac:dyDescent="0.2">
      <c r="A67" s="219"/>
      <c r="B67" s="220"/>
      <c r="C67" s="243"/>
      <c r="D67" s="258" t="s">
        <v>349</v>
      </c>
      <c r="E67" s="222"/>
      <c r="F67" s="366"/>
      <c r="G67" s="222"/>
      <c r="H67" s="289"/>
      <c r="I67" s="355"/>
    </row>
    <row r="68" spans="1:9" s="290" customFormat="1" ht="12.75" hidden="1" customHeight="1" x14ac:dyDescent="0.2">
      <c r="A68" s="219"/>
      <c r="B68" s="220"/>
      <c r="C68" s="243"/>
      <c r="D68" s="258" t="s">
        <v>308</v>
      </c>
      <c r="E68" s="222"/>
      <c r="F68" s="366"/>
      <c r="G68" s="222"/>
      <c r="H68" s="289"/>
      <c r="I68" s="355"/>
    </row>
    <row r="69" spans="1:9" s="290" customFormat="1" ht="12.75" hidden="1" customHeight="1" x14ac:dyDescent="0.2">
      <c r="A69" s="219"/>
      <c r="B69" s="220"/>
      <c r="C69" s="243"/>
      <c r="D69" s="258" t="s">
        <v>385</v>
      </c>
      <c r="E69" s="222"/>
      <c r="F69" s="366"/>
      <c r="G69" s="222"/>
      <c r="H69" s="289"/>
      <c r="I69" s="355"/>
    </row>
    <row r="70" spans="1:9" s="290" customFormat="1" ht="12.75" hidden="1" customHeight="1" x14ac:dyDescent="0.2">
      <c r="A70" s="219"/>
      <c r="B70" s="220"/>
      <c r="C70" s="257"/>
      <c r="D70" s="380" t="s">
        <v>404</v>
      </c>
      <c r="E70" s="222"/>
      <c r="F70" s="366"/>
      <c r="G70" s="222"/>
      <c r="H70" s="332"/>
      <c r="I70" s="360"/>
    </row>
    <row r="71" spans="1:9" s="290" customFormat="1" ht="12.75" hidden="1" customHeight="1" x14ac:dyDescent="0.2">
      <c r="A71" s="219"/>
      <c r="B71" s="220"/>
      <c r="C71" s="243"/>
      <c r="D71" s="309" t="s">
        <v>386</v>
      </c>
      <c r="E71" s="222"/>
      <c r="F71" s="366"/>
      <c r="G71" s="222"/>
      <c r="H71" s="289"/>
      <c r="I71" s="355"/>
    </row>
    <row r="72" spans="1:9" s="290" customFormat="1" ht="12.75" customHeight="1" x14ac:dyDescent="0.2">
      <c r="A72" s="223">
        <f>1+A60</f>
        <v>6</v>
      </c>
      <c r="B72" s="224" t="s">
        <v>210</v>
      </c>
      <c r="C72" s="292" t="s">
        <v>306</v>
      </c>
      <c r="D72" s="310" t="str">
        <f>$D$5</f>
        <v>FTE APR 23</v>
      </c>
      <c r="E72" s="225">
        <f>'2791'!I$132</f>
        <v>372104.11</v>
      </c>
      <c r="F72" s="365"/>
      <c r="G72" s="225">
        <f>SUBTOTAL(109,E72:F79)</f>
        <v>372104.11</v>
      </c>
      <c r="H72" s="332"/>
      <c r="I72" s="342"/>
    </row>
    <row r="73" spans="1:9" s="290" customFormat="1" ht="12.75" hidden="1" customHeight="1" x14ac:dyDescent="0.2">
      <c r="A73" s="223"/>
      <c r="B73" s="224"/>
      <c r="C73" s="244"/>
      <c r="D73" s="259" t="s">
        <v>337</v>
      </c>
      <c r="E73" s="225"/>
      <c r="F73" s="365"/>
      <c r="G73" s="225"/>
      <c r="H73" s="332"/>
      <c r="I73" s="220"/>
    </row>
    <row r="74" spans="1:9" s="290" customFormat="1" ht="12.75" hidden="1" customHeight="1" x14ac:dyDescent="0.2">
      <c r="A74" s="223"/>
      <c r="B74" s="224"/>
      <c r="C74" s="244"/>
      <c r="D74" s="414" t="s">
        <v>413</v>
      </c>
      <c r="E74" s="225"/>
      <c r="F74" s="365"/>
      <c r="G74" s="225"/>
      <c r="H74" s="289"/>
      <c r="I74" s="257"/>
    </row>
    <row r="75" spans="1:9" s="290" customFormat="1" ht="12.75" hidden="1" customHeight="1" x14ac:dyDescent="0.2">
      <c r="A75" s="223"/>
      <c r="B75" s="224"/>
      <c r="C75" s="244"/>
      <c r="D75" s="259" t="s">
        <v>339</v>
      </c>
      <c r="E75" s="225"/>
      <c r="F75" s="365"/>
      <c r="G75" s="225"/>
      <c r="H75" s="332"/>
      <c r="I75" s="220"/>
    </row>
    <row r="76" spans="1:9" s="290" customFormat="1" ht="12.75" hidden="1" customHeight="1" x14ac:dyDescent="0.2">
      <c r="A76" s="223"/>
      <c r="B76" s="224"/>
      <c r="C76" s="244"/>
      <c r="D76" s="259" t="s">
        <v>338</v>
      </c>
      <c r="E76" s="225"/>
      <c r="F76" s="365"/>
      <c r="G76" s="225"/>
      <c r="H76" s="332"/>
      <c r="I76" s="220"/>
    </row>
    <row r="77" spans="1:9" s="290" customFormat="1" ht="12.75" hidden="1" customHeight="1" x14ac:dyDescent="0.2">
      <c r="A77" s="223"/>
      <c r="B77" s="224"/>
      <c r="C77" s="244"/>
      <c r="D77" s="259" t="s">
        <v>349</v>
      </c>
      <c r="E77" s="225"/>
      <c r="F77" s="365"/>
      <c r="G77" s="225"/>
      <c r="H77" s="332"/>
      <c r="I77" s="342"/>
    </row>
    <row r="78" spans="1:9" s="290" customFormat="1" ht="12.75" hidden="1" customHeight="1" x14ac:dyDescent="0.2">
      <c r="A78" s="223"/>
      <c r="B78" s="224"/>
      <c r="C78" s="244"/>
      <c r="D78" s="259" t="s">
        <v>308</v>
      </c>
      <c r="E78" s="225"/>
      <c r="F78" s="365"/>
      <c r="G78" s="225"/>
      <c r="H78" s="289"/>
      <c r="I78" s="342"/>
    </row>
    <row r="79" spans="1:9" s="290" customFormat="1" ht="12.75" hidden="1" customHeight="1" x14ac:dyDescent="0.2">
      <c r="A79" s="223"/>
      <c r="B79" s="224"/>
      <c r="C79" s="244"/>
      <c r="D79" s="350" t="s">
        <v>386</v>
      </c>
      <c r="E79" s="225"/>
      <c r="F79" s="365"/>
      <c r="G79" s="225"/>
      <c r="H79" s="289"/>
      <c r="I79" s="342"/>
    </row>
    <row r="80" spans="1:9" s="290" customFormat="1" ht="12.75" customHeight="1" x14ac:dyDescent="0.2">
      <c r="A80" s="219">
        <f>A72+1</f>
        <v>7</v>
      </c>
      <c r="B80" s="220" t="s">
        <v>211</v>
      </c>
      <c r="C80" s="291" t="s">
        <v>457</v>
      </c>
      <c r="D80" s="308" t="str">
        <f>$D$5</f>
        <v>FTE APR 23</v>
      </c>
      <c r="E80" s="222">
        <f>'2801'!I$132</f>
        <v>403531.39</v>
      </c>
      <c r="F80" s="366"/>
      <c r="G80" s="222">
        <f>SUBTOTAL(109,E80:F89)</f>
        <v>403531.39</v>
      </c>
      <c r="H80" s="332"/>
      <c r="I80" s="220"/>
    </row>
    <row r="81" spans="1:9" s="290" customFormat="1" ht="12.75" hidden="1" customHeight="1" x14ac:dyDescent="0.2">
      <c r="A81" s="219"/>
      <c r="B81" s="220"/>
      <c r="C81" s="243"/>
      <c r="D81" s="258" t="s">
        <v>337</v>
      </c>
      <c r="E81" s="222"/>
      <c r="F81" s="366">
        <v>0</v>
      </c>
      <c r="G81" s="222"/>
      <c r="H81" s="332"/>
      <c r="I81" s="220"/>
    </row>
    <row r="82" spans="1:9" s="290" customFormat="1" ht="12.75" hidden="1" customHeight="1" x14ac:dyDescent="0.2">
      <c r="A82" s="219"/>
      <c r="B82" s="220"/>
      <c r="C82" s="243"/>
      <c r="D82" s="379" t="s">
        <v>413</v>
      </c>
      <c r="E82" s="222"/>
      <c r="F82" s="366"/>
      <c r="G82" s="222"/>
      <c r="H82" s="289"/>
      <c r="I82" s="257"/>
    </row>
    <row r="83" spans="1:9" s="290" customFormat="1" ht="12.75" hidden="1" customHeight="1" x14ac:dyDescent="0.2">
      <c r="A83" s="219"/>
      <c r="B83" s="220"/>
      <c r="C83" s="243"/>
      <c r="D83" s="258" t="s">
        <v>339</v>
      </c>
      <c r="E83" s="222"/>
      <c r="F83" s="366"/>
      <c r="G83" s="222"/>
      <c r="H83" s="332"/>
      <c r="I83" s="220"/>
    </row>
    <row r="84" spans="1:9" s="290" customFormat="1" ht="12.75" hidden="1" customHeight="1" x14ac:dyDescent="0.2">
      <c r="A84" s="219"/>
      <c r="B84" s="220"/>
      <c r="C84" s="243"/>
      <c r="D84" s="258" t="s">
        <v>399</v>
      </c>
      <c r="E84" s="222"/>
      <c r="F84" s="366">
        <v>0</v>
      </c>
      <c r="G84" s="222"/>
      <c r="H84" s="332"/>
      <c r="I84" s="220"/>
    </row>
    <row r="85" spans="1:9" s="290" customFormat="1" ht="12.75" hidden="1" customHeight="1" x14ac:dyDescent="0.2">
      <c r="A85" s="219"/>
      <c r="B85" s="220"/>
      <c r="C85" s="243"/>
      <c r="D85" s="258" t="s">
        <v>349</v>
      </c>
      <c r="E85" s="222"/>
      <c r="F85" s="366"/>
      <c r="G85" s="222"/>
      <c r="H85" s="332"/>
      <c r="I85" s="220"/>
    </row>
    <row r="86" spans="1:9" s="290" customFormat="1" ht="12.75" hidden="1" customHeight="1" x14ac:dyDescent="0.2">
      <c r="A86" s="219"/>
      <c r="B86" s="220"/>
      <c r="C86" s="243"/>
      <c r="D86" s="258" t="s">
        <v>308</v>
      </c>
      <c r="E86" s="222"/>
      <c r="F86" s="366"/>
      <c r="G86" s="222"/>
      <c r="H86" s="289"/>
      <c r="I86" s="353"/>
    </row>
    <row r="87" spans="1:9" s="290" customFormat="1" ht="12.75" hidden="1" customHeight="1" x14ac:dyDescent="0.2">
      <c r="A87" s="219"/>
      <c r="B87" s="220"/>
      <c r="C87" s="243"/>
      <c r="D87" s="258" t="s">
        <v>350</v>
      </c>
      <c r="E87" s="222"/>
      <c r="F87" s="366"/>
      <c r="G87" s="222"/>
      <c r="H87" s="332"/>
    </row>
    <row r="88" spans="1:9" s="290" customFormat="1" ht="12.75" hidden="1" customHeight="1" x14ac:dyDescent="0.2">
      <c r="A88" s="219"/>
      <c r="B88" s="220"/>
      <c r="C88" s="243"/>
      <c r="D88" s="258" t="s">
        <v>385</v>
      </c>
      <c r="E88" s="222"/>
      <c r="F88" s="366"/>
      <c r="G88" s="222"/>
      <c r="H88" s="332"/>
      <c r="I88" s="220"/>
    </row>
    <row r="89" spans="1:9" s="290" customFormat="1" ht="12.75" hidden="1" customHeight="1" x14ac:dyDescent="0.2">
      <c r="A89" s="219"/>
      <c r="B89" s="220"/>
      <c r="C89" s="243"/>
      <c r="D89" s="309" t="s">
        <v>454</v>
      </c>
      <c r="E89" s="222"/>
      <c r="F89" s="366">
        <v>0</v>
      </c>
      <c r="G89" s="222"/>
      <c r="H89" s="332"/>
      <c r="I89" s="342"/>
    </row>
    <row r="90" spans="1:9" s="290" customFormat="1" ht="12.75" customHeight="1" x14ac:dyDescent="0.2">
      <c r="A90" s="223">
        <f>A80+1</f>
        <v>8</v>
      </c>
      <c r="B90" s="224" t="s">
        <v>212</v>
      </c>
      <c r="C90" s="244" t="s">
        <v>245</v>
      </c>
      <c r="D90" s="310" t="str">
        <f>$D$5</f>
        <v>FTE APR 23</v>
      </c>
      <c r="E90" s="225">
        <f>'2911'!I$132</f>
        <v>417368.31</v>
      </c>
      <c r="F90" s="365"/>
      <c r="G90" s="225">
        <f>SUBTOTAL(109,E90:F99)</f>
        <v>417368.31</v>
      </c>
      <c r="H90" s="332"/>
      <c r="I90" s="220"/>
    </row>
    <row r="91" spans="1:9" s="290" customFormat="1" ht="12.75" hidden="1" customHeight="1" x14ac:dyDescent="0.2">
      <c r="A91" s="223"/>
      <c r="B91" s="224"/>
      <c r="C91" s="244"/>
      <c r="D91" s="259" t="s">
        <v>337</v>
      </c>
      <c r="E91" s="225"/>
      <c r="F91" s="365"/>
      <c r="G91" s="225"/>
      <c r="H91" s="332"/>
      <c r="I91" s="220"/>
    </row>
    <row r="92" spans="1:9" s="290" customFormat="1" ht="12.75" hidden="1" customHeight="1" x14ac:dyDescent="0.2">
      <c r="A92" s="223"/>
      <c r="B92" s="224"/>
      <c r="C92" s="244"/>
      <c r="D92" s="414" t="s">
        <v>413</v>
      </c>
      <c r="E92" s="225"/>
      <c r="F92" s="365"/>
      <c r="G92" s="225"/>
      <c r="H92" s="289"/>
      <c r="I92" s="257"/>
    </row>
    <row r="93" spans="1:9" s="290" customFormat="1" ht="12.75" hidden="1" customHeight="1" x14ac:dyDescent="0.2">
      <c r="A93" s="223"/>
      <c r="B93" s="224"/>
      <c r="C93" s="244"/>
      <c r="D93" s="259" t="s">
        <v>339</v>
      </c>
      <c r="E93" s="225"/>
      <c r="F93" s="365"/>
      <c r="G93" s="225"/>
      <c r="H93" s="332"/>
      <c r="I93" s="220"/>
    </row>
    <row r="94" spans="1:9" s="290" customFormat="1" ht="12.75" hidden="1" customHeight="1" x14ac:dyDescent="0.2">
      <c r="A94" s="223"/>
      <c r="B94" s="224"/>
      <c r="C94" s="244"/>
      <c r="D94" s="259" t="s">
        <v>338</v>
      </c>
      <c r="E94" s="225"/>
      <c r="F94" s="365"/>
      <c r="G94" s="225"/>
      <c r="H94" s="332"/>
      <c r="I94" s="220"/>
    </row>
    <row r="95" spans="1:9" s="290" customFormat="1" ht="12.75" hidden="1" customHeight="1" x14ac:dyDescent="0.2">
      <c r="A95" s="223"/>
      <c r="B95" s="224"/>
      <c r="C95" s="244"/>
      <c r="D95" s="259" t="s">
        <v>349</v>
      </c>
      <c r="E95" s="225"/>
      <c r="F95" s="365"/>
      <c r="G95" s="225"/>
      <c r="H95" s="332"/>
      <c r="I95" s="220"/>
    </row>
    <row r="96" spans="1:9" s="290" customFormat="1" ht="12.75" hidden="1" customHeight="1" x14ac:dyDescent="0.2">
      <c r="A96" s="223"/>
      <c r="B96" s="224"/>
      <c r="C96" s="244"/>
      <c r="D96" s="259" t="s">
        <v>308</v>
      </c>
      <c r="E96" s="225"/>
      <c r="F96" s="365"/>
      <c r="G96" s="225"/>
      <c r="H96" s="289"/>
      <c r="I96" s="353"/>
    </row>
    <row r="97" spans="1:12" s="290" customFormat="1" ht="12.75" hidden="1" customHeight="1" x14ac:dyDescent="0.2">
      <c r="A97" s="223"/>
      <c r="B97" s="224"/>
      <c r="C97" s="244"/>
      <c r="D97" s="259" t="s">
        <v>350</v>
      </c>
      <c r="E97" s="225"/>
      <c r="F97" s="365"/>
      <c r="G97" s="225"/>
      <c r="H97" s="332"/>
      <c r="I97" s="342"/>
    </row>
    <row r="98" spans="1:12" s="290" customFormat="1" ht="12.75" hidden="1" customHeight="1" x14ac:dyDescent="0.2">
      <c r="A98" s="223"/>
      <c r="B98" s="224"/>
      <c r="C98" s="255"/>
      <c r="D98" s="350" t="s">
        <v>458</v>
      </c>
      <c r="E98" s="225"/>
      <c r="F98" s="365">
        <v>0</v>
      </c>
      <c r="G98" s="225"/>
      <c r="H98" s="289"/>
      <c r="I98" s="342"/>
      <c r="J98" s="380"/>
      <c r="K98" s="222"/>
      <c r="L98" s="270"/>
    </row>
    <row r="99" spans="1:12" s="290" customFormat="1" ht="12.75" hidden="1" customHeight="1" x14ac:dyDescent="0.2">
      <c r="A99" s="223"/>
      <c r="B99" s="224"/>
      <c r="C99" s="255"/>
      <c r="D99" s="350" t="s">
        <v>476</v>
      </c>
      <c r="E99" s="225"/>
      <c r="F99" s="365"/>
      <c r="G99" s="225"/>
      <c r="H99" s="289"/>
      <c r="I99" s="342"/>
      <c r="J99" s="380"/>
      <c r="K99" s="222"/>
      <c r="L99" s="270"/>
    </row>
    <row r="100" spans="1:12" s="290" customFormat="1" ht="12.75" customHeight="1" x14ac:dyDescent="0.2">
      <c r="A100" s="219">
        <f>A90+1</f>
        <v>9</v>
      </c>
      <c r="B100" s="220" t="s">
        <v>213</v>
      </c>
      <c r="C100" s="243" t="s">
        <v>246</v>
      </c>
      <c r="D100" s="308" t="str">
        <f>$D$5</f>
        <v>FTE APR 23</v>
      </c>
      <c r="E100" s="222">
        <f>'2941'!I$132</f>
        <v>852527.1</v>
      </c>
      <c r="F100" s="366"/>
      <c r="G100" s="222">
        <f>SUBTOTAL(109,E100:F108)</f>
        <v>852527.1</v>
      </c>
      <c r="H100" s="332"/>
      <c r="I100" s="220"/>
    </row>
    <row r="101" spans="1:12" s="290" customFormat="1" ht="12.75" hidden="1" customHeight="1" x14ac:dyDescent="0.2">
      <c r="A101" s="219"/>
      <c r="B101" s="220"/>
      <c r="C101" s="243"/>
      <c r="D101" s="258" t="s">
        <v>337</v>
      </c>
      <c r="E101" s="222"/>
      <c r="F101" s="366">
        <v>0</v>
      </c>
      <c r="G101" s="222"/>
      <c r="H101" s="332"/>
      <c r="I101" s="220"/>
    </row>
    <row r="102" spans="1:12" s="290" customFormat="1" ht="12.75" hidden="1" customHeight="1" x14ac:dyDescent="0.2">
      <c r="A102" s="219"/>
      <c r="B102" s="220"/>
      <c r="C102" s="243"/>
      <c r="D102" s="379" t="s">
        <v>413</v>
      </c>
      <c r="E102" s="222"/>
      <c r="F102" s="366"/>
      <c r="G102" s="222"/>
      <c r="H102" s="289"/>
      <c r="I102" s="257"/>
    </row>
    <row r="103" spans="1:12" s="290" customFormat="1" ht="12.75" hidden="1" customHeight="1" x14ac:dyDescent="0.2">
      <c r="A103" s="219"/>
      <c r="B103" s="220"/>
      <c r="C103" s="243"/>
      <c r="D103" s="258" t="s">
        <v>339</v>
      </c>
      <c r="E103" s="222"/>
      <c r="F103" s="366"/>
      <c r="G103" s="222"/>
      <c r="H103" s="332"/>
      <c r="I103" s="220"/>
    </row>
    <row r="104" spans="1:12" s="290" customFormat="1" ht="12.75" hidden="1" customHeight="1" x14ac:dyDescent="0.2">
      <c r="A104" s="219"/>
      <c r="B104" s="220"/>
      <c r="C104" s="243"/>
      <c r="D104" s="258" t="s">
        <v>338</v>
      </c>
      <c r="E104" s="222"/>
      <c r="F104" s="366"/>
      <c r="G104" s="222"/>
      <c r="H104" s="332"/>
      <c r="I104" s="220"/>
    </row>
    <row r="105" spans="1:12" s="290" customFormat="1" ht="12.75" hidden="1" customHeight="1" x14ac:dyDescent="0.2">
      <c r="A105" s="219"/>
      <c r="B105" s="220"/>
      <c r="C105" s="243"/>
      <c r="D105" s="258" t="s">
        <v>349</v>
      </c>
      <c r="E105" s="222"/>
      <c r="F105" s="366"/>
      <c r="G105" s="222"/>
      <c r="H105" s="332"/>
      <c r="I105" s="220"/>
    </row>
    <row r="106" spans="1:12" s="290" customFormat="1" ht="12.75" hidden="1" customHeight="1" x14ac:dyDescent="0.2">
      <c r="A106" s="219"/>
      <c r="B106" s="220"/>
      <c r="C106" s="243"/>
      <c r="D106" s="258" t="s">
        <v>308</v>
      </c>
      <c r="E106" s="222"/>
      <c r="F106" s="366"/>
      <c r="G106" s="222"/>
      <c r="H106" s="289"/>
      <c r="I106" s="353"/>
    </row>
    <row r="107" spans="1:12" s="290" customFormat="1" ht="12.75" hidden="1" customHeight="1" x14ac:dyDescent="0.2">
      <c r="A107" s="219"/>
      <c r="B107" s="220"/>
      <c r="C107" s="243"/>
      <c r="D107" s="258" t="s">
        <v>385</v>
      </c>
      <c r="E107" s="222"/>
      <c r="F107" s="366"/>
      <c r="G107" s="222"/>
      <c r="H107" s="289"/>
      <c r="I107" s="353"/>
    </row>
    <row r="108" spans="1:12" s="290" customFormat="1" ht="12.75" hidden="1" customHeight="1" x14ac:dyDescent="0.2">
      <c r="A108" s="219"/>
      <c r="B108" s="220"/>
      <c r="C108" s="243"/>
      <c r="D108" s="309" t="s">
        <v>386</v>
      </c>
      <c r="E108" s="222"/>
      <c r="F108" s="366"/>
      <c r="G108" s="222"/>
      <c r="H108" s="289"/>
      <c r="I108" s="353"/>
    </row>
    <row r="109" spans="1:12" s="290" customFormat="1" ht="12.75" customHeight="1" x14ac:dyDescent="0.2">
      <c r="A109" s="223">
        <f>A100+1</f>
        <v>10</v>
      </c>
      <c r="B109" s="224" t="s">
        <v>214</v>
      </c>
      <c r="C109" s="292" t="s">
        <v>378</v>
      </c>
      <c r="D109" s="310" t="str">
        <f>$D$5</f>
        <v>FTE APR 23</v>
      </c>
      <c r="E109" s="225">
        <f>'3083'!I$132</f>
        <v>345427.99</v>
      </c>
      <c r="F109" s="365"/>
      <c r="G109" s="225">
        <f>SUBTOTAL(109,E109:F116)</f>
        <v>345427.99</v>
      </c>
      <c r="H109" s="332"/>
      <c r="I109" s="220"/>
    </row>
    <row r="110" spans="1:12" s="290" customFormat="1" ht="12.75" hidden="1" customHeight="1" x14ac:dyDescent="0.2">
      <c r="A110" s="223"/>
      <c r="B110" s="224"/>
      <c r="C110" s="244"/>
      <c r="D110" s="259" t="s">
        <v>337</v>
      </c>
      <c r="E110" s="225"/>
      <c r="F110" s="365"/>
      <c r="G110" s="225"/>
      <c r="H110" s="332"/>
      <c r="I110" s="220"/>
    </row>
    <row r="111" spans="1:12" s="290" customFormat="1" ht="12.75" hidden="1" customHeight="1" x14ac:dyDescent="0.2">
      <c r="A111" s="223"/>
      <c r="B111" s="224"/>
      <c r="C111" s="244"/>
      <c r="D111" s="414" t="s">
        <v>413</v>
      </c>
      <c r="E111" s="225"/>
      <c r="F111" s="365"/>
      <c r="G111" s="225"/>
      <c r="H111" s="289"/>
      <c r="I111" s="257"/>
    </row>
    <row r="112" spans="1:12" s="290" customFormat="1" ht="12.75" hidden="1" customHeight="1" x14ac:dyDescent="0.2">
      <c r="A112" s="223"/>
      <c r="B112" s="224"/>
      <c r="C112" s="244"/>
      <c r="D112" s="259" t="s">
        <v>339</v>
      </c>
      <c r="E112" s="225"/>
      <c r="F112" s="365"/>
      <c r="G112" s="225"/>
      <c r="H112" s="332"/>
      <c r="I112" s="220"/>
    </row>
    <row r="113" spans="1:9" s="290" customFormat="1" ht="12.75" hidden="1" customHeight="1" x14ac:dyDescent="0.2">
      <c r="A113" s="223"/>
      <c r="B113" s="224"/>
      <c r="C113" s="244"/>
      <c r="D113" s="259" t="s">
        <v>338</v>
      </c>
      <c r="E113" s="225"/>
      <c r="F113" s="365"/>
      <c r="G113" s="225"/>
      <c r="H113" s="332"/>
      <c r="I113" s="220"/>
    </row>
    <row r="114" spans="1:9" s="290" customFormat="1" ht="12.75" hidden="1" customHeight="1" x14ac:dyDescent="0.2">
      <c r="A114" s="223"/>
      <c r="B114" s="224"/>
      <c r="C114" s="244"/>
      <c r="D114" s="311" t="s">
        <v>349</v>
      </c>
      <c r="E114" s="225"/>
      <c r="F114" s="365"/>
      <c r="G114" s="225"/>
      <c r="H114" s="332"/>
      <c r="I114" s="220"/>
    </row>
    <row r="115" spans="1:9" s="290" customFormat="1" ht="12.75" hidden="1" customHeight="1" x14ac:dyDescent="0.2">
      <c r="A115" s="223"/>
      <c r="B115" s="224"/>
      <c r="C115" s="244"/>
      <c r="D115" s="259" t="s">
        <v>308</v>
      </c>
      <c r="E115" s="225"/>
      <c r="F115" s="365"/>
      <c r="G115" s="225"/>
      <c r="H115" s="289"/>
      <c r="I115" s="353"/>
    </row>
    <row r="116" spans="1:9" ht="12.75" hidden="1" customHeight="1" x14ac:dyDescent="0.2">
      <c r="A116" s="223"/>
      <c r="B116" s="224"/>
      <c r="C116" s="244"/>
      <c r="D116" s="311" t="s">
        <v>386</v>
      </c>
      <c r="E116" s="225"/>
      <c r="F116" s="365"/>
      <c r="G116" s="225"/>
      <c r="H116" s="333"/>
      <c r="I116" s="220"/>
    </row>
    <row r="117" spans="1:9" s="290" customFormat="1" ht="12.75" customHeight="1" x14ac:dyDescent="0.2">
      <c r="A117" s="219">
        <f>A109+1</f>
        <v>11</v>
      </c>
      <c r="B117" s="220" t="s">
        <v>215</v>
      </c>
      <c r="C117" s="291" t="s">
        <v>475</v>
      </c>
      <c r="D117" s="308" t="str">
        <f>$D$5</f>
        <v>FTE APR 23</v>
      </c>
      <c r="E117" s="222">
        <f>'3345'!I$132</f>
        <v>59933.85</v>
      </c>
      <c r="F117" s="366"/>
      <c r="G117" s="222">
        <f>SUBTOTAL(109,E117:F123)</f>
        <v>59933.85</v>
      </c>
      <c r="H117" s="332"/>
      <c r="I117" s="220"/>
    </row>
    <row r="118" spans="1:9" s="290" customFormat="1" ht="12.75" hidden="1" customHeight="1" x14ac:dyDescent="0.2">
      <c r="A118" s="219"/>
      <c r="B118" s="220"/>
      <c r="C118" s="291"/>
      <c r="D118" s="258" t="s">
        <v>337</v>
      </c>
      <c r="E118" s="222"/>
      <c r="F118" s="366"/>
      <c r="G118" s="222"/>
      <c r="H118" s="332"/>
      <c r="I118" s="220"/>
    </row>
    <row r="119" spans="1:9" s="290" customFormat="1" ht="12.75" hidden="1" customHeight="1" x14ac:dyDescent="0.2">
      <c r="A119" s="219"/>
      <c r="B119" s="220"/>
      <c r="C119" s="291"/>
      <c r="D119" s="258" t="s">
        <v>339</v>
      </c>
      <c r="E119" s="222"/>
      <c r="F119" s="366"/>
      <c r="G119" s="222"/>
      <c r="H119" s="332"/>
      <c r="I119" s="220"/>
    </row>
    <row r="120" spans="1:9" s="290" customFormat="1" ht="12.75" hidden="1" customHeight="1" x14ac:dyDescent="0.2">
      <c r="A120" s="219"/>
      <c r="B120" s="220"/>
      <c r="C120" s="243"/>
      <c r="D120" s="258" t="s">
        <v>338</v>
      </c>
      <c r="E120" s="222"/>
      <c r="F120" s="366"/>
      <c r="G120" s="222"/>
      <c r="H120" s="332"/>
      <c r="I120" s="220"/>
    </row>
    <row r="121" spans="1:9" s="290" customFormat="1" ht="12.75" hidden="1" customHeight="1" x14ac:dyDescent="0.2">
      <c r="A121" s="219"/>
      <c r="B121" s="220"/>
      <c r="C121" s="243"/>
      <c r="D121" s="258" t="s">
        <v>349</v>
      </c>
      <c r="E121" s="222"/>
      <c r="F121" s="366"/>
      <c r="G121" s="222"/>
      <c r="H121" s="332"/>
      <c r="I121" s="220"/>
    </row>
    <row r="122" spans="1:9" s="290" customFormat="1" ht="12.75" hidden="1" customHeight="1" x14ac:dyDescent="0.2">
      <c r="A122" s="219"/>
      <c r="B122" s="220"/>
      <c r="C122" s="243"/>
      <c r="D122" s="258" t="s">
        <v>308</v>
      </c>
      <c r="E122" s="222"/>
      <c r="F122" s="366"/>
      <c r="G122" s="222"/>
      <c r="H122" s="289"/>
      <c r="I122" s="353"/>
    </row>
    <row r="123" spans="1:9" s="290" customFormat="1" ht="12.75" hidden="1" customHeight="1" x14ac:dyDescent="0.2">
      <c r="A123" s="219"/>
      <c r="B123" s="220"/>
      <c r="C123" s="243"/>
      <c r="D123" s="309" t="s">
        <v>386</v>
      </c>
      <c r="E123" s="222"/>
      <c r="F123" s="366"/>
      <c r="G123" s="222"/>
      <c r="H123" s="289"/>
      <c r="I123" s="353"/>
    </row>
    <row r="124" spans="1:9" s="290" customFormat="1" ht="12.75" customHeight="1" x14ac:dyDescent="0.2">
      <c r="A124" s="223">
        <f>A117+1</f>
        <v>12</v>
      </c>
      <c r="B124" s="224" t="s">
        <v>216</v>
      </c>
      <c r="C124" s="244" t="s">
        <v>249</v>
      </c>
      <c r="D124" s="310" t="str">
        <f>$D$5</f>
        <v>FTE APR 23</v>
      </c>
      <c r="E124" s="225">
        <f>'3381'!I$132</f>
        <v>713799.95</v>
      </c>
      <c r="F124" s="365"/>
      <c r="G124" s="225">
        <f>SUBTOTAL(109,E124:F132)</f>
        <v>713799.95</v>
      </c>
      <c r="H124" s="332"/>
      <c r="I124" s="220"/>
    </row>
    <row r="125" spans="1:9" s="290" customFormat="1" ht="12.75" hidden="1" customHeight="1" x14ac:dyDescent="0.2">
      <c r="A125" s="223"/>
      <c r="B125" s="224"/>
      <c r="C125" s="244"/>
      <c r="D125" s="259" t="s">
        <v>337</v>
      </c>
      <c r="E125" s="225"/>
      <c r="F125" s="365"/>
      <c r="G125" s="225"/>
      <c r="H125" s="332"/>
      <c r="I125" s="220"/>
    </row>
    <row r="126" spans="1:9" s="290" customFormat="1" ht="12.75" hidden="1" customHeight="1" x14ac:dyDescent="0.2">
      <c r="A126" s="223"/>
      <c r="B126" s="224"/>
      <c r="C126" s="244"/>
      <c r="D126" s="414" t="s">
        <v>413</v>
      </c>
      <c r="E126" s="225"/>
      <c r="F126" s="365"/>
      <c r="G126" s="225"/>
      <c r="H126" s="289"/>
      <c r="I126" s="257"/>
    </row>
    <row r="127" spans="1:9" s="290" customFormat="1" ht="12.75" hidden="1" customHeight="1" x14ac:dyDescent="0.2">
      <c r="A127" s="223"/>
      <c r="B127" s="224"/>
      <c r="C127" s="244"/>
      <c r="D127" s="259" t="s">
        <v>339</v>
      </c>
      <c r="E127" s="225"/>
      <c r="F127" s="365"/>
      <c r="G127" s="225"/>
      <c r="H127" s="332"/>
      <c r="I127" s="220"/>
    </row>
    <row r="128" spans="1:9" s="290" customFormat="1" ht="12.75" hidden="1" customHeight="1" x14ac:dyDescent="0.2">
      <c r="A128" s="223"/>
      <c r="B128" s="224"/>
      <c r="C128" s="244"/>
      <c r="D128" s="259" t="s">
        <v>338</v>
      </c>
      <c r="E128" s="225"/>
      <c r="F128" s="365"/>
      <c r="G128" s="225"/>
      <c r="H128" s="332"/>
      <c r="I128" s="220"/>
    </row>
    <row r="129" spans="1:16" s="290" customFormat="1" ht="12.75" hidden="1" customHeight="1" x14ac:dyDescent="0.2">
      <c r="A129" s="223"/>
      <c r="B129" s="224"/>
      <c r="C129" s="244"/>
      <c r="D129" s="259" t="s">
        <v>349</v>
      </c>
      <c r="E129" s="225"/>
      <c r="F129" s="365"/>
      <c r="G129" s="225"/>
      <c r="H129" s="332"/>
      <c r="I129" s="220"/>
    </row>
    <row r="130" spans="1:16" s="290" customFormat="1" ht="12.75" hidden="1" customHeight="1" x14ac:dyDescent="0.2">
      <c r="A130" s="223"/>
      <c r="B130" s="224"/>
      <c r="C130" s="244"/>
      <c r="D130" s="259" t="s">
        <v>308</v>
      </c>
      <c r="E130" s="225"/>
      <c r="F130" s="365"/>
      <c r="G130" s="225"/>
      <c r="H130" s="289"/>
      <c r="I130" s="353"/>
    </row>
    <row r="131" spans="1:16" s="290" customFormat="1" ht="12.75" hidden="1" customHeight="1" x14ac:dyDescent="0.2">
      <c r="A131" s="223"/>
      <c r="B131" s="224"/>
      <c r="C131" s="244"/>
      <c r="D131" s="259" t="s">
        <v>403</v>
      </c>
      <c r="E131" s="225"/>
      <c r="F131" s="365"/>
      <c r="G131" s="225"/>
      <c r="H131" s="289"/>
      <c r="I131" s="355"/>
    </row>
    <row r="132" spans="1:16" ht="12.75" hidden="1" customHeight="1" x14ac:dyDescent="0.2">
      <c r="A132" s="223"/>
      <c r="B132" s="224"/>
      <c r="C132" s="244"/>
      <c r="D132" s="311" t="s">
        <v>386</v>
      </c>
      <c r="E132" s="225"/>
      <c r="F132" s="365"/>
      <c r="G132" s="225"/>
      <c r="H132" s="333"/>
      <c r="I132" s="220"/>
    </row>
    <row r="133" spans="1:16" s="290" customFormat="1" ht="12.75" customHeight="1" x14ac:dyDescent="0.2">
      <c r="A133" s="219">
        <f>A124+1</f>
        <v>13</v>
      </c>
      <c r="B133" s="220" t="s">
        <v>217</v>
      </c>
      <c r="C133" s="243" t="s">
        <v>251</v>
      </c>
      <c r="D133" s="308" t="str">
        <f>$D$5</f>
        <v>FTE APR 23</v>
      </c>
      <c r="E133" s="222">
        <f>'3382'!I$132</f>
        <v>158022.95000000001</v>
      </c>
      <c r="F133" s="366"/>
      <c r="G133" s="222">
        <f>SUBTOTAL(109,E133:F141)</f>
        <v>158022.95000000001</v>
      </c>
      <c r="H133" s="332"/>
      <c r="I133" s="220"/>
      <c r="P133" s="354"/>
    </row>
    <row r="134" spans="1:16" s="290" customFormat="1" ht="12.75" hidden="1" customHeight="1" x14ac:dyDescent="0.2">
      <c r="A134" s="219"/>
      <c r="B134" s="220"/>
      <c r="C134" s="243"/>
      <c r="D134" s="258" t="s">
        <v>337</v>
      </c>
      <c r="E134" s="222"/>
      <c r="F134" s="366"/>
      <c r="G134" s="222"/>
      <c r="H134" s="332"/>
      <c r="I134" s="220"/>
    </row>
    <row r="135" spans="1:16" s="290" customFormat="1" ht="12.75" hidden="1" customHeight="1" x14ac:dyDescent="0.2">
      <c r="A135" s="219"/>
      <c r="B135" s="220"/>
      <c r="C135" s="243"/>
      <c r="D135" s="379" t="s">
        <v>413</v>
      </c>
      <c r="E135" s="222"/>
      <c r="F135" s="366"/>
      <c r="G135" s="222"/>
      <c r="H135" s="289"/>
      <c r="I135" s="257"/>
    </row>
    <row r="136" spans="1:16" s="290" customFormat="1" ht="12.75" hidden="1" customHeight="1" x14ac:dyDescent="0.2">
      <c r="A136" s="219"/>
      <c r="B136" s="220"/>
      <c r="C136" s="243"/>
      <c r="D136" s="258" t="s">
        <v>339</v>
      </c>
      <c r="E136" s="222"/>
      <c r="F136" s="366"/>
      <c r="G136" s="222"/>
      <c r="H136" s="332"/>
      <c r="I136" s="220"/>
    </row>
    <row r="137" spans="1:16" s="290" customFormat="1" ht="12.75" hidden="1" customHeight="1" x14ac:dyDescent="0.2">
      <c r="A137" s="219"/>
      <c r="B137" s="220"/>
      <c r="C137" s="243"/>
      <c r="D137" s="258" t="s">
        <v>338</v>
      </c>
      <c r="E137" s="222"/>
      <c r="F137" s="366"/>
      <c r="G137" s="222"/>
      <c r="H137" s="332"/>
      <c r="I137" s="220"/>
    </row>
    <row r="138" spans="1:16" s="290" customFormat="1" ht="12.75" hidden="1" customHeight="1" x14ac:dyDescent="0.2">
      <c r="A138" s="219"/>
      <c r="B138" s="220"/>
      <c r="C138" s="243"/>
      <c r="D138" s="258" t="s">
        <v>349</v>
      </c>
      <c r="E138" s="222"/>
      <c r="F138" s="366"/>
      <c r="G138" s="222"/>
      <c r="H138" s="332"/>
      <c r="I138" s="220"/>
    </row>
    <row r="139" spans="1:16" s="290" customFormat="1" ht="12.75" hidden="1" customHeight="1" x14ac:dyDescent="0.2">
      <c r="A139" s="219"/>
      <c r="B139" s="220"/>
      <c r="C139" s="243"/>
      <c r="D139" s="258" t="s">
        <v>308</v>
      </c>
      <c r="E139" s="222"/>
      <c r="F139" s="366"/>
      <c r="G139" s="222"/>
      <c r="H139" s="289"/>
      <c r="I139" s="353"/>
    </row>
    <row r="140" spans="1:16" s="290" customFormat="1" ht="12.75" hidden="1" customHeight="1" x14ac:dyDescent="0.2">
      <c r="A140" s="219"/>
      <c r="B140" s="220"/>
      <c r="C140" s="243"/>
      <c r="D140" s="258" t="s">
        <v>385</v>
      </c>
      <c r="E140" s="222"/>
      <c r="F140" s="366"/>
      <c r="G140" s="222"/>
      <c r="H140" s="332"/>
      <c r="I140" s="353"/>
    </row>
    <row r="141" spans="1:16" ht="12.75" hidden="1" customHeight="1" x14ac:dyDescent="0.2">
      <c r="A141" s="219"/>
      <c r="B141" s="220"/>
      <c r="C141" s="257"/>
      <c r="D141" s="309" t="s">
        <v>386</v>
      </c>
      <c r="E141" s="222"/>
      <c r="F141" s="366"/>
      <c r="G141" s="222"/>
      <c r="H141" s="333"/>
      <c r="I141" s="220"/>
    </row>
    <row r="142" spans="1:16" s="290" customFormat="1" ht="12.75" customHeight="1" x14ac:dyDescent="0.2">
      <c r="A142" s="223">
        <f>A133+1</f>
        <v>14</v>
      </c>
      <c r="B142" s="224" t="s">
        <v>218</v>
      </c>
      <c r="C142" s="244" t="s">
        <v>253</v>
      </c>
      <c r="D142" s="310" t="str">
        <f>$D$5</f>
        <v>FTE APR 23</v>
      </c>
      <c r="E142" s="225">
        <f>'3391'!I$132</f>
        <v>31405.34</v>
      </c>
      <c r="F142" s="365"/>
      <c r="G142" s="225">
        <f>SUBTOTAL(109,E142:F150)</f>
        <v>31405.34</v>
      </c>
      <c r="H142" s="332"/>
      <c r="I142" s="318"/>
    </row>
    <row r="143" spans="1:16" s="290" customFormat="1" ht="12.75" hidden="1" customHeight="1" x14ac:dyDescent="0.2">
      <c r="A143" s="223"/>
      <c r="B143" s="224"/>
      <c r="C143" s="244"/>
      <c r="D143" s="259" t="s">
        <v>337</v>
      </c>
      <c r="E143" s="225"/>
      <c r="F143" s="365"/>
      <c r="G143" s="225"/>
      <c r="H143" s="332"/>
      <c r="I143" s="318"/>
    </row>
    <row r="144" spans="1:16" s="290" customFormat="1" ht="12.75" hidden="1" customHeight="1" x14ac:dyDescent="0.2">
      <c r="A144" s="223"/>
      <c r="B144" s="224"/>
      <c r="C144" s="244"/>
      <c r="D144" s="259" t="s">
        <v>415</v>
      </c>
      <c r="E144" s="225"/>
      <c r="F144" s="365"/>
      <c r="G144" s="225"/>
      <c r="H144" s="289"/>
      <c r="I144" s="257"/>
    </row>
    <row r="145" spans="1:9" s="290" customFormat="1" ht="12.75" hidden="1" customHeight="1" x14ac:dyDescent="0.2">
      <c r="A145" s="223"/>
      <c r="B145" s="224"/>
      <c r="C145" s="244"/>
      <c r="D145" s="414" t="s">
        <v>413</v>
      </c>
      <c r="E145" s="225"/>
      <c r="F145" s="365"/>
      <c r="G145" s="225"/>
      <c r="H145" s="289"/>
      <c r="I145" s="257"/>
    </row>
    <row r="146" spans="1:9" s="290" customFormat="1" ht="12.75" hidden="1" customHeight="1" x14ac:dyDescent="0.2">
      <c r="A146" s="223"/>
      <c r="B146" s="224"/>
      <c r="C146" s="244"/>
      <c r="D146" s="259" t="s">
        <v>339</v>
      </c>
      <c r="E146" s="225"/>
      <c r="F146" s="365"/>
      <c r="G146" s="225"/>
      <c r="H146" s="332"/>
      <c r="I146" s="318"/>
    </row>
    <row r="147" spans="1:9" s="290" customFormat="1" ht="12.75" hidden="1" customHeight="1" x14ac:dyDescent="0.2">
      <c r="A147" s="223"/>
      <c r="B147" s="224"/>
      <c r="C147" s="244"/>
      <c r="D147" s="259" t="s">
        <v>338</v>
      </c>
      <c r="E147" s="225"/>
      <c r="F147" s="365"/>
      <c r="G147" s="225"/>
      <c r="H147" s="332"/>
      <c r="I147" s="318"/>
    </row>
    <row r="148" spans="1:9" s="290" customFormat="1" ht="12.75" hidden="1" customHeight="1" x14ac:dyDescent="0.2">
      <c r="A148" s="223"/>
      <c r="B148" s="224"/>
      <c r="C148" s="244"/>
      <c r="D148" s="259" t="s">
        <v>349</v>
      </c>
      <c r="E148" s="225"/>
      <c r="F148" s="365"/>
      <c r="G148" s="225"/>
      <c r="H148" s="332"/>
      <c r="I148" s="318"/>
    </row>
    <row r="149" spans="1:9" s="290" customFormat="1" ht="12.75" hidden="1" customHeight="1" x14ac:dyDescent="0.2">
      <c r="A149" s="223"/>
      <c r="B149" s="224"/>
      <c r="C149" s="244"/>
      <c r="D149" s="259" t="s">
        <v>308</v>
      </c>
      <c r="E149" s="225"/>
      <c r="F149" s="365"/>
      <c r="G149" s="225"/>
      <c r="H149" s="289"/>
      <c r="I149" s="353"/>
    </row>
    <row r="150" spans="1:9" s="290" customFormat="1" ht="12.75" hidden="1" customHeight="1" x14ac:dyDescent="0.2">
      <c r="A150" s="223"/>
      <c r="B150" s="224"/>
      <c r="C150" s="244"/>
      <c r="D150" s="311" t="s">
        <v>386</v>
      </c>
      <c r="E150" s="225"/>
      <c r="F150" s="365"/>
      <c r="G150" s="225"/>
      <c r="H150" s="289"/>
      <c r="I150" s="353"/>
    </row>
    <row r="151" spans="1:9" s="290" customFormat="1" ht="12.75" customHeight="1" x14ac:dyDescent="0.2">
      <c r="A151" s="219">
        <f>A142+1</f>
        <v>15</v>
      </c>
      <c r="B151" s="220" t="s">
        <v>219</v>
      </c>
      <c r="C151" s="243" t="s">
        <v>254</v>
      </c>
      <c r="D151" s="308" t="str">
        <f>$D$5</f>
        <v>FTE APR 23</v>
      </c>
      <c r="E151" s="222">
        <f>'3394'!I$132</f>
        <v>152857.16</v>
      </c>
      <c r="F151" s="366"/>
      <c r="G151" s="222">
        <f>SUBTOTAL(109,E151:F160)</f>
        <v>152857.16</v>
      </c>
      <c r="H151" s="332"/>
      <c r="I151" s="318"/>
    </row>
    <row r="152" spans="1:9" s="290" customFormat="1" ht="12.75" hidden="1" customHeight="1" x14ac:dyDescent="0.2">
      <c r="A152" s="219"/>
      <c r="B152" s="220"/>
      <c r="C152" s="243"/>
      <c r="D152" s="258" t="s">
        <v>337</v>
      </c>
      <c r="E152" s="222"/>
      <c r="F152" s="366"/>
      <c r="G152" s="222"/>
      <c r="H152" s="332"/>
      <c r="I152" s="318"/>
    </row>
    <row r="153" spans="1:9" s="290" customFormat="1" ht="12.75" hidden="1" customHeight="1" x14ac:dyDescent="0.2">
      <c r="A153" s="219"/>
      <c r="B153" s="220"/>
      <c r="C153" s="243"/>
      <c r="D153" s="379" t="s">
        <v>413</v>
      </c>
      <c r="E153" s="222"/>
      <c r="F153" s="366"/>
      <c r="G153" s="222"/>
      <c r="H153" s="289"/>
      <c r="I153" s="257"/>
    </row>
    <row r="154" spans="1:9" s="290" customFormat="1" ht="12.75" hidden="1" customHeight="1" x14ac:dyDescent="0.2">
      <c r="A154" s="219"/>
      <c r="B154" s="220"/>
      <c r="C154" s="243"/>
      <c r="D154" s="258" t="s">
        <v>339</v>
      </c>
      <c r="E154" s="222"/>
      <c r="F154" s="366"/>
      <c r="G154" s="222"/>
      <c r="H154" s="332"/>
      <c r="I154" s="318"/>
    </row>
    <row r="155" spans="1:9" s="290" customFormat="1" ht="12.75" hidden="1" customHeight="1" x14ac:dyDescent="0.2">
      <c r="A155" s="219"/>
      <c r="B155" s="220"/>
      <c r="C155" s="243"/>
      <c r="D155" s="258" t="s">
        <v>338</v>
      </c>
      <c r="E155" s="222"/>
      <c r="F155" s="366"/>
      <c r="G155" s="222"/>
      <c r="H155" s="332"/>
      <c r="I155" s="318"/>
    </row>
    <row r="156" spans="1:9" s="290" customFormat="1" ht="12.75" hidden="1" customHeight="1" x14ac:dyDescent="0.2">
      <c r="A156" s="219"/>
      <c r="B156" s="220"/>
      <c r="C156" s="243"/>
      <c r="D156" s="258" t="s">
        <v>349</v>
      </c>
      <c r="E156" s="222"/>
      <c r="F156" s="366"/>
      <c r="G156" s="222"/>
      <c r="H156" s="332"/>
      <c r="I156" s="318"/>
    </row>
    <row r="157" spans="1:9" s="290" customFormat="1" ht="12.75" hidden="1" customHeight="1" x14ac:dyDescent="0.2">
      <c r="A157" s="219"/>
      <c r="B157" s="220"/>
      <c r="C157" s="243"/>
      <c r="D157" s="258" t="s">
        <v>308</v>
      </c>
      <c r="E157" s="222"/>
      <c r="F157" s="366"/>
      <c r="G157" s="222"/>
      <c r="H157" s="289"/>
      <c r="I157" s="353"/>
    </row>
    <row r="158" spans="1:9" s="290" customFormat="1" ht="12.75" hidden="1" customHeight="1" x14ac:dyDescent="0.2">
      <c r="A158" s="219"/>
      <c r="B158" s="220"/>
      <c r="C158" s="243"/>
      <c r="D158" s="258" t="s">
        <v>403</v>
      </c>
      <c r="E158" s="222"/>
      <c r="F158" s="366"/>
      <c r="G158" s="222"/>
      <c r="H158" s="332"/>
      <c r="I158" s="355"/>
    </row>
    <row r="159" spans="1:9" s="290" customFormat="1" ht="12.75" hidden="1" customHeight="1" x14ac:dyDescent="0.2">
      <c r="A159" s="219"/>
      <c r="B159" s="220"/>
      <c r="C159" s="243"/>
      <c r="D159" s="309" t="s">
        <v>386</v>
      </c>
      <c r="E159" s="222"/>
      <c r="F159" s="366"/>
      <c r="G159" s="222"/>
      <c r="H159" s="332"/>
      <c r="I159" s="355"/>
    </row>
    <row r="160" spans="1:9" s="290" customFormat="1" ht="12.75" hidden="1" customHeight="1" x14ac:dyDescent="0.2">
      <c r="A160" s="219"/>
      <c r="B160" s="220"/>
      <c r="C160" s="243"/>
      <c r="D160" s="309" t="s">
        <v>455</v>
      </c>
      <c r="E160" s="222"/>
      <c r="F160" s="366">
        <v>0</v>
      </c>
      <c r="G160" s="222"/>
      <c r="H160" s="332"/>
      <c r="I160" s="318"/>
    </row>
    <row r="161" spans="1:11" s="290" customFormat="1" ht="12.75" customHeight="1" x14ac:dyDescent="0.2">
      <c r="A161" s="223">
        <f>A151+1</f>
        <v>16</v>
      </c>
      <c r="B161" s="224" t="s">
        <v>220</v>
      </c>
      <c r="C161" s="292" t="s">
        <v>345</v>
      </c>
      <c r="D161" s="310" t="str">
        <f>$D$5</f>
        <v>FTE APR 23</v>
      </c>
      <c r="E161" s="225">
        <f>'3395'!I$132</f>
        <v>343038.51</v>
      </c>
      <c r="F161" s="365"/>
      <c r="G161" s="225">
        <f>SUBTOTAL(109,E161:F169)</f>
        <v>342424.26</v>
      </c>
      <c r="H161" s="332"/>
      <c r="I161" s="318"/>
    </row>
    <row r="162" spans="1:11" s="290" customFormat="1" ht="12.75" hidden="1" customHeight="1" x14ac:dyDescent="0.2">
      <c r="A162" s="223"/>
      <c r="B162" s="224"/>
      <c r="C162" s="244"/>
      <c r="D162" s="259" t="s">
        <v>337</v>
      </c>
      <c r="E162" s="225"/>
      <c r="F162" s="365"/>
      <c r="G162" s="225"/>
      <c r="H162" s="332"/>
      <c r="I162" s="318"/>
    </row>
    <row r="163" spans="1:11" s="290" customFormat="1" ht="12.75" hidden="1" customHeight="1" x14ac:dyDescent="0.2">
      <c r="A163" s="223"/>
      <c r="B163" s="224"/>
      <c r="C163" s="244"/>
      <c r="D163" s="414" t="s">
        <v>413</v>
      </c>
      <c r="E163" s="225"/>
      <c r="F163" s="365"/>
      <c r="G163" s="225"/>
      <c r="H163" s="289"/>
      <c r="I163" s="257"/>
    </row>
    <row r="164" spans="1:11" s="290" customFormat="1" ht="12.75" hidden="1" customHeight="1" x14ac:dyDescent="0.2">
      <c r="A164" s="223"/>
      <c r="B164" s="224"/>
      <c r="C164" s="244"/>
      <c r="D164" s="259" t="s">
        <v>339</v>
      </c>
      <c r="E164" s="225"/>
      <c r="F164" s="365"/>
      <c r="G164" s="225"/>
      <c r="H164" s="332"/>
      <c r="I164" s="318"/>
    </row>
    <row r="165" spans="1:11" s="290" customFormat="1" ht="12.75" hidden="1" customHeight="1" x14ac:dyDescent="0.2">
      <c r="A165" s="223"/>
      <c r="B165" s="224"/>
      <c r="C165" s="244"/>
      <c r="D165" s="259" t="s">
        <v>338</v>
      </c>
      <c r="E165" s="225"/>
      <c r="F165" s="365"/>
      <c r="G165" s="225"/>
      <c r="H165" s="332"/>
      <c r="I165" s="318"/>
    </row>
    <row r="166" spans="1:11" s="290" customFormat="1" ht="12.75" hidden="1" customHeight="1" x14ac:dyDescent="0.2">
      <c r="A166" s="223"/>
      <c r="B166" s="224"/>
      <c r="C166" s="244"/>
      <c r="D166" s="259" t="s">
        <v>349</v>
      </c>
      <c r="E166" s="225"/>
      <c r="F166" s="365"/>
      <c r="G166" s="225"/>
      <c r="H166" s="332"/>
      <c r="I166" s="318"/>
    </row>
    <row r="167" spans="1:11" s="290" customFormat="1" ht="12.75" hidden="1" customHeight="1" x14ac:dyDescent="0.2">
      <c r="A167" s="223"/>
      <c r="B167" s="224"/>
      <c r="C167" s="244"/>
      <c r="D167" s="259" t="s">
        <v>308</v>
      </c>
      <c r="E167" s="225"/>
      <c r="F167" s="365"/>
      <c r="G167" s="225"/>
      <c r="H167" s="289"/>
      <c r="I167" s="353"/>
    </row>
    <row r="168" spans="1:11" s="290" customFormat="1" ht="12.75" hidden="1" customHeight="1" x14ac:dyDescent="0.2">
      <c r="A168" s="223"/>
      <c r="B168" s="224"/>
      <c r="C168" s="244"/>
      <c r="D168" s="350" t="s">
        <v>420</v>
      </c>
      <c r="E168" s="225"/>
      <c r="F168" s="365"/>
      <c r="G168" s="225"/>
      <c r="H168" s="332"/>
      <c r="I168" s="355"/>
    </row>
    <row r="169" spans="1:11" ht="12.75" customHeight="1" x14ac:dyDescent="0.2">
      <c r="A169" s="369"/>
      <c r="B169" s="224"/>
      <c r="C169" s="244"/>
      <c r="D169" s="350" t="s">
        <v>482</v>
      </c>
      <c r="E169" s="225"/>
      <c r="F169" s="365">
        <v>-614.25</v>
      </c>
      <c r="G169" s="225"/>
      <c r="H169" s="333"/>
      <c r="I169" s="370"/>
    </row>
    <row r="170" spans="1:11" s="290" customFormat="1" ht="12.75" customHeight="1" x14ac:dyDescent="0.2">
      <c r="A170" s="219">
        <f>A161+1</f>
        <v>17</v>
      </c>
      <c r="B170" s="220" t="s">
        <v>221</v>
      </c>
      <c r="C170" s="291" t="s">
        <v>276</v>
      </c>
      <c r="D170" s="308" t="str">
        <f>$D$5</f>
        <v>FTE APR 23</v>
      </c>
      <c r="E170" s="222">
        <f>'3396'!I$132</f>
        <v>470592.53</v>
      </c>
      <c r="F170" s="366"/>
      <c r="G170" s="222">
        <f>SUBTOTAL(109,E170:F177)</f>
        <v>470592.53</v>
      </c>
      <c r="H170" s="332"/>
      <c r="I170" s="318"/>
      <c r="K170" s="354"/>
    </row>
    <row r="171" spans="1:11" s="290" customFormat="1" ht="12.75" hidden="1" customHeight="1" x14ac:dyDescent="0.2">
      <c r="A171" s="219"/>
      <c r="B171" s="220"/>
      <c r="C171" s="291"/>
      <c r="D171" s="258" t="s">
        <v>337</v>
      </c>
      <c r="E171" s="222"/>
      <c r="F171" s="366"/>
      <c r="G171" s="222"/>
      <c r="H171" s="332"/>
      <c r="I171" s="318"/>
    </row>
    <row r="172" spans="1:11" s="290" customFormat="1" ht="12.75" hidden="1" customHeight="1" x14ac:dyDescent="0.2">
      <c r="A172" s="219"/>
      <c r="B172" s="220"/>
      <c r="C172" s="291"/>
      <c r="D172" s="258" t="s">
        <v>339</v>
      </c>
      <c r="E172" s="222"/>
      <c r="F172" s="366"/>
      <c r="G172" s="222"/>
      <c r="H172" s="332"/>
    </row>
    <row r="173" spans="1:11" s="290" customFormat="1" ht="12.75" hidden="1" customHeight="1" x14ac:dyDescent="0.2">
      <c r="A173" s="219"/>
      <c r="B173" s="220"/>
      <c r="C173" s="291"/>
      <c r="D173" s="258" t="s">
        <v>338</v>
      </c>
      <c r="E173" s="222"/>
      <c r="F173" s="366"/>
      <c r="G173" s="222"/>
      <c r="H173" s="332"/>
    </row>
    <row r="174" spans="1:11" s="290" customFormat="1" ht="12.75" hidden="1" customHeight="1" x14ac:dyDescent="0.2">
      <c r="A174" s="219"/>
      <c r="B174" s="220"/>
      <c r="C174" s="291"/>
      <c r="D174" s="258" t="s">
        <v>349</v>
      </c>
      <c r="E174" s="222"/>
      <c r="F174" s="366"/>
      <c r="G174" s="222"/>
      <c r="H174" s="332"/>
    </row>
    <row r="175" spans="1:11" s="290" customFormat="1" ht="12.75" hidden="1" customHeight="1" x14ac:dyDescent="0.2">
      <c r="A175" s="219"/>
      <c r="B175" s="220"/>
      <c r="C175" s="243"/>
      <c r="D175" s="258" t="s">
        <v>308</v>
      </c>
      <c r="E175" s="222"/>
      <c r="F175" s="366"/>
      <c r="G175" s="222"/>
      <c r="H175" s="289"/>
      <c r="I175" s="353"/>
    </row>
    <row r="176" spans="1:11" s="290" customFormat="1" ht="12.75" hidden="1" customHeight="1" x14ac:dyDescent="0.2">
      <c r="A176" s="219"/>
      <c r="B176" s="220"/>
      <c r="C176" s="243"/>
      <c r="D176" s="258" t="s">
        <v>403</v>
      </c>
      <c r="E176" s="222"/>
      <c r="F176" s="366"/>
      <c r="G176" s="222"/>
      <c r="H176" s="332"/>
      <c r="I176" s="355"/>
    </row>
    <row r="177" spans="1:9" s="290" customFormat="1" ht="12.75" hidden="1" customHeight="1" x14ac:dyDescent="0.2">
      <c r="A177" s="219"/>
      <c r="B177" s="220"/>
      <c r="C177" s="243"/>
      <c r="D177" s="309" t="s">
        <v>386</v>
      </c>
      <c r="E177" s="222"/>
      <c r="F177" s="366"/>
      <c r="G177" s="222"/>
      <c r="H177" s="332"/>
      <c r="I177" s="318"/>
    </row>
    <row r="178" spans="1:9" s="290" customFormat="1" ht="12.75" customHeight="1" x14ac:dyDescent="0.2">
      <c r="A178" s="223">
        <f>A170+1</f>
        <v>18</v>
      </c>
      <c r="B178" s="224" t="s">
        <v>222</v>
      </c>
      <c r="C178" s="244" t="s">
        <v>244</v>
      </c>
      <c r="D178" s="310" t="str">
        <f>$D$5</f>
        <v>FTE APR 23</v>
      </c>
      <c r="E178" s="225">
        <f>'3398'!I$132</f>
        <v>90778.25</v>
      </c>
      <c r="F178" s="365"/>
      <c r="G178" s="225">
        <f>SUBTOTAL(109,E178:F184)</f>
        <v>90778.25</v>
      </c>
      <c r="H178" s="332"/>
      <c r="I178" s="318"/>
    </row>
    <row r="179" spans="1:9" s="290" customFormat="1" ht="12.75" hidden="1" customHeight="1" x14ac:dyDescent="0.2">
      <c r="A179" s="223"/>
      <c r="B179" s="224"/>
      <c r="C179" s="244"/>
      <c r="D179" s="259" t="s">
        <v>337</v>
      </c>
      <c r="E179" s="225"/>
      <c r="F179" s="365"/>
      <c r="G179" s="225"/>
      <c r="H179" s="332"/>
      <c r="I179" s="318"/>
    </row>
    <row r="180" spans="1:9" s="290" customFormat="1" ht="12.75" hidden="1" customHeight="1" x14ac:dyDescent="0.2">
      <c r="A180" s="223"/>
      <c r="B180" s="224"/>
      <c r="C180" s="244"/>
      <c r="D180" s="259" t="s">
        <v>339</v>
      </c>
      <c r="E180" s="225"/>
      <c r="F180" s="365"/>
      <c r="G180" s="225"/>
      <c r="H180" s="332"/>
    </row>
    <row r="181" spans="1:9" s="290" customFormat="1" ht="12.75" hidden="1" customHeight="1" x14ac:dyDescent="0.2">
      <c r="A181" s="223"/>
      <c r="B181" s="224"/>
      <c r="C181" s="244"/>
      <c r="D181" s="259" t="s">
        <v>338</v>
      </c>
      <c r="E181" s="225"/>
      <c r="F181" s="365"/>
      <c r="G181" s="225"/>
      <c r="H181" s="332"/>
      <c r="I181" s="212"/>
    </row>
    <row r="182" spans="1:9" ht="12.75" hidden="1" customHeight="1" x14ac:dyDescent="0.2">
      <c r="A182" s="223"/>
      <c r="B182" s="224"/>
      <c r="C182" s="255"/>
      <c r="D182" s="259" t="s">
        <v>349</v>
      </c>
      <c r="E182" s="225"/>
      <c r="F182" s="365"/>
      <c r="G182" s="225"/>
      <c r="H182" s="333"/>
    </row>
    <row r="183" spans="1:9" s="290" customFormat="1" ht="12.75" hidden="1" customHeight="1" x14ac:dyDescent="0.2">
      <c r="A183" s="223"/>
      <c r="B183" s="224"/>
      <c r="C183" s="244"/>
      <c r="D183" s="259" t="s">
        <v>308</v>
      </c>
      <c r="E183" s="225"/>
      <c r="F183" s="365"/>
      <c r="G183" s="225"/>
      <c r="H183" s="289"/>
      <c r="I183" s="353"/>
    </row>
    <row r="184" spans="1:9" ht="12.75" hidden="1" customHeight="1" x14ac:dyDescent="0.2">
      <c r="A184" s="223"/>
      <c r="B184" s="224"/>
      <c r="C184" s="255"/>
      <c r="D184" s="311" t="s">
        <v>386</v>
      </c>
      <c r="E184" s="225"/>
      <c r="F184" s="365"/>
      <c r="G184" s="225"/>
      <c r="H184" s="333"/>
      <c r="I184" s="318"/>
    </row>
    <row r="185" spans="1:9" s="290" customFormat="1" ht="12.75" customHeight="1" x14ac:dyDescent="0.2">
      <c r="A185" s="219">
        <f>A178+1</f>
        <v>19</v>
      </c>
      <c r="B185" s="220" t="s">
        <v>223</v>
      </c>
      <c r="C185" s="243" t="s">
        <v>238</v>
      </c>
      <c r="D185" s="308" t="str">
        <f>$D$5</f>
        <v>FTE APR 23</v>
      </c>
      <c r="E185" s="222">
        <f>'3400'!I$132</f>
        <v>106431.97</v>
      </c>
      <c r="F185" s="366"/>
      <c r="G185" s="222">
        <f>SUBTOTAL(109,E185:F192)</f>
        <v>106431.97</v>
      </c>
      <c r="H185" s="332"/>
      <c r="I185" s="318"/>
    </row>
    <row r="186" spans="1:9" s="290" customFormat="1" ht="12.75" hidden="1" customHeight="1" x14ac:dyDescent="0.2">
      <c r="A186" s="219"/>
      <c r="B186" s="220"/>
      <c r="C186" s="243"/>
      <c r="D186" s="258" t="s">
        <v>337</v>
      </c>
      <c r="E186" s="222"/>
      <c r="F186" s="366"/>
      <c r="G186" s="222"/>
      <c r="H186" s="332"/>
      <c r="I186" s="318"/>
    </row>
    <row r="187" spans="1:9" s="290" customFormat="1" ht="12.75" hidden="1" customHeight="1" x14ac:dyDescent="0.2">
      <c r="A187" s="219"/>
      <c r="B187" s="220"/>
      <c r="C187" s="243"/>
      <c r="D187" s="379" t="s">
        <v>413</v>
      </c>
      <c r="E187" s="222"/>
      <c r="F187" s="366"/>
      <c r="G187" s="222"/>
      <c r="H187" s="289"/>
      <c r="I187" s="257"/>
    </row>
    <row r="188" spans="1:9" s="290" customFormat="1" ht="12.75" hidden="1" customHeight="1" x14ac:dyDescent="0.2">
      <c r="A188" s="219"/>
      <c r="B188" s="220"/>
      <c r="C188" s="243"/>
      <c r="D188" s="258" t="s">
        <v>339</v>
      </c>
      <c r="E188" s="222"/>
      <c r="F188" s="366"/>
      <c r="G188" s="222"/>
      <c r="H188" s="332"/>
    </row>
    <row r="189" spans="1:9" s="290" customFormat="1" ht="12.75" hidden="1" customHeight="1" x14ac:dyDescent="0.2">
      <c r="A189" s="219"/>
      <c r="B189" s="220"/>
      <c r="C189" s="243"/>
      <c r="D189" s="258" t="s">
        <v>338</v>
      </c>
      <c r="E189" s="222"/>
      <c r="F189" s="366"/>
      <c r="G189" s="222"/>
      <c r="H189" s="332"/>
    </row>
    <row r="190" spans="1:9" s="290" customFormat="1" ht="12.75" hidden="1" customHeight="1" x14ac:dyDescent="0.2">
      <c r="A190" s="219"/>
      <c r="B190" s="220"/>
      <c r="C190" s="243"/>
      <c r="D190" s="258" t="s">
        <v>349</v>
      </c>
      <c r="E190" s="222"/>
      <c r="F190" s="366"/>
      <c r="G190" s="222"/>
      <c r="H190" s="332"/>
      <c r="I190" s="220"/>
    </row>
    <row r="191" spans="1:9" s="290" customFormat="1" ht="12.75" hidden="1" customHeight="1" x14ac:dyDescent="0.2">
      <c r="A191" s="219"/>
      <c r="B191" s="220"/>
      <c r="C191" s="243"/>
      <c r="D191" s="258" t="s">
        <v>308</v>
      </c>
      <c r="E191" s="222"/>
      <c r="F191" s="366"/>
      <c r="G191" s="222"/>
      <c r="H191" s="289"/>
      <c r="I191" s="353"/>
    </row>
    <row r="192" spans="1:9" s="290" customFormat="1" ht="12.75" hidden="1" customHeight="1" x14ac:dyDescent="0.2">
      <c r="A192" s="219"/>
      <c r="B192" s="220"/>
      <c r="C192" s="243"/>
      <c r="D192" s="309" t="s">
        <v>386</v>
      </c>
      <c r="E192" s="222"/>
      <c r="F192" s="366"/>
      <c r="G192" s="222"/>
      <c r="H192" s="289"/>
      <c r="I192" s="353"/>
    </row>
    <row r="193" spans="1:9" s="290" customFormat="1" ht="12.75" customHeight="1" x14ac:dyDescent="0.2">
      <c r="A193" s="223">
        <f>A185+1</f>
        <v>20</v>
      </c>
      <c r="B193" s="224" t="s">
        <v>224</v>
      </c>
      <c r="C193" s="244" t="s">
        <v>255</v>
      </c>
      <c r="D193" s="310" t="str">
        <f>$D$5</f>
        <v>FTE APR 23</v>
      </c>
      <c r="E193" s="225">
        <f>'3401'!I$132</f>
        <v>291248.53000000003</v>
      </c>
      <c r="F193" s="365"/>
      <c r="G193" s="225">
        <f>SUBTOTAL(109,E193:F203)</f>
        <v>291248.53000000003</v>
      </c>
      <c r="H193" s="332"/>
      <c r="I193" s="220"/>
    </row>
    <row r="194" spans="1:9" s="290" customFormat="1" ht="12.75" hidden="1" customHeight="1" x14ac:dyDescent="0.2">
      <c r="A194" s="223"/>
      <c r="B194" s="224"/>
      <c r="C194" s="244"/>
      <c r="D194" s="259" t="s">
        <v>337</v>
      </c>
      <c r="E194" s="225"/>
      <c r="F194" s="365"/>
      <c r="G194" s="225"/>
      <c r="H194" s="332"/>
      <c r="I194" s="220"/>
    </row>
    <row r="195" spans="1:9" s="290" customFormat="1" ht="12.75" hidden="1" customHeight="1" x14ac:dyDescent="0.2">
      <c r="A195" s="223"/>
      <c r="B195" s="224"/>
      <c r="C195" s="244"/>
      <c r="D195" s="414" t="s">
        <v>432</v>
      </c>
      <c r="E195" s="225"/>
      <c r="F195" s="365"/>
      <c r="G195" s="225"/>
      <c r="H195" s="332"/>
      <c r="I195" s="220"/>
    </row>
    <row r="196" spans="1:9" s="290" customFormat="1" ht="12.75" hidden="1" customHeight="1" x14ac:dyDescent="0.2">
      <c r="A196" s="223"/>
      <c r="B196" s="224"/>
      <c r="C196" s="244"/>
      <c r="D196" s="259" t="s">
        <v>415</v>
      </c>
      <c r="E196" s="225"/>
      <c r="F196" s="365"/>
      <c r="G196" s="225"/>
      <c r="H196" s="332"/>
      <c r="I196" s="220"/>
    </row>
    <row r="197" spans="1:9" s="290" customFormat="1" ht="12.75" hidden="1" customHeight="1" x14ac:dyDescent="0.2">
      <c r="A197" s="223"/>
      <c r="B197" s="224"/>
      <c r="C197" s="244"/>
      <c r="D197" s="259" t="s">
        <v>416</v>
      </c>
      <c r="E197" s="225"/>
      <c r="F197" s="365"/>
      <c r="G197" s="225"/>
      <c r="H197" s="332"/>
      <c r="I197" s="220"/>
    </row>
    <row r="198" spans="1:9" s="290" customFormat="1" ht="12.75" hidden="1" customHeight="1" x14ac:dyDescent="0.2">
      <c r="A198" s="223"/>
      <c r="B198" s="224"/>
      <c r="C198" s="244"/>
      <c r="D198" s="259" t="s">
        <v>339</v>
      </c>
      <c r="E198" s="225"/>
      <c r="F198" s="365"/>
      <c r="G198" s="225"/>
      <c r="H198" s="332"/>
      <c r="I198" s="220"/>
    </row>
    <row r="199" spans="1:9" s="290" customFormat="1" ht="12.75" hidden="1" customHeight="1" x14ac:dyDescent="0.2">
      <c r="A199" s="223"/>
      <c r="B199" s="224"/>
      <c r="C199" s="244"/>
      <c r="D199" s="259" t="s">
        <v>338</v>
      </c>
      <c r="E199" s="225"/>
      <c r="F199" s="365"/>
      <c r="G199" s="225"/>
      <c r="H199" s="332"/>
      <c r="I199" s="220"/>
    </row>
    <row r="200" spans="1:9" s="290" customFormat="1" ht="12.75" hidden="1" customHeight="1" x14ac:dyDescent="0.2">
      <c r="A200" s="223"/>
      <c r="B200" s="224"/>
      <c r="C200" s="244"/>
      <c r="D200" s="259" t="s">
        <v>349</v>
      </c>
      <c r="E200" s="225"/>
      <c r="F200" s="365"/>
      <c r="G200" s="225"/>
      <c r="H200" s="332"/>
      <c r="I200" s="220"/>
    </row>
    <row r="201" spans="1:9" s="290" customFormat="1" ht="12.75" hidden="1" customHeight="1" x14ac:dyDescent="0.2">
      <c r="A201" s="223"/>
      <c r="B201" s="224"/>
      <c r="C201" s="244"/>
      <c r="D201" s="259" t="s">
        <v>308</v>
      </c>
      <c r="E201" s="225"/>
      <c r="F201" s="365"/>
      <c r="G201" s="225"/>
      <c r="H201" s="289"/>
      <c r="I201" s="353"/>
    </row>
    <row r="202" spans="1:9" s="290" customFormat="1" ht="12.75" hidden="1" customHeight="1" x14ac:dyDescent="0.2">
      <c r="A202" s="223"/>
      <c r="B202" s="224"/>
      <c r="C202" s="255"/>
      <c r="D202" s="350" t="s">
        <v>404</v>
      </c>
      <c r="E202" s="225"/>
      <c r="F202" s="365"/>
      <c r="G202" s="225"/>
      <c r="H202" s="332"/>
      <c r="I202" s="360"/>
    </row>
    <row r="203" spans="1:9" s="290" customFormat="1" ht="12.75" hidden="1" customHeight="1" x14ac:dyDescent="0.2">
      <c r="A203" s="223"/>
      <c r="B203" s="224"/>
      <c r="C203" s="244"/>
      <c r="D203" s="311" t="s">
        <v>386</v>
      </c>
      <c r="E203" s="225"/>
      <c r="F203" s="365"/>
      <c r="G203" s="225"/>
      <c r="H203" s="289"/>
      <c r="I203" s="353"/>
    </row>
    <row r="204" spans="1:9" s="290" customFormat="1" ht="12.75" customHeight="1" x14ac:dyDescent="0.2">
      <c r="A204" s="219">
        <f>A193+1</f>
        <v>21</v>
      </c>
      <c r="B204" s="220" t="s">
        <v>225</v>
      </c>
      <c r="C204" s="243" t="s">
        <v>256</v>
      </c>
      <c r="D204" s="308" t="str">
        <f>$D$5</f>
        <v>FTE APR 23</v>
      </c>
      <c r="E204" s="222">
        <f>'3413'!I$132</f>
        <v>251162.95</v>
      </c>
      <c r="F204" s="366"/>
      <c r="G204" s="222">
        <f>SUBTOTAL(109,E204:F211)</f>
        <v>251162.95</v>
      </c>
      <c r="H204" s="332"/>
      <c r="I204" s="220"/>
    </row>
    <row r="205" spans="1:9" s="290" customFormat="1" ht="12.75" hidden="1" customHeight="1" x14ac:dyDescent="0.2">
      <c r="A205" s="219"/>
      <c r="B205" s="220"/>
      <c r="C205" s="243"/>
      <c r="D205" s="258" t="s">
        <v>337</v>
      </c>
      <c r="E205" s="222"/>
      <c r="F205" s="366"/>
      <c r="G205" s="222"/>
      <c r="H205" s="332"/>
      <c r="I205" s="220"/>
    </row>
    <row r="206" spans="1:9" s="290" customFormat="1" ht="12.75" hidden="1" customHeight="1" x14ac:dyDescent="0.2">
      <c r="A206" s="219"/>
      <c r="B206" s="220"/>
      <c r="C206" s="243"/>
      <c r="D206" s="379" t="s">
        <v>413</v>
      </c>
      <c r="E206" s="222"/>
      <c r="F206" s="366"/>
      <c r="G206" s="222"/>
      <c r="H206" s="289"/>
      <c r="I206" s="257"/>
    </row>
    <row r="207" spans="1:9" s="290" customFormat="1" ht="12.75" hidden="1" customHeight="1" x14ac:dyDescent="0.2">
      <c r="A207" s="219"/>
      <c r="B207" s="220"/>
      <c r="C207" s="243"/>
      <c r="D207" s="258" t="s">
        <v>339</v>
      </c>
      <c r="E207" s="222"/>
      <c r="F207" s="366"/>
      <c r="G207" s="222"/>
      <c r="H207" s="332"/>
    </row>
    <row r="208" spans="1:9" s="290" customFormat="1" ht="12.75" hidden="1" customHeight="1" x14ac:dyDescent="0.2">
      <c r="A208" s="219"/>
      <c r="B208" s="220"/>
      <c r="C208" s="243"/>
      <c r="D208" s="258" t="s">
        <v>338</v>
      </c>
      <c r="E208" s="222"/>
      <c r="F208" s="366"/>
      <c r="G208" s="222"/>
      <c r="H208" s="332"/>
    </row>
    <row r="209" spans="1:9" s="290" customFormat="1" ht="12.75" hidden="1" customHeight="1" x14ac:dyDescent="0.2">
      <c r="A209" s="219"/>
      <c r="B209" s="220"/>
      <c r="C209" s="243"/>
      <c r="D209" s="258" t="s">
        <v>349</v>
      </c>
      <c r="E209" s="222"/>
      <c r="F209" s="366"/>
      <c r="G209" s="222"/>
      <c r="H209" s="332"/>
    </row>
    <row r="210" spans="1:9" s="290" customFormat="1" ht="12.75" hidden="1" customHeight="1" x14ac:dyDescent="0.2">
      <c r="A210" s="219"/>
      <c r="B210" s="220"/>
      <c r="C210" s="243"/>
      <c r="D210" s="258" t="s">
        <v>308</v>
      </c>
      <c r="E210" s="222"/>
      <c r="F210" s="366"/>
      <c r="G210" s="222"/>
      <c r="H210" s="289"/>
      <c r="I210" s="353"/>
    </row>
    <row r="211" spans="1:9" s="290" customFormat="1" ht="12.75" hidden="1" customHeight="1" x14ac:dyDescent="0.2">
      <c r="A211" s="219"/>
      <c r="B211" s="220"/>
      <c r="C211" s="243"/>
      <c r="D211" s="309" t="s">
        <v>386</v>
      </c>
      <c r="E211" s="222"/>
      <c r="F211" s="366"/>
      <c r="G211" s="222"/>
      <c r="H211" s="289"/>
      <c r="I211" s="353"/>
    </row>
    <row r="212" spans="1:9" s="290" customFormat="1" ht="12.75" customHeight="1" x14ac:dyDescent="0.2">
      <c r="A212" s="223">
        <f>A204+1</f>
        <v>22</v>
      </c>
      <c r="B212" s="224" t="s">
        <v>226</v>
      </c>
      <c r="C212" s="244" t="s">
        <v>257</v>
      </c>
      <c r="D212" s="310" t="str">
        <f>$D$5</f>
        <v>FTE APR 23</v>
      </c>
      <c r="E212" s="225">
        <f>'3421'!I$132</f>
        <v>227793.83</v>
      </c>
      <c r="F212" s="365"/>
      <c r="G212" s="225">
        <f>SUBTOTAL(109,E212:F222)</f>
        <v>227793.83</v>
      </c>
      <c r="H212" s="332"/>
    </row>
    <row r="213" spans="1:9" s="290" customFormat="1" ht="12.75" hidden="1" customHeight="1" x14ac:dyDescent="0.2">
      <c r="A213" s="223"/>
      <c r="B213" s="224"/>
      <c r="C213" s="244"/>
      <c r="D213" s="259" t="s">
        <v>337</v>
      </c>
      <c r="E213" s="225"/>
      <c r="F213" s="365"/>
      <c r="G213" s="225"/>
      <c r="H213" s="332"/>
    </row>
    <row r="214" spans="1:9" s="290" customFormat="1" ht="12.75" hidden="1" customHeight="1" x14ac:dyDescent="0.2">
      <c r="A214" s="223"/>
      <c r="B214" s="224"/>
      <c r="C214" s="244"/>
      <c r="D214" s="414" t="s">
        <v>432</v>
      </c>
      <c r="E214" s="225"/>
      <c r="F214" s="365"/>
      <c r="G214" s="225"/>
      <c r="H214" s="332"/>
      <c r="I214" s="220"/>
    </row>
    <row r="215" spans="1:9" s="290" customFormat="1" ht="12.75" hidden="1" customHeight="1" x14ac:dyDescent="0.2">
      <c r="A215" s="223"/>
      <c r="B215" s="224"/>
      <c r="C215" s="244"/>
      <c r="D215" s="259" t="s">
        <v>415</v>
      </c>
      <c r="E215" s="225"/>
      <c r="F215" s="365"/>
      <c r="G215" s="225"/>
      <c r="H215" s="332"/>
      <c r="I215" s="220"/>
    </row>
    <row r="216" spans="1:9" s="290" customFormat="1" ht="12.75" hidden="1" customHeight="1" x14ac:dyDescent="0.2">
      <c r="A216" s="223"/>
      <c r="B216" s="224"/>
      <c r="C216" s="244"/>
      <c r="D216" s="259" t="s">
        <v>416</v>
      </c>
      <c r="E216" s="225"/>
      <c r="F216" s="365"/>
      <c r="G216" s="225"/>
      <c r="H216" s="332"/>
      <c r="I216" s="220"/>
    </row>
    <row r="217" spans="1:9" s="290" customFormat="1" ht="12.75" hidden="1" customHeight="1" x14ac:dyDescent="0.2">
      <c r="A217" s="223"/>
      <c r="B217" s="224"/>
      <c r="C217" s="244"/>
      <c r="D217" s="259" t="s">
        <v>339</v>
      </c>
      <c r="E217" s="225"/>
      <c r="F217" s="365"/>
      <c r="G217" s="225"/>
      <c r="H217" s="332"/>
    </row>
    <row r="218" spans="1:9" s="290" customFormat="1" ht="12.75" hidden="1" customHeight="1" x14ac:dyDescent="0.2">
      <c r="A218" s="223"/>
      <c r="B218" s="224"/>
      <c r="C218" s="244"/>
      <c r="D218" s="259" t="s">
        <v>338</v>
      </c>
      <c r="E218" s="225"/>
      <c r="F218" s="365"/>
      <c r="G218" s="225"/>
      <c r="H218" s="332"/>
      <c r="I218" s="220"/>
    </row>
    <row r="219" spans="1:9" s="290" customFormat="1" ht="12.75" hidden="1" customHeight="1" x14ac:dyDescent="0.2">
      <c r="A219" s="223"/>
      <c r="B219" s="224"/>
      <c r="C219" s="244"/>
      <c r="D219" s="259" t="s">
        <v>349</v>
      </c>
      <c r="E219" s="225"/>
      <c r="F219" s="365"/>
      <c r="G219" s="225"/>
      <c r="H219" s="332"/>
    </row>
    <row r="220" spans="1:9" s="290" customFormat="1" ht="12.75" hidden="1" customHeight="1" x14ac:dyDescent="0.2">
      <c r="A220" s="223"/>
      <c r="B220" s="224"/>
      <c r="C220" s="244"/>
      <c r="D220" s="259" t="s">
        <v>308</v>
      </c>
      <c r="E220" s="225"/>
      <c r="F220" s="365"/>
      <c r="G220" s="225"/>
      <c r="H220" s="289"/>
      <c r="I220" s="353"/>
    </row>
    <row r="221" spans="1:9" s="290" customFormat="1" ht="12.75" hidden="1" customHeight="1" x14ac:dyDescent="0.2">
      <c r="A221" s="223"/>
      <c r="B221" s="224"/>
      <c r="C221" s="255"/>
      <c r="D221" s="350" t="s">
        <v>404</v>
      </c>
      <c r="E221" s="225"/>
      <c r="F221" s="365"/>
      <c r="G221" s="225"/>
      <c r="H221" s="332"/>
      <c r="I221" s="360"/>
    </row>
    <row r="222" spans="1:9" s="290" customFormat="1" ht="12.75" hidden="1" customHeight="1" x14ac:dyDescent="0.2">
      <c r="A222" s="223"/>
      <c r="B222" s="224"/>
      <c r="C222" s="244"/>
      <c r="D222" s="311" t="s">
        <v>386</v>
      </c>
      <c r="E222" s="225"/>
      <c r="F222" s="365"/>
      <c r="G222" s="225"/>
      <c r="H222" s="289"/>
      <c r="I222" s="353"/>
    </row>
    <row r="223" spans="1:9" s="290" customFormat="1" ht="12.75" customHeight="1" x14ac:dyDescent="0.2">
      <c r="A223" s="219">
        <f>A212+1</f>
        <v>23</v>
      </c>
      <c r="B223" s="220" t="s">
        <v>227</v>
      </c>
      <c r="C223" s="243" t="s">
        <v>259</v>
      </c>
      <c r="D223" s="308" t="str">
        <f>$D$5</f>
        <v>FTE APR 23</v>
      </c>
      <c r="E223" s="222">
        <f>'3431'!I$132</f>
        <v>671316.03</v>
      </c>
      <c r="F223" s="366"/>
      <c r="G223" s="222">
        <f>SUBTOTAL(109,E223:F232)</f>
        <v>671316.03</v>
      </c>
      <c r="H223" s="332"/>
    </row>
    <row r="224" spans="1:9" s="290" customFormat="1" ht="12.75" hidden="1" customHeight="1" x14ac:dyDescent="0.2">
      <c r="A224" s="219"/>
      <c r="B224" s="220"/>
      <c r="C224" s="243"/>
      <c r="D224" s="258" t="s">
        <v>337</v>
      </c>
      <c r="E224" s="222"/>
      <c r="F224" s="366"/>
      <c r="G224" s="222"/>
      <c r="H224" s="332"/>
    </row>
    <row r="225" spans="1:9" s="290" customFormat="1" ht="12.75" hidden="1" customHeight="1" x14ac:dyDescent="0.2">
      <c r="A225" s="219"/>
      <c r="B225" s="220"/>
      <c r="C225" s="243"/>
      <c r="D225" s="379" t="s">
        <v>414</v>
      </c>
      <c r="E225" s="222"/>
      <c r="F225" s="366"/>
      <c r="G225" s="222"/>
      <c r="H225" s="332"/>
      <c r="I225" s="220"/>
    </row>
    <row r="226" spans="1:9" s="290" customFormat="1" ht="12.75" hidden="1" customHeight="1" x14ac:dyDescent="0.2">
      <c r="A226" s="219"/>
      <c r="B226" s="220"/>
      <c r="C226" s="243"/>
      <c r="D226" s="258" t="s">
        <v>339</v>
      </c>
      <c r="E226" s="222"/>
      <c r="F226" s="366"/>
      <c r="G226" s="222"/>
      <c r="H226" s="332"/>
    </row>
    <row r="227" spans="1:9" s="290" customFormat="1" ht="12.75" hidden="1" customHeight="1" x14ac:dyDescent="0.2">
      <c r="A227" s="219"/>
      <c r="B227" s="220"/>
      <c r="C227" s="243"/>
      <c r="D227" s="258" t="s">
        <v>399</v>
      </c>
      <c r="E227" s="222"/>
      <c r="F227" s="366"/>
      <c r="G227" s="222"/>
      <c r="H227" s="332"/>
      <c r="I227" s="220"/>
    </row>
    <row r="228" spans="1:9" s="290" customFormat="1" ht="12.75" hidden="1" customHeight="1" x14ac:dyDescent="0.2">
      <c r="A228" s="219"/>
      <c r="B228" s="220"/>
      <c r="C228" s="243"/>
      <c r="D228" s="258" t="s">
        <v>349</v>
      </c>
      <c r="E228" s="222"/>
      <c r="F228" s="366"/>
      <c r="G228" s="222"/>
      <c r="H228" s="332"/>
      <c r="I228" s="220"/>
    </row>
    <row r="229" spans="1:9" s="290" customFormat="1" ht="12.75" hidden="1" customHeight="1" x14ac:dyDescent="0.2">
      <c r="A229" s="219"/>
      <c r="B229" s="220"/>
      <c r="C229" s="243"/>
      <c r="D229" s="258" t="s">
        <v>308</v>
      </c>
      <c r="E229" s="222"/>
      <c r="F229" s="366"/>
      <c r="G229" s="222"/>
      <c r="H229" s="332"/>
      <c r="I229" s="353"/>
    </row>
    <row r="230" spans="1:9" s="290" customFormat="1" ht="12.75" hidden="1" customHeight="1" x14ac:dyDescent="0.2">
      <c r="A230" s="219"/>
      <c r="B230" s="220"/>
      <c r="C230" s="243"/>
      <c r="D230" s="258" t="s">
        <v>350</v>
      </c>
      <c r="E230" s="222"/>
      <c r="F230" s="366"/>
      <c r="G230" s="222"/>
      <c r="H230" s="332"/>
      <c r="I230" s="318"/>
    </row>
    <row r="231" spans="1:9" s="290" customFormat="1" ht="12.75" hidden="1" customHeight="1" x14ac:dyDescent="0.2">
      <c r="A231" s="219"/>
      <c r="B231" s="220"/>
      <c r="C231" s="257"/>
      <c r="D231" s="380" t="s">
        <v>404</v>
      </c>
      <c r="E231" s="222"/>
      <c r="F231" s="366"/>
      <c r="G231" s="222"/>
      <c r="H231" s="332"/>
      <c r="I231" s="360"/>
    </row>
    <row r="232" spans="1:9" s="290" customFormat="1" ht="12.75" hidden="1" customHeight="1" x14ac:dyDescent="0.2">
      <c r="A232" s="219"/>
      <c r="B232" s="220"/>
      <c r="C232" s="243"/>
      <c r="D232" s="309" t="s">
        <v>412</v>
      </c>
      <c r="E232" s="222"/>
      <c r="F232" s="366"/>
      <c r="G232" s="222"/>
      <c r="H232" s="332"/>
    </row>
    <row r="233" spans="1:9" s="290" customFormat="1" ht="12.75" customHeight="1" x14ac:dyDescent="0.2">
      <c r="A233" s="223">
        <f>A223+1</f>
        <v>24</v>
      </c>
      <c r="B233" s="224">
        <v>3441</v>
      </c>
      <c r="C233" s="292" t="s">
        <v>277</v>
      </c>
      <c r="D233" s="310" t="str">
        <f>$D$5</f>
        <v>FTE APR 23</v>
      </c>
      <c r="E233" s="225">
        <f>'3441'!I$132</f>
        <v>360649.25</v>
      </c>
      <c r="F233" s="365"/>
      <c r="G233" s="225">
        <f>SUBTOTAL(109,E233:F241)</f>
        <v>360649.25</v>
      </c>
      <c r="H233" s="332"/>
    </row>
    <row r="234" spans="1:9" s="290" customFormat="1" ht="12.75" hidden="1" customHeight="1" x14ac:dyDescent="0.2">
      <c r="A234" s="223"/>
      <c r="B234" s="224"/>
      <c r="C234" s="292"/>
      <c r="D234" s="259" t="s">
        <v>337</v>
      </c>
      <c r="E234" s="225"/>
      <c r="F234" s="365"/>
      <c r="G234" s="225"/>
      <c r="H234" s="332"/>
    </row>
    <row r="235" spans="1:9" s="290" customFormat="1" ht="12.75" hidden="1" customHeight="1" x14ac:dyDescent="0.2">
      <c r="A235" s="223"/>
      <c r="B235" s="224"/>
      <c r="C235" s="244"/>
      <c r="D235" s="414" t="s">
        <v>413</v>
      </c>
      <c r="E235" s="225"/>
      <c r="F235" s="365"/>
      <c r="G235" s="225"/>
      <c r="H235" s="289"/>
      <c r="I235" s="257"/>
    </row>
    <row r="236" spans="1:9" s="290" customFormat="1" ht="12.75" hidden="1" customHeight="1" x14ac:dyDescent="0.2">
      <c r="A236" s="223"/>
      <c r="B236" s="224"/>
      <c r="C236" s="292"/>
      <c r="D236" s="259" t="s">
        <v>339</v>
      </c>
      <c r="E236" s="225"/>
      <c r="F236" s="365"/>
      <c r="G236" s="225"/>
      <c r="H236" s="332"/>
    </row>
    <row r="237" spans="1:9" s="290" customFormat="1" ht="12.75" hidden="1" customHeight="1" x14ac:dyDescent="0.2">
      <c r="A237" s="223"/>
      <c r="B237" s="224"/>
      <c r="C237" s="244"/>
      <c r="D237" s="259" t="s">
        <v>338</v>
      </c>
      <c r="E237" s="225"/>
      <c r="F237" s="365"/>
      <c r="G237" s="225"/>
      <c r="H237" s="332"/>
    </row>
    <row r="238" spans="1:9" s="290" customFormat="1" ht="12.75" hidden="1" customHeight="1" x14ac:dyDescent="0.2">
      <c r="A238" s="223"/>
      <c r="B238" s="224"/>
      <c r="C238" s="244"/>
      <c r="D238" s="259" t="s">
        <v>349</v>
      </c>
      <c r="E238" s="225"/>
      <c r="F238" s="365"/>
      <c r="G238" s="225"/>
      <c r="H238" s="332"/>
      <c r="I238" s="220"/>
    </row>
    <row r="239" spans="1:9" s="290" customFormat="1" ht="12.75" hidden="1" customHeight="1" x14ac:dyDescent="0.2">
      <c r="A239" s="223"/>
      <c r="B239" s="224"/>
      <c r="C239" s="244"/>
      <c r="D239" s="259" t="s">
        <v>308</v>
      </c>
      <c r="E239" s="225"/>
      <c r="F239" s="365"/>
      <c r="G239" s="225"/>
      <c r="H239" s="289"/>
      <c r="I239" s="353"/>
    </row>
    <row r="240" spans="1:9" s="290" customFormat="1" ht="12.75" hidden="1" customHeight="1" x14ac:dyDescent="0.2">
      <c r="A240" s="223"/>
      <c r="B240" s="224"/>
      <c r="C240" s="244"/>
      <c r="D240" s="259" t="s">
        <v>350</v>
      </c>
      <c r="E240" s="225"/>
      <c r="F240" s="365"/>
      <c r="G240" s="225"/>
      <c r="H240" s="332"/>
    </row>
    <row r="241" spans="1:9" s="290" customFormat="1" ht="12.75" hidden="1" customHeight="1" x14ac:dyDescent="0.2">
      <c r="A241" s="223"/>
      <c r="B241" s="224"/>
      <c r="C241" s="244"/>
      <c r="D241" s="311" t="s">
        <v>386</v>
      </c>
      <c r="E241" s="225"/>
      <c r="F241" s="365"/>
      <c r="G241" s="225"/>
      <c r="H241" s="332"/>
    </row>
    <row r="242" spans="1:9" s="290" customFormat="1" ht="12.75" customHeight="1" x14ac:dyDescent="0.2">
      <c r="A242" s="219">
        <f>A233+1</f>
        <v>25</v>
      </c>
      <c r="B242" s="220">
        <v>3924</v>
      </c>
      <c r="C242" s="291" t="s">
        <v>456</v>
      </c>
      <c r="D242" s="308" t="str">
        <f>$D$5</f>
        <v>FTE APR 23</v>
      </c>
      <c r="E242" s="222">
        <f>'3924'!I$132</f>
        <v>315987.36</v>
      </c>
      <c r="F242" s="366"/>
      <c r="G242" s="222">
        <f>SUBTOTAL(109,E242:F251)</f>
        <v>315987.36</v>
      </c>
      <c r="H242" s="332"/>
    </row>
    <row r="243" spans="1:9" s="290" customFormat="1" ht="12.75" hidden="1" customHeight="1" x14ac:dyDescent="0.2">
      <c r="A243" s="219"/>
      <c r="B243" s="220"/>
      <c r="C243" s="243"/>
      <c r="D243" s="258" t="s">
        <v>337</v>
      </c>
      <c r="E243" s="222"/>
      <c r="F243" s="366"/>
      <c r="G243" s="222"/>
      <c r="H243" s="332"/>
    </row>
    <row r="244" spans="1:9" s="290" customFormat="1" ht="12.75" hidden="1" customHeight="1" x14ac:dyDescent="0.2">
      <c r="A244" s="219"/>
      <c r="B244" s="220"/>
      <c r="C244" s="243"/>
      <c r="D244" s="379" t="s">
        <v>414</v>
      </c>
      <c r="E244" s="222"/>
      <c r="F244" s="366"/>
      <c r="G244" s="222"/>
      <c r="H244" s="332"/>
      <c r="I244" s="220"/>
    </row>
    <row r="245" spans="1:9" s="290" customFormat="1" ht="12.75" hidden="1" customHeight="1" x14ac:dyDescent="0.2">
      <c r="A245" s="219"/>
      <c r="B245" s="220"/>
      <c r="C245" s="243"/>
      <c r="D245" s="379" t="s">
        <v>413</v>
      </c>
      <c r="E245" s="222"/>
      <c r="F245" s="366"/>
      <c r="G245" s="222"/>
      <c r="H245" s="332"/>
      <c r="I245" s="220"/>
    </row>
    <row r="246" spans="1:9" s="290" customFormat="1" ht="12.75" hidden="1" customHeight="1" x14ac:dyDescent="0.2">
      <c r="A246" s="219"/>
      <c r="B246" s="220"/>
      <c r="C246" s="243"/>
      <c r="D246" s="258" t="s">
        <v>339</v>
      </c>
      <c r="E246" s="222"/>
      <c r="F246" s="366"/>
      <c r="G246" s="222"/>
      <c r="H246" s="332"/>
    </row>
    <row r="247" spans="1:9" s="290" customFormat="1" ht="12.75" hidden="1" customHeight="1" x14ac:dyDescent="0.2">
      <c r="A247" s="219"/>
      <c r="B247" s="220"/>
      <c r="C247" s="243"/>
      <c r="D247" s="258" t="s">
        <v>338</v>
      </c>
      <c r="E247" s="222"/>
      <c r="F247" s="366"/>
      <c r="G247" s="222"/>
      <c r="H247" s="332"/>
    </row>
    <row r="248" spans="1:9" s="290" customFormat="1" ht="12.75" hidden="1" customHeight="1" x14ac:dyDescent="0.2">
      <c r="A248" s="219"/>
      <c r="B248" s="220"/>
      <c r="C248" s="243"/>
      <c r="D248" s="258" t="s">
        <v>349</v>
      </c>
      <c r="E248" s="222"/>
      <c r="F248" s="366"/>
      <c r="G248" s="222"/>
      <c r="H248" s="332"/>
    </row>
    <row r="249" spans="1:9" s="290" customFormat="1" ht="12.75" hidden="1" customHeight="1" x14ac:dyDescent="0.2">
      <c r="A249" s="219"/>
      <c r="B249" s="220"/>
      <c r="C249" s="243"/>
      <c r="D249" s="258" t="s">
        <v>308</v>
      </c>
      <c r="E249" s="222"/>
      <c r="F249" s="366"/>
      <c r="G249" s="222"/>
      <c r="H249" s="332"/>
      <c r="I249" s="353"/>
    </row>
    <row r="250" spans="1:9" s="290" customFormat="1" ht="12.75" hidden="1" customHeight="1" x14ac:dyDescent="0.2">
      <c r="A250" s="219"/>
      <c r="B250" s="220"/>
      <c r="C250" s="257"/>
      <c r="D250" s="380" t="s">
        <v>404</v>
      </c>
      <c r="E250" s="222"/>
      <c r="F250" s="366"/>
      <c r="G250" s="222"/>
      <c r="H250" s="332"/>
      <c r="I250" s="360"/>
    </row>
    <row r="251" spans="1:9" s="290" customFormat="1" ht="12.75" hidden="1" customHeight="1" x14ac:dyDescent="0.2">
      <c r="A251" s="219"/>
      <c r="B251" s="220"/>
      <c r="C251" s="243"/>
      <c r="D251" s="309" t="s">
        <v>386</v>
      </c>
      <c r="E251" s="222"/>
      <c r="F251" s="366"/>
      <c r="G251" s="222"/>
      <c r="H251" s="332"/>
      <c r="I251" s="353"/>
    </row>
    <row r="252" spans="1:9" s="290" customFormat="1" ht="12.75" customHeight="1" x14ac:dyDescent="0.2">
      <c r="A252" s="223">
        <f>A242+1</f>
        <v>26</v>
      </c>
      <c r="B252" s="224" t="s">
        <v>228</v>
      </c>
      <c r="C252" s="244" t="s">
        <v>240</v>
      </c>
      <c r="D252" s="310" t="str">
        <f>$D$5</f>
        <v>FTE APR 23</v>
      </c>
      <c r="E252" s="225">
        <f>'3941'!I$132</f>
        <v>162667.16</v>
      </c>
      <c r="F252" s="365"/>
      <c r="G252" s="225">
        <f>SUBTOTAL(109,E252:F261)</f>
        <v>162667.16</v>
      </c>
      <c r="H252" s="332"/>
    </row>
    <row r="253" spans="1:9" s="290" customFormat="1" ht="12.75" hidden="1" customHeight="1" x14ac:dyDescent="0.2">
      <c r="A253" s="223"/>
      <c r="B253" s="224"/>
      <c r="C253" s="244"/>
      <c r="D253" s="259" t="s">
        <v>337</v>
      </c>
      <c r="E253" s="225"/>
      <c r="F253" s="365"/>
      <c r="G253" s="225"/>
      <c r="H253" s="332"/>
    </row>
    <row r="254" spans="1:9" s="290" customFormat="1" ht="12.75" hidden="1" customHeight="1" x14ac:dyDescent="0.2">
      <c r="A254" s="223"/>
      <c r="B254" s="224"/>
      <c r="C254" s="244"/>
      <c r="D254" s="414" t="s">
        <v>414</v>
      </c>
      <c r="E254" s="225"/>
      <c r="F254" s="365"/>
      <c r="G254" s="225"/>
      <c r="H254" s="332"/>
      <c r="I254" s="220"/>
    </row>
    <row r="255" spans="1:9" s="290" customFormat="1" ht="12.75" hidden="1" customHeight="1" x14ac:dyDescent="0.2">
      <c r="A255" s="223"/>
      <c r="B255" s="224"/>
      <c r="C255" s="244"/>
      <c r="D255" s="259" t="s">
        <v>339</v>
      </c>
      <c r="E255" s="225"/>
      <c r="F255" s="365"/>
      <c r="G255" s="225"/>
      <c r="H255" s="332"/>
    </row>
    <row r="256" spans="1:9" s="290" customFormat="1" ht="12.75" hidden="1" customHeight="1" x14ac:dyDescent="0.2">
      <c r="A256" s="223"/>
      <c r="B256" s="224"/>
      <c r="C256" s="244"/>
      <c r="D256" s="259" t="s">
        <v>338</v>
      </c>
      <c r="E256" s="225"/>
      <c r="F256" s="365"/>
      <c r="G256" s="225"/>
      <c r="H256" s="332"/>
    </row>
    <row r="257" spans="1:9" s="290" customFormat="1" ht="12.75" hidden="1" customHeight="1" x14ac:dyDescent="0.2">
      <c r="A257" s="223"/>
      <c r="B257" s="224"/>
      <c r="C257" s="244"/>
      <c r="D257" s="259" t="s">
        <v>349</v>
      </c>
      <c r="E257" s="225"/>
      <c r="F257" s="365"/>
      <c r="G257" s="225"/>
      <c r="H257" s="332"/>
    </row>
    <row r="258" spans="1:9" s="290" customFormat="1" ht="12.75" hidden="1" customHeight="1" x14ac:dyDescent="0.2">
      <c r="A258" s="223"/>
      <c r="B258" s="224"/>
      <c r="C258" s="244"/>
      <c r="D258" s="259" t="s">
        <v>308</v>
      </c>
      <c r="E258" s="225"/>
      <c r="F258" s="365"/>
      <c r="G258" s="225"/>
      <c r="H258" s="289"/>
      <c r="I258" s="353"/>
    </row>
    <row r="259" spans="1:9" s="290" customFormat="1" ht="12.75" hidden="1" customHeight="1" x14ac:dyDescent="0.2">
      <c r="A259" s="223"/>
      <c r="B259" s="224"/>
      <c r="C259" s="244"/>
      <c r="D259" s="259" t="s">
        <v>381</v>
      </c>
      <c r="E259" s="225"/>
      <c r="F259" s="365"/>
      <c r="G259" s="225"/>
      <c r="H259" s="289"/>
      <c r="I259" s="353"/>
    </row>
    <row r="260" spans="1:9" s="290" customFormat="1" ht="12.75" hidden="1" customHeight="1" x14ac:dyDescent="0.2">
      <c r="A260" s="223"/>
      <c r="B260" s="224"/>
      <c r="C260" s="244"/>
      <c r="D260" s="259" t="s">
        <v>404</v>
      </c>
      <c r="E260" s="225"/>
      <c r="F260" s="365"/>
      <c r="G260" s="225"/>
      <c r="H260" s="289"/>
      <c r="I260" s="353"/>
    </row>
    <row r="261" spans="1:9" s="290" customFormat="1" ht="12.75" hidden="1" customHeight="1" x14ac:dyDescent="0.2">
      <c r="A261" s="223"/>
      <c r="B261" s="224"/>
      <c r="C261" s="244"/>
      <c r="D261" s="259" t="s">
        <v>386</v>
      </c>
      <c r="E261" s="225"/>
      <c r="F261" s="365"/>
      <c r="G261" s="225"/>
      <c r="H261" s="332"/>
    </row>
    <row r="262" spans="1:9" s="290" customFormat="1" ht="12.75" customHeight="1" x14ac:dyDescent="0.2">
      <c r="A262" s="219">
        <f>A252+1</f>
        <v>27</v>
      </c>
      <c r="B262" s="220" t="s">
        <v>229</v>
      </c>
      <c r="C262" s="243" t="s">
        <v>250</v>
      </c>
      <c r="D262" s="308" t="str">
        <f>$D$5</f>
        <v>FTE APR 23</v>
      </c>
      <c r="E262" s="222">
        <f>'3961'!I$132</f>
        <v>246499.77</v>
      </c>
      <c r="F262" s="366"/>
      <c r="G262" s="222">
        <f>SUBTOTAL(109,E262:F269)</f>
        <v>246499.77</v>
      </c>
      <c r="H262" s="332"/>
    </row>
    <row r="263" spans="1:9" s="290" customFormat="1" ht="12.75" hidden="1" customHeight="1" x14ac:dyDescent="0.2">
      <c r="A263" s="219"/>
      <c r="B263" s="220"/>
      <c r="C263" s="243"/>
      <c r="D263" s="258" t="s">
        <v>337</v>
      </c>
      <c r="E263" s="222"/>
      <c r="F263" s="366"/>
      <c r="G263" s="222"/>
      <c r="H263" s="332"/>
    </row>
    <row r="264" spans="1:9" s="290" customFormat="1" ht="12.75" hidden="1" customHeight="1" x14ac:dyDescent="0.2">
      <c r="A264" s="219"/>
      <c r="B264" s="220"/>
      <c r="C264" s="243"/>
      <c r="D264" s="379" t="s">
        <v>413</v>
      </c>
      <c r="E264" s="222"/>
      <c r="F264" s="366"/>
      <c r="G264" s="222"/>
      <c r="H264" s="332"/>
      <c r="I264" s="220"/>
    </row>
    <row r="265" spans="1:9" s="290" customFormat="1" ht="12.75" hidden="1" customHeight="1" x14ac:dyDescent="0.2">
      <c r="A265" s="219"/>
      <c r="B265" s="220"/>
      <c r="C265" s="243"/>
      <c r="D265" s="258" t="s">
        <v>339</v>
      </c>
      <c r="E265" s="222"/>
      <c r="F265" s="366"/>
      <c r="G265" s="222"/>
      <c r="H265" s="332"/>
    </row>
    <row r="266" spans="1:9" s="290" customFormat="1" ht="12.75" hidden="1" customHeight="1" x14ac:dyDescent="0.2">
      <c r="A266" s="219"/>
      <c r="B266" s="220"/>
      <c r="C266" s="243"/>
      <c r="D266" s="258" t="s">
        <v>338</v>
      </c>
      <c r="E266" s="222"/>
      <c r="F266" s="366"/>
      <c r="G266" s="222"/>
      <c r="H266" s="332"/>
    </row>
    <row r="267" spans="1:9" s="290" customFormat="1" ht="12.75" hidden="1" customHeight="1" x14ac:dyDescent="0.2">
      <c r="A267" s="219"/>
      <c r="B267" s="220"/>
      <c r="C267" s="243"/>
      <c r="D267" s="258" t="s">
        <v>349</v>
      </c>
      <c r="E267" s="222"/>
      <c r="F267" s="366"/>
      <c r="G267" s="222"/>
      <c r="H267" s="332"/>
      <c r="I267" s="212"/>
    </row>
    <row r="268" spans="1:9" s="290" customFormat="1" ht="12.75" hidden="1" customHeight="1" x14ac:dyDescent="0.2">
      <c r="A268" s="219"/>
      <c r="B268" s="220"/>
      <c r="C268" s="243"/>
      <c r="D268" s="258" t="s">
        <v>308</v>
      </c>
      <c r="E268" s="222"/>
      <c r="F268" s="366"/>
      <c r="G268" s="222"/>
      <c r="H268" s="332"/>
      <c r="I268" s="353"/>
    </row>
    <row r="269" spans="1:9" ht="12.75" hidden="1" customHeight="1" x14ac:dyDescent="0.2">
      <c r="A269" s="219"/>
      <c r="B269" s="220"/>
      <c r="C269" s="257"/>
      <c r="D269" s="309" t="s">
        <v>408</v>
      </c>
      <c r="E269" s="222"/>
      <c r="F269" s="366"/>
      <c r="G269" s="222"/>
      <c r="H269" s="333"/>
      <c r="I269" s="290"/>
    </row>
    <row r="270" spans="1:9" s="290" customFormat="1" ht="12.75" customHeight="1" x14ac:dyDescent="0.2">
      <c r="A270" s="223">
        <f>A262+1</f>
        <v>28</v>
      </c>
      <c r="B270" s="224" t="s">
        <v>230</v>
      </c>
      <c r="C270" s="244" t="s">
        <v>382</v>
      </c>
      <c r="D270" s="310" t="str">
        <f>$D$5</f>
        <v>FTE APR 23</v>
      </c>
      <c r="E270" s="225">
        <f>'3971'!I$132</f>
        <v>483053.49</v>
      </c>
      <c r="F270" s="365"/>
      <c r="G270" s="225">
        <f>SUBTOTAL(109,E270:F277)</f>
        <v>483053.49</v>
      </c>
      <c r="H270" s="332"/>
    </row>
    <row r="271" spans="1:9" s="290" customFormat="1" ht="12.75" hidden="1" customHeight="1" x14ac:dyDescent="0.2">
      <c r="A271" s="223"/>
      <c r="B271" s="224"/>
      <c r="C271" s="244"/>
      <c r="D271" s="259" t="s">
        <v>337</v>
      </c>
      <c r="E271" s="225"/>
      <c r="F271" s="365"/>
      <c r="G271" s="225"/>
      <c r="H271" s="332"/>
    </row>
    <row r="272" spans="1:9" s="290" customFormat="1" ht="12.75" hidden="1" customHeight="1" x14ac:dyDescent="0.2">
      <c r="A272" s="223"/>
      <c r="B272" s="224"/>
      <c r="C272" s="244"/>
      <c r="D272" s="414" t="s">
        <v>432</v>
      </c>
      <c r="E272" s="225"/>
      <c r="F272" s="365"/>
      <c r="G272" s="225"/>
      <c r="H272" s="332"/>
      <c r="I272" s="220"/>
    </row>
    <row r="273" spans="1:9" s="290" customFormat="1" ht="12.75" hidden="1" customHeight="1" x14ac:dyDescent="0.2">
      <c r="A273" s="223"/>
      <c r="B273" s="224"/>
      <c r="C273" s="244"/>
      <c r="D273" s="259" t="s">
        <v>339</v>
      </c>
      <c r="E273" s="225"/>
      <c r="F273" s="365"/>
      <c r="G273" s="225"/>
      <c r="H273" s="332"/>
    </row>
    <row r="274" spans="1:9" s="290" customFormat="1" ht="12.75" hidden="1" customHeight="1" x14ac:dyDescent="0.2">
      <c r="A274" s="223"/>
      <c r="B274" s="224"/>
      <c r="C274" s="244"/>
      <c r="D274" s="259" t="s">
        <v>338</v>
      </c>
      <c r="E274" s="225"/>
      <c r="F274" s="365"/>
      <c r="G274" s="225"/>
      <c r="H274" s="332"/>
    </row>
    <row r="275" spans="1:9" s="290" customFormat="1" ht="12.75" hidden="1" customHeight="1" x14ac:dyDescent="0.2">
      <c r="A275" s="223"/>
      <c r="B275" s="224"/>
      <c r="C275" s="244"/>
      <c r="D275" s="259" t="s">
        <v>349</v>
      </c>
      <c r="E275" s="225"/>
      <c r="F275" s="365"/>
      <c r="G275" s="225"/>
      <c r="H275" s="332"/>
    </row>
    <row r="276" spans="1:9" s="290" customFormat="1" ht="12.75" hidden="1" customHeight="1" x14ac:dyDescent="0.2">
      <c r="A276" s="223"/>
      <c r="B276" s="224"/>
      <c r="C276" s="244"/>
      <c r="D276" s="259" t="s">
        <v>308</v>
      </c>
      <c r="E276" s="225"/>
      <c r="F276" s="365"/>
      <c r="G276" s="225"/>
      <c r="H276" s="289"/>
      <c r="I276" s="353"/>
    </row>
    <row r="277" spans="1:9" s="290" customFormat="1" ht="12.75" hidden="1" customHeight="1" x14ac:dyDescent="0.2">
      <c r="A277" s="223"/>
      <c r="B277" s="224"/>
      <c r="C277" s="244"/>
      <c r="D277" s="311" t="s">
        <v>419</v>
      </c>
      <c r="E277" s="225"/>
      <c r="F277" s="365"/>
      <c r="G277" s="225"/>
      <c r="H277" s="332"/>
    </row>
    <row r="278" spans="1:9" s="290" customFormat="1" ht="12.75" customHeight="1" x14ac:dyDescent="0.2">
      <c r="A278" s="219">
        <f>A270+1</f>
        <v>29</v>
      </c>
      <c r="B278" s="220" t="s">
        <v>231</v>
      </c>
      <c r="C278" s="243" t="s">
        <v>268</v>
      </c>
      <c r="D278" s="308" t="str">
        <f>$D$5</f>
        <v>FTE APR 23</v>
      </c>
      <c r="E278" s="404">
        <f>'4001'!I$132</f>
        <v>401369.69</v>
      </c>
      <c r="F278" s="366"/>
      <c r="G278" s="222">
        <f>SUBTOTAL(109,E278:F286)</f>
        <v>401369.69</v>
      </c>
      <c r="H278" s="332"/>
    </row>
    <row r="279" spans="1:9" s="290" customFormat="1" ht="12.75" hidden="1" customHeight="1" x14ac:dyDescent="0.2">
      <c r="A279" s="219"/>
      <c r="B279" s="220"/>
      <c r="C279" s="243"/>
      <c r="D279" s="258" t="s">
        <v>337</v>
      </c>
      <c r="E279" s="222"/>
      <c r="F279" s="366"/>
      <c r="G279" s="222"/>
      <c r="H279" s="332"/>
    </row>
    <row r="280" spans="1:9" s="290" customFormat="1" ht="12.75" hidden="1" customHeight="1" x14ac:dyDescent="0.2">
      <c r="A280" s="219"/>
      <c r="B280" s="220"/>
      <c r="C280" s="243"/>
      <c r="D280" s="379" t="s">
        <v>414</v>
      </c>
      <c r="E280" s="222"/>
      <c r="F280" s="366"/>
      <c r="G280" s="222"/>
      <c r="H280" s="332"/>
      <c r="I280" s="220"/>
    </row>
    <row r="281" spans="1:9" s="290" customFormat="1" ht="12.75" hidden="1" customHeight="1" x14ac:dyDescent="0.2">
      <c r="A281" s="219"/>
      <c r="B281" s="220"/>
      <c r="C281" s="243"/>
      <c r="D281" s="258" t="s">
        <v>339</v>
      </c>
      <c r="E281" s="222"/>
      <c r="F281" s="366"/>
      <c r="G281" s="222"/>
      <c r="H281" s="332"/>
    </row>
    <row r="282" spans="1:9" s="290" customFormat="1" ht="12.75" hidden="1" customHeight="1" x14ac:dyDescent="0.2">
      <c r="A282" s="219"/>
      <c r="B282" s="220"/>
      <c r="C282" s="243"/>
      <c r="D282" s="258" t="s">
        <v>338</v>
      </c>
      <c r="E282" s="222"/>
      <c r="F282" s="366"/>
      <c r="G282" s="222"/>
      <c r="H282" s="332"/>
    </row>
    <row r="283" spans="1:9" s="290" customFormat="1" ht="12.75" hidden="1" customHeight="1" x14ac:dyDescent="0.2">
      <c r="A283" s="219"/>
      <c r="B283" s="220"/>
      <c r="C283" s="243"/>
      <c r="D283" s="258" t="s">
        <v>349</v>
      </c>
      <c r="E283" s="222"/>
      <c r="F283" s="366"/>
      <c r="G283" s="222"/>
      <c r="H283" s="332"/>
    </row>
    <row r="284" spans="1:9" s="290" customFormat="1" ht="12.75" hidden="1" customHeight="1" x14ac:dyDescent="0.2">
      <c r="A284" s="219"/>
      <c r="B284" s="220"/>
      <c r="C284" s="243"/>
      <c r="D284" s="258" t="s">
        <v>308</v>
      </c>
      <c r="E284" s="222"/>
      <c r="F284" s="366"/>
      <c r="G284" s="222"/>
      <c r="H284" s="289"/>
      <c r="I284" s="353"/>
    </row>
    <row r="285" spans="1:9" s="290" customFormat="1" ht="12.75" hidden="1" customHeight="1" x14ac:dyDescent="0.2">
      <c r="A285" s="219"/>
      <c r="B285" s="220"/>
      <c r="C285" s="243"/>
      <c r="D285" s="258" t="s">
        <v>404</v>
      </c>
      <c r="E285" s="222"/>
      <c r="F285" s="366"/>
      <c r="G285" s="222"/>
      <c r="H285" s="332"/>
      <c r="I285" s="353"/>
    </row>
    <row r="286" spans="1:9" s="290" customFormat="1" ht="12.75" hidden="1" customHeight="1" x14ac:dyDescent="0.2">
      <c r="A286" s="219"/>
      <c r="B286" s="220"/>
      <c r="C286" s="243"/>
      <c r="D286" s="309" t="s">
        <v>386</v>
      </c>
      <c r="E286" s="222"/>
      <c r="F286" s="366"/>
      <c r="G286" s="222"/>
      <c r="H286" s="332"/>
    </row>
    <row r="287" spans="1:9" s="290" customFormat="1" ht="12.75" customHeight="1" x14ac:dyDescent="0.2">
      <c r="A287" s="223">
        <f>A278+1</f>
        <v>30</v>
      </c>
      <c r="B287" s="224">
        <v>4002</v>
      </c>
      <c r="C287" s="244" t="s">
        <v>267</v>
      </c>
      <c r="D287" s="310" t="str">
        <f>$D$5</f>
        <v>FTE APR 23</v>
      </c>
      <c r="E287" s="225">
        <f>'4002'!I$132</f>
        <v>789739.6</v>
      </c>
      <c r="F287" s="365"/>
      <c r="G287" s="225">
        <f>SUBTOTAL(109,E287:F296)</f>
        <v>789739.6</v>
      </c>
      <c r="H287" s="332"/>
    </row>
    <row r="288" spans="1:9" s="290" customFormat="1" ht="12.75" hidden="1" customHeight="1" x14ac:dyDescent="0.2">
      <c r="A288" s="223"/>
      <c r="B288" s="224"/>
      <c r="C288" s="244"/>
      <c r="D288" s="259" t="s">
        <v>337</v>
      </c>
      <c r="E288" s="225"/>
      <c r="F288" s="365"/>
      <c r="G288" s="225"/>
      <c r="H288" s="332"/>
    </row>
    <row r="289" spans="1:9" s="290" customFormat="1" ht="12.75" hidden="1" customHeight="1" x14ac:dyDescent="0.2">
      <c r="A289" s="223"/>
      <c r="B289" s="224"/>
      <c r="C289" s="244"/>
      <c r="D289" s="414" t="s">
        <v>414</v>
      </c>
      <c r="E289" s="225"/>
      <c r="F289" s="365"/>
      <c r="G289" s="225"/>
      <c r="H289" s="332"/>
      <c r="I289" s="220"/>
    </row>
    <row r="290" spans="1:9" s="290" customFormat="1" ht="12.75" hidden="1" customHeight="1" x14ac:dyDescent="0.2">
      <c r="A290" s="223"/>
      <c r="B290" s="224"/>
      <c r="C290" s="244"/>
      <c r="D290" s="259" t="s">
        <v>339</v>
      </c>
      <c r="E290" s="225"/>
      <c r="F290" s="365"/>
      <c r="G290" s="225"/>
      <c r="H290" s="332"/>
    </row>
    <row r="291" spans="1:9" s="290" customFormat="1" ht="12.75" hidden="1" customHeight="1" x14ac:dyDescent="0.2">
      <c r="A291" s="223"/>
      <c r="B291" s="224"/>
      <c r="C291" s="244"/>
      <c r="D291" s="259" t="s">
        <v>338</v>
      </c>
      <c r="E291" s="225"/>
      <c r="F291" s="365"/>
      <c r="G291" s="225"/>
      <c r="H291" s="332"/>
    </row>
    <row r="292" spans="1:9" s="290" customFormat="1" ht="12.75" hidden="1" customHeight="1" x14ac:dyDescent="0.2">
      <c r="A292" s="223"/>
      <c r="B292" s="224"/>
      <c r="C292" s="244"/>
      <c r="D292" s="259" t="s">
        <v>349</v>
      </c>
      <c r="E292" s="225"/>
      <c r="F292" s="365"/>
      <c r="G292" s="225"/>
      <c r="H292" s="332"/>
    </row>
    <row r="293" spans="1:9" s="290" customFormat="1" ht="12.75" hidden="1" customHeight="1" x14ac:dyDescent="0.2">
      <c r="A293" s="223"/>
      <c r="B293" s="224"/>
      <c r="C293" s="244"/>
      <c r="D293" s="259" t="s">
        <v>308</v>
      </c>
      <c r="E293" s="225"/>
      <c r="F293" s="365"/>
      <c r="G293" s="225"/>
      <c r="H293" s="332"/>
    </row>
    <row r="294" spans="1:9" s="290" customFormat="1" ht="12.75" hidden="1" customHeight="1" x14ac:dyDescent="0.2">
      <c r="A294" s="223"/>
      <c r="B294" s="224"/>
      <c r="C294" s="244"/>
      <c r="D294" s="259" t="s">
        <v>403</v>
      </c>
      <c r="E294" s="225"/>
      <c r="F294" s="365"/>
      <c r="G294" s="225"/>
      <c r="H294" s="332"/>
      <c r="I294" s="355"/>
    </row>
    <row r="295" spans="1:9" s="290" customFormat="1" ht="12.75" hidden="1" customHeight="1" x14ac:dyDescent="0.2">
      <c r="A295" s="223"/>
      <c r="B295" s="224"/>
      <c r="C295" s="244"/>
      <c r="D295" s="259" t="s">
        <v>404</v>
      </c>
      <c r="E295" s="225"/>
      <c r="F295" s="365"/>
      <c r="G295" s="225"/>
      <c r="H295" s="332"/>
      <c r="I295" s="355"/>
    </row>
    <row r="296" spans="1:9" s="290" customFormat="1" ht="12.75" hidden="1" customHeight="1" x14ac:dyDescent="0.2">
      <c r="A296" s="223"/>
      <c r="B296" s="224"/>
      <c r="C296" s="244"/>
      <c r="D296" s="259" t="s">
        <v>400</v>
      </c>
      <c r="E296" s="225"/>
      <c r="F296" s="365"/>
      <c r="G296" s="225"/>
      <c r="H296" s="332"/>
    </row>
    <row r="297" spans="1:9" s="290" customFormat="1" ht="12.75" customHeight="1" x14ac:dyDescent="0.2">
      <c r="A297" s="219">
        <f>A287+1</f>
        <v>31</v>
      </c>
      <c r="B297" s="220">
        <v>4012</v>
      </c>
      <c r="C297" s="243" t="s">
        <v>270</v>
      </c>
      <c r="D297" s="308" t="str">
        <f>$D$5</f>
        <v>FTE APR 23</v>
      </c>
      <c r="E297" s="222">
        <f>'4012'!I$132</f>
        <v>432290.04</v>
      </c>
      <c r="F297" s="366"/>
      <c r="G297" s="222">
        <f>SUBTOTAL(109,E297:F304)</f>
        <v>432290.04</v>
      </c>
      <c r="H297" s="332"/>
    </row>
    <row r="298" spans="1:9" s="290" customFormat="1" ht="12.75" hidden="1" customHeight="1" x14ac:dyDescent="0.2">
      <c r="A298" s="219"/>
      <c r="B298" s="220"/>
      <c r="C298" s="243"/>
      <c r="D298" s="258" t="s">
        <v>337</v>
      </c>
      <c r="E298" s="222"/>
      <c r="F298" s="366"/>
      <c r="G298" s="222"/>
      <c r="H298" s="332"/>
    </row>
    <row r="299" spans="1:9" s="290" customFormat="1" ht="12.75" hidden="1" customHeight="1" x14ac:dyDescent="0.2">
      <c r="A299" s="219"/>
      <c r="B299" s="220"/>
      <c r="C299" s="243"/>
      <c r="D299" s="258" t="s">
        <v>339</v>
      </c>
      <c r="E299" s="222"/>
      <c r="F299" s="366"/>
      <c r="G299" s="222"/>
      <c r="H299" s="332"/>
    </row>
    <row r="300" spans="1:9" s="290" customFormat="1" ht="12.75" hidden="1" customHeight="1" x14ac:dyDescent="0.2">
      <c r="A300" s="219"/>
      <c r="B300" s="220"/>
      <c r="C300" s="243"/>
      <c r="D300" s="258" t="s">
        <v>399</v>
      </c>
      <c r="E300" s="222"/>
      <c r="F300" s="366"/>
      <c r="G300" s="222"/>
      <c r="H300" s="332"/>
    </row>
    <row r="301" spans="1:9" s="290" customFormat="1" ht="12.75" hidden="1" customHeight="1" x14ac:dyDescent="0.2">
      <c r="A301" s="219"/>
      <c r="B301" s="220"/>
      <c r="C301" s="243"/>
      <c r="D301" s="258" t="s">
        <v>349</v>
      </c>
      <c r="E301" s="222"/>
      <c r="F301" s="366"/>
      <c r="G301" s="222"/>
      <c r="H301" s="332"/>
    </row>
    <row r="302" spans="1:9" s="290" customFormat="1" ht="12.75" hidden="1" customHeight="1" x14ac:dyDescent="0.2">
      <c r="A302" s="219"/>
      <c r="B302" s="220"/>
      <c r="C302" s="243"/>
      <c r="D302" s="258" t="s">
        <v>308</v>
      </c>
      <c r="E302" s="222"/>
      <c r="F302" s="366"/>
      <c r="G302" s="222"/>
      <c r="H302" s="289"/>
      <c r="I302" s="353"/>
    </row>
    <row r="303" spans="1:9" s="290" customFormat="1" ht="12.75" hidden="1" customHeight="1" x14ac:dyDescent="0.2">
      <c r="A303" s="219"/>
      <c r="B303" s="220"/>
      <c r="C303" s="243"/>
      <c r="D303" s="258" t="s">
        <v>350</v>
      </c>
      <c r="E303" s="222"/>
      <c r="F303" s="366"/>
      <c r="G303" s="222"/>
      <c r="H303" s="332"/>
      <c r="I303" s="342"/>
    </row>
    <row r="304" spans="1:9" s="290" customFormat="1" ht="12.75" hidden="1" customHeight="1" x14ac:dyDescent="0.2">
      <c r="A304" s="219"/>
      <c r="B304" s="220"/>
      <c r="C304" s="243"/>
      <c r="D304" s="309" t="s">
        <v>386</v>
      </c>
      <c r="E304" s="222"/>
      <c r="F304" s="366"/>
      <c r="G304" s="222"/>
      <c r="H304" s="332"/>
      <c r="I304" s="342"/>
    </row>
    <row r="305" spans="1:9" s="290" customFormat="1" ht="12.75" customHeight="1" x14ac:dyDescent="0.2">
      <c r="A305" s="223">
        <f>A297+1</f>
        <v>32</v>
      </c>
      <c r="B305" s="224">
        <v>4013</v>
      </c>
      <c r="C305" s="244" t="s">
        <v>272</v>
      </c>
      <c r="D305" s="310" t="str">
        <f>$D$5</f>
        <v>FTE APR 23</v>
      </c>
      <c r="E305" s="225">
        <f>'4013'!I$132</f>
        <v>665111.89</v>
      </c>
      <c r="F305" s="365"/>
      <c r="G305" s="225">
        <f>SUBTOTAL(109,E305:F313)</f>
        <v>665111.89</v>
      </c>
      <c r="H305" s="332"/>
    </row>
    <row r="306" spans="1:9" s="290" customFormat="1" ht="12.75" hidden="1" customHeight="1" x14ac:dyDescent="0.2">
      <c r="A306" s="223"/>
      <c r="B306" s="224"/>
      <c r="C306" s="244"/>
      <c r="D306" s="259" t="s">
        <v>337</v>
      </c>
      <c r="E306" s="225"/>
      <c r="F306" s="365"/>
      <c r="G306" s="225"/>
      <c r="H306" s="332"/>
    </row>
    <row r="307" spans="1:9" s="290" customFormat="1" ht="12.75" hidden="1" customHeight="1" x14ac:dyDescent="0.2">
      <c r="A307" s="223"/>
      <c r="B307" s="224"/>
      <c r="C307" s="244"/>
      <c r="D307" s="414" t="s">
        <v>414</v>
      </c>
      <c r="E307" s="225"/>
      <c r="F307" s="365"/>
      <c r="G307" s="225"/>
      <c r="H307" s="332"/>
      <c r="I307" s="220"/>
    </row>
    <row r="308" spans="1:9" s="290" customFormat="1" ht="12.75" hidden="1" customHeight="1" x14ac:dyDescent="0.2">
      <c r="A308" s="223"/>
      <c r="B308" s="224"/>
      <c r="C308" s="244"/>
      <c r="D308" s="259" t="s">
        <v>339</v>
      </c>
      <c r="E308" s="225"/>
      <c r="F308" s="365"/>
      <c r="G308" s="225"/>
      <c r="H308" s="332"/>
    </row>
    <row r="309" spans="1:9" s="290" customFormat="1" ht="12.75" hidden="1" customHeight="1" x14ac:dyDescent="0.2">
      <c r="A309" s="223"/>
      <c r="B309" s="224"/>
      <c r="C309" s="244"/>
      <c r="D309" s="259" t="s">
        <v>399</v>
      </c>
      <c r="E309" s="225"/>
      <c r="F309" s="365"/>
      <c r="G309" s="225"/>
      <c r="H309" s="332"/>
    </row>
    <row r="310" spans="1:9" s="290" customFormat="1" ht="12.75" hidden="1" customHeight="1" x14ac:dyDescent="0.2">
      <c r="A310" s="223"/>
      <c r="B310" s="224"/>
      <c r="C310" s="244"/>
      <c r="D310" s="259" t="s">
        <v>349</v>
      </c>
      <c r="E310" s="225"/>
      <c r="F310" s="365"/>
      <c r="G310" s="225"/>
      <c r="H310" s="332"/>
    </row>
    <row r="311" spans="1:9" s="290" customFormat="1" ht="12.75" hidden="1" customHeight="1" x14ac:dyDescent="0.2">
      <c r="A311" s="223"/>
      <c r="B311" s="224"/>
      <c r="C311" s="244"/>
      <c r="D311" s="259" t="s">
        <v>308</v>
      </c>
      <c r="E311" s="225"/>
      <c r="F311" s="365"/>
      <c r="G311" s="225"/>
      <c r="H311" s="332"/>
    </row>
    <row r="312" spans="1:9" s="290" customFormat="1" ht="12.75" hidden="1" customHeight="1" x14ac:dyDescent="0.2">
      <c r="A312" s="223"/>
      <c r="B312" s="224"/>
      <c r="C312" s="244"/>
      <c r="D312" s="259" t="s">
        <v>404</v>
      </c>
      <c r="E312" s="225"/>
      <c r="F312" s="365"/>
      <c r="G312" s="225"/>
      <c r="H312" s="332"/>
      <c r="I312" s="355"/>
    </row>
    <row r="313" spans="1:9" s="290" customFormat="1" ht="12.75" hidden="1" customHeight="1" x14ac:dyDescent="0.2">
      <c r="A313" s="223"/>
      <c r="B313" s="224"/>
      <c r="C313" s="244"/>
      <c r="D313" s="259" t="s">
        <v>386</v>
      </c>
      <c r="E313" s="225"/>
      <c r="F313" s="365"/>
      <c r="G313" s="225"/>
      <c r="H313" s="332"/>
    </row>
    <row r="314" spans="1:9" s="290" customFormat="1" ht="12.75" customHeight="1" x14ac:dyDescent="0.2">
      <c r="A314" s="219">
        <f>A305+1</f>
        <v>33</v>
      </c>
      <c r="B314" s="220">
        <v>4020</v>
      </c>
      <c r="C314" s="291" t="s">
        <v>388</v>
      </c>
      <c r="D314" s="308" t="str">
        <f>$D$5</f>
        <v>FTE APR 23</v>
      </c>
      <c r="E314" s="222">
        <f>'4020'!I$132</f>
        <v>862763.35</v>
      </c>
      <c r="F314" s="366"/>
      <c r="G314" s="222">
        <f>SUBTOTAL(109,E314:F322)</f>
        <v>862763.35</v>
      </c>
      <c r="H314" s="332"/>
    </row>
    <row r="315" spans="1:9" s="290" customFormat="1" ht="12.75" hidden="1" customHeight="1" x14ac:dyDescent="0.2">
      <c r="A315" s="219"/>
      <c r="B315" s="220"/>
      <c r="C315" s="243"/>
      <c r="D315" s="258" t="s">
        <v>337</v>
      </c>
      <c r="E315" s="222"/>
      <c r="F315" s="366"/>
      <c r="G315" s="222"/>
      <c r="H315" s="332"/>
    </row>
    <row r="316" spans="1:9" s="290" customFormat="1" ht="12.75" hidden="1" customHeight="1" x14ac:dyDescent="0.2">
      <c r="A316" s="219"/>
      <c r="B316" s="220"/>
      <c r="C316" s="243"/>
      <c r="D316" s="379" t="s">
        <v>413</v>
      </c>
      <c r="E316" s="222"/>
      <c r="F316" s="366"/>
      <c r="G316" s="222"/>
      <c r="H316" s="332"/>
      <c r="I316" s="220"/>
    </row>
    <row r="317" spans="1:9" s="290" customFormat="1" ht="12.75" hidden="1" customHeight="1" x14ac:dyDescent="0.2">
      <c r="A317" s="219"/>
      <c r="B317" s="220"/>
      <c r="C317" s="243"/>
      <c r="D317" s="258" t="s">
        <v>339</v>
      </c>
      <c r="E317" s="222"/>
      <c r="F317" s="366"/>
      <c r="G317" s="222"/>
      <c r="H317" s="332"/>
    </row>
    <row r="318" spans="1:9" s="290" customFormat="1" ht="12.75" hidden="1" customHeight="1" x14ac:dyDescent="0.2">
      <c r="A318" s="219"/>
      <c r="B318" s="220"/>
      <c r="C318" s="243"/>
      <c r="D318" s="258" t="s">
        <v>399</v>
      </c>
      <c r="E318" s="222"/>
      <c r="F318" s="366"/>
      <c r="G318" s="222"/>
      <c r="H318" s="332"/>
    </row>
    <row r="319" spans="1:9" s="290" customFormat="1" ht="12.75" hidden="1" customHeight="1" x14ac:dyDescent="0.2">
      <c r="A319" s="219"/>
      <c r="B319" s="220"/>
      <c r="C319" s="243"/>
      <c r="D319" s="258" t="s">
        <v>349</v>
      </c>
      <c r="E319" s="222"/>
      <c r="F319" s="366"/>
      <c r="G319" s="222"/>
      <c r="H319" s="332"/>
    </row>
    <row r="320" spans="1:9" s="290" customFormat="1" ht="12.75" hidden="1" customHeight="1" x14ac:dyDescent="0.2">
      <c r="A320" s="219"/>
      <c r="B320" s="220"/>
      <c r="C320" s="243"/>
      <c r="D320" s="258" t="s">
        <v>308</v>
      </c>
      <c r="E320" s="222"/>
      <c r="F320" s="366"/>
      <c r="G320" s="222"/>
      <c r="H320" s="289"/>
      <c r="I320" s="353"/>
    </row>
    <row r="321" spans="1:9" s="290" customFormat="1" ht="12.75" hidden="1" customHeight="1" x14ac:dyDescent="0.2">
      <c r="A321" s="219"/>
      <c r="B321" s="220"/>
      <c r="C321" s="243"/>
      <c r="D321" s="258" t="s">
        <v>403</v>
      </c>
      <c r="E321" s="222"/>
      <c r="F321" s="366"/>
      <c r="G321" s="222"/>
      <c r="H321" s="332"/>
      <c r="I321" s="355"/>
    </row>
    <row r="322" spans="1:9" s="290" customFormat="1" ht="12.75" hidden="1" customHeight="1" x14ac:dyDescent="0.2">
      <c r="A322" s="219"/>
      <c r="B322" s="220"/>
      <c r="C322" s="243"/>
      <c r="D322" s="309" t="s">
        <v>386</v>
      </c>
      <c r="E322" s="222"/>
      <c r="F322" s="366"/>
      <c r="G322" s="222"/>
      <c r="H322" s="332"/>
    </row>
    <row r="323" spans="1:9" s="290" customFormat="1" ht="12.75" customHeight="1" x14ac:dyDescent="0.2">
      <c r="A323" s="223">
        <f>A314+1</f>
        <v>34</v>
      </c>
      <c r="B323" s="224">
        <v>4030</v>
      </c>
      <c r="C323" s="244" t="s">
        <v>377</v>
      </c>
      <c r="D323" s="310" t="str">
        <f>$D$5</f>
        <v>FTE APR 23</v>
      </c>
      <c r="E323" s="225">
        <f>'4030'!I$132</f>
        <v>239458.94</v>
      </c>
      <c r="F323" s="365"/>
      <c r="G323" s="225">
        <f>SUBTOTAL(109,E323:F332)</f>
        <v>239458.94</v>
      </c>
      <c r="H323" s="332"/>
    </row>
    <row r="324" spans="1:9" s="290" customFormat="1" ht="12.75" hidden="1" customHeight="1" x14ac:dyDescent="0.2">
      <c r="A324" s="223"/>
      <c r="B324" s="224"/>
      <c r="C324" s="244"/>
      <c r="D324" s="259" t="s">
        <v>337</v>
      </c>
      <c r="E324" s="225"/>
      <c r="F324" s="365"/>
      <c r="G324" s="225"/>
      <c r="H324" s="332"/>
    </row>
    <row r="325" spans="1:9" s="290" customFormat="1" ht="12.75" hidden="1" customHeight="1" x14ac:dyDescent="0.2">
      <c r="A325" s="223"/>
      <c r="B325" s="224"/>
      <c r="C325" s="244"/>
      <c r="D325" s="414" t="s">
        <v>414</v>
      </c>
      <c r="E325" s="225"/>
      <c r="F325" s="365"/>
      <c r="G325" s="225"/>
      <c r="H325" s="332"/>
      <c r="I325" s="220"/>
    </row>
    <row r="326" spans="1:9" s="290" customFormat="1" ht="12.75" hidden="1" customHeight="1" x14ac:dyDescent="0.2">
      <c r="A326" s="223"/>
      <c r="B326" s="224"/>
      <c r="C326" s="244"/>
      <c r="D326" s="414" t="s">
        <v>413</v>
      </c>
      <c r="E326" s="225"/>
      <c r="F326" s="365"/>
      <c r="G326" s="225"/>
      <c r="H326" s="332"/>
      <c r="I326" s="220"/>
    </row>
    <row r="327" spans="1:9" s="290" customFormat="1" ht="12.75" hidden="1" customHeight="1" x14ac:dyDescent="0.2">
      <c r="A327" s="223"/>
      <c r="B327" s="224"/>
      <c r="C327" s="244"/>
      <c r="D327" s="259" t="s">
        <v>339</v>
      </c>
      <c r="E327" s="225"/>
      <c r="F327" s="365"/>
      <c r="G327" s="225"/>
      <c r="H327" s="332"/>
    </row>
    <row r="328" spans="1:9" s="290" customFormat="1" ht="12.75" hidden="1" customHeight="1" x14ac:dyDescent="0.2">
      <c r="A328" s="223"/>
      <c r="B328" s="224"/>
      <c r="C328" s="244"/>
      <c r="D328" s="259" t="s">
        <v>338</v>
      </c>
      <c r="E328" s="225"/>
      <c r="F328" s="365"/>
      <c r="G328" s="225"/>
      <c r="H328" s="332"/>
    </row>
    <row r="329" spans="1:9" s="290" customFormat="1" ht="12.75" hidden="1" customHeight="1" x14ac:dyDescent="0.2">
      <c r="A329" s="223"/>
      <c r="B329" s="224"/>
      <c r="C329" s="244"/>
      <c r="D329" s="259" t="s">
        <v>349</v>
      </c>
      <c r="E329" s="225"/>
      <c r="F329" s="365"/>
      <c r="G329" s="225"/>
      <c r="H329" s="332"/>
    </row>
    <row r="330" spans="1:9" s="290" customFormat="1" ht="12.75" hidden="1" customHeight="1" x14ac:dyDescent="0.2">
      <c r="A330" s="223"/>
      <c r="B330" s="224"/>
      <c r="C330" s="244"/>
      <c r="D330" s="259" t="s">
        <v>308</v>
      </c>
      <c r="E330" s="225"/>
      <c r="F330" s="365"/>
      <c r="G330" s="225"/>
      <c r="H330" s="332"/>
    </row>
    <row r="331" spans="1:9" s="290" customFormat="1" ht="12.75" hidden="1" customHeight="1" x14ac:dyDescent="0.2">
      <c r="A331" s="223"/>
      <c r="B331" s="224"/>
      <c r="C331" s="244"/>
      <c r="D331" s="259" t="s">
        <v>404</v>
      </c>
      <c r="E331" s="225"/>
      <c r="F331" s="365"/>
      <c r="G331" s="225"/>
      <c r="H331" s="332"/>
      <c r="I331" s="355"/>
    </row>
    <row r="332" spans="1:9" s="290" customFormat="1" ht="12.75" hidden="1" customHeight="1" x14ac:dyDescent="0.2">
      <c r="A332" s="223"/>
      <c r="B332" s="224"/>
      <c r="C332" s="244"/>
      <c r="D332" s="259" t="s">
        <v>386</v>
      </c>
      <c r="E332" s="225"/>
      <c r="F332" s="365"/>
      <c r="G332" s="225"/>
      <c r="H332" s="332"/>
    </row>
    <row r="333" spans="1:9" s="290" customFormat="1" ht="12.75" customHeight="1" x14ac:dyDescent="0.2">
      <c r="A333" s="219">
        <f>A323+1</f>
        <v>35</v>
      </c>
      <c r="B333" s="220">
        <v>4031</v>
      </c>
      <c r="C333" s="291" t="s">
        <v>395</v>
      </c>
      <c r="D333" s="308" t="str">
        <f>$D$5</f>
        <v>FTE APR 23</v>
      </c>
      <c r="E333" s="222">
        <f>'4031'!I$132</f>
        <v>399719.04</v>
      </c>
      <c r="F333" s="366"/>
      <c r="G333" s="222">
        <f>SUBTOTAL(109,E333:F342)</f>
        <v>399719.04</v>
      </c>
      <c r="H333" s="332"/>
    </row>
    <row r="334" spans="1:9" s="290" customFormat="1" ht="12.75" hidden="1" customHeight="1" x14ac:dyDescent="0.2">
      <c r="A334" s="219"/>
      <c r="B334" s="220"/>
      <c r="C334" s="243"/>
      <c r="D334" s="258" t="s">
        <v>337</v>
      </c>
      <c r="E334" s="222"/>
      <c r="F334" s="366"/>
      <c r="G334" s="222"/>
      <c r="H334" s="332"/>
    </row>
    <row r="335" spans="1:9" s="290" customFormat="1" ht="12.75" hidden="1" customHeight="1" x14ac:dyDescent="0.2">
      <c r="A335" s="219"/>
      <c r="B335" s="220"/>
      <c r="C335" s="243"/>
      <c r="D335" s="379" t="s">
        <v>414</v>
      </c>
      <c r="E335" s="222"/>
      <c r="F335" s="366"/>
      <c r="G335" s="222"/>
      <c r="H335" s="332"/>
      <c r="I335" s="220"/>
    </row>
    <row r="336" spans="1:9" s="290" customFormat="1" ht="12.75" hidden="1" customHeight="1" x14ac:dyDescent="0.2">
      <c r="A336" s="219"/>
      <c r="B336" s="220"/>
      <c r="C336" s="243"/>
      <c r="D336" s="379" t="s">
        <v>413</v>
      </c>
      <c r="E336" s="222"/>
      <c r="F336" s="366"/>
      <c r="G336" s="222"/>
      <c r="H336" s="332"/>
      <c r="I336" s="220"/>
    </row>
    <row r="337" spans="1:9" s="290" customFormat="1" ht="12.75" hidden="1" customHeight="1" x14ac:dyDescent="0.2">
      <c r="A337" s="219"/>
      <c r="B337" s="220"/>
      <c r="C337" s="243"/>
      <c r="D337" s="258" t="s">
        <v>339</v>
      </c>
      <c r="E337" s="222"/>
      <c r="F337" s="366"/>
      <c r="G337" s="222"/>
      <c r="H337" s="332"/>
    </row>
    <row r="338" spans="1:9" s="290" customFormat="1" ht="12.75" hidden="1" customHeight="1" x14ac:dyDescent="0.2">
      <c r="A338" s="219"/>
      <c r="B338" s="220"/>
      <c r="C338" s="243"/>
      <c r="D338" s="258" t="s">
        <v>338</v>
      </c>
      <c r="E338" s="222"/>
      <c r="F338" s="366"/>
      <c r="G338" s="222"/>
      <c r="H338" s="332"/>
    </row>
    <row r="339" spans="1:9" s="290" customFormat="1" ht="12.75" hidden="1" customHeight="1" x14ac:dyDescent="0.2">
      <c r="A339" s="219"/>
      <c r="B339" s="220"/>
      <c r="C339" s="243"/>
      <c r="D339" s="258" t="s">
        <v>349</v>
      </c>
      <c r="E339" s="222"/>
      <c r="F339" s="366"/>
      <c r="G339" s="222"/>
      <c r="H339" s="332"/>
      <c r="I339" s="220"/>
    </row>
    <row r="340" spans="1:9" s="290" customFormat="1" ht="12.75" hidden="1" customHeight="1" x14ac:dyDescent="0.2">
      <c r="A340" s="219"/>
      <c r="B340" s="220"/>
      <c r="C340" s="243"/>
      <c r="D340" s="258" t="s">
        <v>308</v>
      </c>
      <c r="E340" s="222"/>
      <c r="F340" s="366"/>
      <c r="G340" s="222"/>
      <c r="H340" s="332"/>
      <c r="I340" s="353"/>
    </row>
    <row r="341" spans="1:9" s="290" customFormat="1" ht="12.75" hidden="1" customHeight="1" x14ac:dyDescent="0.2">
      <c r="A341" s="219"/>
      <c r="B341" s="220"/>
      <c r="C341" s="243"/>
      <c r="D341" s="258" t="s">
        <v>404</v>
      </c>
      <c r="E341" s="222"/>
      <c r="F341" s="366"/>
      <c r="G341" s="222"/>
      <c r="H341" s="332"/>
      <c r="I341" s="355"/>
    </row>
    <row r="342" spans="1:9" s="290" customFormat="1" ht="12.75" hidden="1" customHeight="1" x14ac:dyDescent="0.2">
      <c r="A342" s="219"/>
      <c r="B342" s="220"/>
      <c r="C342" s="243"/>
      <c r="D342" s="309" t="s">
        <v>386</v>
      </c>
      <c r="E342" s="222"/>
      <c r="F342" s="366"/>
      <c r="G342" s="222"/>
      <c r="H342" s="332"/>
    </row>
    <row r="343" spans="1:9" s="290" customFormat="1" ht="12.75" customHeight="1" x14ac:dyDescent="0.2">
      <c r="A343" s="223">
        <f>A333+1</f>
        <v>36</v>
      </c>
      <c r="B343" s="224">
        <v>4041</v>
      </c>
      <c r="C343" s="244" t="s">
        <v>274</v>
      </c>
      <c r="D343" s="310" t="str">
        <f>$D$5</f>
        <v>FTE APR 23</v>
      </c>
      <c r="E343" s="225">
        <f>'4041'!I$132</f>
        <v>45768.5</v>
      </c>
      <c r="F343" s="365"/>
      <c r="G343" s="225">
        <f>SUBTOTAL(109,E343:F353)</f>
        <v>45768.5</v>
      </c>
      <c r="H343" s="332"/>
    </row>
    <row r="344" spans="1:9" s="290" customFormat="1" ht="12.75" hidden="1" customHeight="1" x14ac:dyDescent="0.2">
      <c r="A344" s="223"/>
      <c r="B344" s="224"/>
      <c r="C344" s="244"/>
      <c r="D344" s="259" t="s">
        <v>337</v>
      </c>
      <c r="E344" s="225"/>
      <c r="F344" s="365"/>
      <c r="G344" s="225"/>
      <c r="H344" s="332"/>
    </row>
    <row r="345" spans="1:9" s="290" customFormat="1" ht="12.75" hidden="1" customHeight="1" x14ac:dyDescent="0.2">
      <c r="A345" s="223"/>
      <c r="B345" s="224"/>
      <c r="C345" s="244"/>
      <c r="D345" s="414" t="s">
        <v>414</v>
      </c>
      <c r="E345" s="225"/>
      <c r="F345" s="365"/>
      <c r="G345" s="225"/>
      <c r="H345" s="332"/>
      <c r="I345" s="220"/>
    </row>
    <row r="346" spans="1:9" s="290" customFormat="1" ht="12.75" hidden="1" customHeight="1" x14ac:dyDescent="0.2">
      <c r="A346" s="223"/>
      <c r="B346" s="224"/>
      <c r="C346" s="244"/>
      <c r="D346" s="414" t="s">
        <v>413</v>
      </c>
      <c r="E346" s="225"/>
      <c r="F346" s="365"/>
      <c r="G346" s="225"/>
      <c r="H346" s="332"/>
      <c r="I346" s="220"/>
    </row>
    <row r="347" spans="1:9" s="290" customFormat="1" ht="12.75" hidden="1" customHeight="1" x14ac:dyDescent="0.2">
      <c r="A347" s="223"/>
      <c r="B347" s="224"/>
      <c r="C347" s="244"/>
      <c r="D347" s="259" t="s">
        <v>339</v>
      </c>
      <c r="E347" s="225"/>
      <c r="F347" s="365"/>
      <c r="G347" s="225"/>
      <c r="H347" s="332"/>
    </row>
    <row r="348" spans="1:9" s="290" customFormat="1" ht="12.75" hidden="1" customHeight="1" x14ac:dyDescent="0.2">
      <c r="A348" s="223"/>
      <c r="B348" s="224"/>
      <c r="C348" s="244"/>
      <c r="D348" s="259" t="s">
        <v>338</v>
      </c>
      <c r="E348" s="225"/>
      <c r="F348" s="365"/>
      <c r="G348" s="225"/>
      <c r="H348" s="332"/>
    </row>
    <row r="349" spans="1:9" s="290" customFormat="1" ht="12.75" hidden="1" customHeight="1" x14ac:dyDescent="0.2">
      <c r="A349" s="223"/>
      <c r="B349" s="224"/>
      <c r="C349" s="244"/>
      <c r="D349" s="259" t="s">
        <v>349</v>
      </c>
      <c r="E349" s="225"/>
      <c r="F349" s="365"/>
      <c r="G349" s="225"/>
      <c r="H349" s="332"/>
    </row>
    <row r="350" spans="1:9" s="290" customFormat="1" ht="12.75" hidden="1" customHeight="1" x14ac:dyDescent="0.2">
      <c r="A350" s="223"/>
      <c r="B350" s="224"/>
      <c r="C350" s="244"/>
      <c r="D350" s="259" t="s">
        <v>308</v>
      </c>
      <c r="E350" s="225"/>
      <c r="F350" s="365"/>
      <c r="G350" s="225"/>
      <c r="H350" s="332"/>
    </row>
    <row r="351" spans="1:9" s="290" customFormat="1" ht="12.75" hidden="1" customHeight="1" x14ac:dyDescent="0.2">
      <c r="A351" s="223"/>
      <c r="B351" s="224"/>
      <c r="C351" s="244"/>
      <c r="D351" s="259" t="s">
        <v>350</v>
      </c>
      <c r="E351" s="225"/>
      <c r="F351" s="365"/>
      <c r="G351" s="225"/>
      <c r="H351" s="332"/>
    </row>
    <row r="352" spans="1:9" s="290" customFormat="1" ht="12.75" hidden="1" customHeight="1" x14ac:dyDescent="0.2">
      <c r="A352" s="223"/>
      <c r="B352" s="224"/>
      <c r="C352" s="244"/>
      <c r="D352" s="259" t="s">
        <v>404</v>
      </c>
      <c r="E352" s="225"/>
      <c r="F352" s="365"/>
      <c r="G352" s="225"/>
      <c r="H352" s="332"/>
      <c r="I352" s="355"/>
    </row>
    <row r="353" spans="1:9" s="290" customFormat="1" ht="12.75" hidden="1" customHeight="1" x14ac:dyDescent="0.2">
      <c r="A353" s="223"/>
      <c r="B353" s="224"/>
      <c r="C353" s="244"/>
      <c r="D353" s="259" t="s">
        <v>386</v>
      </c>
      <c r="E353" s="225"/>
      <c r="F353" s="365"/>
      <c r="G353" s="225"/>
      <c r="H353" s="332"/>
    </row>
    <row r="354" spans="1:9" s="290" customFormat="1" ht="12.75" customHeight="1" x14ac:dyDescent="0.2">
      <c r="A354" s="219">
        <f>A343+1</f>
        <v>37</v>
      </c>
      <c r="B354" s="293">
        <v>4050</v>
      </c>
      <c r="C354" s="294" t="s">
        <v>265</v>
      </c>
      <c r="D354" s="308" t="str">
        <f>$D$5</f>
        <v>FTE APR 23</v>
      </c>
      <c r="E354" s="222">
        <f>'4050'!I$132</f>
        <v>560689.81000000006</v>
      </c>
      <c r="F354" s="366"/>
      <c r="G354" s="222">
        <f>SUBTOTAL(109,E354:F360)</f>
        <v>560689.81000000006</v>
      </c>
      <c r="H354" s="332"/>
    </row>
    <row r="355" spans="1:9" s="290" customFormat="1" ht="12.75" hidden="1" customHeight="1" x14ac:dyDescent="0.2">
      <c r="A355" s="219"/>
      <c r="B355" s="293"/>
      <c r="C355" s="294"/>
      <c r="D355" s="258" t="s">
        <v>337</v>
      </c>
      <c r="E355" s="222"/>
      <c r="F355" s="366"/>
      <c r="G355" s="222"/>
      <c r="H355" s="332"/>
    </row>
    <row r="356" spans="1:9" s="290" customFormat="1" ht="12.75" hidden="1" customHeight="1" x14ac:dyDescent="0.2">
      <c r="A356" s="219"/>
      <c r="B356" s="293"/>
      <c r="C356" s="294"/>
      <c r="D356" s="258" t="s">
        <v>339</v>
      </c>
      <c r="E356" s="222"/>
      <c r="F356" s="366"/>
      <c r="G356" s="222"/>
      <c r="H356" s="332"/>
    </row>
    <row r="357" spans="1:9" s="290" customFormat="1" ht="12.75" hidden="1" customHeight="1" x14ac:dyDescent="0.2">
      <c r="A357" s="219"/>
      <c r="B357" s="220"/>
      <c r="C357" s="243"/>
      <c r="D357" s="258" t="s">
        <v>338</v>
      </c>
      <c r="E357" s="222"/>
      <c r="F357" s="366"/>
      <c r="G357" s="222"/>
      <c r="H357" s="332"/>
    </row>
    <row r="358" spans="1:9" s="290" customFormat="1" ht="12.75" hidden="1" customHeight="1" x14ac:dyDescent="0.2">
      <c r="A358" s="219"/>
      <c r="B358" s="220"/>
      <c r="C358" s="243"/>
      <c r="D358" s="258" t="s">
        <v>349</v>
      </c>
      <c r="E358" s="222"/>
      <c r="F358" s="366"/>
      <c r="G358" s="222"/>
      <c r="H358" s="332"/>
    </row>
    <row r="359" spans="1:9" s="290" customFormat="1" ht="12.75" hidden="1" customHeight="1" x14ac:dyDescent="0.2">
      <c r="A359" s="219"/>
      <c r="B359" s="220"/>
      <c r="C359" s="243"/>
      <c r="D359" s="258" t="s">
        <v>308</v>
      </c>
      <c r="E359" s="222"/>
      <c r="F359" s="366"/>
      <c r="G359" s="222"/>
      <c r="H359" s="332"/>
      <c r="I359" s="353"/>
    </row>
    <row r="360" spans="1:9" s="290" customFormat="1" ht="12.75" hidden="1" customHeight="1" x14ac:dyDescent="0.2">
      <c r="A360" s="219"/>
      <c r="B360" s="220"/>
      <c r="C360" s="243"/>
      <c r="D360" s="309" t="s">
        <v>386</v>
      </c>
      <c r="E360" s="222"/>
      <c r="F360" s="366"/>
      <c r="G360" s="222"/>
      <c r="H360" s="332"/>
    </row>
    <row r="361" spans="1:9" s="290" customFormat="1" ht="12.75" customHeight="1" x14ac:dyDescent="0.2">
      <c r="A361" s="223">
        <f>A354+1</f>
        <v>38</v>
      </c>
      <c r="B361" s="224">
        <v>4051</v>
      </c>
      <c r="C361" s="244" t="s">
        <v>263</v>
      </c>
      <c r="D361" s="310" t="str">
        <f>$D$5</f>
        <v>FTE APR 23</v>
      </c>
      <c r="E361" s="225">
        <f>'4051'!I$132</f>
        <v>614228.96</v>
      </c>
      <c r="F361" s="365"/>
      <c r="G361" s="225">
        <f>SUBTOTAL(109,E361:F369)</f>
        <v>614228.96</v>
      </c>
      <c r="H361" s="332"/>
    </row>
    <row r="362" spans="1:9" s="290" customFormat="1" ht="12.75" hidden="1" customHeight="1" x14ac:dyDescent="0.2">
      <c r="A362" s="223"/>
      <c r="B362" s="224"/>
      <c r="C362" s="244"/>
      <c r="D362" s="259" t="s">
        <v>337</v>
      </c>
      <c r="E362" s="225"/>
      <c r="F362" s="365"/>
      <c r="G362" s="225"/>
      <c r="H362" s="332"/>
    </row>
    <row r="363" spans="1:9" s="290" customFormat="1" ht="12.75" hidden="1" customHeight="1" x14ac:dyDescent="0.2">
      <c r="A363" s="223"/>
      <c r="B363" s="224"/>
      <c r="C363" s="244"/>
      <c r="D363" s="259" t="s">
        <v>339</v>
      </c>
      <c r="E363" s="225"/>
      <c r="F363" s="365"/>
      <c r="G363" s="225"/>
      <c r="H363" s="332"/>
    </row>
    <row r="364" spans="1:9" s="290" customFormat="1" ht="12.75" hidden="1" customHeight="1" x14ac:dyDescent="0.2">
      <c r="A364" s="223"/>
      <c r="B364" s="224"/>
      <c r="C364" s="244"/>
      <c r="D364" s="259" t="s">
        <v>338</v>
      </c>
      <c r="E364" s="225"/>
      <c r="F364" s="365"/>
      <c r="G364" s="225"/>
      <c r="H364" s="332"/>
    </row>
    <row r="365" spans="1:9" s="290" customFormat="1" ht="12.75" hidden="1" customHeight="1" x14ac:dyDescent="0.2">
      <c r="A365" s="223"/>
      <c r="B365" s="224"/>
      <c r="C365" s="244"/>
      <c r="D365" s="259" t="s">
        <v>349</v>
      </c>
      <c r="E365" s="225"/>
      <c r="F365" s="365"/>
      <c r="G365" s="225"/>
      <c r="H365" s="332"/>
    </row>
    <row r="366" spans="1:9" s="290" customFormat="1" ht="12.75" hidden="1" customHeight="1" x14ac:dyDescent="0.2">
      <c r="A366" s="223"/>
      <c r="B366" s="224"/>
      <c r="C366" s="244"/>
      <c r="D366" s="259" t="s">
        <v>308</v>
      </c>
      <c r="E366" s="225"/>
      <c r="F366" s="365"/>
      <c r="G366" s="225"/>
      <c r="H366" s="332"/>
    </row>
    <row r="367" spans="1:9" s="290" customFormat="1" ht="12.75" hidden="1" customHeight="1" x14ac:dyDescent="0.2">
      <c r="A367" s="223"/>
      <c r="B367" s="224"/>
      <c r="C367" s="244"/>
      <c r="D367" s="259" t="s">
        <v>350</v>
      </c>
      <c r="E367" s="225"/>
      <c r="F367" s="365"/>
      <c r="G367" s="225"/>
      <c r="H367" s="332"/>
    </row>
    <row r="368" spans="1:9" s="290" customFormat="1" ht="12.75" hidden="1" customHeight="1" x14ac:dyDescent="0.2">
      <c r="A368" s="223"/>
      <c r="B368" s="224"/>
      <c r="C368" s="244"/>
      <c r="D368" s="259" t="s">
        <v>403</v>
      </c>
      <c r="E368" s="225"/>
      <c r="F368" s="365"/>
      <c r="G368" s="225"/>
      <c r="H368" s="332"/>
      <c r="I368" s="355"/>
    </row>
    <row r="369" spans="1:9" s="290" customFormat="1" ht="12.75" hidden="1" customHeight="1" x14ac:dyDescent="0.2">
      <c r="A369" s="223"/>
      <c r="B369" s="224"/>
      <c r="C369" s="244"/>
      <c r="D369" s="259" t="s">
        <v>401</v>
      </c>
      <c r="E369" s="225"/>
      <c r="F369" s="365"/>
      <c r="G369" s="225"/>
      <c r="H369" s="332"/>
    </row>
    <row r="370" spans="1:9" s="290" customFormat="1" ht="12.75" customHeight="1" x14ac:dyDescent="0.2">
      <c r="A370" s="219">
        <f>A361+1</f>
        <v>39</v>
      </c>
      <c r="B370" s="293">
        <v>4061</v>
      </c>
      <c r="C370" s="295" t="s">
        <v>390</v>
      </c>
      <c r="D370" s="308" t="str">
        <f>$D$5</f>
        <v>FTE APR 23</v>
      </c>
      <c r="E370" s="222">
        <f>'4061'!I$132</f>
        <v>634806.06000000006</v>
      </c>
      <c r="F370" s="366"/>
      <c r="G370" s="222">
        <f>SUBTOTAL(109,E370:F378)</f>
        <v>634806.06000000006</v>
      </c>
      <c r="H370" s="332"/>
    </row>
    <row r="371" spans="1:9" s="290" customFormat="1" ht="12.75" hidden="1" customHeight="1" x14ac:dyDescent="0.2">
      <c r="A371" s="219"/>
      <c r="B371" s="293"/>
      <c r="C371" s="294"/>
      <c r="D371" s="258" t="s">
        <v>337</v>
      </c>
      <c r="E371" s="222"/>
      <c r="F371" s="366"/>
      <c r="G371" s="222"/>
      <c r="H371" s="332"/>
    </row>
    <row r="372" spans="1:9" s="290" customFormat="1" ht="12.75" hidden="1" customHeight="1" x14ac:dyDescent="0.2">
      <c r="A372" s="219"/>
      <c r="B372" s="220"/>
      <c r="C372" s="243"/>
      <c r="D372" s="379" t="s">
        <v>413</v>
      </c>
      <c r="E372" s="222"/>
      <c r="F372" s="366"/>
      <c r="G372" s="222"/>
      <c r="H372" s="332"/>
      <c r="I372" s="220"/>
    </row>
    <row r="373" spans="1:9" s="290" customFormat="1" ht="12.75" hidden="1" customHeight="1" x14ac:dyDescent="0.2">
      <c r="A373" s="219"/>
      <c r="B373" s="293"/>
      <c r="C373" s="294"/>
      <c r="D373" s="258" t="s">
        <v>337</v>
      </c>
      <c r="E373" s="222"/>
      <c r="F373" s="366"/>
      <c r="G373" s="222"/>
      <c r="H373" s="332"/>
    </row>
    <row r="374" spans="1:9" s="290" customFormat="1" ht="12.75" hidden="1" customHeight="1" x14ac:dyDescent="0.2">
      <c r="A374" s="219"/>
      <c r="B374" s="293"/>
      <c r="C374" s="294"/>
      <c r="D374" s="258" t="s">
        <v>339</v>
      </c>
      <c r="E374" s="222"/>
      <c r="F374" s="366"/>
      <c r="G374" s="222"/>
      <c r="H374" s="332"/>
    </row>
    <row r="375" spans="1:9" s="290" customFormat="1" ht="12.75" hidden="1" customHeight="1" x14ac:dyDescent="0.2">
      <c r="A375" s="219"/>
      <c r="B375" s="220"/>
      <c r="C375" s="243"/>
      <c r="D375" s="258" t="s">
        <v>338</v>
      </c>
      <c r="E375" s="222"/>
      <c r="F375" s="366"/>
      <c r="G375" s="222"/>
      <c r="H375" s="332"/>
      <c r="I375" s="220"/>
    </row>
    <row r="376" spans="1:9" s="290" customFormat="1" ht="12.75" hidden="1" customHeight="1" x14ac:dyDescent="0.2">
      <c r="A376" s="219"/>
      <c r="B376" s="220"/>
      <c r="C376" s="243"/>
      <c r="D376" s="258" t="s">
        <v>349</v>
      </c>
      <c r="E376" s="222"/>
      <c r="F376" s="366"/>
      <c r="G376" s="222"/>
      <c r="H376" s="332"/>
    </row>
    <row r="377" spans="1:9" s="290" customFormat="1" ht="12.75" hidden="1" customHeight="1" x14ac:dyDescent="0.2">
      <c r="A377" s="219"/>
      <c r="B377" s="220"/>
      <c r="C377" s="243"/>
      <c r="D377" s="258" t="s">
        <v>308</v>
      </c>
      <c r="E377" s="222"/>
      <c r="F377" s="366"/>
      <c r="G377" s="222"/>
      <c r="H377" s="332"/>
      <c r="I377" s="353"/>
    </row>
    <row r="378" spans="1:9" s="290" customFormat="1" ht="12.75" hidden="1" customHeight="1" x14ac:dyDescent="0.2">
      <c r="A378" s="219"/>
      <c r="B378" s="220"/>
      <c r="C378" s="243"/>
      <c r="D378" s="309" t="s">
        <v>386</v>
      </c>
      <c r="E378" s="222"/>
      <c r="F378" s="366"/>
      <c r="G378" s="222"/>
      <c r="H378" s="332"/>
      <c r="I378" s="353"/>
    </row>
    <row r="379" spans="1:9" s="290" customFormat="1" ht="12.75" customHeight="1" x14ac:dyDescent="0.2">
      <c r="A379" s="223">
        <f>A370+1</f>
        <v>40</v>
      </c>
      <c r="B379" s="224">
        <v>4080</v>
      </c>
      <c r="C379" s="244" t="s">
        <v>288</v>
      </c>
      <c r="D379" s="310" t="str">
        <f>$D$5</f>
        <v>FTE APR 23</v>
      </c>
      <c r="E379" s="225">
        <f>'4080'!I$132</f>
        <v>155561.98000000001</v>
      </c>
      <c r="F379" s="365"/>
      <c r="G379" s="225">
        <f>SUBTOTAL(109,E379:F385)</f>
        <v>155561.98000000001</v>
      </c>
      <c r="H379" s="332"/>
    </row>
    <row r="380" spans="1:9" s="290" customFormat="1" ht="12.75" hidden="1" customHeight="1" x14ac:dyDescent="0.2">
      <c r="A380" s="223"/>
      <c r="B380" s="224"/>
      <c r="C380" s="244"/>
      <c r="D380" s="259" t="s">
        <v>337</v>
      </c>
      <c r="E380" s="225"/>
      <c r="F380" s="365"/>
      <c r="G380" s="225"/>
      <c r="H380" s="332"/>
    </row>
    <row r="381" spans="1:9" s="290" customFormat="1" ht="12.75" hidden="1" customHeight="1" x14ac:dyDescent="0.2">
      <c r="A381" s="223"/>
      <c r="B381" s="224"/>
      <c r="C381" s="244"/>
      <c r="D381" s="259" t="s">
        <v>339</v>
      </c>
      <c r="E381" s="225"/>
      <c r="F381" s="365"/>
      <c r="G381" s="225"/>
      <c r="H381" s="332"/>
    </row>
    <row r="382" spans="1:9" s="290" customFormat="1" ht="12.75" hidden="1" customHeight="1" x14ac:dyDescent="0.2">
      <c r="A382" s="223"/>
      <c r="B382" s="224"/>
      <c r="C382" s="244"/>
      <c r="D382" s="259" t="s">
        <v>338</v>
      </c>
      <c r="E382" s="225"/>
      <c r="F382" s="365"/>
      <c r="G382" s="225"/>
      <c r="H382" s="332"/>
    </row>
    <row r="383" spans="1:9" s="290" customFormat="1" ht="12.75" hidden="1" customHeight="1" x14ac:dyDescent="0.2">
      <c r="A383" s="223"/>
      <c r="B383" s="224"/>
      <c r="C383" s="244"/>
      <c r="D383" s="259" t="s">
        <v>349</v>
      </c>
      <c r="E383" s="225"/>
      <c r="F383" s="365"/>
      <c r="G383" s="225"/>
      <c r="H383" s="332"/>
    </row>
    <row r="384" spans="1:9" s="290" customFormat="1" ht="12.75" hidden="1" customHeight="1" x14ac:dyDescent="0.2">
      <c r="A384" s="223"/>
      <c r="B384" s="224"/>
      <c r="C384" s="244"/>
      <c r="D384" s="259" t="s">
        <v>308</v>
      </c>
      <c r="E384" s="225"/>
      <c r="F384" s="365"/>
      <c r="G384" s="225"/>
      <c r="H384" s="332"/>
    </row>
    <row r="385" spans="1:12" s="290" customFormat="1" ht="12.75" hidden="1" customHeight="1" x14ac:dyDescent="0.2">
      <c r="A385" s="223"/>
      <c r="B385" s="224"/>
      <c r="C385" s="244"/>
      <c r="D385" s="259" t="s">
        <v>386</v>
      </c>
      <c r="E385" s="225"/>
      <c r="F385" s="365"/>
      <c r="G385" s="225"/>
      <c r="H385" s="332"/>
    </row>
    <row r="386" spans="1:12" s="290" customFormat="1" ht="12.75" customHeight="1" x14ac:dyDescent="0.2">
      <c r="A386" s="219">
        <f>1+A379</f>
        <v>41</v>
      </c>
      <c r="B386" s="293">
        <v>4081</v>
      </c>
      <c r="C386" s="295" t="s">
        <v>284</v>
      </c>
      <c r="D386" s="308" t="str">
        <f>$D$5</f>
        <v>FTE APR 23</v>
      </c>
      <c r="E386" s="222">
        <f>'4081'!I$132</f>
        <v>92261.72</v>
      </c>
      <c r="F386" s="366"/>
      <c r="G386" s="222">
        <f>SUBTOTAL(109,E386:F394)</f>
        <v>92261.72</v>
      </c>
      <c r="H386" s="332"/>
      <c r="L386" s="354"/>
    </row>
    <row r="387" spans="1:12" s="290" customFormat="1" ht="12.75" hidden="1" customHeight="1" x14ac:dyDescent="0.2">
      <c r="A387" s="219"/>
      <c r="B387" s="293"/>
      <c r="C387" s="295"/>
      <c r="D387" s="258" t="s">
        <v>337</v>
      </c>
      <c r="E387" s="222"/>
      <c r="F387" s="366"/>
      <c r="G387" s="222"/>
      <c r="H387" s="332"/>
    </row>
    <row r="388" spans="1:12" s="290" customFormat="1" ht="12.75" hidden="1" customHeight="1" x14ac:dyDescent="0.2">
      <c r="A388" s="219"/>
      <c r="B388" s="220"/>
      <c r="C388" s="243"/>
      <c r="D388" s="379" t="s">
        <v>414</v>
      </c>
      <c r="E388" s="222"/>
      <c r="F388" s="366"/>
      <c r="G388" s="222"/>
      <c r="H388" s="332"/>
      <c r="I388" s="220"/>
    </row>
    <row r="389" spans="1:12" s="290" customFormat="1" ht="12.75" hidden="1" customHeight="1" x14ac:dyDescent="0.2">
      <c r="A389" s="219"/>
      <c r="B389" s="293"/>
      <c r="C389" s="295"/>
      <c r="D389" s="258" t="s">
        <v>339</v>
      </c>
      <c r="E389" s="222"/>
      <c r="F389" s="366"/>
      <c r="G389" s="222"/>
      <c r="H389" s="332"/>
    </row>
    <row r="390" spans="1:12" s="290" customFormat="1" ht="12.75" hidden="1" customHeight="1" x14ac:dyDescent="0.2">
      <c r="A390" s="219"/>
      <c r="B390" s="293"/>
      <c r="C390" s="295"/>
      <c r="D390" s="258" t="s">
        <v>338</v>
      </c>
      <c r="E390" s="222"/>
      <c r="F390" s="366"/>
      <c r="G390" s="222"/>
      <c r="H390" s="332"/>
    </row>
    <row r="391" spans="1:12" s="290" customFormat="1" ht="12.75" hidden="1" customHeight="1" x14ac:dyDescent="0.2">
      <c r="A391" s="219"/>
      <c r="B391" s="293"/>
      <c r="C391" s="295"/>
      <c r="D391" s="258" t="s">
        <v>349</v>
      </c>
      <c r="E391" s="222"/>
      <c r="F391" s="366"/>
      <c r="G391" s="222"/>
      <c r="H391" s="332"/>
    </row>
    <row r="392" spans="1:12" s="290" customFormat="1" ht="12.75" hidden="1" customHeight="1" x14ac:dyDescent="0.2">
      <c r="A392" s="219"/>
      <c r="B392" s="220"/>
      <c r="C392" s="243"/>
      <c r="D392" s="258" t="s">
        <v>308</v>
      </c>
      <c r="E392" s="222"/>
      <c r="F392" s="366"/>
      <c r="G392" s="222"/>
      <c r="H392" s="332"/>
      <c r="I392" s="353"/>
    </row>
    <row r="393" spans="1:12" s="290" customFormat="1" ht="12.75" hidden="1" customHeight="1" x14ac:dyDescent="0.2">
      <c r="A393" s="219"/>
      <c r="B393" s="220"/>
      <c r="C393" s="243"/>
      <c r="D393" s="258" t="s">
        <v>404</v>
      </c>
      <c r="E393" s="222"/>
      <c r="F393" s="366"/>
      <c r="G393" s="222"/>
      <c r="H393" s="332"/>
      <c r="I393" s="355"/>
    </row>
    <row r="394" spans="1:12" s="290" customFormat="1" ht="12.75" hidden="1" customHeight="1" x14ac:dyDescent="0.2">
      <c r="A394" s="219"/>
      <c r="B394" s="220"/>
      <c r="C394" s="243"/>
      <c r="D394" s="309" t="s">
        <v>386</v>
      </c>
      <c r="E394" s="222"/>
      <c r="F394" s="366"/>
      <c r="G394" s="222"/>
      <c r="H394" s="332"/>
      <c r="I394" s="353"/>
    </row>
    <row r="395" spans="1:12" s="290" customFormat="1" ht="12.75" customHeight="1" x14ac:dyDescent="0.2">
      <c r="A395" s="223">
        <f>1+A386</f>
        <v>42</v>
      </c>
      <c r="B395" s="224">
        <v>4090</v>
      </c>
      <c r="C395" s="244" t="s">
        <v>333</v>
      </c>
      <c r="D395" s="310" t="str">
        <f>$D$5</f>
        <v>FTE APR 23</v>
      </c>
      <c r="E395" s="225">
        <f>'4090'!I$132</f>
        <v>202929.25</v>
      </c>
      <c r="F395" s="365"/>
      <c r="G395" s="225">
        <f>SUBTOTAL(109,E395:F404)</f>
        <v>202024.26</v>
      </c>
      <c r="H395" s="332"/>
      <c r="L395" s="354"/>
    </row>
    <row r="396" spans="1:12" s="290" customFormat="1" ht="12.75" hidden="1" customHeight="1" x14ac:dyDescent="0.2">
      <c r="A396" s="223"/>
      <c r="B396" s="224"/>
      <c r="C396" s="244"/>
      <c r="D396" s="259" t="s">
        <v>337</v>
      </c>
      <c r="E396" s="225"/>
      <c r="F396" s="365"/>
      <c r="G396" s="225"/>
      <c r="H396" s="332"/>
    </row>
    <row r="397" spans="1:12" s="290" customFormat="1" ht="12.75" hidden="1" customHeight="1" x14ac:dyDescent="0.2">
      <c r="A397" s="223"/>
      <c r="B397" s="224"/>
      <c r="C397" s="244"/>
      <c r="D397" s="414" t="s">
        <v>414</v>
      </c>
      <c r="E397" s="225"/>
      <c r="F397" s="365"/>
      <c r="G397" s="225"/>
      <c r="H397" s="332"/>
      <c r="I397" s="220"/>
    </row>
    <row r="398" spans="1:12" s="290" customFormat="1" ht="12.75" hidden="1" customHeight="1" x14ac:dyDescent="0.2">
      <c r="A398" s="223"/>
      <c r="B398" s="224"/>
      <c r="C398" s="244"/>
      <c r="D398" s="414" t="s">
        <v>413</v>
      </c>
      <c r="E398" s="225"/>
      <c r="F398" s="365"/>
      <c r="G398" s="225"/>
      <c r="H398" s="332"/>
      <c r="I398" s="220"/>
    </row>
    <row r="399" spans="1:12" s="290" customFormat="1" ht="12.75" hidden="1" customHeight="1" x14ac:dyDescent="0.2">
      <c r="A399" s="223"/>
      <c r="B399" s="224"/>
      <c r="C399" s="244"/>
      <c r="D399" s="259" t="s">
        <v>339</v>
      </c>
      <c r="E399" s="225"/>
      <c r="F399" s="365"/>
      <c r="G399" s="225"/>
      <c r="H399" s="332"/>
    </row>
    <row r="400" spans="1:12" s="290" customFormat="1" ht="12.75" hidden="1" customHeight="1" x14ac:dyDescent="0.2">
      <c r="A400" s="223"/>
      <c r="B400" s="224"/>
      <c r="C400" s="244"/>
      <c r="D400" s="259" t="s">
        <v>338</v>
      </c>
      <c r="E400" s="225"/>
      <c r="F400" s="365"/>
      <c r="G400" s="225"/>
      <c r="H400" s="332"/>
    </row>
    <row r="401" spans="1:13" s="290" customFormat="1" ht="12.75" hidden="1" customHeight="1" x14ac:dyDescent="0.2">
      <c r="A401" s="223"/>
      <c r="B401" s="224"/>
      <c r="C401" s="244"/>
      <c r="D401" s="259" t="s">
        <v>349</v>
      </c>
      <c r="E401" s="225"/>
      <c r="F401" s="365"/>
      <c r="G401" s="225"/>
      <c r="H401" s="332"/>
    </row>
    <row r="402" spans="1:13" s="290" customFormat="1" ht="12.75" hidden="1" customHeight="1" x14ac:dyDescent="0.2">
      <c r="A402" s="223"/>
      <c r="B402" s="224"/>
      <c r="C402" s="244"/>
      <c r="D402" s="259" t="s">
        <v>308</v>
      </c>
      <c r="E402" s="225"/>
      <c r="F402" s="365"/>
      <c r="G402" s="225"/>
      <c r="H402" s="332"/>
    </row>
    <row r="403" spans="1:13" s="290" customFormat="1" ht="12.75" hidden="1" customHeight="1" x14ac:dyDescent="0.2">
      <c r="A403" s="223"/>
      <c r="B403" s="224"/>
      <c r="C403" s="244"/>
      <c r="D403" s="259" t="s">
        <v>404</v>
      </c>
      <c r="E403" s="225"/>
      <c r="F403" s="365"/>
      <c r="G403" s="225"/>
      <c r="H403" s="332"/>
    </row>
    <row r="404" spans="1:13" s="290" customFormat="1" ht="12.75" customHeight="1" x14ac:dyDescent="0.2">
      <c r="A404" s="223"/>
      <c r="B404" s="224"/>
      <c r="C404" s="244"/>
      <c r="D404" s="259" t="s">
        <v>483</v>
      </c>
      <c r="E404" s="225"/>
      <c r="F404" s="365">
        <v>-904.99</v>
      </c>
      <c r="G404" s="225"/>
      <c r="H404" s="332"/>
    </row>
    <row r="405" spans="1:13" s="290" customFormat="1" ht="12.75" customHeight="1" x14ac:dyDescent="0.2">
      <c r="A405" s="219">
        <f>1+A395</f>
        <v>43</v>
      </c>
      <c r="B405" s="293">
        <v>4091</v>
      </c>
      <c r="C405" s="295" t="s">
        <v>334</v>
      </c>
      <c r="D405" s="308" t="str">
        <f>$D$5</f>
        <v>FTE APR 23</v>
      </c>
      <c r="E405" s="222">
        <f>'4091'!I$132</f>
        <v>277093.78000000003</v>
      </c>
      <c r="F405" s="366"/>
      <c r="G405" s="222">
        <f>SUBTOTAL(109,E405:F414)</f>
        <v>277093.78000000003</v>
      </c>
      <c r="H405" s="332"/>
      <c r="M405" s="354"/>
    </row>
    <row r="406" spans="1:13" s="290" customFormat="1" ht="12.75" hidden="1" customHeight="1" x14ac:dyDescent="0.2">
      <c r="A406" s="219"/>
      <c r="B406" s="293"/>
      <c r="C406" s="295"/>
      <c r="D406" s="258" t="s">
        <v>337</v>
      </c>
      <c r="E406" s="222"/>
      <c r="F406" s="366"/>
      <c r="G406" s="222"/>
      <c r="H406" s="332"/>
    </row>
    <row r="407" spans="1:13" s="290" customFormat="1" ht="12.75" hidden="1" customHeight="1" x14ac:dyDescent="0.2">
      <c r="A407" s="219"/>
      <c r="B407" s="220"/>
      <c r="C407" s="243"/>
      <c r="D407" s="379" t="s">
        <v>414</v>
      </c>
      <c r="E407" s="222"/>
      <c r="F407" s="366"/>
      <c r="G407" s="222"/>
      <c r="H407" s="332"/>
      <c r="I407" s="220"/>
    </row>
    <row r="408" spans="1:13" s="290" customFormat="1" ht="12.75" hidden="1" customHeight="1" x14ac:dyDescent="0.2">
      <c r="A408" s="219"/>
      <c r="B408" s="293"/>
      <c r="C408" s="295"/>
      <c r="D408" s="258" t="s">
        <v>339</v>
      </c>
      <c r="E408" s="222"/>
      <c r="F408" s="366"/>
      <c r="G408" s="222"/>
      <c r="H408" s="332"/>
    </row>
    <row r="409" spans="1:13" s="290" customFormat="1" ht="12.75" hidden="1" customHeight="1" x14ac:dyDescent="0.2">
      <c r="A409" s="219"/>
      <c r="B409" s="293"/>
      <c r="C409" s="295"/>
      <c r="D409" s="258" t="s">
        <v>338</v>
      </c>
      <c r="E409" s="222"/>
      <c r="F409" s="366"/>
      <c r="G409" s="222"/>
      <c r="H409" s="332"/>
    </row>
    <row r="410" spans="1:13" s="290" customFormat="1" ht="12.75" hidden="1" customHeight="1" x14ac:dyDescent="0.2">
      <c r="A410" s="219"/>
      <c r="B410" s="293"/>
      <c r="C410" s="295"/>
      <c r="D410" s="258" t="s">
        <v>349</v>
      </c>
      <c r="E410" s="222"/>
      <c r="F410" s="366"/>
      <c r="G410" s="222"/>
      <c r="H410" s="332"/>
    </row>
    <row r="411" spans="1:13" s="290" customFormat="1" ht="12.75" hidden="1" customHeight="1" x14ac:dyDescent="0.2">
      <c r="A411" s="219"/>
      <c r="B411" s="220"/>
      <c r="C411" s="243"/>
      <c r="D411" s="258" t="s">
        <v>308</v>
      </c>
      <c r="E411" s="222"/>
      <c r="F411" s="366"/>
      <c r="G411" s="222"/>
      <c r="H411" s="332"/>
      <c r="I411" s="353"/>
    </row>
    <row r="412" spans="1:13" s="290" customFormat="1" ht="12.75" hidden="1" customHeight="1" x14ac:dyDescent="0.2">
      <c r="A412" s="219"/>
      <c r="B412" s="220"/>
      <c r="C412" s="243"/>
      <c r="D412" s="258" t="s">
        <v>404</v>
      </c>
      <c r="E412" s="222"/>
      <c r="F412" s="366"/>
      <c r="G412" s="222"/>
      <c r="H412" s="332"/>
      <c r="I412" s="355"/>
    </row>
    <row r="413" spans="1:13" s="290" customFormat="1" ht="12.75" hidden="1" customHeight="1" x14ac:dyDescent="0.2">
      <c r="A413" s="219"/>
      <c r="B413" s="220"/>
      <c r="C413" s="243"/>
      <c r="D413" s="309" t="s">
        <v>386</v>
      </c>
      <c r="E413" s="222"/>
      <c r="F413" s="366"/>
      <c r="G413" s="222"/>
      <c r="H413" s="332"/>
    </row>
    <row r="414" spans="1:13" s="290" customFormat="1" ht="12.75" hidden="1" customHeight="1" x14ac:dyDescent="0.2">
      <c r="A414" s="219"/>
      <c r="B414" s="220"/>
      <c r="C414" s="243"/>
      <c r="D414" s="309" t="s">
        <v>462</v>
      </c>
      <c r="E414" s="222"/>
      <c r="F414" s="366"/>
      <c r="G414" s="222"/>
      <c r="H414" s="332"/>
    </row>
    <row r="415" spans="1:13" s="290" customFormat="1" ht="12.75" customHeight="1" x14ac:dyDescent="0.2">
      <c r="A415" s="223">
        <f>1+A405</f>
        <v>44</v>
      </c>
      <c r="B415" s="224">
        <v>4100</v>
      </c>
      <c r="C415" s="244" t="s">
        <v>326</v>
      </c>
      <c r="D415" s="310" t="str">
        <f>$D$5</f>
        <v>FTE APR 23</v>
      </c>
      <c r="E415" s="225">
        <f>'4100'!I$132</f>
        <v>261983.25</v>
      </c>
      <c r="F415" s="365"/>
      <c r="G415" s="225">
        <f>SUBTOTAL(109,E415:F423)</f>
        <v>261983.25</v>
      </c>
      <c r="H415" s="332"/>
    </row>
    <row r="416" spans="1:13" s="290" customFormat="1" ht="12.75" hidden="1" customHeight="1" x14ac:dyDescent="0.2">
      <c r="A416" s="223"/>
      <c r="B416" s="224"/>
      <c r="C416" s="244"/>
      <c r="D416" s="259" t="s">
        <v>337</v>
      </c>
      <c r="E416" s="225"/>
      <c r="F416" s="365"/>
      <c r="G416" s="225"/>
      <c r="H416" s="332"/>
    </row>
    <row r="417" spans="1:9" s="290" customFormat="1" ht="12.75" hidden="1" customHeight="1" x14ac:dyDescent="0.2">
      <c r="A417" s="223"/>
      <c r="B417" s="224"/>
      <c r="C417" s="244"/>
      <c r="D417" s="414" t="s">
        <v>414</v>
      </c>
      <c r="E417" s="225"/>
      <c r="F417" s="365"/>
      <c r="G417" s="225"/>
      <c r="H417" s="332"/>
      <c r="I417" s="220"/>
    </row>
    <row r="418" spans="1:9" s="290" customFormat="1" ht="12.75" hidden="1" customHeight="1" x14ac:dyDescent="0.2">
      <c r="A418" s="223"/>
      <c r="B418" s="224"/>
      <c r="C418" s="244"/>
      <c r="D418" s="259" t="s">
        <v>339</v>
      </c>
      <c r="E418" s="225"/>
      <c r="F418" s="365"/>
      <c r="G418" s="225"/>
      <c r="H418" s="332"/>
    </row>
    <row r="419" spans="1:9" s="290" customFormat="1" ht="12.75" hidden="1" customHeight="1" x14ac:dyDescent="0.2">
      <c r="A419" s="223"/>
      <c r="B419" s="224"/>
      <c r="C419" s="244"/>
      <c r="D419" s="259" t="s">
        <v>338</v>
      </c>
      <c r="E419" s="225"/>
      <c r="F419" s="365"/>
      <c r="G419" s="225"/>
      <c r="H419" s="332"/>
    </row>
    <row r="420" spans="1:9" s="290" customFormat="1" ht="12.75" hidden="1" customHeight="1" x14ac:dyDescent="0.2">
      <c r="A420" s="223"/>
      <c r="B420" s="224"/>
      <c r="C420" s="244"/>
      <c r="D420" s="259" t="s">
        <v>349</v>
      </c>
      <c r="E420" s="225"/>
      <c r="F420" s="365"/>
      <c r="G420" s="225"/>
      <c r="H420" s="332"/>
    </row>
    <row r="421" spans="1:9" s="290" customFormat="1" ht="12.75" hidden="1" customHeight="1" x14ac:dyDescent="0.2">
      <c r="A421" s="223"/>
      <c r="B421" s="224"/>
      <c r="C421" s="244"/>
      <c r="D421" s="259" t="s">
        <v>308</v>
      </c>
      <c r="E421" s="225"/>
      <c r="F421" s="365"/>
      <c r="G421" s="225"/>
      <c r="H421" s="332"/>
    </row>
    <row r="422" spans="1:9" s="290" customFormat="1" ht="12.75" hidden="1" customHeight="1" x14ac:dyDescent="0.2">
      <c r="A422" s="223"/>
      <c r="B422" s="224"/>
      <c r="C422" s="244"/>
      <c r="D422" s="259" t="s">
        <v>404</v>
      </c>
      <c r="E422" s="225"/>
      <c r="F422" s="365"/>
      <c r="G422" s="225"/>
      <c r="H422" s="332"/>
    </row>
    <row r="423" spans="1:9" s="290" customFormat="1" ht="12.75" hidden="1" customHeight="1" x14ac:dyDescent="0.2">
      <c r="A423" s="223"/>
      <c r="B423" s="224"/>
      <c r="C423" s="244"/>
      <c r="D423" s="259" t="s">
        <v>386</v>
      </c>
      <c r="E423" s="225"/>
      <c r="F423" s="365"/>
      <c r="G423" s="225"/>
      <c r="H423" s="332"/>
    </row>
    <row r="424" spans="1:9" s="290" customFormat="1" ht="12.75" customHeight="1" x14ac:dyDescent="0.2">
      <c r="A424" s="219">
        <f>1+A415</f>
        <v>45</v>
      </c>
      <c r="B424" s="293">
        <v>4102</v>
      </c>
      <c r="C424" s="295" t="s">
        <v>341</v>
      </c>
      <c r="D424" s="313" t="str">
        <f>$D$5</f>
        <v>FTE APR 23</v>
      </c>
      <c r="E424" s="222">
        <f>'4102'!I$132</f>
        <v>66909.710000000006</v>
      </c>
      <c r="F424" s="366"/>
      <c r="G424" s="222">
        <f>SUBTOTAL(109,E424:F431)</f>
        <v>66909.710000000006</v>
      </c>
      <c r="H424" s="332"/>
    </row>
    <row r="425" spans="1:9" s="290" customFormat="1" ht="12.75" hidden="1" customHeight="1" x14ac:dyDescent="0.2">
      <c r="A425" s="219"/>
      <c r="B425" s="293"/>
      <c r="C425" s="295"/>
      <c r="D425" s="258" t="s">
        <v>337</v>
      </c>
      <c r="E425" s="222"/>
      <c r="F425" s="366"/>
      <c r="G425" s="222"/>
      <c r="H425" s="332"/>
    </row>
    <row r="426" spans="1:9" s="290" customFormat="1" ht="12.75" hidden="1" customHeight="1" x14ac:dyDescent="0.2">
      <c r="A426" s="219"/>
      <c r="B426" s="220"/>
      <c r="C426" s="243"/>
      <c r="D426" s="379" t="s">
        <v>413</v>
      </c>
      <c r="E426" s="222"/>
      <c r="F426" s="366"/>
      <c r="G426" s="222"/>
      <c r="H426" s="332"/>
      <c r="I426" s="220"/>
    </row>
    <row r="427" spans="1:9" s="290" customFormat="1" ht="12.75" hidden="1" customHeight="1" x14ac:dyDescent="0.2">
      <c r="A427" s="219"/>
      <c r="B427" s="293"/>
      <c r="C427" s="295"/>
      <c r="D427" s="258" t="s">
        <v>339</v>
      </c>
      <c r="E427" s="222"/>
      <c r="F427" s="366"/>
      <c r="G427" s="222"/>
      <c r="H427" s="332"/>
    </row>
    <row r="428" spans="1:9" s="290" customFormat="1" ht="12.75" hidden="1" customHeight="1" x14ac:dyDescent="0.2">
      <c r="A428" s="219"/>
      <c r="B428" s="293"/>
      <c r="C428" s="295"/>
      <c r="D428" s="258" t="s">
        <v>338</v>
      </c>
      <c r="E428" s="222"/>
      <c r="F428" s="366"/>
      <c r="G428" s="222"/>
      <c r="H428" s="332"/>
    </row>
    <row r="429" spans="1:9" s="290" customFormat="1" ht="12.75" hidden="1" customHeight="1" x14ac:dyDescent="0.2">
      <c r="A429" s="219"/>
      <c r="B429" s="293"/>
      <c r="C429" s="295"/>
      <c r="D429" s="258" t="s">
        <v>349</v>
      </c>
      <c r="E429" s="222"/>
      <c r="F429" s="366"/>
      <c r="G429" s="222"/>
      <c r="H429" s="332"/>
      <c r="I429" s="212"/>
    </row>
    <row r="430" spans="1:9" s="290" customFormat="1" ht="12.75" hidden="1" customHeight="1" x14ac:dyDescent="0.2">
      <c r="A430" s="219"/>
      <c r="B430" s="220"/>
      <c r="C430" s="243"/>
      <c r="D430" s="258" t="s">
        <v>308</v>
      </c>
      <c r="E430" s="222"/>
      <c r="F430" s="366"/>
      <c r="G430" s="222"/>
      <c r="H430" s="332"/>
      <c r="I430" s="353"/>
    </row>
    <row r="431" spans="1:9" s="290" customFormat="1" ht="12.75" hidden="1" customHeight="1" x14ac:dyDescent="0.2">
      <c r="A431" s="219"/>
      <c r="B431" s="220"/>
      <c r="C431" s="243"/>
      <c r="D431" s="309" t="s">
        <v>386</v>
      </c>
      <c r="E431" s="222"/>
      <c r="F431" s="366"/>
      <c r="G431" s="222"/>
      <c r="H431" s="332"/>
      <c r="I431" s="353"/>
    </row>
    <row r="432" spans="1:9" s="290" customFormat="1" ht="12.75" customHeight="1" x14ac:dyDescent="0.2">
      <c r="A432" s="223">
        <f>A424+1</f>
        <v>46</v>
      </c>
      <c r="B432" s="224">
        <v>4103</v>
      </c>
      <c r="C432" s="244" t="s">
        <v>365</v>
      </c>
      <c r="D432" s="310" t="str">
        <f>$D$5</f>
        <v>FTE APR 23</v>
      </c>
      <c r="E432" s="225">
        <f>'4103'!I$132</f>
        <v>766706.44</v>
      </c>
      <c r="F432" s="365"/>
      <c r="G432" s="225">
        <f>SUBTOTAL(109,E432:F441)</f>
        <v>766706.44</v>
      </c>
      <c r="H432" s="332"/>
    </row>
    <row r="433" spans="1:9" s="290" customFormat="1" ht="12.75" hidden="1" customHeight="1" x14ac:dyDescent="0.2">
      <c r="A433" s="223"/>
      <c r="B433" s="224"/>
      <c r="C433" s="244"/>
      <c r="D433" s="259" t="s">
        <v>337</v>
      </c>
      <c r="E433" s="225"/>
      <c r="F433" s="365"/>
      <c r="G433" s="225"/>
      <c r="H433" s="332"/>
    </row>
    <row r="434" spans="1:9" s="290" customFormat="1" ht="12.75" hidden="1" customHeight="1" x14ac:dyDescent="0.2">
      <c r="A434" s="223"/>
      <c r="B434" s="224"/>
      <c r="C434" s="244"/>
      <c r="D434" s="414" t="s">
        <v>414</v>
      </c>
      <c r="E434" s="225"/>
      <c r="F434" s="365"/>
      <c r="G434" s="225"/>
      <c r="H434" s="332"/>
      <c r="I434" s="220"/>
    </row>
    <row r="435" spans="1:9" s="290" customFormat="1" ht="12.75" hidden="1" customHeight="1" x14ac:dyDescent="0.2">
      <c r="A435" s="223"/>
      <c r="B435" s="224"/>
      <c r="C435" s="244"/>
      <c r="D435" s="414" t="s">
        <v>413</v>
      </c>
      <c r="E435" s="225"/>
      <c r="F435" s="365"/>
      <c r="G435" s="225"/>
      <c r="H435" s="332"/>
      <c r="I435" s="220"/>
    </row>
    <row r="436" spans="1:9" s="290" customFormat="1" ht="12.75" hidden="1" customHeight="1" x14ac:dyDescent="0.2">
      <c r="A436" s="223"/>
      <c r="B436" s="224"/>
      <c r="C436" s="244"/>
      <c r="D436" s="259" t="s">
        <v>339</v>
      </c>
      <c r="E436" s="225"/>
      <c r="F436" s="365"/>
      <c r="G436" s="225"/>
      <c r="H436" s="332"/>
    </row>
    <row r="437" spans="1:9" s="290" customFormat="1" ht="12.75" hidden="1" customHeight="1" x14ac:dyDescent="0.2">
      <c r="A437" s="223"/>
      <c r="B437" s="224"/>
      <c r="C437" s="244"/>
      <c r="D437" s="259" t="s">
        <v>338</v>
      </c>
      <c r="E437" s="225"/>
      <c r="F437" s="365"/>
      <c r="G437" s="225"/>
      <c r="H437" s="332"/>
    </row>
    <row r="438" spans="1:9" s="290" customFormat="1" ht="12.75" hidden="1" customHeight="1" x14ac:dyDescent="0.2">
      <c r="A438" s="223"/>
      <c r="B438" s="224"/>
      <c r="C438" s="244"/>
      <c r="D438" s="259" t="s">
        <v>349</v>
      </c>
      <c r="E438" s="225"/>
      <c r="F438" s="365"/>
      <c r="G438" s="225"/>
      <c r="H438" s="332"/>
    </row>
    <row r="439" spans="1:9" s="290" customFormat="1" ht="12.75" hidden="1" customHeight="1" x14ac:dyDescent="0.2">
      <c r="A439" s="223"/>
      <c r="B439" s="224"/>
      <c r="C439" s="244"/>
      <c r="D439" s="259" t="s">
        <v>308</v>
      </c>
      <c r="E439" s="225"/>
      <c r="F439" s="365"/>
      <c r="G439" s="225"/>
      <c r="H439" s="332"/>
    </row>
    <row r="440" spans="1:9" s="290" customFormat="1" ht="12.75" hidden="1" customHeight="1" x14ac:dyDescent="0.2">
      <c r="A440" s="223"/>
      <c r="B440" s="224"/>
      <c r="C440" s="244"/>
      <c r="D440" s="259" t="s">
        <v>404</v>
      </c>
      <c r="E440" s="225"/>
      <c r="F440" s="365"/>
      <c r="G440" s="225"/>
      <c r="H440" s="332"/>
    </row>
    <row r="441" spans="1:9" s="290" customFormat="1" ht="12.75" hidden="1" customHeight="1" x14ac:dyDescent="0.2">
      <c r="A441" s="223"/>
      <c r="B441" s="224"/>
      <c r="C441" s="244"/>
      <c r="D441" s="259" t="s">
        <v>386</v>
      </c>
      <c r="E441" s="225"/>
      <c r="F441" s="365"/>
      <c r="G441" s="225"/>
      <c r="H441" s="332"/>
    </row>
    <row r="442" spans="1:9" s="290" customFormat="1" ht="12.75" customHeight="1" x14ac:dyDescent="0.2">
      <c r="A442" s="219">
        <f>1+A432</f>
        <v>47</v>
      </c>
      <c r="B442" s="293">
        <v>4111</v>
      </c>
      <c r="C442" s="295" t="s">
        <v>383</v>
      </c>
      <c r="D442" s="313" t="str">
        <f>$D$5</f>
        <v>FTE APR 23</v>
      </c>
      <c r="E442" s="222">
        <f>'4111'!I$132</f>
        <v>216329.02</v>
      </c>
      <c r="F442" s="366"/>
      <c r="G442" s="222">
        <f>SUBTOTAL(109,E442:F450)</f>
        <v>216329.02</v>
      </c>
      <c r="H442" s="332"/>
    </row>
    <row r="443" spans="1:9" s="290" customFormat="1" ht="12.75" hidden="1" customHeight="1" x14ac:dyDescent="0.2">
      <c r="A443" s="219"/>
      <c r="B443" s="293"/>
      <c r="C443" s="295"/>
      <c r="D443" s="258" t="s">
        <v>337</v>
      </c>
      <c r="E443" s="222"/>
      <c r="F443" s="366"/>
      <c r="G443" s="222"/>
      <c r="H443" s="332"/>
    </row>
    <row r="444" spans="1:9" s="290" customFormat="1" ht="12.75" hidden="1" customHeight="1" x14ac:dyDescent="0.2">
      <c r="A444" s="219"/>
      <c r="B444" s="220"/>
      <c r="C444" s="243"/>
      <c r="D444" s="379" t="s">
        <v>414</v>
      </c>
      <c r="E444" s="222"/>
      <c r="F444" s="366"/>
      <c r="G444" s="222"/>
      <c r="H444" s="332"/>
      <c r="I444" s="220"/>
    </row>
    <row r="445" spans="1:9" s="290" customFormat="1" ht="12.75" hidden="1" customHeight="1" x14ac:dyDescent="0.2">
      <c r="A445" s="219"/>
      <c r="B445" s="293"/>
      <c r="C445" s="295"/>
      <c r="D445" s="258" t="s">
        <v>339</v>
      </c>
      <c r="E445" s="222"/>
      <c r="F445" s="366"/>
      <c r="G445" s="222"/>
      <c r="H445" s="332"/>
    </row>
    <row r="446" spans="1:9" s="290" customFormat="1" ht="12.75" hidden="1" customHeight="1" x14ac:dyDescent="0.2">
      <c r="A446" s="219"/>
      <c r="B446" s="293"/>
      <c r="C446" s="295"/>
      <c r="D446" s="258" t="s">
        <v>338</v>
      </c>
      <c r="E446" s="222"/>
      <c r="F446" s="366"/>
      <c r="G446" s="222"/>
      <c r="H446" s="332"/>
    </row>
    <row r="447" spans="1:9" s="290" customFormat="1" ht="12.75" hidden="1" customHeight="1" x14ac:dyDescent="0.2">
      <c r="A447" s="219"/>
      <c r="B447" s="293"/>
      <c r="C447" s="295"/>
      <c r="D447" s="258" t="s">
        <v>349</v>
      </c>
      <c r="E447" s="222"/>
      <c r="F447" s="366"/>
      <c r="G447" s="222"/>
      <c r="H447" s="332"/>
      <c r="I447" s="212"/>
    </row>
    <row r="448" spans="1:9" s="290" customFormat="1" ht="12.75" hidden="1" customHeight="1" x14ac:dyDescent="0.2">
      <c r="A448" s="219"/>
      <c r="B448" s="220"/>
      <c r="C448" s="243"/>
      <c r="D448" s="258" t="s">
        <v>308</v>
      </c>
      <c r="E448" s="222"/>
      <c r="F448" s="366"/>
      <c r="G448" s="222"/>
      <c r="H448" s="332"/>
      <c r="I448" s="353"/>
    </row>
    <row r="449" spans="1:9" s="290" customFormat="1" ht="12.75" hidden="1" customHeight="1" x14ac:dyDescent="0.2">
      <c r="A449" s="219"/>
      <c r="B449" s="220"/>
      <c r="C449" s="243"/>
      <c r="D449" s="258" t="s">
        <v>404</v>
      </c>
      <c r="E449" s="222"/>
      <c r="F449" s="366"/>
      <c r="G449" s="222"/>
      <c r="H449" s="332"/>
      <c r="I449" s="355"/>
    </row>
    <row r="450" spans="1:9" s="290" customFormat="1" ht="12.75" hidden="1" customHeight="1" x14ac:dyDescent="0.2">
      <c r="A450" s="219"/>
      <c r="B450" s="220"/>
      <c r="C450" s="243"/>
      <c r="D450" s="309" t="s">
        <v>386</v>
      </c>
      <c r="E450" s="222"/>
      <c r="F450" s="366"/>
      <c r="G450" s="222"/>
      <c r="H450" s="332"/>
      <c r="I450" s="353"/>
    </row>
    <row r="451" spans="1:9" s="290" customFormat="1" ht="12.75" customHeight="1" x14ac:dyDescent="0.2">
      <c r="A451" s="223">
        <f>1+A442</f>
        <v>48</v>
      </c>
      <c r="B451" s="427">
        <v>4131</v>
      </c>
      <c r="C451" s="428" t="s">
        <v>452</v>
      </c>
      <c r="D451" s="429" t="str">
        <f>$D$5</f>
        <v>FTE APR 23</v>
      </c>
      <c r="E451" s="225">
        <f>'4131'!I$132</f>
        <v>26500.93</v>
      </c>
      <c r="F451" s="365"/>
      <c r="G451" s="225">
        <f>SUBTOTAL(109,E451:F459)</f>
        <v>26500.93</v>
      </c>
      <c r="H451" s="332"/>
    </row>
    <row r="452" spans="1:9" s="290" customFormat="1" ht="12.75" hidden="1" customHeight="1" x14ac:dyDescent="0.2">
      <c r="A452" s="223"/>
      <c r="B452" s="427"/>
      <c r="C452" s="428"/>
      <c r="D452" s="259" t="s">
        <v>337</v>
      </c>
      <c r="E452" s="225"/>
      <c r="F452" s="365"/>
      <c r="G452" s="225"/>
      <c r="H452" s="332"/>
    </row>
    <row r="453" spans="1:9" s="290" customFormat="1" ht="12.75" hidden="1" customHeight="1" x14ac:dyDescent="0.2">
      <c r="A453" s="223"/>
      <c r="B453" s="224"/>
      <c r="C453" s="244"/>
      <c r="D453" s="414" t="s">
        <v>414</v>
      </c>
      <c r="E453" s="225"/>
      <c r="F453" s="365"/>
      <c r="G453" s="225"/>
      <c r="H453" s="332"/>
      <c r="I453" s="220"/>
    </row>
    <row r="454" spans="1:9" s="290" customFormat="1" ht="12.75" hidden="1" customHeight="1" x14ac:dyDescent="0.2">
      <c r="A454" s="223"/>
      <c r="B454" s="427"/>
      <c r="C454" s="428"/>
      <c r="D454" s="259" t="s">
        <v>339</v>
      </c>
      <c r="E454" s="225"/>
      <c r="F454" s="365"/>
      <c r="G454" s="225"/>
      <c r="H454" s="332"/>
    </row>
    <row r="455" spans="1:9" s="290" customFormat="1" ht="12.75" hidden="1" customHeight="1" x14ac:dyDescent="0.2">
      <c r="A455" s="223"/>
      <c r="B455" s="427"/>
      <c r="C455" s="428"/>
      <c r="D455" s="259" t="s">
        <v>338</v>
      </c>
      <c r="E455" s="225"/>
      <c r="F455" s="365"/>
      <c r="G455" s="225"/>
      <c r="H455" s="332"/>
    </row>
    <row r="456" spans="1:9" s="290" customFormat="1" ht="12.75" hidden="1" customHeight="1" x14ac:dyDescent="0.2">
      <c r="A456" s="223"/>
      <c r="B456" s="427"/>
      <c r="C456" s="428"/>
      <c r="D456" s="259" t="s">
        <v>349</v>
      </c>
      <c r="E456" s="225"/>
      <c r="F456" s="365"/>
      <c r="G456" s="225"/>
      <c r="H456" s="332"/>
      <c r="I456" s="212"/>
    </row>
    <row r="457" spans="1:9" s="290" customFormat="1" ht="12.75" hidden="1" customHeight="1" x14ac:dyDescent="0.2">
      <c r="A457" s="223"/>
      <c r="B457" s="224"/>
      <c r="C457" s="244"/>
      <c r="D457" s="259" t="s">
        <v>308</v>
      </c>
      <c r="E457" s="225"/>
      <c r="F457" s="365"/>
      <c r="G457" s="225"/>
      <c r="H457" s="332"/>
      <c r="I457" s="353"/>
    </row>
    <row r="458" spans="1:9" s="290" customFormat="1" ht="12.75" hidden="1" customHeight="1" x14ac:dyDescent="0.2">
      <c r="A458" s="223"/>
      <c r="B458" s="224"/>
      <c r="C458" s="244"/>
      <c r="D458" s="259" t="s">
        <v>404</v>
      </c>
      <c r="E458" s="225"/>
      <c r="F458" s="365"/>
      <c r="G458" s="225"/>
      <c r="H458" s="332"/>
      <c r="I458" s="355"/>
    </row>
    <row r="459" spans="1:9" s="290" customFormat="1" ht="12.75" hidden="1" customHeight="1" x14ac:dyDescent="0.2">
      <c r="A459" s="223"/>
      <c r="B459" s="224"/>
      <c r="C459" s="244"/>
      <c r="D459" s="311" t="s">
        <v>386</v>
      </c>
      <c r="E459" s="225"/>
      <c r="F459" s="365"/>
      <c r="G459" s="225"/>
      <c r="H459" s="332"/>
      <c r="I459" s="353"/>
    </row>
    <row r="460" spans="1:9" s="290" customFormat="1" ht="12.75" hidden="1" customHeight="1" x14ac:dyDescent="0.2">
      <c r="A460" s="256" t="s">
        <v>417</v>
      </c>
      <c r="B460" s="220">
        <v>3385</v>
      </c>
      <c r="C460" s="243" t="s">
        <v>460</v>
      </c>
      <c r="D460" s="308" t="str">
        <f>$D$5</f>
        <v>FTE APR 23</v>
      </c>
      <c r="E460" s="222">
        <v>0</v>
      </c>
      <c r="F460" s="366"/>
      <c r="G460" s="222">
        <f>SUBTOTAL(109,E460:F461)</f>
        <v>0</v>
      </c>
      <c r="H460" s="332"/>
    </row>
    <row r="461" spans="1:9" s="290" customFormat="1" ht="12.75" hidden="1" customHeight="1" x14ac:dyDescent="0.2">
      <c r="A461" s="219"/>
      <c r="B461" s="220"/>
      <c r="C461" s="243"/>
      <c r="D461" s="258" t="s">
        <v>337</v>
      </c>
      <c r="E461" s="222"/>
      <c r="F461" s="366"/>
      <c r="G461" s="222"/>
      <c r="H461" s="332"/>
    </row>
    <row r="462" spans="1:9" s="290" customFormat="1" ht="12.75" hidden="1" customHeight="1" x14ac:dyDescent="0.2">
      <c r="A462" s="431" t="s">
        <v>417</v>
      </c>
      <c r="B462" s="224">
        <v>3386</v>
      </c>
      <c r="C462" s="244" t="s">
        <v>459</v>
      </c>
      <c r="D462" s="310" t="str">
        <f>$D$5</f>
        <v>FTE APR 23</v>
      </c>
      <c r="E462" s="225">
        <v>0</v>
      </c>
      <c r="F462" s="365"/>
      <c r="G462" s="225">
        <f>SUBTOTAL(109,E462:F463)</f>
        <v>0</v>
      </c>
      <c r="H462" s="332"/>
    </row>
    <row r="463" spans="1:9" s="290" customFormat="1" ht="12.75" hidden="1" customHeight="1" x14ac:dyDescent="0.2">
      <c r="A463" s="223"/>
      <c r="B463" s="224"/>
      <c r="C463" s="244"/>
      <c r="D463" s="259" t="s">
        <v>337</v>
      </c>
      <c r="E463" s="225"/>
      <c r="F463" s="365"/>
      <c r="G463" s="225"/>
      <c r="H463" s="332"/>
    </row>
    <row r="464" spans="1:9" ht="12.75" customHeight="1" x14ac:dyDescent="0.2">
      <c r="A464" s="216"/>
      <c r="D464" s="314"/>
      <c r="F464" s="367"/>
      <c r="H464" s="333"/>
    </row>
    <row r="465" spans="1:10" ht="12.75" customHeight="1" thickBot="1" x14ac:dyDescent="0.25">
      <c r="B465" s="215"/>
      <c r="C465" s="242"/>
      <c r="D465" s="314" t="s">
        <v>232</v>
      </c>
      <c r="E465" s="227">
        <f>SUBTOTAL(109,E5:E464)</f>
        <v>16666171.579999998</v>
      </c>
      <c r="F465" s="227">
        <f>SUBTOTAL(109,F5:F464)</f>
        <v>-77674.55</v>
      </c>
      <c r="G465" s="227">
        <f>ROUND(SUM(G5:G464),2)</f>
        <v>16588497.029999999</v>
      </c>
    </row>
    <row r="466" spans="1:10" ht="12.75" hidden="1" customHeight="1" thickTop="1" x14ac:dyDescent="0.2">
      <c r="B466" s="215"/>
      <c r="C466" s="242"/>
      <c r="G466" s="226">
        <f>ROUND(G465-E465-F465,2)</f>
        <v>0</v>
      </c>
    </row>
    <row r="467" spans="1:10" ht="12.75" hidden="1" customHeight="1" x14ac:dyDescent="0.2">
      <c r="B467" s="215"/>
      <c r="C467" s="242"/>
    </row>
    <row r="468" spans="1:10" ht="12.75" hidden="1" customHeight="1" x14ac:dyDescent="0.2">
      <c r="B468" s="215"/>
      <c r="C468" s="242"/>
    </row>
    <row r="469" spans="1:10" ht="12.75" hidden="1" customHeight="1" x14ac:dyDescent="0.2">
      <c r="B469" s="215"/>
      <c r="C469" s="242"/>
    </row>
    <row r="470" spans="1:10" ht="12.75" customHeight="1" thickTop="1" x14ac:dyDescent="0.2">
      <c r="B470" s="215"/>
      <c r="C470" s="242"/>
    </row>
    <row r="471" spans="1:10" ht="12.75" customHeight="1" x14ac:dyDescent="0.2">
      <c r="B471" s="215"/>
      <c r="C471" s="242"/>
    </row>
    <row r="472" spans="1:10" ht="12.75" customHeight="1" x14ac:dyDescent="0.2">
      <c r="A472" s="300"/>
      <c r="B472" s="215"/>
      <c r="C472" s="271"/>
      <c r="D472" s="300" t="s">
        <v>305</v>
      </c>
      <c r="E472" s="226">
        <f>Consolidated!I132</f>
        <v>16666171.579999998</v>
      </c>
      <c r="G472" s="226">
        <f t="shared" ref="G472:G477" si="0">E472+F472</f>
        <v>16666171.579999998</v>
      </c>
      <c r="J472" s="226"/>
    </row>
    <row r="473" spans="1:10" ht="12.75" customHeight="1" x14ac:dyDescent="0.2">
      <c r="D473" s="221" t="s">
        <v>337</v>
      </c>
      <c r="F473" s="289">
        <f t="shared" ref="F473:F491" si="1">SUM(SUMIF(D$5:D$464,D473,F$5:F$464))</f>
        <v>0</v>
      </c>
      <c r="G473" s="226">
        <f t="shared" si="0"/>
        <v>0</v>
      </c>
      <c r="J473" s="226"/>
    </row>
    <row r="474" spans="1:10" ht="12.75" hidden="1" customHeight="1" x14ac:dyDescent="0.2">
      <c r="D474" s="418" t="s">
        <v>432</v>
      </c>
      <c r="F474" s="289">
        <f t="shared" si="1"/>
        <v>0</v>
      </c>
      <c r="G474" s="226">
        <f t="shared" si="0"/>
        <v>0</v>
      </c>
      <c r="J474" s="226"/>
    </row>
    <row r="475" spans="1:10" ht="12.75" hidden="1" customHeight="1" x14ac:dyDescent="0.2">
      <c r="D475" s="221" t="s">
        <v>415</v>
      </c>
      <c r="F475" s="289">
        <f t="shared" si="1"/>
        <v>0</v>
      </c>
      <c r="G475" s="226">
        <f t="shared" si="0"/>
        <v>0</v>
      </c>
      <c r="J475" s="226"/>
    </row>
    <row r="476" spans="1:10" ht="12.75" hidden="1" customHeight="1" x14ac:dyDescent="0.2">
      <c r="D476" s="221" t="s">
        <v>416</v>
      </c>
      <c r="F476" s="289">
        <f t="shared" si="1"/>
        <v>0</v>
      </c>
      <c r="G476" s="226">
        <f t="shared" si="0"/>
        <v>0</v>
      </c>
      <c r="J476" s="226"/>
    </row>
    <row r="477" spans="1:10" ht="12.75" hidden="1" customHeight="1" x14ac:dyDescent="0.2">
      <c r="D477" s="413" t="s">
        <v>413</v>
      </c>
      <c r="F477" s="289">
        <f t="shared" si="1"/>
        <v>0</v>
      </c>
      <c r="G477" s="226">
        <f t="shared" si="0"/>
        <v>0</v>
      </c>
      <c r="J477" s="226"/>
    </row>
    <row r="478" spans="1:10" ht="12.75" hidden="1" customHeight="1" x14ac:dyDescent="0.2">
      <c r="D478" s="221" t="s">
        <v>339</v>
      </c>
      <c r="F478" s="289">
        <f t="shared" si="1"/>
        <v>0</v>
      </c>
      <c r="G478" s="226">
        <f t="shared" ref="G478:G483" si="2">E478+F478</f>
        <v>0</v>
      </c>
    </row>
    <row r="479" spans="1:10" ht="12.75" hidden="1" customHeight="1" x14ac:dyDescent="0.2">
      <c r="D479" s="221" t="s">
        <v>399</v>
      </c>
      <c r="F479" s="289">
        <f t="shared" si="1"/>
        <v>0</v>
      </c>
      <c r="G479" s="226">
        <f t="shared" si="2"/>
        <v>0</v>
      </c>
    </row>
    <row r="480" spans="1:10" ht="12.75" hidden="1" customHeight="1" x14ac:dyDescent="0.2">
      <c r="D480" s="212" t="s">
        <v>349</v>
      </c>
      <c r="F480" s="289">
        <f t="shared" si="1"/>
        <v>0</v>
      </c>
      <c r="G480" s="226">
        <f t="shared" si="2"/>
        <v>0</v>
      </c>
    </row>
    <row r="481" spans="1:9" s="290" customFormat="1" ht="12.75" hidden="1" customHeight="1" x14ac:dyDescent="0.2">
      <c r="A481" s="219"/>
      <c r="B481" s="220"/>
      <c r="C481" s="243"/>
      <c r="D481" s="221" t="s">
        <v>308</v>
      </c>
      <c r="E481" s="222"/>
      <c r="F481" s="289">
        <f t="shared" si="1"/>
        <v>0</v>
      </c>
      <c r="G481" s="226">
        <f t="shared" si="2"/>
        <v>0</v>
      </c>
      <c r="H481" s="332"/>
      <c r="I481" s="353"/>
    </row>
    <row r="482" spans="1:9" ht="12.75" hidden="1" customHeight="1" x14ac:dyDescent="0.2">
      <c r="D482" s="349" t="s">
        <v>352</v>
      </c>
      <c r="F482" s="289">
        <f t="shared" si="1"/>
        <v>0</v>
      </c>
      <c r="G482" s="226">
        <f t="shared" si="2"/>
        <v>0</v>
      </c>
    </row>
    <row r="483" spans="1:9" ht="12.75" customHeight="1" x14ac:dyDescent="0.2">
      <c r="D483" s="349" t="s">
        <v>343</v>
      </c>
      <c r="F483" s="289">
        <f t="shared" si="1"/>
        <v>-55575</v>
      </c>
      <c r="G483" s="226">
        <f t="shared" si="2"/>
        <v>-55575</v>
      </c>
    </row>
    <row r="484" spans="1:9" ht="12.75" customHeight="1" x14ac:dyDescent="0.2">
      <c r="D484" s="212" t="s">
        <v>278</v>
      </c>
      <c r="F484" s="289">
        <f t="shared" si="1"/>
        <v>-16909.099999999999</v>
      </c>
      <c r="G484" s="226">
        <f t="shared" ref="G484:G492" si="3">E484+F484</f>
        <v>-16909.099999999999</v>
      </c>
    </row>
    <row r="485" spans="1:9" ht="12.75" customHeight="1" x14ac:dyDescent="0.2">
      <c r="D485" s="212" t="s">
        <v>279</v>
      </c>
      <c r="F485" s="289">
        <f t="shared" si="1"/>
        <v>-266.8</v>
      </c>
      <c r="G485" s="226">
        <f t="shared" si="3"/>
        <v>-266.8</v>
      </c>
    </row>
    <row r="486" spans="1:9" ht="12.75" hidden="1" customHeight="1" x14ac:dyDescent="0.2">
      <c r="D486" s="212" t="s">
        <v>280</v>
      </c>
      <c r="F486" s="289">
        <f t="shared" si="1"/>
        <v>0</v>
      </c>
      <c r="G486" s="226">
        <f t="shared" si="3"/>
        <v>0</v>
      </c>
    </row>
    <row r="487" spans="1:9" ht="12.75" customHeight="1" x14ac:dyDescent="0.2">
      <c r="D487" s="212" t="s">
        <v>379</v>
      </c>
      <c r="F487" s="289">
        <f t="shared" si="1"/>
        <v>-300</v>
      </c>
      <c r="G487" s="226">
        <f t="shared" si="3"/>
        <v>-300</v>
      </c>
    </row>
    <row r="488" spans="1:9" s="290" customFormat="1" ht="12.75" hidden="1" customHeight="1" x14ac:dyDescent="0.2">
      <c r="A488" s="219"/>
      <c r="B488" s="220"/>
      <c r="C488" s="243"/>
      <c r="D488" s="221" t="s">
        <v>350</v>
      </c>
      <c r="E488" s="222"/>
      <c r="F488" s="289">
        <f t="shared" si="1"/>
        <v>0</v>
      </c>
      <c r="G488" s="226">
        <f t="shared" si="3"/>
        <v>0</v>
      </c>
      <c r="H488" s="332"/>
      <c r="I488" s="212"/>
    </row>
    <row r="489" spans="1:9" ht="12.75" hidden="1" customHeight="1" x14ac:dyDescent="0.2">
      <c r="D489" s="271" t="s">
        <v>403</v>
      </c>
      <c r="F489" s="289">
        <f t="shared" si="1"/>
        <v>0</v>
      </c>
      <c r="G489" s="226">
        <f t="shared" si="3"/>
        <v>0</v>
      </c>
    </row>
    <row r="490" spans="1:9" ht="12.75" hidden="1" customHeight="1" x14ac:dyDescent="0.2">
      <c r="D490" s="271" t="s">
        <v>402</v>
      </c>
      <c r="F490" s="289">
        <f t="shared" si="1"/>
        <v>0</v>
      </c>
      <c r="G490" s="226">
        <f t="shared" si="3"/>
        <v>0</v>
      </c>
    </row>
    <row r="491" spans="1:9" ht="12.75" hidden="1" customHeight="1" x14ac:dyDescent="0.2">
      <c r="D491" s="271" t="s">
        <v>404</v>
      </c>
      <c r="F491" s="289">
        <f t="shared" si="1"/>
        <v>0</v>
      </c>
      <c r="G491" s="226">
        <f t="shared" si="3"/>
        <v>0</v>
      </c>
    </row>
    <row r="492" spans="1:9" ht="12.75" customHeight="1" x14ac:dyDescent="0.2">
      <c r="D492" s="221" t="s">
        <v>286</v>
      </c>
      <c r="F492" s="368">
        <f>SUM(SUMIF(D$5:D$464,"*WPB*",F$5:F$464))</f>
        <v>-4623.6499999999996</v>
      </c>
      <c r="G492" s="226">
        <f t="shared" si="3"/>
        <v>-4623.6499999999996</v>
      </c>
    </row>
    <row r="493" spans="1:9" ht="12.75" customHeight="1" x14ac:dyDescent="0.2">
      <c r="D493" s="221"/>
      <c r="F493" s="368"/>
      <c r="G493" s="226"/>
    </row>
    <row r="494" spans="1:9" ht="12.75" customHeight="1" thickBot="1" x14ac:dyDescent="0.25">
      <c r="D494" s="317" t="s">
        <v>300</v>
      </c>
      <c r="E494" s="227">
        <f>SUM(E472:E493)</f>
        <v>16666171.579999998</v>
      </c>
      <c r="F494" s="227">
        <f>SUM(F472:F493)</f>
        <v>-77674.55</v>
      </c>
      <c r="G494" s="227">
        <f>SUM(G472:G493)</f>
        <v>16588497.029999997</v>
      </c>
    </row>
    <row r="495" spans="1:9" ht="12.75" customHeight="1" thickTop="1" x14ac:dyDescent="0.2">
      <c r="E495" s="226">
        <f>E494-E465</f>
        <v>0</v>
      </c>
      <c r="F495" s="226">
        <f>ROUND(F494-F465,2)</f>
        <v>0</v>
      </c>
      <c r="G495" s="226">
        <f>G494-G465</f>
        <v>0</v>
      </c>
    </row>
    <row r="496" spans="1:9" ht="12.75" customHeight="1" thickBot="1" x14ac:dyDescent="0.25">
      <c r="E496" s="226"/>
      <c r="F496" s="226"/>
      <c r="G496" s="226"/>
      <c r="I496" s="344"/>
    </row>
    <row r="497" spans="3:9" ht="12.75" customHeight="1" thickBot="1" x14ac:dyDescent="0.25">
      <c r="C497" s="436" t="s">
        <v>336</v>
      </c>
      <c r="D497" s="437"/>
      <c r="E497" s="437"/>
      <c r="F497" s="438"/>
      <c r="G497" s="344"/>
      <c r="H497" s="344"/>
      <c r="I497" s="290"/>
    </row>
    <row r="498" spans="3:9" ht="12.75" customHeight="1" x14ac:dyDescent="0.2">
      <c r="C498" s="408"/>
      <c r="D498" s="409"/>
      <c r="E498" s="409"/>
      <c r="F498" s="410"/>
      <c r="G498" s="344"/>
      <c r="H498" s="344"/>
      <c r="I498" s="290"/>
    </row>
    <row r="499" spans="3:9" ht="12.75" customHeight="1" x14ac:dyDescent="0.2">
      <c r="C499" s="433" t="s">
        <v>484</v>
      </c>
      <c r="D499" s="409"/>
      <c r="E499" s="409"/>
      <c r="F499" s="410"/>
      <c r="G499" s="344"/>
      <c r="H499" s="344"/>
      <c r="I499" s="290"/>
    </row>
    <row r="500" spans="3:9" ht="12.75" customHeight="1" x14ac:dyDescent="0.2">
      <c r="C500" s="434" t="s">
        <v>485</v>
      </c>
      <c r="D500" s="409"/>
      <c r="E500" s="409"/>
      <c r="F500" s="410"/>
      <c r="G500" s="344"/>
      <c r="H500" s="344"/>
      <c r="I500" s="290"/>
    </row>
    <row r="501" spans="3:9" ht="12.75" customHeight="1" x14ac:dyDescent="0.2">
      <c r="C501" s="434" t="s">
        <v>486</v>
      </c>
      <c r="D501" s="409"/>
      <c r="E501" s="409"/>
      <c r="F501" s="410"/>
      <c r="G501" s="344"/>
      <c r="H501" s="344"/>
      <c r="I501" s="290"/>
    </row>
    <row r="502" spans="3:9" ht="12.75" customHeight="1" x14ac:dyDescent="0.2">
      <c r="C502" s="434"/>
      <c r="D502" s="409"/>
      <c r="E502" s="409"/>
      <c r="F502" s="410"/>
      <c r="G502" s="344"/>
      <c r="H502" s="344"/>
      <c r="I502" s="290"/>
    </row>
    <row r="503" spans="3:9" ht="12.75" customHeight="1" x14ac:dyDescent="0.2">
      <c r="C503" s="408" t="s">
        <v>487</v>
      </c>
      <c r="D503" s="409"/>
      <c r="E503" s="409"/>
      <c r="F503" s="410"/>
      <c r="G503" s="344"/>
      <c r="H503" s="344"/>
      <c r="I503" s="290"/>
    </row>
    <row r="504" spans="3:9" ht="12.75" customHeight="1" x14ac:dyDescent="0.2">
      <c r="C504" s="434" t="s">
        <v>488</v>
      </c>
      <c r="D504" s="409"/>
      <c r="E504" s="409"/>
      <c r="F504" s="410"/>
      <c r="G504" s="344"/>
      <c r="H504" s="344"/>
      <c r="I504" s="290"/>
    </row>
    <row r="505" spans="3:9" ht="12.75" customHeight="1" x14ac:dyDescent="0.2">
      <c r="C505" s="434"/>
      <c r="D505" s="409"/>
      <c r="E505" s="409"/>
      <c r="F505" s="410"/>
      <c r="G505" s="344"/>
      <c r="H505" s="344"/>
      <c r="I505" s="290"/>
    </row>
    <row r="506" spans="3:9" ht="12.75" customHeight="1" x14ac:dyDescent="0.2">
      <c r="C506" s="433" t="s">
        <v>489</v>
      </c>
      <c r="D506" s="409"/>
      <c r="E506" s="409"/>
      <c r="F506" s="410"/>
      <c r="G506" s="344"/>
      <c r="H506" s="344"/>
      <c r="I506" s="290"/>
    </row>
    <row r="507" spans="3:9" ht="12.75" customHeight="1" x14ac:dyDescent="0.2">
      <c r="C507" s="434" t="s">
        <v>490</v>
      </c>
      <c r="D507" s="409"/>
      <c r="E507" s="409"/>
      <c r="F507" s="410"/>
      <c r="G507" s="344"/>
      <c r="H507" s="344"/>
      <c r="I507" s="290"/>
    </row>
    <row r="508" spans="3:9" ht="12.75" customHeight="1" x14ac:dyDescent="0.2">
      <c r="C508" s="434" t="s">
        <v>492</v>
      </c>
      <c r="D508" s="409"/>
      <c r="E508" s="409"/>
      <c r="F508" s="410"/>
      <c r="G508" s="344"/>
      <c r="H508" s="344"/>
      <c r="I508" s="290"/>
    </row>
    <row r="509" spans="3:9" ht="12.75" customHeight="1" x14ac:dyDescent="0.2">
      <c r="C509" s="434" t="s">
        <v>491</v>
      </c>
      <c r="D509" s="409"/>
      <c r="E509" s="409"/>
      <c r="F509" s="410"/>
      <c r="G509" s="344"/>
      <c r="H509" s="344"/>
      <c r="I509" s="290"/>
    </row>
    <row r="510" spans="3:9" ht="12.75" customHeight="1" x14ac:dyDescent="0.2">
      <c r="C510" s="408"/>
      <c r="D510" s="409"/>
      <c r="E510" s="409"/>
      <c r="F510" s="410"/>
      <c r="G510" s="344"/>
      <c r="H510" s="344"/>
      <c r="I510" s="290"/>
    </row>
    <row r="511" spans="3:9" ht="12.75" customHeight="1" x14ac:dyDescent="0.2">
      <c r="C511" s="433" t="s">
        <v>493</v>
      </c>
      <c r="D511" s="409"/>
      <c r="E511" s="409"/>
      <c r="F511" s="410"/>
      <c r="G511" s="344"/>
      <c r="H511" s="344"/>
      <c r="I511" s="290"/>
    </row>
    <row r="512" spans="3:9" ht="12.75" customHeight="1" x14ac:dyDescent="0.2">
      <c r="C512" s="434" t="s">
        <v>494</v>
      </c>
      <c r="D512" s="409"/>
      <c r="E512" s="409"/>
      <c r="F512" s="410"/>
      <c r="G512" s="344"/>
      <c r="H512" s="344"/>
      <c r="I512" s="290"/>
    </row>
    <row r="513" spans="3:11" ht="12.75" customHeight="1" thickBot="1" x14ac:dyDescent="0.25">
      <c r="C513" s="430"/>
      <c r="D513" s="411"/>
      <c r="E513" s="411"/>
      <c r="F513" s="412"/>
      <c r="G513" s="281"/>
      <c r="H513" s="281"/>
    </row>
    <row r="517" spans="3:11" ht="12.75" customHeight="1" x14ac:dyDescent="0.2">
      <c r="K517" s="331"/>
    </row>
    <row r="518" spans="3:11" ht="12.75" customHeight="1" x14ac:dyDescent="0.2">
      <c r="K518" s="331"/>
    </row>
    <row r="524" spans="3:11" ht="12.75" customHeight="1" x14ac:dyDescent="0.2">
      <c r="E524" s="331"/>
      <c r="F524" s="212"/>
      <c r="H524" s="212"/>
    </row>
    <row r="525" spans="3:11" ht="12.75" customHeight="1" x14ac:dyDescent="0.2">
      <c r="E525" s="331"/>
      <c r="F525" s="212"/>
      <c r="H525" s="212"/>
    </row>
  </sheetData>
  <mergeCells count="2">
    <mergeCell ref="F3:G3"/>
    <mergeCell ref="C497:F497"/>
  </mergeCells>
  <conditionalFormatting sqref="A464 A72:A73 A109:A110 A124:A125 A161:A162 A178:A180 A193:A198 A212:A213 A233:A234 A242:A243 A262:A263 A297:A299 A314:A315 A80:A81 A90:A91 A117:A119 A133:A134 A151:A152 A170:A174 A182 A204:A205 A223:A224 A252:A253 A270:A271 A278:A279 A354:A356 A370:A371 A100:A101 A184:A186 A5:A12 A14:A20 A45:A49 A77 A374 A52:A54 A22:A32 A97 A396 A488 A35:A37 A75 A83 A93:A95 A103 A112 A127:A129 A136 A154 A146 A164 A188 A207 A217 A226 A236 A246 A255 A265 A273 A281 A317 A399:A402 A141:A143">
    <cfRule type="cellIs" dxfId="212" priority="307" operator="equal">
      <formula>0</formula>
    </cfRule>
  </conditionalFormatting>
  <conditionalFormatting sqref="A386:A387 A389:A391">
    <cfRule type="cellIs" dxfId="211" priority="303" operator="equal">
      <formula>0</formula>
    </cfRule>
  </conditionalFormatting>
  <conditionalFormatting sqref="H482:H487 H489:H491 H473:H480">
    <cfRule type="cellIs" dxfId="210" priority="301" stopIfTrue="1" operator="notEqual">
      <formula>0</formula>
    </cfRule>
    <cfRule type="cellIs" dxfId="209" priority="302" stopIfTrue="1" operator="equal">
      <formula>0</formula>
    </cfRule>
  </conditionalFormatting>
  <conditionalFormatting sqref="H492:H493">
    <cfRule type="cellIs" dxfId="208" priority="299" stopIfTrue="1" operator="notEqual">
      <formula>0</formula>
    </cfRule>
    <cfRule type="cellIs" dxfId="207" priority="300" stopIfTrue="1" operator="equal">
      <formula>0</formula>
    </cfRule>
  </conditionalFormatting>
  <conditionalFormatting sqref="A38 A41:A43">
    <cfRule type="cellIs" dxfId="206" priority="296" operator="equal">
      <formula>0</formula>
    </cfRule>
  </conditionalFormatting>
  <conditionalFormatting sqref="A55:A56">
    <cfRule type="cellIs" dxfId="205" priority="295" operator="equal">
      <formula>0</formula>
    </cfRule>
  </conditionalFormatting>
  <conditionalFormatting sqref="A120:A121 A84:A85 A104:A105 A137:A138 A87">
    <cfRule type="cellIs" dxfId="204" priority="292" operator="equal">
      <formula>0</formula>
    </cfRule>
  </conditionalFormatting>
  <conditionalFormatting sqref="A228 A208:A209 A189:A190 A177 A155:A156 A256:A257 A160 A261">
    <cfRule type="cellIs" dxfId="203" priority="291" operator="equal">
      <formula>0</formula>
    </cfRule>
  </conditionalFormatting>
  <conditionalFormatting sqref="A319 A300:A301">
    <cfRule type="cellIs" dxfId="202" priority="287" operator="equal">
      <formula>0</formula>
    </cfRule>
  </conditionalFormatting>
  <conditionalFormatting sqref="A357:A358 A282:A283 A274:A275 A375:A376">
    <cfRule type="cellIs" dxfId="201" priority="290" operator="equal">
      <formula>0</formula>
    </cfRule>
  </conditionalFormatting>
  <conditionalFormatting sqref="A165:A166 A147:A148 A132 A113:A114 A76">
    <cfRule type="cellIs" dxfId="200" priority="289" operator="equal">
      <formula>0</formula>
    </cfRule>
  </conditionalFormatting>
  <conditionalFormatting sqref="A266:A267 A247:A248 A237:A238 A181 A199:A200 A218:A219">
    <cfRule type="cellIs" dxfId="199" priority="288" operator="equal">
      <formula>0</formula>
    </cfRule>
  </conditionalFormatting>
  <conditionalFormatting sqref="A360">
    <cfRule type="cellIs" dxfId="198" priority="271" operator="equal">
      <formula>0</formula>
    </cfRule>
  </conditionalFormatting>
  <conditionalFormatting sqref="A424:A425 A427:A429">
    <cfRule type="cellIs" dxfId="197" priority="274" operator="equal">
      <formula>0</formula>
    </cfRule>
  </conditionalFormatting>
  <conditionalFormatting sqref="A269">
    <cfRule type="cellIs" dxfId="196" priority="273" operator="equal">
      <formula>0</formula>
    </cfRule>
  </conditionalFormatting>
  <conditionalFormatting sqref="A286">
    <cfRule type="cellIs" dxfId="195" priority="272" operator="equal">
      <formula>0</formula>
    </cfRule>
  </conditionalFormatting>
  <conditionalFormatting sqref="A116">
    <cfRule type="cellIs" dxfId="194" priority="262" operator="equal">
      <formula>0</formula>
    </cfRule>
  </conditionalFormatting>
  <conditionalFormatting sqref="A66:A67">
    <cfRule type="cellIs" dxfId="193" priority="263" operator="equal">
      <formula>0</formula>
    </cfRule>
  </conditionalFormatting>
  <conditionalFormatting sqref="A405:A406 A408:A410">
    <cfRule type="cellIs" dxfId="192" priority="265" operator="equal">
      <formula>0</formula>
    </cfRule>
  </conditionalFormatting>
  <conditionalFormatting sqref="A60:A61 A63:A65">
    <cfRule type="cellIs" dxfId="191" priority="264" operator="equal">
      <formula>0</formula>
    </cfRule>
  </conditionalFormatting>
  <conditionalFormatting sqref="A277">
    <cfRule type="cellIs" dxfId="190" priority="254" operator="equal">
      <formula>0</formula>
    </cfRule>
  </conditionalFormatting>
  <conditionalFormatting sqref="A169">
    <cfRule type="cellIs" dxfId="189" priority="252" operator="equal">
      <formula>0</formula>
    </cfRule>
  </conditionalFormatting>
  <conditionalFormatting sqref="A232">
    <cfRule type="cellIs" dxfId="188" priority="251" operator="equal">
      <formula>0</formula>
    </cfRule>
  </conditionalFormatting>
  <conditionalFormatting sqref="A89">
    <cfRule type="cellIs" dxfId="187" priority="253" operator="equal">
      <formula>0</formula>
    </cfRule>
  </conditionalFormatting>
  <conditionalFormatting sqref="A99">
    <cfRule type="cellIs" dxfId="186" priority="248" operator="equal">
      <formula>0</formula>
    </cfRule>
  </conditionalFormatting>
  <conditionalFormatting sqref="A57">
    <cfRule type="cellIs" dxfId="185" priority="245" operator="equal">
      <formula>0</formula>
    </cfRule>
  </conditionalFormatting>
  <conditionalFormatting sqref="A241">
    <cfRule type="cellIs" dxfId="184" priority="237" operator="equal">
      <formula>0</formula>
    </cfRule>
  </conditionalFormatting>
  <conditionalFormatting sqref="A230">
    <cfRule type="cellIs" dxfId="183" priority="239" operator="equal">
      <formula>0</formula>
    </cfRule>
  </conditionalFormatting>
  <conditionalFormatting sqref="A414">
    <cfRule type="cellIs" dxfId="182" priority="226" operator="equal">
      <formula>0</formula>
    </cfRule>
  </conditionalFormatting>
  <conditionalFormatting sqref="A322">
    <cfRule type="cellIs" dxfId="181" priority="227" operator="equal">
      <formula>0</formula>
    </cfRule>
  </conditionalFormatting>
  <conditionalFormatting sqref="A44">
    <cfRule type="cellIs" dxfId="180" priority="224" operator="equal">
      <formula>0</formula>
    </cfRule>
  </conditionalFormatting>
  <conditionalFormatting sqref="A21">
    <cfRule type="cellIs" dxfId="179" priority="225" operator="equal">
      <formula>0</formula>
    </cfRule>
  </conditionalFormatting>
  <conditionalFormatting sqref="A59">
    <cfRule type="cellIs" dxfId="178" priority="223" operator="equal">
      <formula>0</formula>
    </cfRule>
  </conditionalFormatting>
  <conditionalFormatting sqref="A96">
    <cfRule type="cellIs" dxfId="177" priority="219" operator="equal">
      <formula>0</formula>
    </cfRule>
  </conditionalFormatting>
  <conditionalFormatting sqref="A71">
    <cfRule type="cellIs" dxfId="176" priority="222" operator="equal">
      <formula>0</formula>
    </cfRule>
  </conditionalFormatting>
  <conditionalFormatting sqref="A79">
    <cfRule type="cellIs" dxfId="175" priority="221" operator="equal">
      <formula>0</formula>
    </cfRule>
  </conditionalFormatting>
  <conditionalFormatting sqref="A115">
    <cfRule type="cellIs" dxfId="174" priority="217" operator="equal">
      <formula>0</formula>
    </cfRule>
  </conditionalFormatting>
  <conditionalFormatting sqref="A108">
    <cfRule type="cellIs" dxfId="173" priority="218" operator="equal">
      <formula>0</formula>
    </cfRule>
  </conditionalFormatting>
  <conditionalFormatting sqref="A86">
    <cfRule type="cellIs" dxfId="172" priority="220" operator="equal">
      <formula>0</formula>
    </cfRule>
  </conditionalFormatting>
  <conditionalFormatting sqref="A139">
    <cfRule type="cellIs" dxfId="171" priority="214" operator="equal">
      <formula>0</formula>
    </cfRule>
  </conditionalFormatting>
  <conditionalFormatting sqref="A123">
    <cfRule type="cellIs" dxfId="170" priority="216" operator="equal">
      <formula>0</formula>
    </cfRule>
  </conditionalFormatting>
  <conditionalFormatting sqref="A130">
    <cfRule type="cellIs" dxfId="169" priority="215" operator="equal">
      <formula>0</formula>
    </cfRule>
  </conditionalFormatting>
  <conditionalFormatting sqref="A167">
    <cfRule type="cellIs" dxfId="168" priority="209" operator="equal">
      <formula>0</formula>
    </cfRule>
  </conditionalFormatting>
  <conditionalFormatting sqref="A183">
    <cfRule type="cellIs" dxfId="167" priority="207" operator="equal">
      <formula>0</formula>
    </cfRule>
  </conditionalFormatting>
  <conditionalFormatting sqref="A157">
    <cfRule type="cellIs" dxfId="166" priority="210" operator="equal">
      <formula>0</formula>
    </cfRule>
  </conditionalFormatting>
  <conditionalFormatting sqref="A150">
    <cfRule type="cellIs" dxfId="165" priority="211" operator="equal">
      <formula>0</formula>
    </cfRule>
  </conditionalFormatting>
  <conditionalFormatting sqref="A211">
    <cfRule type="cellIs" dxfId="164" priority="204" operator="equal">
      <formula>0</formula>
    </cfRule>
  </conditionalFormatting>
  <conditionalFormatting sqref="A175">
    <cfRule type="cellIs" dxfId="163" priority="208" operator="equal">
      <formula>0</formula>
    </cfRule>
  </conditionalFormatting>
  <conditionalFormatting sqref="A192">
    <cfRule type="cellIs" dxfId="162" priority="206" operator="equal">
      <formula>0</formula>
    </cfRule>
  </conditionalFormatting>
  <conditionalFormatting sqref="A203">
    <cfRule type="cellIs" dxfId="161" priority="205" operator="equal">
      <formula>0</formula>
    </cfRule>
  </conditionalFormatting>
  <conditionalFormatting sqref="A222">
    <cfRule type="cellIs" dxfId="160" priority="203" operator="equal">
      <formula>0</formula>
    </cfRule>
  </conditionalFormatting>
  <conditionalFormatting sqref="A229">
    <cfRule type="cellIs" dxfId="159" priority="202" operator="equal">
      <formula>0</formula>
    </cfRule>
  </conditionalFormatting>
  <conditionalFormatting sqref="A239">
    <cfRule type="cellIs" dxfId="158" priority="201" operator="equal">
      <formula>0</formula>
    </cfRule>
  </conditionalFormatting>
  <conditionalFormatting sqref="A251">
    <cfRule type="cellIs" dxfId="157" priority="200" operator="equal">
      <formula>0</formula>
    </cfRule>
  </conditionalFormatting>
  <conditionalFormatting sqref="A258:A259">
    <cfRule type="cellIs" dxfId="156" priority="199" operator="equal">
      <formula>0</formula>
    </cfRule>
  </conditionalFormatting>
  <conditionalFormatting sqref="A268">
    <cfRule type="cellIs" dxfId="155" priority="198" operator="equal">
      <formula>0</formula>
    </cfRule>
  </conditionalFormatting>
  <conditionalFormatting sqref="A276">
    <cfRule type="cellIs" dxfId="154" priority="197" operator="equal">
      <formula>0</formula>
    </cfRule>
  </conditionalFormatting>
  <conditionalFormatting sqref="A481">
    <cfRule type="cellIs" dxfId="153" priority="178" operator="equal">
      <formula>0</formula>
    </cfRule>
  </conditionalFormatting>
  <conditionalFormatting sqref="A284">
    <cfRule type="cellIs" dxfId="152" priority="195" operator="equal">
      <formula>0</formula>
    </cfRule>
  </conditionalFormatting>
  <conditionalFormatting sqref="A304">
    <cfRule type="cellIs" dxfId="151" priority="173" operator="equal">
      <formula>0</formula>
    </cfRule>
  </conditionalFormatting>
  <conditionalFormatting sqref="A302">
    <cfRule type="cellIs" dxfId="150" priority="193" operator="equal">
      <formula>0</formula>
    </cfRule>
  </conditionalFormatting>
  <conditionalFormatting sqref="A411">
    <cfRule type="cellIs" dxfId="149" priority="181" operator="equal">
      <formula>0</formula>
    </cfRule>
  </conditionalFormatting>
  <conditionalFormatting sqref="A320">
    <cfRule type="cellIs" dxfId="148" priority="191" operator="equal">
      <formula>0</formula>
    </cfRule>
  </conditionalFormatting>
  <conditionalFormatting sqref="A394">
    <cfRule type="cellIs" dxfId="147" priority="183" operator="equal">
      <formula>0</formula>
    </cfRule>
  </conditionalFormatting>
  <conditionalFormatting sqref="A359">
    <cfRule type="cellIs" dxfId="146" priority="188" operator="equal">
      <formula>0</formula>
    </cfRule>
  </conditionalFormatting>
  <conditionalFormatting sqref="A431">
    <cfRule type="cellIs" dxfId="145" priority="179" operator="equal">
      <formula>0</formula>
    </cfRule>
  </conditionalFormatting>
  <conditionalFormatting sqref="A378">
    <cfRule type="cellIs" dxfId="144" priority="186" operator="equal">
      <formula>0</formula>
    </cfRule>
  </conditionalFormatting>
  <conditionalFormatting sqref="A333:A334 A337">
    <cfRule type="cellIs" dxfId="143" priority="172" operator="equal">
      <formula>0</formula>
    </cfRule>
  </conditionalFormatting>
  <conditionalFormatting sqref="A340">
    <cfRule type="cellIs" dxfId="142" priority="168" operator="equal">
      <formula>0</formula>
    </cfRule>
  </conditionalFormatting>
  <conditionalFormatting sqref="A338:A339">
    <cfRule type="cellIs" dxfId="141" priority="171" operator="equal">
      <formula>0</formula>
    </cfRule>
  </conditionalFormatting>
  <conditionalFormatting sqref="A342">
    <cfRule type="cellIs" dxfId="140" priority="170" operator="equal">
      <formula>0</formula>
    </cfRule>
  </conditionalFormatting>
  <conditionalFormatting sqref="A442:A443 A445:A447">
    <cfRule type="cellIs" dxfId="139" priority="162" operator="equal">
      <formula>0</formula>
    </cfRule>
  </conditionalFormatting>
  <conditionalFormatting sqref="A448">
    <cfRule type="cellIs" dxfId="138" priority="161" operator="equal">
      <formula>0</formula>
    </cfRule>
  </conditionalFormatting>
  <conditionalFormatting sqref="A88">
    <cfRule type="cellIs" dxfId="137" priority="154" operator="equal">
      <formula>0</formula>
    </cfRule>
  </conditionalFormatting>
  <conditionalFormatting sqref="A106">
    <cfRule type="cellIs" dxfId="136" priority="153" operator="equal">
      <formula>0</formula>
    </cfRule>
  </conditionalFormatting>
  <conditionalFormatting sqref="A377">
    <cfRule type="cellIs" dxfId="135" priority="149" operator="equal">
      <formula>0</formula>
    </cfRule>
  </conditionalFormatting>
  <conditionalFormatting sqref="A140">
    <cfRule type="cellIs" dxfId="134" priority="147" operator="equal">
      <formula>0</formula>
    </cfRule>
  </conditionalFormatting>
  <conditionalFormatting sqref="A13">
    <cfRule type="cellIs" dxfId="133" priority="144" operator="equal">
      <formula>0</formula>
    </cfRule>
  </conditionalFormatting>
  <conditionalFormatting sqref="A69">
    <cfRule type="cellIs" dxfId="132" priority="142" operator="equal">
      <formula>0</formula>
    </cfRule>
  </conditionalFormatting>
  <conditionalFormatting sqref="A58">
    <cfRule type="cellIs" dxfId="131" priority="143" operator="equal">
      <formula>0</formula>
    </cfRule>
  </conditionalFormatting>
  <conditionalFormatting sqref="A149">
    <cfRule type="cellIs" dxfId="130" priority="138" operator="equal">
      <formula>0</formula>
    </cfRule>
  </conditionalFormatting>
  <conditionalFormatting sqref="A68">
    <cfRule type="cellIs" dxfId="129" priority="145" operator="equal">
      <formula>0</formula>
    </cfRule>
  </conditionalFormatting>
  <conditionalFormatting sqref="A191">
    <cfRule type="cellIs" dxfId="128" priority="137" operator="equal">
      <formula>0</formula>
    </cfRule>
  </conditionalFormatting>
  <conditionalFormatting sqref="A122">
    <cfRule type="cellIs" dxfId="127" priority="139" operator="equal">
      <formula>0</formula>
    </cfRule>
  </conditionalFormatting>
  <conditionalFormatting sqref="A107">
    <cfRule type="cellIs" dxfId="126" priority="140" operator="equal">
      <formula>0</formula>
    </cfRule>
  </conditionalFormatting>
  <conditionalFormatting sqref="A210">
    <cfRule type="cellIs" dxfId="125" priority="135" operator="equal">
      <formula>0</formula>
    </cfRule>
  </conditionalFormatting>
  <conditionalFormatting sqref="A220">
    <cfRule type="cellIs" dxfId="124" priority="134" operator="equal">
      <formula>0</formula>
    </cfRule>
  </conditionalFormatting>
  <conditionalFormatting sqref="A78">
    <cfRule type="cellIs" dxfId="123" priority="141" operator="equal">
      <formula>0</formula>
    </cfRule>
  </conditionalFormatting>
  <conditionalFormatting sqref="A201">
    <cfRule type="cellIs" dxfId="122" priority="136" operator="equal">
      <formula>0</formula>
    </cfRule>
  </conditionalFormatting>
  <conditionalFormatting sqref="A303">
    <cfRule type="cellIs" dxfId="121" priority="129" operator="equal">
      <formula>0</formula>
    </cfRule>
  </conditionalFormatting>
  <conditionalFormatting sqref="A240">
    <cfRule type="cellIs" dxfId="120" priority="133" operator="equal">
      <formula>0</formula>
    </cfRule>
  </conditionalFormatting>
  <conditionalFormatting sqref="A249">
    <cfRule type="cellIs" dxfId="119" priority="132" operator="equal">
      <formula>0</formula>
    </cfRule>
  </conditionalFormatting>
  <conditionalFormatting sqref="A430">
    <cfRule type="cellIs" dxfId="118" priority="121" operator="equal">
      <formula>0</formula>
    </cfRule>
  </conditionalFormatting>
  <conditionalFormatting sqref="A373">
    <cfRule type="cellIs" dxfId="117" priority="114" operator="equal">
      <formula>0</formula>
    </cfRule>
  </conditionalFormatting>
  <conditionalFormatting sqref="A227">
    <cfRule type="cellIs" dxfId="116" priority="110" operator="equal">
      <formula>0</formula>
    </cfRule>
  </conditionalFormatting>
  <conditionalFormatting sqref="A392">
    <cfRule type="cellIs" dxfId="115" priority="124" operator="equal">
      <formula>0</formula>
    </cfRule>
  </conditionalFormatting>
  <conditionalFormatting sqref="A318">
    <cfRule type="cellIs" dxfId="114" priority="109" operator="equal">
      <formula>0</formula>
    </cfRule>
  </conditionalFormatting>
  <conditionalFormatting sqref="A323">
    <cfRule type="cellIs" dxfId="113" priority="105" operator="equal">
      <formula>0</formula>
    </cfRule>
  </conditionalFormatting>
  <conditionalFormatting sqref="A450">
    <cfRule type="cellIs" dxfId="112" priority="119" operator="equal">
      <formula>0</formula>
    </cfRule>
  </conditionalFormatting>
  <conditionalFormatting sqref="A343">
    <cfRule type="cellIs" dxfId="111" priority="104" operator="equal">
      <formula>0</formula>
    </cfRule>
  </conditionalFormatting>
  <conditionalFormatting sqref="A415">
    <cfRule type="cellIs" dxfId="110" priority="100" operator="equal">
      <formula>0</formula>
    </cfRule>
  </conditionalFormatting>
  <conditionalFormatting sqref="A344 A353 A347:A351">
    <cfRule type="cellIs" dxfId="109" priority="95" operator="equal">
      <formula>0</formula>
    </cfRule>
  </conditionalFormatting>
  <conditionalFormatting sqref="A432">
    <cfRule type="cellIs" dxfId="108" priority="99" operator="equal">
      <formula>0</formula>
    </cfRule>
  </conditionalFormatting>
  <conditionalFormatting sqref="A362:A367 A369">
    <cfRule type="cellIs" dxfId="107" priority="94" operator="equal">
      <formula>0</formula>
    </cfRule>
  </conditionalFormatting>
  <conditionalFormatting sqref="A287">
    <cfRule type="cellIs" dxfId="106" priority="107" operator="equal">
      <formula>0</formula>
    </cfRule>
  </conditionalFormatting>
  <conditionalFormatting sqref="A305">
    <cfRule type="cellIs" dxfId="105" priority="106" operator="equal">
      <formula>0</formula>
    </cfRule>
  </conditionalFormatting>
  <conditionalFormatting sqref="A361">
    <cfRule type="cellIs" dxfId="104" priority="103" operator="equal">
      <formula>0</formula>
    </cfRule>
  </conditionalFormatting>
  <conditionalFormatting sqref="A433 A441 A436:A439">
    <cfRule type="cellIs" dxfId="103" priority="90" operator="equal">
      <formula>0</formula>
    </cfRule>
  </conditionalFormatting>
  <conditionalFormatting sqref="A168">
    <cfRule type="cellIs" dxfId="102" priority="87" operator="equal">
      <formula>0</formula>
    </cfRule>
  </conditionalFormatting>
  <conditionalFormatting sqref="A395">
    <cfRule type="cellIs" dxfId="101" priority="101" operator="equal">
      <formula>0</formula>
    </cfRule>
  </conditionalFormatting>
  <conditionalFormatting sqref="A288 A296 A290:A293">
    <cfRule type="cellIs" dxfId="100" priority="98" operator="equal">
      <formula>0</formula>
    </cfRule>
  </conditionalFormatting>
  <conditionalFormatting sqref="A380:A385">
    <cfRule type="cellIs" dxfId="99" priority="93" operator="equal">
      <formula>0</formula>
    </cfRule>
  </conditionalFormatting>
  <conditionalFormatting sqref="A379">
    <cfRule type="cellIs" dxfId="98" priority="102" operator="equal">
      <formula>0</formula>
    </cfRule>
  </conditionalFormatting>
  <conditionalFormatting sqref="A324 A332 A327:A330">
    <cfRule type="cellIs" dxfId="97" priority="96" operator="equal">
      <formula>0</formula>
    </cfRule>
  </conditionalFormatting>
  <conditionalFormatting sqref="A306 A313 A308:A311">
    <cfRule type="cellIs" dxfId="96" priority="97" operator="equal">
      <formula>0</formula>
    </cfRule>
  </conditionalFormatting>
  <conditionalFormatting sqref="A404">
    <cfRule type="cellIs" dxfId="95" priority="92" operator="equal">
      <formula>0</formula>
    </cfRule>
  </conditionalFormatting>
  <conditionalFormatting sqref="A416 A423 A418:A421">
    <cfRule type="cellIs" dxfId="94" priority="91" operator="equal">
      <formula>0</formula>
    </cfRule>
  </conditionalFormatting>
  <conditionalFormatting sqref="A158:A159">
    <cfRule type="cellIs" dxfId="93" priority="88" operator="equal">
      <formula>0</formula>
    </cfRule>
  </conditionalFormatting>
  <conditionalFormatting sqref="A176">
    <cfRule type="cellIs" dxfId="92" priority="86" operator="equal">
      <formula>0</formula>
    </cfRule>
  </conditionalFormatting>
  <conditionalFormatting sqref="A368">
    <cfRule type="cellIs" dxfId="91" priority="83" operator="equal">
      <formula>0</formula>
    </cfRule>
  </conditionalFormatting>
  <conditionalFormatting sqref="A131">
    <cfRule type="cellIs" dxfId="90" priority="89" operator="equal">
      <formula>0</formula>
    </cfRule>
  </conditionalFormatting>
  <conditionalFormatting sqref="A50">
    <cfRule type="cellIs" dxfId="89" priority="82" operator="equal">
      <formula>0</formula>
    </cfRule>
  </conditionalFormatting>
  <conditionalFormatting sqref="A321">
    <cfRule type="cellIs" dxfId="88" priority="85" operator="equal">
      <formula>0</formula>
    </cfRule>
  </conditionalFormatting>
  <conditionalFormatting sqref="A294">
    <cfRule type="cellIs" dxfId="87" priority="84" operator="equal">
      <formula>0</formula>
    </cfRule>
  </conditionalFormatting>
  <conditionalFormatting sqref="A70">
    <cfRule type="cellIs" dxfId="86" priority="81" operator="equal">
      <formula>0</formula>
    </cfRule>
  </conditionalFormatting>
  <conditionalFormatting sqref="A221">
    <cfRule type="cellIs" dxfId="85" priority="79" operator="equal">
      <formula>0</formula>
    </cfRule>
  </conditionalFormatting>
  <conditionalFormatting sqref="A231">
    <cfRule type="cellIs" dxfId="84" priority="78" operator="equal">
      <formula>0</formula>
    </cfRule>
  </conditionalFormatting>
  <conditionalFormatting sqref="A285">
    <cfRule type="cellIs" dxfId="83" priority="74" operator="equal">
      <formula>0</formula>
    </cfRule>
  </conditionalFormatting>
  <conditionalFormatting sqref="A202">
    <cfRule type="cellIs" dxfId="82" priority="80" operator="equal">
      <formula>0</formula>
    </cfRule>
  </conditionalFormatting>
  <conditionalFormatting sqref="A341">
    <cfRule type="cellIs" dxfId="81" priority="69" operator="equal">
      <formula>0</formula>
    </cfRule>
  </conditionalFormatting>
  <conditionalFormatting sqref="A412">
    <cfRule type="cellIs" dxfId="80" priority="64" operator="equal">
      <formula>0</formula>
    </cfRule>
  </conditionalFormatting>
  <conditionalFormatting sqref="A250">
    <cfRule type="cellIs" dxfId="79" priority="77" operator="equal">
      <formula>0</formula>
    </cfRule>
  </conditionalFormatting>
  <conditionalFormatting sqref="A422">
    <cfRule type="cellIs" dxfId="78" priority="63" operator="equal">
      <formula>0</formula>
    </cfRule>
  </conditionalFormatting>
  <conditionalFormatting sqref="A260">
    <cfRule type="cellIs" dxfId="77" priority="75" operator="equal">
      <formula>0</formula>
    </cfRule>
  </conditionalFormatting>
  <conditionalFormatting sqref="A295">
    <cfRule type="cellIs" dxfId="76" priority="72" operator="equal">
      <formula>0</formula>
    </cfRule>
  </conditionalFormatting>
  <conditionalFormatting sqref="A312">
    <cfRule type="cellIs" dxfId="75" priority="71" operator="equal">
      <formula>0</formula>
    </cfRule>
  </conditionalFormatting>
  <conditionalFormatting sqref="A331">
    <cfRule type="cellIs" dxfId="74" priority="70" operator="equal">
      <formula>0</formula>
    </cfRule>
  </conditionalFormatting>
  <conditionalFormatting sqref="A352">
    <cfRule type="cellIs" dxfId="73" priority="68" operator="equal">
      <formula>0</formula>
    </cfRule>
  </conditionalFormatting>
  <conditionalFormatting sqref="A393">
    <cfRule type="cellIs" dxfId="72" priority="67" operator="equal">
      <formula>0</formula>
    </cfRule>
  </conditionalFormatting>
  <conditionalFormatting sqref="A403">
    <cfRule type="cellIs" dxfId="71" priority="65" operator="equal">
      <formula>0</formula>
    </cfRule>
  </conditionalFormatting>
  <conditionalFormatting sqref="A440">
    <cfRule type="cellIs" dxfId="70" priority="62" operator="equal">
      <formula>0</formula>
    </cfRule>
  </conditionalFormatting>
  <conditionalFormatting sqref="A449">
    <cfRule type="cellIs" dxfId="69" priority="61" operator="equal">
      <formula>0</formula>
    </cfRule>
  </conditionalFormatting>
  <conditionalFormatting sqref="A33">
    <cfRule type="cellIs" dxfId="68" priority="60" operator="equal">
      <formula>0</formula>
    </cfRule>
  </conditionalFormatting>
  <conditionalFormatting sqref="A39">
    <cfRule type="cellIs" dxfId="67" priority="59" operator="equal">
      <formula>0</formula>
    </cfRule>
  </conditionalFormatting>
  <conditionalFormatting sqref="A40">
    <cfRule type="cellIs" dxfId="66" priority="58" operator="equal">
      <formula>0</formula>
    </cfRule>
  </conditionalFormatting>
  <conditionalFormatting sqref="A74">
    <cfRule type="cellIs" dxfId="65" priority="57" operator="equal">
      <formula>0</formula>
    </cfRule>
  </conditionalFormatting>
  <conditionalFormatting sqref="A82">
    <cfRule type="cellIs" dxfId="64" priority="56" operator="equal">
      <formula>0</formula>
    </cfRule>
  </conditionalFormatting>
  <conditionalFormatting sqref="A92">
    <cfRule type="cellIs" dxfId="63" priority="55" operator="equal">
      <formula>0</formula>
    </cfRule>
  </conditionalFormatting>
  <conditionalFormatting sqref="A102">
    <cfRule type="cellIs" dxfId="62" priority="54" operator="equal">
      <formula>0</formula>
    </cfRule>
  </conditionalFormatting>
  <conditionalFormatting sqref="A111">
    <cfRule type="cellIs" dxfId="61" priority="53" operator="equal">
      <formula>0</formula>
    </cfRule>
  </conditionalFormatting>
  <conditionalFormatting sqref="A126">
    <cfRule type="cellIs" dxfId="60" priority="52" operator="equal">
      <formula>0</formula>
    </cfRule>
  </conditionalFormatting>
  <conditionalFormatting sqref="A135">
    <cfRule type="cellIs" dxfId="59" priority="51" operator="equal">
      <formula>0</formula>
    </cfRule>
  </conditionalFormatting>
  <conditionalFormatting sqref="A153">
    <cfRule type="cellIs" dxfId="58" priority="49" operator="equal">
      <formula>0</formula>
    </cfRule>
  </conditionalFormatting>
  <conditionalFormatting sqref="A145">
    <cfRule type="cellIs" dxfId="57" priority="47" operator="equal">
      <formula>0</formula>
    </cfRule>
  </conditionalFormatting>
  <conditionalFormatting sqref="A144">
    <cfRule type="cellIs" dxfId="56" priority="46" operator="equal">
      <formula>0</formula>
    </cfRule>
  </conditionalFormatting>
  <conditionalFormatting sqref="A163">
    <cfRule type="cellIs" dxfId="55" priority="45" operator="equal">
      <formula>0</formula>
    </cfRule>
  </conditionalFormatting>
  <conditionalFormatting sqref="A187">
    <cfRule type="cellIs" dxfId="54" priority="44" operator="equal">
      <formula>0</formula>
    </cfRule>
  </conditionalFormatting>
  <conditionalFormatting sqref="A206">
    <cfRule type="cellIs" dxfId="53" priority="43" operator="equal">
      <formula>0</formula>
    </cfRule>
  </conditionalFormatting>
  <conditionalFormatting sqref="A214:A216">
    <cfRule type="cellIs" dxfId="52" priority="42" operator="equal">
      <formula>0</formula>
    </cfRule>
  </conditionalFormatting>
  <conditionalFormatting sqref="A225">
    <cfRule type="cellIs" dxfId="51" priority="41" operator="equal">
      <formula>0</formula>
    </cfRule>
  </conditionalFormatting>
  <conditionalFormatting sqref="A235">
    <cfRule type="cellIs" dxfId="50" priority="40" operator="equal">
      <formula>0</formula>
    </cfRule>
  </conditionalFormatting>
  <conditionalFormatting sqref="A244">
    <cfRule type="cellIs" dxfId="49" priority="39" operator="equal">
      <formula>0</formula>
    </cfRule>
  </conditionalFormatting>
  <conditionalFormatting sqref="A245">
    <cfRule type="cellIs" dxfId="48" priority="38" operator="equal">
      <formula>0</formula>
    </cfRule>
  </conditionalFormatting>
  <conditionalFormatting sqref="A254">
    <cfRule type="cellIs" dxfId="47" priority="37" operator="equal">
      <formula>0</formula>
    </cfRule>
  </conditionalFormatting>
  <conditionalFormatting sqref="A272">
    <cfRule type="cellIs" dxfId="46" priority="35" operator="equal">
      <formula>0</formula>
    </cfRule>
  </conditionalFormatting>
  <conditionalFormatting sqref="A264">
    <cfRule type="cellIs" dxfId="45" priority="36" operator="equal">
      <formula>0</formula>
    </cfRule>
  </conditionalFormatting>
  <conditionalFormatting sqref="A460:A461">
    <cfRule type="cellIs" dxfId="44" priority="34" operator="equal">
      <formula>0</formula>
    </cfRule>
  </conditionalFormatting>
  <conditionalFormatting sqref="A280">
    <cfRule type="cellIs" dxfId="43" priority="32" operator="equal">
      <formula>0</formula>
    </cfRule>
  </conditionalFormatting>
  <conditionalFormatting sqref="A289">
    <cfRule type="cellIs" dxfId="42" priority="31" operator="equal">
      <formula>0</formula>
    </cfRule>
  </conditionalFormatting>
  <conditionalFormatting sqref="A307">
    <cfRule type="cellIs" dxfId="41" priority="30" operator="equal">
      <formula>0</formula>
    </cfRule>
  </conditionalFormatting>
  <conditionalFormatting sqref="A316">
    <cfRule type="cellIs" dxfId="40" priority="29" operator="equal">
      <formula>0</formula>
    </cfRule>
  </conditionalFormatting>
  <conditionalFormatting sqref="A325">
    <cfRule type="cellIs" dxfId="39" priority="26" operator="equal">
      <formula>0</formula>
    </cfRule>
  </conditionalFormatting>
  <conditionalFormatting sqref="A335">
    <cfRule type="cellIs" dxfId="38" priority="24" operator="equal">
      <formula>0</formula>
    </cfRule>
  </conditionalFormatting>
  <conditionalFormatting sqref="A326">
    <cfRule type="cellIs" dxfId="37" priority="27" operator="equal">
      <formula>0</formula>
    </cfRule>
  </conditionalFormatting>
  <conditionalFormatting sqref="A346">
    <cfRule type="cellIs" dxfId="36" priority="23" operator="equal">
      <formula>0</formula>
    </cfRule>
  </conditionalFormatting>
  <conditionalFormatting sqref="A345">
    <cfRule type="cellIs" dxfId="35" priority="22" operator="equal">
      <formula>0</formula>
    </cfRule>
  </conditionalFormatting>
  <conditionalFormatting sqref="A336">
    <cfRule type="cellIs" dxfId="34" priority="25" operator="equal">
      <formula>0</formula>
    </cfRule>
  </conditionalFormatting>
  <conditionalFormatting sqref="A388">
    <cfRule type="cellIs" dxfId="33" priority="20" operator="equal">
      <formula>0</formula>
    </cfRule>
  </conditionalFormatting>
  <conditionalFormatting sqref="A372">
    <cfRule type="cellIs" dxfId="32" priority="21" operator="equal">
      <formula>0</formula>
    </cfRule>
  </conditionalFormatting>
  <conditionalFormatting sqref="A398">
    <cfRule type="cellIs" dxfId="31" priority="19" operator="equal">
      <formula>0</formula>
    </cfRule>
  </conditionalFormatting>
  <conditionalFormatting sqref="A397">
    <cfRule type="cellIs" dxfId="30" priority="18" operator="equal">
      <formula>0</formula>
    </cfRule>
  </conditionalFormatting>
  <conditionalFormatting sqref="A407">
    <cfRule type="cellIs" dxfId="29" priority="17" operator="equal">
      <formula>0</formula>
    </cfRule>
  </conditionalFormatting>
  <conditionalFormatting sqref="A426">
    <cfRule type="cellIs" dxfId="28" priority="15" operator="equal">
      <formula>0</formula>
    </cfRule>
  </conditionalFormatting>
  <conditionalFormatting sqref="A435">
    <cfRule type="cellIs" dxfId="27" priority="14" operator="equal">
      <formula>0</formula>
    </cfRule>
  </conditionalFormatting>
  <conditionalFormatting sqref="A417">
    <cfRule type="cellIs" dxfId="26" priority="16" operator="equal">
      <formula>0</formula>
    </cfRule>
  </conditionalFormatting>
  <conditionalFormatting sqref="A434">
    <cfRule type="cellIs" dxfId="25" priority="13" operator="equal">
      <formula>0</formula>
    </cfRule>
  </conditionalFormatting>
  <conditionalFormatting sqref="A444">
    <cfRule type="cellIs" dxfId="24" priority="12" operator="equal">
      <formula>0</formula>
    </cfRule>
  </conditionalFormatting>
  <conditionalFormatting sqref="A62">
    <cfRule type="cellIs" dxfId="23" priority="11" operator="equal">
      <formula>0</formula>
    </cfRule>
  </conditionalFormatting>
  <conditionalFormatting sqref="A34">
    <cfRule type="cellIs" dxfId="22" priority="10" operator="equal">
      <formula>0</formula>
    </cfRule>
  </conditionalFormatting>
  <conditionalFormatting sqref="A413">
    <cfRule type="cellIs" dxfId="21" priority="9" operator="equal">
      <formula>0</formula>
    </cfRule>
  </conditionalFormatting>
  <conditionalFormatting sqref="A451:A452 A454:A456">
    <cfRule type="cellIs" dxfId="20" priority="8" operator="equal">
      <formula>0</formula>
    </cfRule>
  </conditionalFormatting>
  <conditionalFormatting sqref="A457">
    <cfRule type="cellIs" dxfId="19" priority="7" operator="equal">
      <formula>0</formula>
    </cfRule>
  </conditionalFormatting>
  <conditionalFormatting sqref="A459">
    <cfRule type="cellIs" dxfId="18" priority="6" operator="equal">
      <formula>0</formula>
    </cfRule>
  </conditionalFormatting>
  <conditionalFormatting sqref="A458">
    <cfRule type="cellIs" dxfId="17" priority="5" operator="equal">
      <formula>0</formula>
    </cfRule>
  </conditionalFormatting>
  <conditionalFormatting sqref="A453">
    <cfRule type="cellIs" dxfId="16" priority="4" operator="equal">
      <formula>0</formula>
    </cfRule>
  </conditionalFormatting>
  <conditionalFormatting sqref="A51">
    <cfRule type="cellIs" dxfId="15" priority="3" operator="equal">
      <formula>0</formula>
    </cfRule>
  </conditionalFormatting>
  <conditionalFormatting sqref="A98">
    <cfRule type="cellIs" dxfId="14" priority="2" operator="equal">
      <formula>0</formula>
    </cfRule>
  </conditionalFormatting>
  <conditionalFormatting sqref="A462:A463">
    <cfRule type="cellIs" dxfId="13" priority="1" operator="equal">
      <formula>0</formula>
    </cfRule>
  </conditionalFormatting>
  <pageMargins left="1" right="0.1" top="0.5" bottom="0.5" header="0" footer="0.1"/>
  <pageSetup scale="85" fitToHeight="2" orientation="portrait" r:id="rId1"/>
  <headerFooter>
    <oddFooter>&amp;L&amp;8&amp;Z&amp;F&amp;R&amp;8&amp;P / &amp;N</oddFooter>
  </headerFooter>
  <rowBreaks count="1" manualBreakCount="1">
    <brk id="467" max="16383" man="1"/>
  </rowBreaks>
  <colBreaks count="1" manualBreakCount="1">
    <brk id="7" max="1048575" man="1"/>
  </col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CCFFCC"/>
  </sheetPr>
  <dimension ref="A1:U206"/>
  <sheetViews>
    <sheetView showGridLines="0" zoomScaleNormal="100" workbookViewId="0">
      <pane ySplit="1" topLeftCell="A17" activePane="bottomLeft" state="frozen"/>
      <selection activeCell="I9" sqref="I9"/>
      <selection pane="bottomLeft" activeCell="D50" sqref="D50:D58"/>
    </sheetView>
  </sheetViews>
  <sheetFormatPr defaultRowHeight="15.75" x14ac:dyDescent="0.25"/>
  <cols>
    <col min="1" max="1" width="10.28515625" style="72" customWidth="1"/>
    <col min="2" max="2" width="30.28515625" style="3" bestFit="1" customWidth="1"/>
    <col min="3" max="4" width="10.7109375" style="3" customWidth="1"/>
    <col min="5" max="5" width="12.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72"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5">
        <v>50</v>
      </c>
      <c r="B1" s="441" t="s">
        <v>17</v>
      </c>
      <c r="C1" s="442"/>
      <c r="D1" s="442"/>
      <c r="E1" s="442"/>
      <c r="F1" s="442"/>
      <c r="G1" s="442"/>
      <c r="H1" s="442"/>
      <c r="I1" s="442"/>
      <c r="J1" s="157"/>
      <c r="K1" s="157"/>
      <c r="L1" s="157"/>
      <c r="N1" s="85">
        <f>A1</f>
        <v>50</v>
      </c>
      <c r="O1" s="527" t="s">
        <v>17</v>
      </c>
      <c r="P1" s="528"/>
      <c r="Q1" s="528"/>
      <c r="R1" s="528"/>
      <c r="S1" s="528"/>
      <c r="T1" s="528"/>
      <c r="U1" s="528"/>
    </row>
    <row r="2" spans="1:21" ht="21" x14ac:dyDescent="0.35">
      <c r="A2" s="1" t="s">
        <v>474</v>
      </c>
      <c r="B2" s="2"/>
      <c r="C2" s="2"/>
      <c r="D2" s="2"/>
      <c r="E2" s="2"/>
      <c r="F2" s="2"/>
      <c r="G2" s="2"/>
      <c r="H2" s="2"/>
      <c r="I2" s="2"/>
      <c r="N2" s="529" t="s">
        <v>23</v>
      </c>
      <c r="O2" s="529"/>
      <c r="P2" s="529"/>
      <c r="Q2" s="529"/>
      <c r="R2" s="529"/>
      <c r="S2" s="529"/>
      <c r="T2" s="529"/>
      <c r="U2" s="529"/>
    </row>
    <row r="3" spans="1:21" x14ac:dyDescent="0.25">
      <c r="A3" s="84" t="str">
        <f>'0664'!A3</f>
        <v>Based on the FLDOE 2022-23 FEFP Third Calculation</v>
      </c>
      <c r="N3" s="485" t="str">
        <f>A3</f>
        <v>Based on the FLDOE 2022-23 FEFP Third Calculation</v>
      </c>
      <c r="O3" s="485"/>
      <c r="P3" s="485"/>
      <c r="Q3" s="485"/>
      <c r="R3" s="485"/>
      <c r="S3" s="485"/>
      <c r="T3" s="485"/>
      <c r="U3" s="485"/>
    </row>
    <row r="4" spans="1:21" x14ac:dyDescent="0.25">
      <c r="A4" s="443" t="s">
        <v>0</v>
      </c>
      <c r="B4" s="443"/>
      <c r="C4" s="444" t="s">
        <v>9</v>
      </c>
      <c r="D4" s="444"/>
      <c r="E4" s="444"/>
      <c r="F4" s="4" t="str">
        <f>'0664'!F4</f>
        <v>Apr 2023</v>
      </c>
      <c r="G4" s="4"/>
      <c r="H4" s="4"/>
      <c r="I4" s="4"/>
      <c r="N4" s="530" t="s">
        <v>0</v>
      </c>
      <c r="O4" s="530"/>
      <c r="P4" s="531" t="str">
        <f>C4</f>
        <v>Palm Beach</v>
      </c>
      <c r="Q4" s="531"/>
      <c r="R4" s="5"/>
      <c r="S4" s="5"/>
      <c r="T4" s="5"/>
      <c r="U4" s="5"/>
    </row>
    <row r="5" spans="1:21" ht="12" customHeight="1" thickBot="1" x14ac:dyDescent="0.3">
      <c r="A5" s="262"/>
      <c r="B5" s="262"/>
      <c r="C5" s="253"/>
      <c r="D5" s="253"/>
      <c r="E5" s="253"/>
      <c r="F5" s="254"/>
      <c r="G5" s="254"/>
      <c r="H5" s="254"/>
      <c r="I5" s="254"/>
      <c r="N5" s="86"/>
      <c r="O5" s="86"/>
      <c r="P5" s="6"/>
      <c r="Q5" s="6"/>
      <c r="R5" s="5"/>
      <c r="S5" s="5"/>
      <c r="T5" s="5"/>
      <c r="U5" s="5"/>
    </row>
    <row r="6" spans="1:21" ht="12" customHeight="1" x14ac:dyDescent="0.25">
      <c r="A6" s="150"/>
      <c r="B6" s="150"/>
      <c r="C6" s="261"/>
      <c r="D6" s="261"/>
      <c r="E6" s="261"/>
      <c r="F6" s="4"/>
      <c r="G6" s="4"/>
      <c r="H6" s="4"/>
      <c r="I6" s="4"/>
      <c r="N6" s="86"/>
      <c r="O6" s="86"/>
      <c r="P6" s="6"/>
      <c r="Q6" s="6"/>
      <c r="R6" s="5"/>
      <c r="S6" s="5"/>
      <c r="T6" s="5"/>
      <c r="U6" s="5"/>
    </row>
    <row r="7" spans="1:21" x14ac:dyDescent="0.25">
      <c r="A7" s="445" t="str">
        <f>'0664'!A7:I7</f>
        <v>1.   2022-23 FEFP State and Local Funding</v>
      </c>
      <c r="B7" s="533"/>
      <c r="C7" s="533"/>
      <c r="D7" s="533"/>
      <c r="E7" s="533"/>
      <c r="F7" s="533"/>
      <c r="G7" s="533"/>
      <c r="H7" s="533"/>
      <c r="I7" s="533"/>
      <c r="N7" s="530" t="s">
        <v>86</v>
      </c>
      <c r="O7" s="530"/>
      <c r="P7" s="530"/>
      <c r="Q7" s="530"/>
      <c r="R7" s="530"/>
      <c r="S7" s="530"/>
      <c r="T7" s="530"/>
      <c r="U7" s="530"/>
    </row>
    <row r="8" spans="1:21" x14ac:dyDescent="0.25">
      <c r="A8" s="87"/>
      <c r="B8" s="88" t="s">
        <v>123</v>
      </c>
      <c r="C8" s="334">
        <f>'0664'!C8</f>
        <v>4587.3999999999996</v>
      </c>
      <c r="D8" s="89"/>
      <c r="E8" s="90"/>
      <c r="F8" s="87"/>
      <c r="G8" s="88" t="s">
        <v>122</v>
      </c>
      <c r="H8" s="320">
        <f>'0664'!H8</f>
        <v>1.0438000000000001</v>
      </c>
      <c r="I8" s="78"/>
      <c r="N8" s="534" t="s">
        <v>10</v>
      </c>
      <c r="O8" s="534"/>
      <c r="P8" s="535">
        <v>4154.45</v>
      </c>
      <c r="Q8" s="535"/>
      <c r="R8" s="518" t="s">
        <v>11</v>
      </c>
      <c r="S8" s="518"/>
      <c r="T8" s="519">
        <f>H8</f>
        <v>1.0438000000000001</v>
      </c>
      <c r="U8" s="519"/>
    </row>
    <row r="9" spans="1:21" x14ac:dyDescent="0.25">
      <c r="A9" s="7"/>
      <c r="B9" s="44" t="s">
        <v>370</v>
      </c>
      <c r="C9" s="41" t="s">
        <v>370</v>
      </c>
      <c r="D9" s="91" t="s">
        <v>370</v>
      </c>
      <c r="E9" s="8"/>
      <c r="F9" s="9"/>
      <c r="G9" s="9"/>
      <c r="H9" s="10"/>
      <c r="I9" s="340" t="str">
        <f>'0664'!I9</f>
        <v>2022-23</v>
      </c>
      <c r="N9" s="12"/>
      <c r="O9" s="12"/>
      <c r="P9" s="13"/>
      <c r="Q9" s="13"/>
      <c r="R9" s="14"/>
      <c r="S9" s="14"/>
      <c r="T9" s="15"/>
      <c r="U9" s="405" t="s">
        <v>405</v>
      </c>
    </row>
    <row r="10" spans="1:21" x14ac:dyDescent="0.25">
      <c r="A10" s="7"/>
      <c r="B10" s="7"/>
      <c r="C10" s="91" t="s">
        <v>463</v>
      </c>
      <c r="D10" s="371" t="s">
        <v>464</v>
      </c>
      <c r="E10" s="92" t="s">
        <v>8</v>
      </c>
      <c r="F10" s="446" t="s">
        <v>1</v>
      </c>
      <c r="G10" s="446"/>
      <c r="H10" s="10" t="s">
        <v>73</v>
      </c>
      <c r="I10" s="11" t="s">
        <v>36</v>
      </c>
      <c r="N10" s="12"/>
      <c r="O10" s="12"/>
      <c r="P10" s="13"/>
      <c r="Q10" s="13"/>
      <c r="R10" s="520" t="s">
        <v>1</v>
      </c>
      <c r="S10" s="520"/>
      <c r="T10" s="15" t="s">
        <v>73</v>
      </c>
      <c r="U10" s="16" t="s">
        <v>36</v>
      </c>
    </row>
    <row r="11" spans="1:21" x14ac:dyDescent="0.25">
      <c r="A11" s="447" t="s">
        <v>1</v>
      </c>
      <c r="B11" s="447"/>
      <c r="C11" s="362" t="s">
        <v>2</v>
      </c>
      <c r="D11" s="362" t="s">
        <v>2</v>
      </c>
      <c r="E11" s="362" t="s">
        <v>2</v>
      </c>
      <c r="F11" s="448" t="s">
        <v>76</v>
      </c>
      <c r="G11" s="448"/>
      <c r="H11" s="17" t="s">
        <v>72</v>
      </c>
      <c r="I11" s="18" t="s">
        <v>75</v>
      </c>
      <c r="N11" s="510" t="s">
        <v>1</v>
      </c>
      <c r="O11" s="510"/>
      <c r="P11" s="521" t="s">
        <v>24</v>
      </c>
      <c r="Q11" s="521"/>
      <c r="R11" s="522" t="s">
        <v>76</v>
      </c>
      <c r="S11" s="522"/>
      <c r="T11" s="19" t="s">
        <v>72</v>
      </c>
      <c r="U11" s="20" t="s">
        <v>75</v>
      </c>
    </row>
    <row r="12" spans="1:21" x14ac:dyDescent="0.25">
      <c r="A12" s="449" t="s">
        <v>47</v>
      </c>
      <c r="B12" s="449"/>
      <c r="C12" s="94"/>
      <c r="D12" s="94"/>
      <c r="E12" s="95" t="s">
        <v>48</v>
      </c>
      <c r="F12" s="450" t="s">
        <v>49</v>
      </c>
      <c r="G12" s="450"/>
      <c r="H12" s="21" t="s">
        <v>50</v>
      </c>
      <c r="I12" s="22" t="s">
        <v>51</v>
      </c>
      <c r="N12" s="523" t="s">
        <v>47</v>
      </c>
      <c r="O12" s="523"/>
      <c r="P12" s="524" t="s">
        <v>48</v>
      </c>
      <c r="Q12" s="524"/>
      <c r="R12" s="525" t="s">
        <v>49</v>
      </c>
      <c r="S12" s="525"/>
      <c r="T12" s="23" t="s">
        <v>50</v>
      </c>
      <c r="U12" s="24" t="s">
        <v>51</v>
      </c>
    </row>
    <row r="13" spans="1:21" x14ac:dyDescent="0.25">
      <c r="A13" s="451" t="s">
        <v>29</v>
      </c>
      <c r="B13" s="451"/>
      <c r="C13" s="165">
        <v>141.85</v>
      </c>
      <c r="D13" s="163">
        <v>138.65</v>
      </c>
      <c r="E13" s="210">
        <f>IF(D$29=0,C13*2,C13+D13)</f>
        <v>280.5</v>
      </c>
      <c r="F13" s="537">
        <f>'0664'!F13:G13</f>
        <v>1.1259999999999999</v>
      </c>
      <c r="G13" s="537"/>
      <c r="H13" s="167">
        <f>ROUND(E13*F13,4)</f>
        <v>315.84300000000002</v>
      </c>
      <c r="I13" s="119">
        <f t="shared" ref="I13:I28" si="0">ROUND(ROUND(H13*$C$8,4)*($H$8),2)</f>
        <v>1512359.92</v>
      </c>
      <c r="N13" s="512" t="s">
        <v>29</v>
      </c>
      <c r="O13" s="512"/>
      <c r="P13" s="513">
        <f t="shared" ref="P13:P28" si="1">IF($H$120=1,E13,0)</f>
        <v>0</v>
      </c>
      <c r="Q13" s="513"/>
      <c r="R13" s="526">
        <v>1</v>
      </c>
      <c r="S13" s="526"/>
      <c r="T13" s="98">
        <f>ROUND(P13*R13,4)</f>
        <v>0</v>
      </c>
      <c r="U13" s="99">
        <f t="shared" ref="U13:U28" si="2">ROUND(ROUND(T13*$C$8,4)*($H$8),0)</f>
        <v>0</v>
      </c>
    </row>
    <row r="14" spans="1:21" x14ac:dyDescent="0.25">
      <c r="A14" s="453" t="s">
        <v>30</v>
      </c>
      <c r="B14" s="453"/>
      <c r="C14" s="165">
        <v>24</v>
      </c>
      <c r="D14" s="165">
        <v>25.5</v>
      </c>
      <c r="E14" s="125">
        <f t="shared" ref="E14:E28" si="3">IF(D$29=0,C14*2,C14+D14)</f>
        <v>49.5</v>
      </c>
      <c r="F14" s="532">
        <f>'0664'!F14:G14</f>
        <v>1.1259999999999999</v>
      </c>
      <c r="G14" s="532"/>
      <c r="H14" s="83">
        <f t="shared" ref="H14:H28" si="4">ROUND(E14*F14,4)</f>
        <v>55.737000000000002</v>
      </c>
      <c r="I14" s="104">
        <f t="shared" si="0"/>
        <v>266887.03999999998</v>
      </c>
      <c r="J14" s="68" t="str">
        <f>IF(ROUND(E14,2)=ROUND(SUM(E50:E52),2)," ","CHECK PK-3 LINES BELOW")</f>
        <v xml:space="preserve"> </v>
      </c>
      <c r="N14" s="479" t="s">
        <v>30</v>
      </c>
      <c r="O14" s="479"/>
      <c r="P14" s="513">
        <f t="shared" si="1"/>
        <v>0</v>
      </c>
      <c r="Q14" s="513"/>
      <c r="R14" s="517">
        <v>1</v>
      </c>
      <c r="S14" s="517"/>
      <c r="T14" s="98">
        <f t="shared" ref="T14:T28" si="5">ROUND(P14*R14,4)</f>
        <v>0</v>
      </c>
      <c r="U14" s="99">
        <f t="shared" si="2"/>
        <v>0</v>
      </c>
    </row>
    <row r="15" spans="1:21" x14ac:dyDescent="0.25">
      <c r="A15" s="453" t="s">
        <v>31</v>
      </c>
      <c r="B15" s="453"/>
      <c r="C15" s="165">
        <v>58.16</v>
      </c>
      <c r="D15" s="165">
        <v>56.03</v>
      </c>
      <c r="E15" s="125">
        <f t="shared" si="3"/>
        <v>114.19</v>
      </c>
      <c r="F15" s="532">
        <f>'0664'!F15:G15</f>
        <v>1</v>
      </c>
      <c r="G15" s="532"/>
      <c r="H15" s="83">
        <f t="shared" si="4"/>
        <v>114.19</v>
      </c>
      <c r="I15" s="104">
        <f t="shared" si="0"/>
        <v>546779.18999999994</v>
      </c>
      <c r="N15" s="479" t="s">
        <v>31</v>
      </c>
      <c r="O15" s="479"/>
      <c r="P15" s="513">
        <f t="shared" si="1"/>
        <v>0</v>
      </c>
      <c r="Q15" s="513"/>
      <c r="R15" s="517">
        <v>1</v>
      </c>
      <c r="S15" s="517"/>
      <c r="T15" s="98">
        <f t="shared" si="5"/>
        <v>0</v>
      </c>
      <c r="U15" s="99">
        <f t="shared" si="2"/>
        <v>0</v>
      </c>
    </row>
    <row r="16" spans="1:21" x14ac:dyDescent="0.25">
      <c r="A16" s="453" t="s">
        <v>32</v>
      </c>
      <c r="B16" s="453"/>
      <c r="C16" s="165">
        <v>14</v>
      </c>
      <c r="D16" s="165">
        <v>14.48</v>
      </c>
      <c r="E16" s="125">
        <f t="shared" si="3"/>
        <v>28.48</v>
      </c>
      <c r="F16" s="532">
        <f>'0664'!F16:G16</f>
        <v>1</v>
      </c>
      <c r="G16" s="532"/>
      <c r="H16" s="83">
        <f t="shared" si="4"/>
        <v>28.48</v>
      </c>
      <c r="I16" s="104">
        <f t="shared" si="0"/>
        <v>136371.57999999999</v>
      </c>
      <c r="J16" s="68" t="str">
        <f>IF(ROUND(E16,2)=ROUND(SUM(E53:E55),2)," ","CHECK 4-8 LINES BELOW")</f>
        <v xml:space="preserve"> </v>
      </c>
      <c r="N16" s="479" t="s">
        <v>32</v>
      </c>
      <c r="O16" s="479"/>
      <c r="P16" s="513">
        <f t="shared" si="1"/>
        <v>0</v>
      </c>
      <c r="Q16" s="513"/>
      <c r="R16" s="517">
        <v>1</v>
      </c>
      <c r="S16" s="517"/>
      <c r="T16" s="98">
        <f t="shared" si="5"/>
        <v>0</v>
      </c>
      <c r="U16" s="99">
        <f t="shared" si="2"/>
        <v>0</v>
      </c>
    </row>
    <row r="17" spans="1:21" x14ac:dyDescent="0.25">
      <c r="A17" s="453" t="s">
        <v>33</v>
      </c>
      <c r="B17" s="453"/>
      <c r="C17" s="165">
        <v>0</v>
      </c>
      <c r="D17" s="165">
        <v>0</v>
      </c>
      <c r="E17" s="125">
        <f t="shared" si="3"/>
        <v>0</v>
      </c>
      <c r="F17" s="532">
        <f>'0664'!F17:G17</f>
        <v>0.999</v>
      </c>
      <c r="G17" s="532"/>
      <c r="H17" s="83">
        <f t="shared" si="4"/>
        <v>0</v>
      </c>
      <c r="I17" s="104">
        <f t="shared" si="0"/>
        <v>0</v>
      </c>
      <c r="N17" s="479" t="s">
        <v>33</v>
      </c>
      <c r="O17" s="479"/>
      <c r="P17" s="513">
        <f t="shared" si="1"/>
        <v>0</v>
      </c>
      <c r="Q17" s="513"/>
      <c r="R17" s="517">
        <v>1</v>
      </c>
      <c r="S17" s="517"/>
      <c r="T17" s="98">
        <f t="shared" si="5"/>
        <v>0</v>
      </c>
      <c r="U17" s="99">
        <f t="shared" si="2"/>
        <v>0</v>
      </c>
    </row>
    <row r="18" spans="1:21" x14ac:dyDescent="0.25">
      <c r="A18" s="453" t="s">
        <v>34</v>
      </c>
      <c r="B18" s="453"/>
      <c r="C18" s="165">
        <v>0</v>
      </c>
      <c r="D18" s="165">
        <v>0</v>
      </c>
      <c r="E18" s="125">
        <f t="shared" si="3"/>
        <v>0</v>
      </c>
      <c r="F18" s="532">
        <f>'0664'!F18:G18</f>
        <v>0.999</v>
      </c>
      <c r="G18" s="532"/>
      <c r="H18" s="83">
        <f t="shared" si="4"/>
        <v>0</v>
      </c>
      <c r="I18" s="104">
        <f t="shared" si="0"/>
        <v>0</v>
      </c>
      <c r="J18" s="68" t="str">
        <f>IF(ROUND(E18,2)=ROUND(SUM(E56:E58),2)," ","CHECK 4-8 LINES BELOW")</f>
        <v xml:space="preserve"> </v>
      </c>
      <c r="N18" s="479" t="s">
        <v>34</v>
      </c>
      <c r="O18" s="479"/>
      <c r="P18" s="513">
        <f t="shared" si="1"/>
        <v>0</v>
      </c>
      <c r="Q18" s="513"/>
      <c r="R18" s="517">
        <v>1</v>
      </c>
      <c r="S18" s="517"/>
      <c r="T18" s="98">
        <f t="shared" si="5"/>
        <v>0</v>
      </c>
      <c r="U18" s="101">
        <f t="shared" si="2"/>
        <v>0</v>
      </c>
    </row>
    <row r="19" spans="1:21" x14ac:dyDescent="0.25">
      <c r="A19" s="453" t="s">
        <v>108</v>
      </c>
      <c r="B19" s="453"/>
      <c r="C19" s="165">
        <v>0</v>
      </c>
      <c r="D19" s="165">
        <v>0</v>
      </c>
      <c r="E19" s="125">
        <f t="shared" si="3"/>
        <v>0</v>
      </c>
      <c r="F19" s="532">
        <f>'0664'!F19:G19</f>
        <v>3.6739999999999999</v>
      </c>
      <c r="G19" s="532"/>
      <c r="H19" s="83">
        <f t="shared" si="4"/>
        <v>0</v>
      </c>
      <c r="I19" s="104">
        <f t="shared" si="0"/>
        <v>0</v>
      </c>
      <c r="N19" s="479" t="s">
        <v>108</v>
      </c>
      <c r="O19" s="479"/>
      <c r="P19" s="513">
        <f t="shared" si="1"/>
        <v>0</v>
      </c>
      <c r="Q19" s="513"/>
      <c r="R19" s="517">
        <v>1</v>
      </c>
      <c r="S19" s="517"/>
      <c r="T19" s="98">
        <f t="shared" si="5"/>
        <v>0</v>
      </c>
      <c r="U19" s="99">
        <f t="shared" si="2"/>
        <v>0</v>
      </c>
    </row>
    <row r="20" spans="1:21" x14ac:dyDescent="0.25">
      <c r="A20" s="453" t="s">
        <v>109</v>
      </c>
      <c r="B20" s="453"/>
      <c r="C20" s="165">
        <v>0</v>
      </c>
      <c r="D20" s="165">
        <v>0</v>
      </c>
      <c r="E20" s="125">
        <f t="shared" si="3"/>
        <v>0</v>
      </c>
      <c r="F20" s="532">
        <f>'0664'!F20:G20</f>
        <v>3.6739999999999999</v>
      </c>
      <c r="G20" s="532"/>
      <c r="H20" s="83">
        <f t="shared" si="4"/>
        <v>0</v>
      </c>
      <c r="I20" s="104">
        <f t="shared" si="0"/>
        <v>0</v>
      </c>
      <c r="N20" s="479" t="s">
        <v>109</v>
      </c>
      <c r="O20" s="479"/>
      <c r="P20" s="513">
        <f t="shared" si="1"/>
        <v>0</v>
      </c>
      <c r="Q20" s="513"/>
      <c r="R20" s="517">
        <v>1</v>
      </c>
      <c r="S20" s="517"/>
      <c r="T20" s="98">
        <f t="shared" si="5"/>
        <v>0</v>
      </c>
      <c r="U20" s="99">
        <f t="shared" si="2"/>
        <v>0</v>
      </c>
    </row>
    <row r="21" spans="1:21" x14ac:dyDescent="0.25">
      <c r="A21" s="453" t="s">
        <v>110</v>
      </c>
      <c r="B21" s="453"/>
      <c r="C21" s="165">
        <v>0</v>
      </c>
      <c r="D21" s="165">
        <v>0</v>
      </c>
      <c r="E21" s="125">
        <f t="shared" si="3"/>
        <v>0</v>
      </c>
      <c r="F21" s="532">
        <f>'0664'!F21:G21</f>
        <v>3.6739999999999999</v>
      </c>
      <c r="G21" s="532"/>
      <c r="H21" s="83">
        <f t="shared" si="4"/>
        <v>0</v>
      </c>
      <c r="I21" s="104">
        <f t="shared" si="0"/>
        <v>0</v>
      </c>
      <c r="N21" s="479" t="s">
        <v>110</v>
      </c>
      <c r="O21" s="479"/>
      <c r="P21" s="513">
        <f t="shared" si="1"/>
        <v>0</v>
      </c>
      <c r="Q21" s="513"/>
      <c r="R21" s="517">
        <v>1</v>
      </c>
      <c r="S21" s="517"/>
      <c r="T21" s="98">
        <f t="shared" si="5"/>
        <v>0</v>
      </c>
      <c r="U21" s="99">
        <f t="shared" si="2"/>
        <v>0</v>
      </c>
    </row>
    <row r="22" spans="1:21" x14ac:dyDescent="0.25">
      <c r="A22" s="453" t="s">
        <v>111</v>
      </c>
      <c r="B22" s="453"/>
      <c r="C22" s="165">
        <v>0</v>
      </c>
      <c r="D22" s="165">
        <v>0</v>
      </c>
      <c r="E22" s="125">
        <f t="shared" si="3"/>
        <v>0</v>
      </c>
      <c r="F22" s="532">
        <f>'0664'!F22:G22</f>
        <v>5.4009999999999998</v>
      </c>
      <c r="G22" s="532"/>
      <c r="H22" s="83">
        <f t="shared" si="4"/>
        <v>0</v>
      </c>
      <c r="I22" s="104">
        <f t="shared" si="0"/>
        <v>0</v>
      </c>
      <c r="N22" s="479" t="s">
        <v>111</v>
      </c>
      <c r="O22" s="479"/>
      <c r="P22" s="513">
        <f t="shared" si="1"/>
        <v>0</v>
      </c>
      <c r="Q22" s="513"/>
      <c r="R22" s="517">
        <v>1</v>
      </c>
      <c r="S22" s="517"/>
      <c r="T22" s="98">
        <f t="shared" si="5"/>
        <v>0</v>
      </c>
      <c r="U22" s="99">
        <f t="shared" si="2"/>
        <v>0</v>
      </c>
    </row>
    <row r="23" spans="1:21" x14ac:dyDescent="0.25">
      <c r="A23" s="453" t="s">
        <v>112</v>
      </c>
      <c r="B23" s="453"/>
      <c r="C23" s="165">
        <v>0</v>
      </c>
      <c r="D23" s="165">
        <v>0</v>
      </c>
      <c r="E23" s="125">
        <f t="shared" si="3"/>
        <v>0</v>
      </c>
      <c r="F23" s="532">
        <f>'0664'!F23:G23</f>
        <v>5.4009999999999998</v>
      </c>
      <c r="G23" s="532"/>
      <c r="H23" s="83">
        <f t="shared" si="4"/>
        <v>0</v>
      </c>
      <c r="I23" s="104">
        <f t="shared" si="0"/>
        <v>0</v>
      </c>
      <c r="N23" s="479" t="s">
        <v>112</v>
      </c>
      <c r="O23" s="479"/>
      <c r="P23" s="513">
        <f t="shared" si="1"/>
        <v>0</v>
      </c>
      <c r="Q23" s="513"/>
      <c r="R23" s="517">
        <v>1</v>
      </c>
      <c r="S23" s="517"/>
      <c r="T23" s="98">
        <f t="shared" si="5"/>
        <v>0</v>
      </c>
      <c r="U23" s="99">
        <f t="shared" si="2"/>
        <v>0</v>
      </c>
    </row>
    <row r="24" spans="1:21" x14ac:dyDescent="0.25">
      <c r="A24" s="453" t="s">
        <v>113</v>
      </c>
      <c r="B24" s="453"/>
      <c r="C24" s="165">
        <v>0</v>
      </c>
      <c r="D24" s="165">
        <v>0</v>
      </c>
      <c r="E24" s="125">
        <f t="shared" si="3"/>
        <v>0</v>
      </c>
      <c r="F24" s="532">
        <f>'0664'!F24:G24</f>
        <v>5.4009999999999998</v>
      </c>
      <c r="G24" s="532"/>
      <c r="H24" s="83">
        <f t="shared" si="4"/>
        <v>0</v>
      </c>
      <c r="I24" s="104">
        <f t="shared" si="0"/>
        <v>0</v>
      </c>
      <c r="N24" s="479" t="s">
        <v>113</v>
      </c>
      <c r="O24" s="479"/>
      <c r="P24" s="513">
        <f t="shared" si="1"/>
        <v>0</v>
      </c>
      <c r="Q24" s="513"/>
      <c r="R24" s="517">
        <v>1</v>
      </c>
      <c r="S24" s="517"/>
      <c r="T24" s="98">
        <f t="shared" si="5"/>
        <v>0</v>
      </c>
      <c r="U24" s="99">
        <f t="shared" si="2"/>
        <v>0</v>
      </c>
    </row>
    <row r="25" spans="1:21" x14ac:dyDescent="0.25">
      <c r="A25" s="453" t="s">
        <v>114</v>
      </c>
      <c r="B25" s="453"/>
      <c r="C25" s="165">
        <v>43.47</v>
      </c>
      <c r="D25" s="165">
        <v>44.23</v>
      </c>
      <c r="E25" s="125">
        <f t="shared" si="3"/>
        <v>87.699999999999989</v>
      </c>
      <c r="F25" s="532">
        <f>'0664'!F25:G25</f>
        <v>1.206</v>
      </c>
      <c r="G25" s="532"/>
      <c r="H25" s="83">
        <f t="shared" si="4"/>
        <v>105.7662</v>
      </c>
      <c r="I25" s="104">
        <f t="shared" si="0"/>
        <v>506443.27</v>
      </c>
      <c r="N25" s="479" t="s">
        <v>114</v>
      </c>
      <c r="O25" s="479"/>
      <c r="P25" s="513">
        <f t="shared" si="1"/>
        <v>0</v>
      </c>
      <c r="Q25" s="513"/>
      <c r="R25" s="517">
        <v>1</v>
      </c>
      <c r="S25" s="517"/>
      <c r="T25" s="98">
        <f t="shared" si="5"/>
        <v>0</v>
      </c>
      <c r="U25" s="99">
        <f t="shared" si="2"/>
        <v>0</v>
      </c>
    </row>
    <row r="26" spans="1:21" x14ac:dyDescent="0.25">
      <c r="A26" s="453" t="s">
        <v>115</v>
      </c>
      <c r="B26" s="453"/>
      <c r="C26" s="165">
        <v>16.23</v>
      </c>
      <c r="D26" s="165">
        <v>15.4</v>
      </c>
      <c r="E26" s="125">
        <f t="shared" si="3"/>
        <v>31.630000000000003</v>
      </c>
      <c r="F26" s="532">
        <f>'0664'!F26:G26</f>
        <v>1.206</v>
      </c>
      <c r="G26" s="532"/>
      <c r="H26" s="83">
        <f t="shared" si="4"/>
        <v>38.145800000000001</v>
      </c>
      <c r="I26" s="104">
        <f t="shared" si="0"/>
        <v>182654.61</v>
      </c>
      <c r="N26" s="479" t="s">
        <v>115</v>
      </c>
      <c r="O26" s="479"/>
      <c r="P26" s="513">
        <f t="shared" si="1"/>
        <v>0</v>
      </c>
      <c r="Q26" s="513"/>
      <c r="R26" s="517">
        <v>1</v>
      </c>
      <c r="S26" s="517"/>
      <c r="T26" s="98">
        <f t="shared" si="5"/>
        <v>0</v>
      </c>
      <c r="U26" s="99">
        <f t="shared" si="2"/>
        <v>0</v>
      </c>
    </row>
    <row r="27" spans="1:21" x14ac:dyDescent="0.25">
      <c r="A27" s="453" t="s">
        <v>116</v>
      </c>
      <c r="B27" s="453"/>
      <c r="C27" s="165">
        <v>0</v>
      </c>
      <c r="D27" s="165">
        <v>0</v>
      </c>
      <c r="E27" s="125">
        <f t="shared" si="3"/>
        <v>0</v>
      </c>
      <c r="F27" s="532">
        <f>'0664'!F27:G27</f>
        <v>1.206</v>
      </c>
      <c r="G27" s="532"/>
      <c r="H27" s="83">
        <f t="shared" si="4"/>
        <v>0</v>
      </c>
      <c r="I27" s="104">
        <f t="shared" si="0"/>
        <v>0</v>
      </c>
      <c r="N27" s="479" t="s">
        <v>116</v>
      </c>
      <c r="O27" s="479"/>
      <c r="P27" s="513">
        <f t="shared" si="1"/>
        <v>0</v>
      </c>
      <c r="Q27" s="513"/>
      <c r="R27" s="517">
        <v>1</v>
      </c>
      <c r="S27" s="517"/>
      <c r="T27" s="98">
        <f t="shared" si="5"/>
        <v>0</v>
      </c>
      <c r="U27" s="99">
        <f t="shared" si="2"/>
        <v>0</v>
      </c>
    </row>
    <row r="28" spans="1:21" x14ac:dyDescent="0.25">
      <c r="A28" s="453" t="s">
        <v>117</v>
      </c>
      <c r="B28" s="453"/>
      <c r="C28" s="116">
        <v>0</v>
      </c>
      <c r="D28" s="116">
        <v>0</v>
      </c>
      <c r="E28" s="177">
        <f t="shared" si="3"/>
        <v>0</v>
      </c>
      <c r="F28" s="532">
        <f>'0664'!F28:G28</f>
        <v>0.999</v>
      </c>
      <c r="G28" s="532"/>
      <c r="H28" s="96">
        <f t="shared" si="4"/>
        <v>0</v>
      </c>
      <c r="I28" s="97">
        <f t="shared" si="0"/>
        <v>0</v>
      </c>
      <c r="N28" s="482" t="s">
        <v>117</v>
      </c>
      <c r="O28" s="482"/>
      <c r="P28" s="513">
        <f t="shared" si="1"/>
        <v>0</v>
      </c>
      <c r="Q28" s="513"/>
      <c r="R28" s="514">
        <v>1</v>
      </c>
      <c r="S28" s="514"/>
      <c r="T28" s="98">
        <f t="shared" si="5"/>
        <v>0</v>
      </c>
      <c r="U28" s="99">
        <f t="shared" si="2"/>
        <v>0</v>
      </c>
    </row>
    <row r="29" spans="1:21" x14ac:dyDescent="0.25">
      <c r="A29" s="461" t="s">
        <v>5</v>
      </c>
      <c r="B29" s="461"/>
      <c r="C29" s="97">
        <f>SUM(C13:C28)</f>
        <v>297.71000000000004</v>
      </c>
      <c r="D29" s="97">
        <f>SUM(D13:D28)</f>
        <v>294.28999999999996</v>
      </c>
      <c r="E29" s="97">
        <f>SUM(E13:E28)</f>
        <v>592</v>
      </c>
      <c r="F29" s="457"/>
      <c r="G29" s="457"/>
      <c r="H29" s="102">
        <f>SUM(H13:H28)</f>
        <v>658.16200000000003</v>
      </c>
      <c r="I29" s="97">
        <f>SUM(I13:I28)</f>
        <v>3151495.61</v>
      </c>
      <c r="N29" s="515" t="s">
        <v>5</v>
      </c>
      <c r="O29" s="515"/>
      <c r="P29" s="516">
        <f>SUM(P13:P28)</f>
        <v>0</v>
      </c>
      <c r="Q29" s="516"/>
      <c r="R29" s="508"/>
      <c r="S29" s="508"/>
      <c r="T29" s="103">
        <f>SUM(T13:T28)</f>
        <v>0</v>
      </c>
      <c r="U29" s="99">
        <f>SUM(U13:U28)</f>
        <v>0</v>
      </c>
    </row>
    <row r="30" spans="1:21" x14ac:dyDescent="0.25">
      <c r="A30" s="27"/>
      <c r="B30" s="27"/>
      <c r="C30" s="104"/>
      <c r="D30" s="104"/>
      <c r="E30" s="104"/>
      <c r="F30" s="28"/>
      <c r="G30" s="28"/>
      <c r="H30" s="83"/>
      <c r="I30" s="104"/>
      <c r="N30" s="29"/>
      <c r="O30" s="29"/>
      <c r="P30" s="30"/>
      <c r="Q30" s="30"/>
      <c r="R30" s="31"/>
      <c r="S30" s="31"/>
      <c r="T30" s="105"/>
      <c r="U30" s="106"/>
    </row>
    <row r="31" spans="1:21" x14ac:dyDescent="0.25">
      <c r="A31" s="168" t="s">
        <v>97</v>
      </c>
      <c r="B31" s="27"/>
      <c r="C31" s="104"/>
      <c r="D31" s="104"/>
      <c r="E31" s="104"/>
      <c r="F31" s="28"/>
      <c r="G31" s="28"/>
      <c r="H31" s="83"/>
      <c r="I31" s="104"/>
      <c r="N31" s="29"/>
      <c r="O31" s="29"/>
      <c r="P31" s="30"/>
      <c r="Q31" s="30"/>
      <c r="R31" s="31"/>
      <c r="S31" s="31"/>
      <c r="T31" s="105"/>
      <c r="U31" s="106"/>
    </row>
    <row r="32" spans="1:21" hidden="1" x14ac:dyDescent="0.25">
      <c r="A32" s="168"/>
      <c r="B32" s="27"/>
      <c r="C32" s="104"/>
      <c r="D32" s="104"/>
      <c r="E32" s="104"/>
      <c r="F32" s="28"/>
      <c r="G32" s="28"/>
      <c r="H32" s="83"/>
      <c r="I32" s="104"/>
      <c r="N32" s="29"/>
      <c r="O32" s="29"/>
      <c r="P32" s="30"/>
      <c r="Q32" s="30"/>
      <c r="R32" s="31"/>
      <c r="S32" s="31"/>
      <c r="T32" s="105"/>
      <c r="U32" s="106"/>
    </row>
    <row r="33" spans="1:21" hidden="1" x14ac:dyDescent="0.25">
      <c r="A33" s="168"/>
      <c r="B33" s="27"/>
      <c r="C33" s="104"/>
      <c r="D33" s="104"/>
      <c r="E33" s="104"/>
      <c r="F33" s="541" t="s">
        <v>282</v>
      </c>
      <c r="G33" s="541"/>
      <c r="H33" s="541"/>
      <c r="I33" s="104"/>
      <c r="N33" s="29"/>
      <c r="O33" s="29"/>
      <c r="P33" s="30"/>
      <c r="Q33" s="30"/>
      <c r="R33" s="31"/>
      <c r="S33" s="31"/>
      <c r="T33" s="105"/>
      <c r="U33" s="106"/>
    </row>
    <row r="34" spans="1:21" hidden="1" x14ac:dyDescent="0.25">
      <c r="A34" s="3"/>
      <c r="B34" s="72"/>
      <c r="C34" s="72"/>
      <c r="D34" s="72"/>
      <c r="E34" s="72"/>
      <c r="F34" s="541"/>
      <c r="G34" s="541"/>
      <c r="H34" s="541"/>
      <c r="I34" s="25" t="s">
        <v>74</v>
      </c>
      <c r="N34" s="485" t="s">
        <v>35</v>
      </c>
      <c r="O34" s="485"/>
      <c r="P34" s="485"/>
      <c r="Q34" s="485"/>
      <c r="R34" s="485"/>
      <c r="S34" s="485"/>
      <c r="T34" s="485"/>
      <c r="U34" s="26" t="s">
        <v>74</v>
      </c>
    </row>
    <row r="35" spans="1:21" hidden="1" x14ac:dyDescent="0.25">
      <c r="A35" s="27"/>
      <c r="B35" s="27"/>
      <c r="C35" s="91" t="s">
        <v>124</v>
      </c>
      <c r="D35" s="91" t="s">
        <v>125</v>
      </c>
      <c r="E35" s="92" t="s">
        <v>8</v>
      </c>
      <c r="F35" s="541"/>
      <c r="G35" s="541"/>
      <c r="H35" s="541"/>
      <c r="I35" s="25" t="s">
        <v>36</v>
      </c>
      <c r="N35" s="29"/>
      <c r="O35" s="29"/>
      <c r="P35" s="30"/>
      <c r="Q35" s="30"/>
      <c r="R35" s="31"/>
      <c r="S35" s="31"/>
      <c r="T35" s="105"/>
      <c r="U35" s="26" t="s">
        <v>36</v>
      </c>
    </row>
    <row r="36" spans="1:21" hidden="1" x14ac:dyDescent="0.25">
      <c r="A36" s="447" t="s">
        <v>63</v>
      </c>
      <c r="B36" s="447"/>
      <c r="C36" s="93" t="s">
        <v>2</v>
      </c>
      <c r="D36" s="93" t="s">
        <v>2</v>
      </c>
      <c r="E36" s="93" t="s">
        <v>2</v>
      </c>
      <c r="F36" s="542"/>
      <c r="G36" s="542"/>
      <c r="H36" s="542"/>
      <c r="I36" s="32" t="s">
        <v>75</v>
      </c>
      <c r="N36" s="510" t="s">
        <v>63</v>
      </c>
      <c r="O36" s="510"/>
      <c r="P36" s="511" t="s">
        <v>24</v>
      </c>
      <c r="Q36" s="511"/>
      <c r="R36" s="511"/>
      <c r="S36" s="511"/>
      <c r="T36" s="511"/>
      <c r="U36" s="20" t="s">
        <v>75</v>
      </c>
    </row>
    <row r="37" spans="1:21" hidden="1" x14ac:dyDescent="0.25">
      <c r="A37" s="451" t="s">
        <v>56</v>
      </c>
      <c r="B37" s="451"/>
      <c r="C37" s="169">
        <v>0</v>
      </c>
      <c r="D37" s="169">
        <v>0</v>
      </c>
      <c r="E37" s="210">
        <f t="shared" ref="E37:E42" si="6">IF(D$43=0,C37*2,C37+D37)</f>
        <v>0</v>
      </c>
      <c r="F37" s="170"/>
      <c r="G37" s="170"/>
      <c r="H37" s="170"/>
      <c r="I37" s="119">
        <f t="shared" ref="I37:I42" si="7">ROUND(ROUND(E37*$C$8,4)*($H$8),2)</f>
        <v>0</v>
      </c>
      <c r="N37" s="512" t="s">
        <v>56</v>
      </c>
      <c r="O37" s="512"/>
      <c r="P37" s="483">
        <f t="shared" ref="P37:P42" si="8">IF($H$120=1,E37,0)</f>
        <v>0</v>
      </c>
      <c r="Q37" s="483"/>
      <c r="R37" s="483"/>
      <c r="S37" s="483"/>
      <c r="T37" s="483"/>
      <c r="U37" s="101">
        <f t="shared" ref="U37:U42" si="9">ROUND(ROUND(P37*$C$8,4)*($H$8),0)</f>
        <v>0</v>
      </c>
    </row>
    <row r="38" spans="1:21" hidden="1" x14ac:dyDescent="0.25">
      <c r="A38" s="453" t="s">
        <v>57</v>
      </c>
      <c r="B38" s="453"/>
      <c r="C38" s="172">
        <v>0</v>
      </c>
      <c r="D38" s="172">
        <v>0</v>
      </c>
      <c r="E38" s="125">
        <f t="shared" si="6"/>
        <v>0</v>
      </c>
      <c r="F38" s="173"/>
      <c r="G38" s="173"/>
      <c r="H38" s="173"/>
      <c r="I38" s="104">
        <f t="shared" si="7"/>
        <v>0</v>
      </c>
      <c r="N38" s="479" t="s">
        <v>57</v>
      </c>
      <c r="O38" s="479"/>
      <c r="P38" s="483">
        <f t="shared" si="8"/>
        <v>0</v>
      </c>
      <c r="Q38" s="483"/>
      <c r="R38" s="483"/>
      <c r="S38" s="483"/>
      <c r="T38" s="483"/>
      <c r="U38" s="101">
        <f t="shared" si="9"/>
        <v>0</v>
      </c>
    </row>
    <row r="39" spans="1:21" hidden="1" x14ac:dyDescent="0.25">
      <c r="A39" s="458" t="s">
        <v>58</v>
      </c>
      <c r="B39" s="458"/>
      <c r="C39" s="172">
        <v>0</v>
      </c>
      <c r="D39" s="172">
        <v>0</v>
      </c>
      <c r="E39" s="125">
        <f t="shared" si="6"/>
        <v>0</v>
      </c>
      <c r="F39" s="173"/>
      <c r="G39" s="173"/>
      <c r="H39" s="173"/>
      <c r="I39" s="104">
        <f t="shared" si="7"/>
        <v>0</v>
      </c>
      <c r="N39" s="509" t="s">
        <v>58</v>
      </c>
      <c r="O39" s="509"/>
      <c r="P39" s="483">
        <f t="shared" si="8"/>
        <v>0</v>
      </c>
      <c r="Q39" s="483"/>
      <c r="R39" s="483"/>
      <c r="S39" s="483"/>
      <c r="T39" s="483"/>
      <c r="U39" s="101">
        <f t="shared" si="9"/>
        <v>0</v>
      </c>
    </row>
    <row r="40" spans="1:21" hidden="1" x14ac:dyDescent="0.25">
      <c r="A40" s="453" t="s">
        <v>59</v>
      </c>
      <c r="B40" s="453"/>
      <c r="C40" s="172">
        <v>0</v>
      </c>
      <c r="D40" s="172">
        <v>0</v>
      </c>
      <c r="E40" s="125">
        <f t="shared" si="6"/>
        <v>0</v>
      </c>
      <c r="F40" s="173"/>
      <c r="G40" s="173"/>
      <c r="H40" s="173"/>
      <c r="I40" s="104">
        <f t="shared" si="7"/>
        <v>0</v>
      </c>
      <c r="N40" s="479" t="s">
        <v>59</v>
      </c>
      <c r="O40" s="479"/>
      <c r="P40" s="483">
        <f t="shared" si="8"/>
        <v>0</v>
      </c>
      <c r="Q40" s="483"/>
      <c r="R40" s="483"/>
      <c r="S40" s="483"/>
      <c r="T40" s="483"/>
      <c r="U40" s="101">
        <f t="shared" si="9"/>
        <v>0</v>
      </c>
    </row>
    <row r="41" spans="1:21" hidden="1" x14ac:dyDescent="0.25">
      <c r="A41" s="453" t="s">
        <v>60</v>
      </c>
      <c r="B41" s="453"/>
      <c r="C41" s="172">
        <v>0</v>
      </c>
      <c r="D41" s="172">
        <v>0</v>
      </c>
      <c r="E41" s="125">
        <f t="shared" si="6"/>
        <v>0</v>
      </c>
      <c r="F41" s="173"/>
      <c r="G41" s="173"/>
      <c r="H41" s="173"/>
      <c r="I41" s="104">
        <f t="shared" si="7"/>
        <v>0</v>
      </c>
      <c r="N41" s="479" t="s">
        <v>60</v>
      </c>
      <c r="O41" s="479"/>
      <c r="P41" s="483">
        <f t="shared" si="8"/>
        <v>0</v>
      </c>
      <c r="Q41" s="483"/>
      <c r="R41" s="483"/>
      <c r="S41" s="483"/>
      <c r="T41" s="483"/>
      <c r="U41" s="101">
        <f t="shared" si="9"/>
        <v>0</v>
      </c>
    </row>
    <row r="42" spans="1:21" hidden="1" x14ac:dyDescent="0.25">
      <c r="A42" s="453" t="s">
        <v>52</v>
      </c>
      <c r="B42" s="453"/>
      <c r="C42" s="171">
        <v>0</v>
      </c>
      <c r="D42" s="171">
        <v>0</v>
      </c>
      <c r="E42" s="177">
        <f t="shared" si="6"/>
        <v>0</v>
      </c>
      <c r="F42" s="173"/>
      <c r="G42" s="173"/>
      <c r="H42" s="173"/>
      <c r="I42" s="97">
        <f t="shared" si="7"/>
        <v>0</v>
      </c>
      <c r="N42" s="482" t="s">
        <v>52</v>
      </c>
      <c r="O42" s="482"/>
      <c r="P42" s="483">
        <f t="shared" si="8"/>
        <v>0</v>
      </c>
      <c r="Q42" s="483"/>
      <c r="R42" s="483"/>
      <c r="S42" s="483"/>
      <c r="T42" s="483"/>
      <c r="U42" s="101">
        <f t="shared" si="9"/>
        <v>0</v>
      </c>
    </row>
    <row r="43" spans="1:21" hidden="1" x14ac:dyDescent="0.25">
      <c r="A43" s="3"/>
      <c r="B43" s="55" t="s">
        <v>126</v>
      </c>
      <c r="C43" s="100">
        <f>SUM(C37:C42)</f>
        <v>0</v>
      </c>
      <c r="D43" s="100">
        <f>SUM(D37:D42)</f>
        <v>0</v>
      </c>
      <c r="E43" s="100">
        <f>SUM(E37:E42)</f>
        <v>0</v>
      </c>
      <c r="F43" s="33"/>
      <c r="G43" s="109"/>
      <c r="H43" s="110" t="s">
        <v>128</v>
      </c>
      <c r="I43" s="100">
        <f>SUM(I37:I42)</f>
        <v>0</v>
      </c>
      <c r="N43" s="480" t="s">
        <v>54</v>
      </c>
      <c r="O43" s="480"/>
      <c r="P43" s="480"/>
      <c r="Q43" s="480"/>
      <c r="R43" s="34">
        <f>SUM(P37:R42)</f>
        <v>0</v>
      </c>
      <c r="S43" s="508" t="s">
        <v>64</v>
      </c>
      <c r="T43" s="508"/>
      <c r="U43" s="106">
        <f>SUM(U37:U42)</f>
        <v>0</v>
      </c>
    </row>
    <row r="44" spans="1:21" ht="16.5" hidden="1" thickBot="1" x14ac:dyDescent="0.3">
      <c r="A44" s="3"/>
      <c r="B44" s="55"/>
      <c r="C44" s="104"/>
      <c r="D44" s="104"/>
      <c r="E44" s="119"/>
      <c r="F44" s="33"/>
      <c r="G44" s="109"/>
      <c r="H44" s="110"/>
      <c r="I44" s="104"/>
      <c r="N44" s="29"/>
      <c r="O44" s="29"/>
      <c r="P44" s="29"/>
      <c r="Q44" s="29"/>
      <c r="R44" s="34"/>
      <c r="S44" s="31"/>
      <c r="T44" s="31"/>
      <c r="U44" s="106"/>
    </row>
    <row r="45" spans="1:21" ht="16.5" hidden="1" thickBot="1" x14ac:dyDescent="0.3">
      <c r="A45" s="3"/>
      <c r="B45" s="55" t="s">
        <v>127</v>
      </c>
      <c r="E45" s="174">
        <f>H29+E43</f>
        <v>658.16200000000003</v>
      </c>
      <c r="F45" s="35"/>
      <c r="G45" s="109"/>
      <c r="H45" s="110" t="s">
        <v>129</v>
      </c>
      <c r="I45" s="97">
        <f>SUM(I43,I29)</f>
        <v>3151495.61</v>
      </c>
      <c r="N45" s="480" t="s">
        <v>55</v>
      </c>
      <c r="O45" s="480"/>
      <c r="P45" s="480"/>
      <c r="Q45" s="480"/>
      <c r="R45" s="36">
        <f>R43+T29</f>
        <v>0</v>
      </c>
      <c r="S45" s="508" t="s">
        <v>53</v>
      </c>
      <c r="T45" s="508"/>
      <c r="U45" s="111">
        <f>SUM(U43,U29)</f>
        <v>0</v>
      </c>
    </row>
    <row r="46" spans="1:21" hidden="1" x14ac:dyDescent="0.25">
      <c r="A46" s="27"/>
      <c r="B46" s="27"/>
      <c r="C46" s="27"/>
      <c r="D46" s="27"/>
      <c r="E46" s="27"/>
      <c r="F46" s="35"/>
      <c r="G46" s="28"/>
      <c r="H46" s="28"/>
      <c r="I46" s="104"/>
      <c r="N46" s="29"/>
      <c r="O46" s="29"/>
      <c r="P46" s="29"/>
      <c r="Q46" s="29"/>
      <c r="R46" s="36"/>
      <c r="S46" s="31"/>
      <c r="T46" s="31"/>
      <c r="U46" s="106"/>
    </row>
    <row r="47" spans="1:21" x14ac:dyDescent="0.25">
      <c r="A47" s="27"/>
      <c r="B47" s="55" t="s">
        <v>370</v>
      </c>
      <c r="C47" s="41" t="s">
        <v>370</v>
      </c>
      <c r="D47" s="91" t="s">
        <v>370</v>
      </c>
      <c r="E47" s="27"/>
      <c r="F47" s="35"/>
      <c r="G47" s="28"/>
      <c r="H47" s="28"/>
      <c r="I47" s="104"/>
      <c r="N47" s="29"/>
      <c r="O47" s="29"/>
      <c r="P47" s="29"/>
      <c r="Q47" s="29"/>
      <c r="R47" s="36"/>
      <c r="S47" s="31"/>
      <c r="T47" s="31"/>
      <c r="U47" s="106"/>
    </row>
    <row r="48" spans="1:21" x14ac:dyDescent="0.25">
      <c r="A48" s="27"/>
      <c r="B48" s="27"/>
      <c r="C48" s="91" t="s">
        <v>463</v>
      </c>
      <c r="D48" s="371" t="s">
        <v>464</v>
      </c>
      <c r="E48" s="92" t="s">
        <v>8</v>
      </c>
      <c r="F48" s="49" t="s">
        <v>130</v>
      </c>
      <c r="G48" s="112" t="s">
        <v>132</v>
      </c>
      <c r="H48" s="113" t="s">
        <v>133</v>
      </c>
      <c r="I48" s="104"/>
      <c r="N48" s="29"/>
      <c r="O48" s="29"/>
      <c r="P48" s="29"/>
      <c r="Q48" s="29"/>
      <c r="R48" s="36"/>
      <c r="S48" s="31"/>
      <c r="T48" s="31"/>
      <c r="U48" s="106"/>
    </row>
    <row r="49" spans="1:21" x14ac:dyDescent="0.25">
      <c r="A49" s="37" t="s">
        <v>87</v>
      </c>
      <c r="B49" s="37"/>
      <c r="C49" s="362" t="s">
        <v>2</v>
      </c>
      <c r="D49" s="362" t="s">
        <v>2</v>
      </c>
      <c r="E49" s="362" t="s">
        <v>2</v>
      </c>
      <c r="F49" s="95" t="s">
        <v>131</v>
      </c>
      <c r="G49" s="62" t="s">
        <v>131</v>
      </c>
      <c r="H49" s="114" t="s">
        <v>134</v>
      </c>
      <c r="I49" s="37"/>
      <c r="N49" s="482" t="s">
        <v>87</v>
      </c>
      <c r="O49" s="482"/>
      <c r="P49" s="503" t="s">
        <v>2</v>
      </c>
      <c r="Q49" s="503"/>
      <c r="R49" s="38" t="s">
        <v>25</v>
      </c>
      <c r="S49" s="63" t="s">
        <v>26</v>
      </c>
      <c r="T49" s="115" t="s">
        <v>27</v>
      </c>
      <c r="U49" s="38"/>
    </row>
    <row r="50" spans="1:21" x14ac:dyDescent="0.25">
      <c r="A50" s="459" t="s">
        <v>98</v>
      </c>
      <c r="B50" s="459"/>
      <c r="C50" s="165">
        <v>18.5</v>
      </c>
      <c r="D50" s="165">
        <v>19.66</v>
      </c>
      <c r="E50" s="125">
        <f>IF(D$59=0,C50*2,C50+D50)</f>
        <v>38.159999999999997</v>
      </c>
      <c r="F50" s="39" t="s">
        <v>21</v>
      </c>
      <c r="G50" s="39">
        <v>251</v>
      </c>
      <c r="H50" s="321">
        <f>'0664'!H50</f>
        <v>1047</v>
      </c>
      <c r="I50" s="104">
        <f>ROUND(E50*H50,2)</f>
        <v>39953.519999999997</v>
      </c>
      <c r="N50" s="504" t="s">
        <v>28</v>
      </c>
      <c r="O50" s="504"/>
      <c r="P50" s="505"/>
      <c r="Q50" s="505"/>
      <c r="R50" s="40" t="s">
        <v>21</v>
      </c>
      <c r="S50" s="40">
        <v>251</v>
      </c>
      <c r="T50" s="117">
        <f>H50</f>
        <v>1047</v>
      </c>
      <c r="U50" s="118">
        <f>ROUND(P50*T50,0)</f>
        <v>0</v>
      </c>
    </row>
    <row r="51" spans="1:21" x14ac:dyDescent="0.25">
      <c r="A51" s="460"/>
      <c r="B51" s="460"/>
      <c r="C51" s="165">
        <v>5</v>
      </c>
      <c r="D51" s="165">
        <v>5.31</v>
      </c>
      <c r="E51" s="125">
        <f t="shared" ref="E51:E58" si="10">IF(D$59=0,C51*2,C51+D51)</f>
        <v>10.309999999999999</v>
      </c>
      <c r="F51" s="39" t="s">
        <v>21</v>
      </c>
      <c r="G51" s="39">
        <v>252</v>
      </c>
      <c r="H51" s="321">
        <f>'0664'!H51</f>
        <v>3380</v>
      </c>
      <c r="I51" s="104">
        <f t="shared" ref="I51:I58" si="11">ROUND(E51*H51,2)</f>
        <v>34847.800000000003</v>
      </c>
      <c r="N51" s="504"/>
      <c r="O51" s="504"/>
      <c r="P51" s="506"/>
      <c r="Q51" s="506"/>
      <c r="R51" s="40" t="s">
        <v>21</v>
      </c>
      <c r="S51" s="40">
        <v>252</v>
      </c>
      <c r="T51" s="117">
        <f t="shared" ref="T51:T58" si="12">H51</f>
        <v>3380</v>
      </c>
      <c r="U51" s="118">
        <f t="shared" ref="U51:U58" si="13">ROUND(P51*T51,0)</f>
        <v>0</v>
      </c>
    </row>
    <row r="52" spans="1:21" x14ac:dyDescent="0.25">
      <c r="A52" s="460"/>
      <c r="B52" s="460"/>
      <c r="C52" s="165">
        <v>0.5</v>
      </c>
      <c r="D52" s="165">
        <v>0.53</v>
      </c>
      <c r="E52" s="125">
        <f t="shared" si="10"/>
        <v>1.03</v>
      </c>
      <c r="F52" s="39" t="s">
        <v>21</v>
      </c>
      <c r="G52" s="39">
        <v>253</v>
      </c>
      <c r="H52" s="321">
        <f>'0664'!H52</f>
        <v>6896</v>
      </c>
      <c r="I52" s="104">
        <f t="shared" si="11"/>
        <v>7102.88</v>
      </c>
      <c r="N52" s="504"/>
      <c r="O52" s="504"/>
      <c r="P52" s="506"/>
      <c r="Q52" s="506"/>
      <c r="R52" s="40" t="s">
        <v>21</v>
      </c>
      <c r="S52" s="40">
        <v>253</v>
      </c>
      <c r="T52" s="117">
        <f t="shared" si="12"/>
        <v>6896</v>
      </c>
      <c r="U52" s="118">
        <f t="shared" si="13"/>
        <v>0</v>
      </c>
    </row>
    <row r="53" spans="1:21" x14ac:dyDescent="0.25">
      <c r="A53" s="460"/>
      <c r="B53" s="460"/>
      <c r="C53" s="165">
        <v>13.5</v>
      </c>
      <c r="D53" s="165">
        <v>13.96</v>
      </c>
      <c r="E53" s="125">
        <f t="shared" si="10"/>
        <v>27.46</v>
      </c>
      <c r="F53" s="41" t="s">
        <v>14</v>
      </c>
      <c r="G53" s="39">
        <v>251</v>
      </c>
      <c r="H53" s="321">
        <f>'0664'!H53</f>
        <v>1173</v>
      </c>
      <c r="I53" s="104">
        <f t="shared" si="11"/>
        <v>32210.58</v>
      </c>
      <c r="N53" s="504"/>
      <c r="O53" s="504"/>
      <c r="P53" s="506"/>
      <c r="Q53" s="506"/>
      <c r="R53" s="42" t="s">
        <v>14</v>
      </c>
      <c r="S53" s="40">
        <v>251</v>
      </c>
      <c r="T53" s="117">
        <f t="shared" si="12"/>
        <v>1173</v>
      </c>
      <c r="U53" s="118">
        <f t="shared" si="13"/>
        <v>0</v>
      </c>
    </row>
    <row r="54" spans="1:21" x14ac:dyDescent="0.25">
      <c r="A54" s="460"/>
      <c r="B54" s="460"/>
      <c r="C54" s="165">
        <v>0.5</v>
      </c>
      <c r="D54" s="165">
        <v>0.52</v>
      </c>
      <c r="E54" s="125">
        <f t="shared" si="10"/>
        <v>1.02</v>
      </c>
      <c r="F54" s="41" t="s">
        <v>14</v>
      </c>
      <c r="G54" s="39">
        <v>252</v>
      </c>
      <c r="H54" s="321">
        <f>'0664'!H54</f>
        <v>3506</v>
      </c>
      <c r="I54" s="104">
        <f t="shared" si="11"/>
        <v>3576.12</v>
      </c>
      <c r="N54" s="504"/>
      <c r="O54" s="504"/>
      <c r="P54" s="506"/>
      <c r="Q54" s="506"/>
      <c r="R54" s="42" t="s">
        <v>14</v>
      </c>
      <c r="S54" s="40">
        <v>252</v>
      </c>
      <c r="T54" s="117">
        <f t="shared" si="12"/>
        <v>3506</v>
      </c>
      <c r="U54" s="118">
        <f t="shared" si="13"/>
        <v>0</v>
      </c>
    </row>
    <row r="55" spans="1:21" x14ac:dyDescent="0.25">
      <c r="A55" s="460"/>
      <c r="B55" s="460"/>
      <c r="C55" s="165">
        <v>0</v>
      </c>
      <c r="D55" s="165">
        <v>0</v>
      </c>
      <c r="E55" s="125">
        <f t="shared" si="10"/>
        <v>0</v>
      </c>
      <c r="F55" s="41" t="s">
        <v>14</v>
      </c>
      <c r="G55" s="39">
        <v>253</v>
      </c>
      <c r="H55" s="321">
        <f>'0664'!H55</f>
        <v>7023</v>
      </c>
      <c r="I55" s="104">
        <f t="shared" si="11"/>
        <v>0</v>
      </c>
      <c r="N55" s="504"/>
      <c r="O55" s="504"/>
      <c r="P55" s="506"/>
      <c r="Q55" s="506"/>
      <c r="R55" s="42" t="s">
        <v>14</v>
      </c>
      <c r="S55" s="40">
        <v>253</v>
      </c>
      <c r="T55" s="117">
        <f t="shared" si="12"/>
        <v>7023</v>
      </c>
      <c r="U55" s="118">
        <f t="shared" si="13"/>
        <v>0</v>
      </c>
    </row>
    <row r="56" spans="1:21" x14ac:dyDescent="0.25">
      <c r="A56" s="460"/>
      <c r="B56" s="460"/>
      <c r="C56" s="165">
        <v>0</v>
      </c>
      <c r="D56" s="165">
        <v>0</v>
      </c>
      <c r="E56" s="125">
        <f t="shared" si="10"/>
        <v>0</v>
      </c>
      <c r="F56" s="41" t="s">
        <v>15</v>
      </c>
      <c r="G56" s="39">
        <v>251</v>
      </c>
      <c r="H56" s="321">
        <f>'0664'!H56</f>
        <v>835</v>
      </c>
      <c r="I56" s="104">
        <f t="shared" si="11"/>
        <v>0</v>
      </c>
      <c r="N56" s="504"/>
      <c r="O56" s="504"/>
      <c r="P56" s="506"/>
      <c r="Q56" s="506"/>
      <c r="R56" s="42" t="s">
        <v>15</v>
      </c>
      <c r="S56" s="40">
        <v>251</v>
      </c>
      <c r="T56" s="117">
        <f t="shared" si="12"/>
        <v>835</v>
      </c>
      <c r="U56" s="118">
        <f t="shared" si="13"/>
        <v>0</v>
      </c>
    </row>
    <row r="57" spans="1:21" x14ac:dyDescent="0.25">
      <c r="A57" s="460"/>
      <c r="B57" s="460"/>
      <c r="C57" s="165">
        <v>0</v>
      </c>
      <c r="D57" s="165">
        <v>0</v>
      </c>
      <c r="E57" s="125">
        <f t="shared" si="10"/>
        <v>0</v>
      </c>
      <c r="F57" s="41" t="s">
        <v>15</v>
      </c>
      <c r="G57" s="39">
        <v>252</v>
      </c>
      <c r="H57" s="321">
        <f>'0664'!H57</f>
        <v>3168</v>
      </c>
      <c r="I57" s="104">
        <f t="shared" si="11"/>
        <v>0</v>
      </c>
      <c r="N57" s="504"/>
      <c r="O57" s="504"/>
      <c r="P57" s="506"/>
      <c r="Q57" s="506"/>
      <c r="R57" s="42" t="s">
        <v>15</v>
      </c>
      <c r="S57" s="40">
        <v>252</v>
      </c>
      <c r="T57" s="117">
        <f t="shared" si="12"/>
        <v>3168</v>
      </c>
      <c r="U57" s="118">
        <f t="shared" si="13"/>
        <v>0</v>
      </c>
    </row>
    <row r="58" spans="1:21" ht="16.5" thickBot="1" x14ac:dyDescent="0.3">
      <c r="A58" s="460"/>
      <c r="B58" s="460"/>
      <c r="C58" s="165">
        <v>0</v>
      </c>
      <c r="D58" s="165">
        <v>0</v>
      </c>
      <c r="E58" s="125">
        <f t="shared" si="10"/>
        <v>0</v>
      </c>
      <c r="F58" s="41" t="s">
        <v>15</v>
      </c>
      <c r="G58" s="39">
        <v>253</v>
      </c>
      <c r="H58" s="321">
        <f>'0664'!H58</f>
        <v>6685</v>
      </c>
      <c r="I58" s="104">
        <f t="shared" si="11"/>
        <v>0</v>
      </c>
      <c r="N58" s="504"/>
      <c r="O58" s="504"/>
      <c r="P58" s="507"/>
      <c r="Q58" s="507"/>
      <c r="R58" s="42" t="s">
        <v>15</v>
      </c>
      <c r="S58" s="40">
        <v>253</v>
      </c>
      <c r="T58" s="117">
        <f t="shared" si="12"/>
        <v>6685</v>
      </c>
      <c r="U58" s="120">
        <f t="shared" si="13"/>
        <v>0</v>
      </c>
    </row>
    <row r="59" spans="1:21" ht="16.5" thickBot="1" x14ac:dyDescent="0.3">
      <c r="A59" s="461" t="s">
        <v>16</v>
      </c>
      <c r="B59" s="461"/>
      <c r="C59" s="100">
        <f>SUM(C50:C58)</f>
        <v>38</v>
      </c>
      <c r="D59" s="100">
        <f>SUM(D50:D58)</f>
        <v>39.980000000000004</v>
      </c>
      <c r="E59" s="100">
        <f>SUM(E50:E58)</f>
        <v>77.98</v>
      </c>
      <c r="F59" s="461" t="s">
        <v>77</v>
      </c>
      <c r="G59" s="461"/>
      <c r="H59" s="461"/>
      <c r="I59" s="100">
        <f>SUM(I50:I58)</f>
        <v>117690.90000000001</v>
      </c>
      <c r="N59" s="480" t="s">
        <v>16</v>
      </c>
      <c r="O59" s="480"/>
      <c r="P59" s="502">
        <f>SUM(P50:P58)</f>
        <v>0</v>
      </c>
      <c r="Q59" s="502"/>
      <c r="R59" s="480" t="s">
        <v>77</v>
      </c>
      <c r="S59" s="480"/>
      <c r="T59" s="480"/>
      <c r="U59" s="111">
        <f>SUM(U50:U58)</f>
        <v>0</v>
      </c>
    </row>
    <row r="60" spans="1:21" x14ac:dyDescent="0.25">
      <c r="A60" s="462"/>
      <c r="B60" s="462"/>
      <c r="C60" s="462"/>
      <c r="D60" s="462"/>
      <c r="E60" s="462"/>
      <c r="F60" s="462"/>
      <c r="G60" s="462"/>
      <c r="H60" s="462"/>
      <c r="I60" s="462"/>
      <c r="N60" s="484"/>
      <c r="O60" s="484"/>
      <c r="P60" s="484"/>
      <c r="Q60" s="484"/>
      <c r="R60" s="484"/>
      <c r="S60" s="484"/>
      <c r="T60" s="484"/>
      <c r="U60" s="484"/>
    </row>
    <row r="61" spans="1:21" x14ac:dyDescent="0.25">
      <c r="A61" s="463" t="s">
        <v>136</v>
      </c>
      <c r="B61" s="453"/>
      <c r="C61" s="453"/>
      <c r="D61" s="453"/>
      <c r="E61" s="453"/>
      <c r="F61" s="453"/>
      <c r="G61" s="453"/>
      <c r="H61" s="453"/>
      <c r="I61" s="453"/>
      <c r="N61" s="479" t="s">
        <v>88</v>
      </c>
      <c r="O61" s="479"/>
      <c r="P61" s="479"/>
      <c r="Q61" s="479"/>
      <c r="R61" s="479"/>
      <c r="S61" s="479"/>
      <c r="T61" s="479"/>
      <c r="U61" s="479"/>
    </row>
    <row r="62" spans="1:21" x14ac:dyDescent="0.25">
      <c r="A62" s="463" t="s">
        <v>138</v>
      </c>
      <c r="B62" s="453"/>
      <c r="C62" s="121">
        <f>E29</f>
        <v>592</v>
      </c>
      <c r="D62" s="464" t="s">
        <v>135</v>
      </c>
      <c r="E62" s="464"/>
      <c r="F62" s="464"/>
      <c r="G62" s="464"/>
      <c r="H62" s="335">
        <f>'0664'!H62</f>
        <v>193340.76</v>
      </c>
      <c r="I62" s="122"/>
      <c r="N62" s="478" t="s">
        <v>312</v>
      </c>
      <c r="O62" s="479"/>
      <c r="P62" s="43">
        <f>P29</f>
        <v>0</v>
      </c>
      <c r="Q62" s="498" t="s">
        <v>78</v>
      </c>
      <c r="R62" s="498"/>
      <c r="S62" s="498"/>
      <c r="T62" s="497">
        <f>H62</f>
        <v>193340.76</v>
      </c>
      <c r="U62" s="497"/>
    </row>
    <row r="63" spans="1:21" x14ac:dyDescent="0.25">
      <c r="B63" s="72"/>
      <c r="G63" s="44" t="s">
        <v>13</v>
      </c>
      <c r="H63" s="123">
        <f>ROUND(C62/H62,6)</f>
        <v>3.0620000000000001E-3</v>
      </c>
      <c r="I63" s="124"/>
      <c r="N63" s="479" t="s">
        <v>19</v>
      </c>
      <c r="O63" s="479"/>
      <c r="P63" s="479"/>
      <c r="Q63" s="479"/>
      <c r="R63" s="479"/>
      <c r="S63" s="479"/>
      <c r="T63" s="501">
        <f>ROUND(P62/T62,6)</f>
        <v>0</v>
      </c>
      <c r="U63" s="501"/>
    </row>
    <row r="64" spans="1:21" x14ac:dyDescent="0.25">
      <c r="A64" s="463" t="s">
        <v>137</v>
      </c>
      <c r="B64" s="453"/>
      <c r="C64" s="453"/>
      <c r="D64" s="453"/>
      <c r="E64" s="453"/>
      <c r="F64" s="453"/>
      <c r="G64" s="453"/>
      <c r="H64" s="453"/>
      <c r="I64" s="453"/>
      <c r="N64" s="479" t="s">
        <v>89</v>
      </c>
      <c r="O64" s="479"/>
      <c r="P64" s="479"/>
      <c r="Q64" s="479"/>
      <c r="R64" s="479"/>
      <c r="S64" s="479"/>
      <c r="T64" s="479"/>
      <c r="U64" s="479"/>
    </row>
    <row r="65" spans="1:21" x14ac:dyDescent="0.25">
      <c r="A65" s="463" t="s">
        <v>139</v>
      </c>
      <c r="B65" s="453"/>
      <c r="C65" s="121">
        <f>E45</f>
        <v>658.16200000000003</v>
      </c>
      <c r="D65" s="464" t="s">
        <v>140</v>
      </c>
      <c r="E65" s="464"/>
      <c r="F65" s="464"/>
      <c r="G65" s="464"/>
      <c r="H65" s="336">
        <f>'0664'!H65</f>
        <v>216845.88</v>
      </c>
      <c r="I65" s="125"/>
      <c r="N65" s="479" t="s">
        <v>80</v>
      </c>
      <c r="O65" s="479"/>
      <c r="P65" s="43">
        <f>R45</f>
        <v>0</v>
      </c>
      <c r="Q65" s="498" t="s">
        <v>79</v>
      </c>
      <c r="R65" s="498"/>
      <c r="S65" s="498"/>
      <c r="T65" s="497">
        <f>H65</f>
        <v>216845.88</v>
      </c>
      <c r="U65" s="497"/>
    </row>
    <row r="66" spans="1:21" s="37" customFormat="1" x14ac:dyDescent="0.25">
      <c r="A66" s="126"/>
      <c r="G66" s="45" t="s">
        <v>13</v>
      </c>
      <c r="H66" s="127">
        <f>ROUND(C65/H65,6)</f>
        <v>3.0349999999999999E-3</v>
      </c>
      <c r="I66" s="127"/>
      <c r="N66" s="482" t="s">
        <v>20</v>
      </c>
      <c r="O66" s="482"/>
      <c r="P66" s="482"/>
      <c r="Q66" s="482"/>
      <c r="R66" s="482"/>
      <c r="S66" s="482"/>
      <c r="T66" s="500">
        <f>ROUND(P65/T65,6)</f>
        <v>0</v>
      </c>
      <c r="U66" s="500"/>
    </row>
    <row r="67" spans="1:21" x14ac:dyDescent="0.25">
      <c r="G67" s="44"/>
      <c r="H67" s="123"/>
      <c r="I67" s="123"/>
      <c r="N67" s="48"/>
      <c r="O67" s="48"/>
      <c r="P67" s="48"/>
      <c r="Q67" s="48"/>
      <c r="R67" s="128"/>
      <c r="S67" s="48"/>
      <c r="T67" s="129"/>
      <c r="U67" s="130"/>
    </row>
    <row r="68" spans="1:21" x14ac:dyDescent="0.25">
      <c r="A68" s="453" t="s">
        <v>85</v>
      </c>
      <c r="B68" s="453"/>
      <c r="C68" s="453"/>
      <c r="D68" s="72"/>
      <c r="E68" s="46" t="s">
        <v>3</v>
      </c>
      <c r="F68" s="337">
        <f>'0664'!F68</f>
        <v>42465042</v>
      </c>
      <c r="G68" s="39" t="s">
        <v>6</v>
      </c>
      <c r="H68" s="131">
        <f>H63</f>
        <v>3.0620000000000001E-3</v>
      </c>
      <c r="I68" s="104">
        <f>ROUND(F68*H68,2)</f>
        <v>130027.96</v>
      </c>
      <c r="N68" s="479" t="s">
        <v>85</v>
      </c>
      <c r="O68" s="479"/>
      <c r="P68" s="479"/>
      <c r="Q68" s="47"/>
      <c r="R68" s="132">
        <f>F68</f>
        <v>42465042</v>
      </c>
      <c r="S68" s="40" t="s">
        <v>6</v>
      </c>
      <c r="T68" s="133">
        <f>T63</f>
        <v>0</v>
      </c>
      <c r="U68" s="99">
        <f>ROUND(R68*T68,0)</f>
        <v>0</v>
      </c>
    </row>
    <row r="69" spans="1:21" x14ac:dyDescent="0.25">
      <c r="A69" s="458" t="s">
        <v>96</v>
      </c>
      <c r="B69" s="453"/>
      <c r="C69" s="453"/>
      <c r="D69" s="72"/>
      <c r="E69" s="46"/>
      <c r="F69" s="136"/>
      <c r="G69" s="39"/>
      <c r="H69" s="131"/>
      <c r="I69" s="104"/>
      <c r="N69" s="479" t="s">
        <v>84</v>
      </c>
      <c r="O69" s="479"/>
      <c r="P69" s="479"/>
      <c r="Q69" s="54"/>
      <c r="R69" s="54"/>
      <c r="S69" s="54"/>
      <c r="T69" s="54"/>
      <c r="U69" s="54"/>
    </row>
    <row r="70" spans="1:21" x14ac:dyDescent="0.25">
      <c r="A70" s="465" t="s">
        <v>141</v>
      </c>
      <c r="B70" s="453"/>
      <c r="C70" s="453"/>
      <c r="D70" s="72"/>
      <c r="E70" s="46" t="s">
        <v>3</v>
      </c>
      <c r="F70" s="337">
        <f>'0664'!F70</f>
        <v>0</v>
      </c>
      <c r="G70" s="39" t="s">
        <v>6</v>
      </c>
      <c r="H70" s="131">
        <f>H63</f>
        <v>3.0620000000000001E-3</v>
      </c>
      <c r="I70" s="104">
        <f>ROUND(F70*H70,2)</f>
        <v>0</v>
      </c>
      <c r="N70" s="48"/>
      <c r="O70" s="48"/>
      <c r="P70" s="48"/>
      <c r="Q70" s="47"/>
      <c r="R70" s="132">
        <f>F70</f>
        <v>0</v>
      </c>
      <c r="S70" s="40" t="s">
        <v>6</v>
      </c>
      <c r="T70" s="133">
        <f>T63</f>
        <v>0</v>
      </c>
      <c r="U70" s="99">
        <f>ROUND(R70*T70,0)</f>
        <v>0</v>
      </c>
    </row>
    <row r="71" spans="1:21" x14ac:dyDescent="0.25">
      <c r="A71" s="463" t="s">
        <v>433</v>
      </c>
      <c r="B71" s="453"/>
      <c r="C71" s="453"/>
      <c r="D71" s="72"/>
      <c r="E71" s="46" t="s">
        <v>3</v>
      </c>
      <c r="F71" s="337">
        <f>'0664'!F71</f>
        <v>13414654</v>
      </c>
      <c r="G71" s="39" t="s">
        <v>6</v>
      </c>
      <c r="H71" s="131">
        <f>H63</f>
        <v>3.0620000000000001E-3</v>
      </c>
      <c r="I71" s="104">
        <f>ROUND(F71*H71,2)</f>
        <v>41075.67</v>
      </c>
      <c r="N71" s="479" t="s">
        <v>83</v>
      </c>
      <c r="O71" s="479"/>
      <c r="P71" s="479"/>
      <c r="Q71" s="47"/>
      <c r="R71" s="132">
        <f>F71</f>
        <v>13414654</v>
      </c>
      <c r="S71" s="40" t="s">
        <v>6</v>
      </c>
      <c r="T71" s="133">
        <f>T63</f>
        <v>0</v>
      </c>
      <c r="U71" s="99">
        <f>ROUND(R71*T71,0)</f>
        <v>0</v>
      </c>
    </row>
    <row r="72" spans="1:21" x14ac:dyDescent="0.25">
      <c r="A72" s="463" t="s">
        <v>434</v>
      </c>
      <c r="B72" s="453"/>
      <c r="C72" s="453"/>
      <c r="D72" s="72"/>
      <c r="E72" s="46" t="s">
        <v>3</v>
      </c>
      <c r="F72" s="337">
        <f>'0664'!F72</f>
        <v>14708421</v>
      </c>
      <c r="G72" s="39" t="s">
        <v>6</v>
      </c>
      <c r="H72" s="131">
        <f>H63</f>
        <v>3.0620000000000001E-3</v>
      </c>
      <c r="I72" s="104">
        <f>ROUND(F72*H72,2)</f>
        <v>45037.19</v>
      </c>
      <c r="N72" s="479" t="s">
        <v>82</v>
      </c>
      <c r="O72" s="479"/>
      <c r="P72" s="479"/>
      <c r="Q72" s="47"/>
      <c r="R72" s="134">
        <f>F72</f>
        <v>14708421</v>
      </c>
      <c r="S72" s="40" t="s">
        <v>6</v>
      </c>
      <c r="T72" s="133">
        <f>T63</f>
        <v>0</v>
      </c>
      <c r="U72" s="99">
        <f>ROUND(R72*T72,0)</f>
        <v>0</v>
      </c>
    </row>
    <row r="73" spans="1:21" x14ac:dyDescent="0.25">
      <c r="A73" s="263" t="s">
        <v>99</v>
      </c>
      <c r="D73" s="72"/>
      <c r="E73" s="41" t="s">
        <v>353</v>
      </c>
      <c r="F73" s="466"/>
      <c r="G73" s="466"/>
      <c r="H73" s="466"/>
      <c r="I73" s="104">
        <v>0</v>
      </c>
      <c r="N73" s="499" t="s">
        <v>118</v>
      </c>
      <c r="O73" s="499"/>
      <c r="P73" s="499"/>
      <c r="Q73" s="499"/>
      <c r="R73" s="499"/>
      <c r="S73" s="499"/>
      <c r="T73" s="499"/>
      <c r="U73" s="99">
        <f>IF($H$120=1,I73,0)</f>
        <v>0</v>
      </c>
    </row>
    <row r="74" spans="1:21" x14ac:dyDescent="0.25">
      <c r="A74" s="264" t="s">
        <v>142</v>
      </c>
      <c r="I74" s="104"/>
      <c r="N74" s="499" t="s">
        <v>43</v>
      </c>
      <c r="O74" s="499"/>
      <c r="P74" s="499"/>
      <c r="Q74" s="499"/>
      <c r="R74" s="499"/>
      <c r="S74" s="499"/>
      <c r="T74" s="499"/>
      <c r="U74" s="99">
        <f>IF($H$120=1,I74,0)</f>
        <v>0</v>
      </c>
    </row>
    <row r="75" spans="1:21" x14ac:dyDescent="0.25">
      <c r="A75" s="324" t="s">
        <v>101</v>
      </c>
      <c r="B75" s="72"/>
      <c r="C75" s="72"/>
      <c r="D75" s="72"/>
      <c r="E75" s="72"/>
      <c r="F75" s="72"/>
      <c r="G75" s="72"/>
      <c r="H75" s="72"/>
      <c r="I75" s="135"/>
      <c r="N75" s="382" t="s">
        <v>44</v>
      </c>
      <c r="O75" s="48"/>
      <c r="P75" s="48"/>
      <c r="Q75" s="48"/>
      <c r="R75" s="48"/>
      <c r="S75" s="48"/>
      <c r="T75" s="48"/>
      <c r="U75" s="106"/>
    </row>
    <row r="76" spans="1:21" x14ac:dyDescent="0.25">
      <c r="A76" s="463" t="s">
        <v>435</v>
      </c>
      <c r="B76" s="453"/>
      <c r="C76" s="453"/>
      <c r="D76" s="72"/>
      <c r="E76" s="46" t="s">
        <v>3</v>
      </c>
      <c r="F76" s="337">
        <f>'0664'!F76</f>
        <v>8720092</v>
      </c>
      <c r="G76" s="39" t="s">
        <v>6</v>
      </c>
      <c r="H76" s="131">
        <f>H63</f>
        <v>3.0620000000000001E-3</v>
      </c>
      <c r="I76" s="104">
        <f t="shared" ref="I76:I85" si="14">ROUND(F76*H76,2)</f>
        <v>26700.92</v>
      </c>
      <c r="N76" s="478" t="s">
        <v>366</v>
      </c>
      <c r="O76" s="479"/>
      <c r="P76" s="479"/>
      <c r="Q76" s="47"/>
      <c r="R76" s="134">
        <f t="shared" ref="R76:R85" si="15">F76</f>
        <v>8720092</v>
      </c>
      <c r="S76" s="40" t="s">
        <v>6</v>
      </c>
      <c r="T76" s="133">
        <f>T63</f>
        <v>0</v>
      </c>
      <c r="U76" s="99">
        <f t="shared" ref="U76:U85" si="16">ROUND(R76*T76,0)</f>
        <v>0</v>
      </c>
    </row>
    <row r="77" spans="1:21" x14ac:dyDescent="0.25">
      <c r="A77" s="463" t="s">
        <v>436</v>
      </c>
      <c r="B77" s="453"/>
      <c r="C77" s="453"/>
      <c r="D77" s="72"/>
      <c r="E77" s="46" t="s">
        <v>3</v>
      </c>
      <c r="F77" s="337">
        <f>'0664'!F77</f>
        <v>0</v>
      </c>
      <c r="G77" s="39" t="s">
        <v>6</v>
      </c>
      <c r="H77" s="131">
        <f>H63</f>
        <v>3.0620000000000001E-3</v>
      </c>
      <c r="I77" s="104">
        <f t="shared" si="14"/>
        <v>0</v>
      </c>
      <c r="N77" s="479" t="s">
        <v>367</v>
      </c>
      <c r="O77" s="479"/>
      <c r="P77" s="479"/>
      <c r="Q77" s="47"/>
      <c r="R77" s="134">
        <f t="shared" si="15"/>
        <v>0</v>
      </c>
      <c r="S77" s="40" t="s">
        <v>6</v>
      </c>
      <c r="T77" s="133">
        <f>T63</f>
        <v>0</v>
      </c>
      <c r="U77" s="99">
        <f t="shared" si="16"/>
        <v>0</v>
      </c>
    </row>
    <row r="78" spans="1:21" x14ac:dyDescent="0.25">
      <c r="A78" s="463" t="s">
        <v>437</v>
      </c>
      <c r="B78" s="453"/>
      <c r="C78" s="453"/>
      <c r="D78" s="72"/>
      <c r="E78" s="46" t="s">
        <v>4</v>
      </c>
      <c r="F78" s="337">
        <f>'0664'!F78</f>
        <v>0</v>
      </c>
      <c r="G78" s="39" t="s">
        <v>6</v>
      </c>
      <c r="H78" s="131">
        <f>H66</f>
        <v>3.0349999999999999E-3</v>
      </c>
      <c r="I78" s="104">
        <f t="shared" si="14"/>
        <v>0</v>
      </c>
      <c r="N78" s="478" t="s">
        <v>392</v>
      </c>
      <c r="O78" s="479"/>
      <c r="P78" s="479"/>
      <c r="Q78" s="47"/>
      <c r="R78" s="134">
        <f t="shared" si="15"/>
        <v>0</v>
      </c>
      <c r="S78" s="40" t="s">
        <v>6</v>
      </c>
      <c r="T78" s="133">
        <f>T66</f>
        <v>0</v>
      </c>
      <c r="U78" s="99">
        <f t="shared" si="16"/>
        <v>0</v>
      </c>
    </row>
    <row r="79" spans="1:21" x14ac:dyDescent="0.25">
      <c r="A79" s="463" t="s">
        <v>438</v>
      </c>
      <c r="B79" s="453"/>
      <c r="C79" s="453"/>
      <c r="D79" s="72"/>
      <c r="E79" s="46" t="s">
        <v>4</v>
      </c>
      <c r="F79" s="337">
        <f>'0664'!F79</f>
        <v>11278687</v>
      </c>
      <c r="G79" s="39" t="s">
        <v>6</v>
      </c>
      <c r="H79" s="131">
        <f>H66</f>
        <v>3.0349999999999999E-3</v>
      </c>
      <c r="I79" s="104">
        <f t="shared" si="14"/>
        <v>34230.82</v>
      </c>
      <c r="N79" s="478" t="s">
        <v>393</v>
      </c>
      <c r="O79" s="479"/>
      <c r="P79" s="479"/>
      <c r="Q79" s="47"/>
      <c r="R79" s="134">
        <f t="shared" si="15"/>
        <v>11278687</v>
      </c>
      <c r="S79" s="40" t="s">
        <v>6</v>
      </c>
      <c r="T79" s="133">
        <f>T66</f>
        <v>0</v>
      </c>
      <c r="U79" s="99">
        <f t="shared" si="16"/>
        <v>0</v>
      </c>
    </row>
    <row r="80" spans="1:21" x14ac:dyDescent="0.25">
      <c r="A80" s="463" t="s">
        <v>439</v>
      </c>
      <c r="B80" s="453"/>
      <c r="C80" s="453"/>
      <c r="D80" s="72"/>
      <c r="E80" s="46" t="s">
        <v>4</v>
      </c>
      <c r="F80" s="337">
        <f>'0664'!F80</f>
        <v>206284749</v>
      </c>
      <c r="G80" s="39" t="s">
        <v>6</v>
      </c>
      <c r="H80" s="131">
        <f>H66</f>
        <v>3.0349999999999999E-3</v>
      </c>
      <c r="I80" s="104">
        <f t="shared" si="14"/>
        <v>626074.21</v>
      </c>
      <c r="N80" s="478" t="s">
        <v>397</v>
      </c>
      <c r="O80" s="479"/>
      <c r="P80" s="479"/>
      <c r="Q80" s="47"/>
      <c r="R80" s="134">
        <f t="shared" si="15"/>
        <v>206284749</v>
      </c>
      <c r="S80" s="40" t="s">
        <v>6</v>
      </c>
      <c r="T80" s="133">
        <f>T66</f>
        <v>0</v>
      </c>
      <c r="U80" s="99">
        <f t="shared" si="16"/>
        <v>0</v>
      </c>
    </row>
    <row r="81" spans="1:21" x14ac:dyDescent="0.25">
      <c r="A81" s="84" t="s">
        <v>440</v>
      </c>
      <c r="B81" s="72"/>
      <c r="C81" s="72"/>
      <c r="D81" s="72"/>
      <c r="E81" s="46"/>
      <c r="F81" s="337"/>
      <c r="G81" s="39"/>
      <c r="H81" s="131"/>
      <c r="I81" s="104"/>
      <c r="N81" s="419" t="s">
        <v>440</v>
      </c>
      <c r="O81" s="48"/>
      <c r="P81" s="48"/>
      <c r="Q81" s="47"/>
      <c r="R81" s="423"/>
      <c r="S81" s="40"/>
      <c r="T81" s="133"/>
      <c r="U81" s="120"/>
    </row>
    <row r="82" spans="1:21" x14ac:dyDescent="0.25">
      <c r="A82" s="264" t="s">
        <v>441</v>
      </c>
      <c r="B82" s="72"/>
      <c r="C82" s="72"/>
      <c r="D82" s="72"/>
      <c r="E82" s="46" t="s">
        <v>442</v>
      </c>
      <c r="F82" s="337">
        <f>'0664'!F82</f>
        <v>0</v>
      </c>
      <c r="G82" s="39" t="s">
        <v>6</v>
      </c>
      <c r="H82" s="131">
        <f>H66</f>
        <v>3.0349999999999999E-3</v>
      </c>
      <c r="I82" s="104">
        <v>116287.62</v>
      </c>
      <c r="N82" s="422" t="s">
        <v>441</v>
      </c>
      <c r="O82" s="48"/>
      <c r="P82" s="48"/>
      <c r="Q82" s="47"/>
      <c r="R82" s="134">
        <f t="shared" si="15"/>
        <v>0</v>
      </c>
      <c r="S82" s="40"/>
      <c r="T82" s="133"/>
      <c r="U82" s="99">
        <f t="shared" si="16"/>
        <v>0</v>
      </c>
    </row>
    <row r="83" spans="1:21" x14ac:dyDescent="0.25">
      <c r="A83" s="264" t="s">
        <v>443</v>
      </c>
      <c r="B83" s="72"/>
      <c r="C83" s="72"/>
      <c r="D83" s="72"/>
      <c r="E83" s="46" t="s">
        <v>442</v>
      </c>
      <c r="F83" s="337">
        <f>'0664'!F83</f>
        <v>0</v>
      </c>
      <c r="G83" s="39" t="s">
        <v>6</v>
      </c>
      <c r="H83" s="131">
        <f>H66</f>
        <v>3.0349999999999999E-3</v>
      </c>
      <c r="I83" s="104">
        <v>52858.01</v>
      </c>
      <c r="N83" s="422" t="s">
        <v>443</v>
      </c>
      <c r="O83" s="48"/>
      <c r="P83" s="48"/>
      <c r="Q83" s="47"/>
      <c r="R83" s="134">
        <f t="shared" si="15"/>
        <v>0</v>
      </c>
      <c r="S83" s="40"/>
      <c r="T83" s="133"/>
      <c r="U83" s="99">
        <f t="shared" si="16"/>
        <v>0</v>
      </c>
    </row>
    <row r="84" spans="1:21" x14ac:dyDescent="0.25">
      <c r="A84" s="420" t="s">
        <v>444</v>
      </c>
      <c r="B84" s="72"/>
      <c r="C84" s="72"/>
      <c r="D84" s="72"/>
      <c r="E84" s="46"/>
      <c r="F84" s="337"/>
      <c r="G84" s="39"/>
      <c r="H84" s="131"/>
      <c r="I84" s="104">
        <f>I82+I83</f>
        <v>169145.63</v>
      </c>
      <c r="N84" s="421" t="s">
        <v>444</v>
      </c>
      <c r="O84" s="48"/>
      <c r="P84" s="48"/>
      <c r="Q84" s="47"/>
      <c r="R84" s="423"/>
      <c r="S84" s="40"/>
      <c r="T84" s="133"/>
      <c r="U84" s="99">
        <f>U82+U83</f>
        <v>0</v>
      </c>
    </row>
    <row r="85" spans="1:21" x14ac:dyDescent="0.25">
      <c r="A85" s="463" t="s">
        <v>398</v>
      </c>
      <c r="B85" s="453"/>
      <c r="C85" s="453"/>
      <c r="D85" s="72"/>
      <c r="E85" s="46" t="s">
        <v>4</v>
      </c>
      <c r="F85" s="337">
        <f>'0664'!F85</f>
        <v>0</v>
      </c>
      <c r="G85" s="39" t="s">
        <v>6</v>
      </c>
      <c r="H85" s="131">
        <f>H66</f>
        <v>3.0349999999999999E-3</v>
      </c>
      <c r="I85" s="104">
        <f t="shared" si="14"/>
        <v>0</v>
      </c>
      <c r="N85" s="478" t="s">
        <v>398</v>
      </c>
      <c r="O85" s="479"/>
      <c r="P85" s="479"/>
      <c r="Q85" s="47"/>
      <c r="R85" s="132">
        <f t="shared" si="15"/>
        <v>0</v>
      </c>
      <c r="S85" s="40" t="s">
        <v>6</v>
      </c>
      <c r="T85" s="133">
        <f>T66</f>
        <v>0</v>
      </c>
      <c r="U85" s="99">
        <f t="shared" si="16"/>
        <v>0</v>
      </c>
    </row>
    <row r="86" spans="1:21" x14ac:dyDescent="0.25">
      <c r="B86" s="72"/>
      <c r="C86" s="72"/>
      <c r="D86" s="72"/>
      <c r="E86" s="46"/>
      <c r="F86" s="136"/>
      <c r="G86" s="39"/>
      <c r="H86" s="131"/>
      <c r="I86" s="104"/>
      <c r="N86" s="48"/>
      <c r="O86" s="48"/>
      <c r="P86" s="48"/>
      <c r="Q86" s="47"/>
      <c r="R86" s="137"/>
      <c r="S86" s="40"/>
      <c r="T86" s="133"/>
      <c r="U86" s="106"/>
    </row>
    <row r="87" spans="1:21" x14ac:dyDescent="0.25">
      <c r="A87" s="463" t="s">
        <v>445</v>
      </c>
      <c r="B87" s="453"/>
      <c r="C87" s="453"/>
      <c r="D87" s="453"/>
      <c r="E87" s="453"/>
      <c r="F87" s="453"/>
      <c r="G87" s="453"/>
      <c r="H87" s="453"/>
      <c r="I87" s="453"/>
      <c r="N87" s="478" t="s">
        <v>429</v>
      </c>
      <c r="O87" s="479"/>
      <c r="P87" s="479"/>
      <c r="Q87" s="479"/>
      <c r="R87" s="479"/>
      <c r="S87" s="479"/>
      <c r="T87" s="479"/>
      <c r="U87" s="479"/>
    </row>
    <row r="88" spans="1:21" x14ac:dyDescent="0.25">
      <c r="B88" s="72"/>
      <c r="C88" s="466" t="s">
        <v>73</v>
      </c>
      <c r="D88" s="466"/>
      <c r="E88" s="72"/>
      <c r="F88" s="41" t="s">
        <v>37</v>
      </c>
      <c r="G88" s="72"/>
      <c r="H88" s="72"/>
      <c r="I88" s="72"/>
      <c r="N88" s="48"/>
      <c r="O88" s="48"/>
      <c r="P88" s="48"/>
      <c r="Q88" s="48"/>
      <c r="R88" s="48"/>
      <c r="S88" s="48"/>
      <c r="T88" s="48"/>
      <c r="U88" s="48"/>
    </row>
    <row r="89" spans="1:21" x14ac:dyDescent="0.25">
      <c r="A89" s="3"/>
      <c r="B89" s="138"/>
      <c r="C89" s="462" t="s">
        <v>144</v>
      </c>
      <c r="D89" s="462"/>
      <c r="E89" s="139" t="s">
        <v>150</v>
      </c>
      <c r="F89" s="140" t="s">
        <v>149</v>
      </c>
      <c r="G89" s="141"/>
      <c r="H89" s="141"/>
      <c r="I89" s="141"/>
      <c r="N89" s="495" t="s">
        <v>46</v>
      </c>
      <c r="O89" s="495"/>
      <c r="P89" s="496" t="s">
        <v>119</v>
      </c>
      <c r="Q89" s="496"/>
      <c r="R89" s="497" t="s">
        <v>40</v>
      </c>
      <c r="S89" s="497"/>
      <c r="T89" s="497"/>
      <c r="U89" s="497"/>
    </row>
    <row r="90" spans="1:21" x14ac:dyDescent="0.25">
      <c r="A90" s="27"/>
      <c r="B90" s="55" t="s">
        <v>148</v>
      </c>
      <c r="C90" s="467">
        <f>H13+H14+H19+H22+H25</f>
        <v>477.34620000000007</v>
      </c>
      <c r="D90" s="467"/>
      <c r="E90" s="49">
        <f>H8</f>
        <v>1.0438000000000001</v>
      </c>
      <c r="F90" s="338">
        <f>'0664'!F90</f>
        <v>957.94</v>
      </c>
      <c r="G90" s="41" t="s">
        <v>13</v>
      </c>
      <c r="H90" s="104">
        <f>ROUND(C90*E90*F90,2)</f>
        <v>477297.4</v>
      </c>
      <c r="I90" s="107"/>
      <c r="N90" s="29" t="s">
        <v>22</v>
      </c>
      <c r="O90" s="50">
        <f>T13+T14+T19+T22+T25</f>
        <v>0</v>
      </c>
      <c r="P90" s="490">
        <f>T8</f>
        <v>1.0438000000000001</v>
      </c>
      <c r="Q90" s="490"/>
      <c r="R90" s="51">
        <f>F90</f>
        <v>957.94</v>
      </c>
      <c r="S90" s="42" t="s">
        <v>13</v>
      </c>
      <c r="T90" s="134">
        <f>ROUND(O90*P90*R90,0)</f>
        <v>0</v>
      </c>
      <c r="U90" s="105"/>
    </row>
    <row r="91" spans="1:21" x14ac:dyDescent="0.25">
      <c r="A91" s="52"/>
      <c r="B91" s="52" t="s">
        <v>147</v>
      </c>
      <c r="C91" s="467">
        <f>H15+H16+H20+H23+H26</f>
        <v>180.8158</v>
      </c>
      <c r="D91" s="467"/>
      <c r="E91" s="49">
        <f>H8</f>
        <v>1.0438000000000001</v>
      </c>
      <c r="F91" s="338">
        <f>'0664'!F91</f>
        <v>914.63</v>
      </c>
      <c r="G91" s="41" t="s">
        <v>13</v>
      </c>
      <c r="H91" s="104">
        <f>ROUND(C91*E91*F91,2)</f>
        <v>172623.18</v>
      </c>
      <c r="N91" s="53" t="s">
        <v>14</v>
      </c>
      <c r="O91" s="50">
        <f>T15+T16+T20+T23+T26</f>
        <v>0</v>
      </c>
      <c r="P91" s="490">
        <f>T8</f>
        <v>1.0438000000000001</v>
      </c>
      <c r="Q91" s="490"/>
      <c r="R91" s="51">
        <f>F91</f>
        <v>914.63</v>
      </c>
      <c r="S91" s="42" t="s">
        <v>13</v>
      </c>
      <c r="T91" s="134">
        <f>ROUND(O91*P91*R91,0)</f>
        <v>0</v>
      </c>
      <c r="U91" s="54"/>
    </row>
    <row r="92" spans="1:21" ht="16.5" thickBot="1" x14ac:dyDescent="0.3">
      <c r="A92" s="55"/>
      <c r="B92" s="55" t="s">
        <v>146</v>
      </c>
      <c r="C92" s="467">
        <f>H17+H18+H21+H24+H27+H28</f>
        <v>0</v>
      </c>
      <c r="D92" s="467"/>
      <c r="E92" s="49">
        <f>H8</f>
        <v>1.0438000000000001</v>
      </c>
      <c r="F92" s="338">
        <f>'0664'!F92</f>
        <v>916.84</v>
      </c>
      <c r="G92" s="41" t="s">
        <v>13</v>
      </c>
      <c r="H92" s="97">
        <f>ROUND(C92*E92*F92,2)</f>
        <v>0</v>
      </c>
      <c r="N92" s="56" t="s">
        <v>15</v>
      </c>
      <c r="O92" s="57">
        <f>T17+T18+T21+T24+T27+T28</f>
        <v>0</v>
      </c>
      <c r="P92" s="490">
        <f>T8</f>
        <v>1.0438000000000001</v>
      </c>
      <c r="Q92" s="490"/>
      <c r="R92" s="51">
        <f>F92</f>
        <v>916.84</v>
      </c>
      <c r="S92" s="42" t="s">
        <v>13</v>
      </c>
      <c r="T92" s="134">
        <f>ROUND(O92*P92*R92,0)</f>
        <v>0</v>
      </c>
      <c r="U92" s="54"/>
    </row>
    <row r="93" spans="1:21" ht="16.5" thickBot="1" x14ac:dyDescent="0.3">
      <c r="A93" s="58"/>
      <c r="B93" s="142" t="s">
        <v>145</v>
      </c>
      <c r="C93" s="469">
        <f>SUM(C90:C92)</f>
        <v>658.16200000000003</v>
      </c>
      <c r="D93" s="469"/>
      <c r="E93" s="143"/>
      <c r="F93" s="143"/>
      <c r="G93" s="143"/>
      <c r="H93" s="144" t="s">
        <v>143</v>
      </c>
      <c r="I93" s="104">
        <f>IF(A1=75,0,H92+H91+H90)</f>
        <v>649920.58000000007</v>
      </c>
      <c r="N93" s="59" t="s">
        <v>120</v>
      </c>
      <c r="O93" s="60">
        <f>SUM(O90:O92)</f>
        <v>0</v>
      </c>
      <c r="P93" s="491" t="s">
        <v>18</v>
      </c>
      <c r="Q93" s="492"/>
      <c r="R93" s="492"/>
      <c r="S93" s="492"/>
      <c r="T93" s="492"/>
      <c r="U93" s="99">
        <f>IF(N1=75,0,T92+T91+T90)</f>
        <v>0</v>
      </c>
    </row>
    <row r="94" spans="1:21" ht="16.5" thickTop="1" x14ac:dyDescent="0.25">
      <c r="A94" s="540" t="s">
        <v>90</v>
      </c>
      <c r="B94" s="540"/>
      <c r="C94" s="540"/>
      <c r="D94" s="540"/>
      <c r="E94" s="540"/>
      <c r="F94" s="540"/>
      <c r="G94" s="540"/>
      <c r="H94" s="540"/>
      <c r="I94" s="540"/>
      <c r="N94" s="493" t="s">
        <v>90</v>
      </c>
      <c r="O94" s="493"/>
      <c r="P94" s="493"/>
      <c r="Q94" s="493"/>
      <c r="R94" s="493"/>
      <c r="S94" s="493"/>
      <c r="T94" s="493"/>
      <c r="U94" s="493"/>
    </row>
    <row r="95" spans="1:21" x14ac:dyDescent="0.25">
      <c r="A95" s="145"/>
      <c r="B95" s="145"/>
      <c r="C95" s="145"/>
      <c r="D95" s="145"/>
      <c r="E95" s="145"/>
      <c r="F95" s="145"/>
      <c r="G95" s="145"/>
      <c r="H95" s="145"/>
      <c r="I95" s="145"/>
      <c r="N95" s="146"/>
      <c r="O95" s="146"/>
      <c r="P95" s="146"/>
      <c r="Q95" s="146"/>
      <c r="R95" s="146"/>
      <c r="S95" s="146"/>
      <c r="T95" s="146"/>
      <c r="U95" s="146"/>
    </row>
    <row r="96" spans="1:21" x14ac:dyDescent="0.25">
      <c r="A96" s="84" t="s">
        <v>446</v>
      </c>
      <c r="C96" s="46"/>
      <c r="D96" s="72"/>
      <c r="E96" s="46" t="s">
        <v>100</v>
      </c>
      <c r="F96" s="471"/>
      <c r="G96" s="471"/>
      <c r="H96" s="471"/>
      <c r="I96" s="471"/>
      <c r="N96" s="478" t="s">
        <v>426</v>
      </c>
      <c r="O96" s="479"/>
      <c r="P96" s="479"/>
      <c r="Q96" s="494"/>
      <c r="R96" s="494"/>
      <c r="S96" s="494"/>
      <c r="T96" s="494"/>
      <c r="U96" s="106"/>
    </row>
    <row r="97" spans="1:21" x14ac:dyDescent="0.25">
      <c r="B97" s="72"/>
      <c r="C97" s="91" t="s">
        <v>409</v>
      </c>
      <c r="D97" s="371" t="s">
        <v>410</v>
      </c>
      <c r="E97" s="92" t="s">
        <v>151</v>
      </c>
      <c r="F97" s="46"/>
      <c r="G97" s="46"/>
      <c r="H97" s="46"/>
      <c r="I97" s="46"/>
      <c r="N97" s="48"/>
      <c r="O97" s="48"/>
      <c r="P97" s="48"/>
      <c r="Q97" s="147"/>
      <c r="R97" s="147"/>
      <c r="S97" s="147"/>
      <c r="T97" s="147"/>
      <c r="U97" s="106"/>
    </row>
    <row r="98" spans="1:21" x14ac:dyDescent="0.25">
      <c r="B98" s="72"/>
      <c r="C98" s="362" t="s">
        <v>2</v>
      </c>
      <c r="D98" s="362" t="s">
        <v>2</v>
      </c>
      <c r="E98" s="362" t="s">
        <v>2</v>
      </c>
      <c r="F98" s="46"/>
      <c r="G98" s="46"/>
      <c r="H98" s="46"/>
      <c r="I98" s="46"/>
      <c r="N98" s="48"/>
      <c r="O98" s="48"/>
      <c r="P98" s="48"/>
      <c r="Q98" s="147"/>
      <c r="R98" s="147"/>
      <c r="S98" s="147"/>
      <c r="T98" s="147"/>
      <c r="U98" s="106"/>
    </row>
    <row r="99" spans="1:21" x14ac:dyDescent="0.25">
      <c r="A99" s="536" t="s">
        <v>470</v>
      </c>
      <c r="B99" s="461"/>
      <c r="C99" s="165">
        <v>196</v>
      </c>
      <c r="D99" s="165">
        <v>0</v>
      </c>
      <c r="E99" s="125">
        <f>C99</f>
        <v>196</v>
      </c>
      <c r="F99" s="148" t="s">
        <v>39</v>
      </c>
      <c r="G99" s="339">
        <f>'0664'!G99</f>
        <v>558</v>
      </c>
      <c r="I99" s="104">
        <f>ROUND(G99*E99,2)</f>
        <v>109368</v>
      </c>
      <c r="N99" s="488" t="s">
        <v>65</v>
      </c>
      <c r="O99" s="488"/>
      <c r="P99" s="489">
        <f>IF(H120=1,E99,0)</f>
        <v>0</v>
      </c>
      <c r="Q99" s="489"/>
      <c r="R99" s="489"/>
      <c r="S99" s="86" t="s">
        <v>39</v>
      </c>
      <c r="T99" s="61">
        <f>G99</f>
        <v>558</v>
      </c>
      <c r="U99" s="99">
        <f>ROUND(T99*P99,0)</f>
        <v>0</v>
      </c>
    </row>
    <row r="100" spans="1:21" x14ac:dyDescent="0.25">
      <c r="A100" s="536" t="s">
        <v>471</v>
      </c>
      <c r="B100" s="461"/>
      <c r="C100" s="165">
        <v>1</v>
      </c>
      <c r="D100" s="165">
        <v>0</v>
      </c>
      <c r="E100" s="125">
        <f>C100</f>
        <v>1</v>
      </c>
      <c r="F100" s="148" t="s">
        <v>39</v>
      </c>
      <c r="G100" s="339">
        <f>'0664'!G100</f>
        <v>1707</v>
      </c>
      <c r="I100" s="104">
        <f>ROUND(G100*E100,2)</f>
        <v>1707</v>
      </c>
      <c r="N100" s="488" t="s">
        <v>81</v>
      </c>
      <c r="O100" s="488"/>
      <c r="P100" s="483"/>
      <c r="Q100" s="483"/>
      <c r="R100" s="483"/>
      <c r="S100" s="86" t="s">
        <v>39</v>
      </c>
      <c r="T100" s="61">
        <f>G100</f>
        <v>1707</v>
      </c>
      <c r="U100" s="99">
        <f>ROUND(T100*P100,0)</f>
        <v>0</v>
      </c>
    </row>
    <row r="101" spans="1:21" x14ac:dyDescent="0.25">
      <c r="A101" s="149"/>
      <c r="B101" s="149"/>
      <c r="C101" s="68"/>
      <c r="D101" s="68"/>
      <c r="E101" s="68"/>
      <c r="F101" s="68"/>
      <c r="G101" s="150"/>
      <c r="H101" s="151"/>
      <c r="I101" s="104"/>
      <c r="N101" s="152"/>
      <c r="O101" s="152"/>
      <c r="P101" s="153"/>
      <c r="Q101" s="153"/>
      <c r="R101" s="153"/>
      <c r="S101" s="86"/>
      <c r="T101" s="61"/>
      <c r="U101" s="106"/>
    </row>
    <row r="102" spans="1:21" x14ac:dyDescent="0.25">
      <c r="A102" s="149"/>
      <c r="B102" s="149"/>
      <c r="C102" s="68"/>
      <c r="D102" s="68"/>
      <c r="E102" s="68"/>
      <c r="F102" s="68"/>
      <c r="G102" s="150"/>
      <c r="H102" s="151"/>
      <c r="I102" s="104"/>
      <c r="N102" s="152"/>
      <c r="O102" s="152"/>
      <c r="P102" s="153"/>
      <c r="Q102" s="153"/>
      <c r="R102" s="153"/>
      <c r="S102" s="86"/>
      <c r="T102" s="61"/>
      <c r="U102" s="106"/>
    </row>
    <row r="103" spans="1:21" hidden="1" x14ac:dyDescent="0.25">
      <c r="A103" s="463" t="s">
        <v>447</v>
      </c>
      <c r="B103" s="453"/>
      <c r="C103" s="453"/>
      <c r="D103" s="72"/>
      <c r="E103" s="41" t="s">
        <v>41</v>
      </c>
      <c r="F103" s="466"/>
      <c r="G103" s="466"/>
      <c r="H103" s="466"/>
      <c r="I103" s="466"/>
      <c r="N103" s="478" t="s">
        <v>362</v>
      </c>
      <c r="O103" s="479"/>
      <c r="P103" s="479"/>
      <c r="Q103" s="479"/>
      <c r="R103" s="479"/>
      <c r="S103" s="479"/>
      <c r="T103" s="479"/>
      <c r="U103" s="479"/>
    </row>
    <row r="104" spans="1:21" hidden="1" x14ac:dyDescent="0.25">
      <c r="B104" s="72"/>
      <c r="C104" s="462" t="s">
        <v>91</v>
      </c>
      <c r="D104" s="462"/>
      <c r="E104" s="462"/>
      <c r="F104" s="39"/>
      <c r="G104" s="39"/>
      <c r="H104" s="41" t="s">
        <v>152</v>
      </c>
      <c r="I104" s="39"/>
      <c r="N104" s="48"/>
      <c r="O104" s="48"/>
      <c r="P104" s="48"/>
      <c r="Q104" s="48"/>
      <c r="R104" s="48"/>
      <c r="S104" s="48"/>
      <c r="T104" s="48"/>
      <c r="U104" s="48"/>
    </row>
    <row r="105" spans="1:21" hidden="1" x14ac:dyDescent="0.25">
      <c r="B105" s="72"/>
      <c r="C105" s="91" t="s">
        <v>371</v>
      </c>
      <c r="D105" s="91" t="s">
        <v>351</v>
      </c>
      <c r="E105" s="159" t="s">
        <v>8</v>
      </c>
      <c r="F105" s="464" t="s">
        <v>153</v>
      </c>
      <c r="G105" s="466"/>
      <c r="H105" s="39" t="s">
        <v>38</v>
      </c>
      <c r="I105" s="39"/>
      <c r="N105" s="48"/>
      <c r="O105" s="48"/>
      <c r="P105" s="48"/>
      <c r="Q105" s="48"/>
      <c r="R105" s="48"/>
      <c r="S105" s="48"/>
      <c r="T105" s="48"/>
      <c r="U105" s="48"/>
    </row>
    <row r="106" spans="1:21" hidden="1" x14ac:dyDescent="0.25">
      <c r="A106" s="462" t="s">
        <v>94</v>
      </c>
      <c r="B106" s="462"/>
      <c r="C106" s="93" t="s">
        <v>2</v>
      </c>
      <c r="D106" s="93" t="s">
        <v>2</v>
      </c>
      <c r="E106" s="62" t="s">
        <v>2</v>
      </c>
      <c r="F106" s="462" t="s">
        <v>37</v>
      </c>
      <c r="G106" s="462"/>
      <c r="H106" s="62" t="s">
        <v>37</v>
      </c>
      <c r="I106" s="62" t="s">
        <v>8</v>
      </c>
      <c r="N106" s="484" t="s">
        <v>66</v>
      </c>
      <c r="O106" s="484"/>
      <c r="P106" s="489" t="s">
        <v>91</v>
      </c>
      <c r="Q106" s="489"/>
      <c r="R106" s="484" t="s">
        <v>67</v>
      </c>
      <c r="S106" s="484"/>
      <c r="T106" s="63" t="s">
        <v>68</v>
      </c>
      <c r="U106" s="63" t="s">
        <v>8</v>
      </c>
    </row>
    <row r="107" spans="1:21" hidden="1" x14ac:dyDescent="0.25">
      <c r="A107" s="473" t="s">
        <v>69</v>
      </c>
      <c r="B107" s="473"/>
      <c r="C107" s="163">
        <v>0</v>
      </c>
      <c r="D107" s="163">
        <v>0</v>
      </c>
      <c r="E107" s="210">
        <f>IF(D$59=0,C107*2,C107+D107)</f>
        <v>0</v>
      </c>
      <c r="F107" s="474">
        <v>0</v>
      </c>
      <c r="G107" s="474"/>
      <c r="H107" s="250">
        <f>IF(C107=0,0,125)</f>
        <v>0</v>
      </c>
      <c r="I107" s="104">
        <f>ROUND((H107+F107)*E107,2)</f>
        <v>0</v>
      </c>
      <c r="N107" s="479" t="s">
        <v>69</v>
      </c>
      <c r="O107" s="479"/>
      <c r="P107" s="483">
        <f>IF(H$120=1,C107,0)</f>
        <v>0</v>
      </c>
      <c r="Q107" s="483"/>
      <c r="R107" s="486">
        <f>F107</f>
        <v>0</v>
      </c>
      <c r="S107" s="486"/>
      <c r="T107" s="65">
        <f>H107</f>
        <v>0</v>
      </c>
      <c r="U107" s="99">
        <f>ROUND((T107+R107)*P107,0)</f>
        <v>0</v>
      </c>
    </row>
    <row r="108" spans="1:21" hidden="1" x14ac:dyDescent="0.25">
      <c r="A108" s="456" t="s">
        <v>70</v>
      </c>
      <c r="B108" s="456"/>
      <c r="C108" s="165">
        <v>0</v>
      </c>
      <c r="D108" s="165">
        <v>0</v>
      </c>
      <c r="E108" s="125">
        <f>IF(D$59=0,C108*2,C108+D108)</f>
        <v>0</v>
      </c>
      <c r="F108" s="468">
        <f>ROUND(F107/2,2)</f>
        <v>0</v>
      </c>
      <c r="G108" s="468"/>
      <c r="H108" s="250">
        <f>IF(C108=0,0,62.5)</f>
        <v>0</v>
      </c>
      <c r="I108" s="104">
        <f>ROUND((H108+F108)*E108,2)</f>
        <v>0</v>
      </c>
      <c r="N108" s="479" t="s">
        <v>70</v>
      </c>
      <c r="O108" s="479"/>
      <c r="P108" s="483">
        <f>IF(H$120=1,C108,0)</f>
        <v>0</v>
      </c>
      <c r="Q108" s="483"/>
      <c r="R108" s="487">
        <f>ROUND(R107/2,2)</f>
        <v>0</v>
      </c>
      <c r="S108" s="487"/>
      <c r="T108" s="65">
        <f>H108</f>
        <v>0</v>
      </c>
      <c r="U108" s="99">
        <f>ROUND((T108+R108)*P108,0)</f>
        <v>0</v>
      </c>
    </row>
    <row r="109" spans="1:21" ht="16.5" hidden="1" thickBot="1" x14ac:dyDescent="0.3">
      <c r="A109" s="456" t="s">
        <v>71</v>
      </c>
      <c r="B109" s="456"/>
      <c r="C109" s="165">
        <v>0</v>
      </c>
      <c r="D109" s="165">
        <v>0</v>
      </c>
      <c r="E109" s="125">
        <f>IF(D$59=0,C109*2,C109+D109)</f>
        <v>0</v>
      </c>
      <c r="F109" s="475"/>
      <c r="G109" s="475"/>
      <c r="H109" s="251">
        <f>IF(H107&gt;0,436,0)</f>
        <v>0</v>
      </c>
      <c r="I109" s="104">
        <f>ROUND(H109*E109,2)</f>
        <v>0</v>
      </c>
      <c r="N109" s="482" t="s">
        <v>71</v>
      </c>
      <c r="O109" s="482"/>
      <c r="P109" s="483">
        <f>IF(H$120=1,C109,0)</f>
        <v>0</v>
      </c>
      <c r="Q109" s="483"/>
      <c r="R109" s="484"/>
      <c r="S109" s="484"/>
      <c r="T109" s="67">
        <f>H109</f>
        <v>0</v>
      </c>
      <c r="U109" s="106">
        <f>ROUND(T109*P109,0)</f>
        <v>0</v>
      </c>
    </row>
    <row r="110" spans="1:21" ht="16.5" hidden="1" thickBot="1" x14ac:dyDescent="0.3">
      <c r="A110" s="466" t="s">
        <v>8</v>
      </c>
      <c r="B110" s="466"/>
      <c r="C110" s="68"/>
      <c r="D110" s="68"/>
      <c r="E110" s="68"/>
      <c r="F110" s="68"/>
      <c r="G110" s="68"/>
      <c r="H110" s="68"/>
      <c r="I110" s="100">
        <f>SUM(I107:I109)</f>
        <v>0</v>
      </c>
      <c r="N110" s="485" t="s">
        <v>8</v>
      </c>
      <c r="O110" s="485"/>
      <c r="P110" s="69"/>
      <c r="Q110" s="69"/>
      <c r="R110" s="69"/>
      <c r="S110" s="69"/>
      <c r="T110" s="69"/>
      <c r="U110" s="70">
        <f>SUM(U107:U109)</f>
        <v>0</v>
      </c>
    </row>
    <row r="111" spans="1:21" hidden="1" x14ac:dyDescent="0.25">
      <c r="A111" s="39"/>
      <c r="B111" s="39"/>
      <c r="C111" s="68"/>
      <c r="D111" s="68"/>
      <c r="E111" s="68"/>
      <c r="F111" s="68"/>
      <c r="G111" s="68"/>
      <c r="H111" s="68"/>
      <c r="I111" s="104"/>
      <c r="N111" s="40"/>
      <c r="O111" s="40"/>
      <c r="P111" s="69"/>
      <c r="Q111" s="69"/>
      <c r="R111" s="69"/>
      <c r="S111" s="69"/>
      <c r="T111" s="69"/>
      <c r="U111" s="160"/>
    </row>
    <row r="112" spans="1:21" x14ac:dyDescent="0.25">
      <c r="A112" s="463" t="s">
        <v>448</v>
      </c>
      <c r="B112" s="453"/>
      <c r="C112" s="453"/>
      <c r="D112" s="72"/>
      <c r="E112" s="71" t="s">
        <v>354</v>
      </c>
      <c r="F112" s="472"/>
      <c r="G112" s="472"/>
      <c r="H112" s="472"/>
      <c r="I112" s="125">
        <v>0</v>
      </c>
      <c r="N112" s="478" t="s">
        <v>427</v>
      </c>
      <c r="O112" s="479"/>
      <c r="P112" s="479"/>
      <c r="Q112" s="341"/>
      <c r="R112" s="341"/>
      <c r="S112" s="341"/>
      <c r="T112" s="341"/>
      <c r="U112" s="99">
        <f>IF($H$120=1,I112,0)</f>
        <v>0</v>
      </c>
    </row>
    <row r="113" spans="1:21" x14ac:dyDescent="0.25">
      <c r="A113" s="463" t="s">
        <v>449</v>
      </c>
      <c r="B113" s="453"/>
      <c r="C113" s="453"/>
      <c r="D113" s="72"/>
      <c r="E113" s="71" t="s">
        <v>45</v>
      </c>
      <c r="F113" s="472"/>
      <c r="G113" s="472"/>
      <c r="H113" s="472"/>
      <c r="I113" s="177">
        <v>0</v>
      </c>
      <c r="N113" s="478" t="s">
        <v>428</v>
      </c>
      <c r="O113" s="479"/>
      <c r="P113" s="479"/>
      <c r="Q113" s="341"/>
      <c r="R113" s="341"/>
      <c r="S113" s="341"/>
      <c r="T113" s="341"/>
      <c r="U113" s="99">
        <f>IF($H$120=1,I113,0)</f>
        <v>0</v>
      </c>
    </row>
    <row r="114" spans="1:21" ht="16.5" thickBot="1" x14ac:dyDescent="0.3">
      <c r="B114" s="72"/>
      <c r="C114" s="72"/>
      <c r="D114" s="72"/>
      <c r="E114" s="71"/>
      <c r="F114" s="71"/>
      <c r="G114" s="71"/>
      <c r="H114" s="71"/>
      <c r="I114" s="125"/>
      <c r="N114" s="480" t="s">
        <v>42</v>
      </c>
      <c r="O114" s="480"/>
      <c r="P114" s="480"/>
      <c r="Q114" s="480"/>
      <c r="R114" s="480"/>
      <c r="S114" s="480"/>
      <c r="T114" s="480"/>
      <c r="U114" s="154">
        <f>SUM(U112,U110,U100,U99,U93,U77,U76,U74,U73,U72,U71,U70,U68,U59,U45,U78,U79,U80,U85,U113)</f>
        <v>0</v>
      </c>
    </row>
    <row r="115" spans="1:21" ht="16.5" thickTop="1" x14ac:dyDescent="0.25">
      <c r="A115" s="461" t="s">
        <v>8</v>
      </c>
      <c r="B115" s="461"/>
      <c r="C115" s="461"/>
      <c r="D115" s="461"/>
      <c r="E115" s="461"/>
      <c r="F115" s="461"/>
      <c r="G115" s="461"/>
      <c r="H115" s="461"/>
      <c r="I115" s="97">
        <f>SUM(I113,I112,I110,I100,I99,I93,I85,I84,I80,I79,I78,I77,I76,I74,I73,I72,I71,I70,I68,I59,I45)</f>
        <v>5102474.4899999993</v>
      </c>
      <c r="N115" s="29"/>
      <c r="O115" s="29"/>
      <c r="P115" s="29"/>
      <c r="Q115" s="29"/>
      <c r="R115" s="29"/>
      <c r="S115" s="29"/>
      <c r="T115" s="29"/>
      <c r="U115" s="160"/>
    </row>
    <row r="116" spans="1:21" x14ac:dyDescent="0.25">
      <c r="A116" s="27"/>
      <c r="B116" s="27"/>
      <c r="C116" s="27"/>
      <c r="D116" s="27"/>
      <c r="E116" s="27"/>
      <c r="F116" s="27"/>
      <c r="G116" s="27"/>
      <c r="H116" s="27"/>
      <c r="I116" s="104"/>
      <c r="N116" s="29"/>
      <c r="O116" s="29"/>
      <c r="P116" s="29"/>
      <c r="Q116" s="29"/>
      <c r="R116" s="29"/>
      <c r="S116" s="29"/>
      <c r="T116" s="29"/>
      <c r="U116" s="160"/>
    </row>
    <row r="117" spans="1:21" x14ac:dyDescent="0.25">
      <c r="A117" s="432" t="s">
        <v>467</v>
      </c>
      <c r="B117" s="27"/>
      <c r="C117" s="27"/>
      <c r="D117" s="27"/>
      <c r="E117" s="27"/>
      <c r="F117" s="27"/>
      <c r="G117" s="27"/>
      <c r="H117" s="27"/>
      <c r="I117" s="104">
        <f>I115-I84</f>
        <v>4933328.8599999994</v>
      </c>
      <c r="N117" s="29"/>
      <c r="O117" s="29"/>
      <c r="P117" s="29"/>
      <c r="Q117" s="29"/>
      <c r="R117" s="29"/>
      <c r="S117" s="29"/>
      <c r="T117" s="29"/>
      <c r="U117" s="160"/>
    </row>
    <row r="118" spans="1:21" x14ac:dyDescent="0.25">
      <c r="A118" s="27"/>
      <c r="B118" s="27"/>
      <c r="C118" s="27"/>
      <c r="D118" s="27"/>
      <c r="E118" s="27"/>
      <c r="F118" s="27"/>
      <c r="G118" s="27"/>
      <c r="H118" s="27"/>
      <c r="I118" s="104"/>
      <c r="N118" s="29"/>
      <c r="O118" s="29"/>
      <c r="P118" s="29"/>
      <c r="Q118" s="29"/>
      <c r="R118" s="29"/>
      <c r="S118" s="29"/>
      <c r="T118" s="29"/>
      <c r="U118" s="160"/>
    </row>
    <row r="119" spans="1:21" x14ac:dyDescent="0.25">
      <c r="A119" s="463" t="s">
        <v>468</v>
      </c>
      <c r="B119" s="453"/>
      <c r="C119" s="453"/>
      <c r="D119" s="453"/>
      <c r="E119" s="453"/>
      <c r="F119" s="453"/>
      <c r="G119" s="453"/>
      <c r="H119" s="84" t="s">
        <v>394</v>
      </c>
      <c r="I119" s="156"/>
      <c r="N119" s="481"/>
      <c r="O119" s="481"/>
      <c r="P119" s="481"/>
      <c r="Q119" s="481"/>
      <c r="R119" s="481"/>
      <c r="S119" s="481"/>
      <c r="T119" s="481"/>
      <c r="U119" s="481"/>
    </row>
    <row r="120" spans="1:21" x14ac:dyDescent="0.25">
      <c r="A120" s="453" t="s">
        <v>95</v>
      </c>
      <c r="B120" s="453"/>
      <c r="C120" s="453"/>
      <c r="D120" s="453"/>
      <c r="E120" s="453"/>
      <c r="F120" s="453"/>
      <c r="G120" s="453"/>
      <c r="H120" s="73" t="str">
        <f>IF(E29=0,"",IF((E14+E16+SUM(E18:E24))/E29&gt;0.75,1,""))</f>
        <v/>
      </c>
      <c r="I120" s="125">
        <f>U114</f>
        <v>0</v>
      </c>
      <c r="N120" s="476" t="s">
        <v>7</v>
      </c>
      <c r="O120" s="476"/>
      <c r="P120" s="476"/>
      <c r="Q120" s="476"/>
      <c r="R120" s="476"/>
      <c r="S120" s="476"/>
      <c r="T120" s="476"/>
      <c r="U120" s="476"/>
    </row>
    <row r="121" spans="1:21" x14ac:dyDescent="0.25">
      <c r="B121" s="72"/>
      <c r="C121" s="72"/>
      <c r="D121" s="72"/>
      <c r="E121" s="72"/>
      <c r="F121" s="72"/>
      <c r="G121" s="72"/>
      <c r="H121" s="68"/>
      <c r="I121" s="104"/>
      <c r="N121" s="74" t="s">
        <v>106</v>
      </c>
      <c r="O121" s="74"/>
      <c r="P121" s="74"/>
      <c r="Q121" s="74"/>
      <c r="R121" s="74"/>
      <c r="S121" s="74"/>
      <c r="T121" s="74"/>
      <c r="U121" s="74"/>
    </row>
    <row r="122" spans="1:21" x14ac:dyDescent="0.25">
      <c r="A122" s="3" t="s">
        <v>102</v>
      </c>
      <c r="B122" s="72"/>
      <c r="C122" s="72"/>
      <c r="D122" s="72"/>
      <c r="E122" s="72"/>
      <c r="F122" s="72"/>
      <c r="G122" s="287"/>
      <c r="H122" s="161">
        <f>IF(H120=1,I120,I117)</f>
        <v>4933328.8599999994</v>
      </c>
      <c r="I122" s="97">
        <f>ROUND(IF(E29=0,0,IF(E29&gt;250,-(((250/E29)*H122)*IF(G122="H",0.02,0.05)),IF(G122="H",-0.02*H122,-0.05*H122))),2)</f>
        <v>-104166.57</v>
      </c>
      <c r="N122" s="75" t="s">
        <v>107</v>
      </c>
      <c r="O122" s="74"/>
      <c r="P122" s="74"/>
      <c r="Q122" s="74"/>
      <c r="R122" s="74"/>
      <c r="S122" s="74"/>
      <c r="T122" s="74"/>
      <c r="U122" s="74"/>
    </row>
    <row r="123" spans="1:21" x14ac:dyDescent="0.25">
      <c r="B123" s="72"/>
      <c r="C123" s="72"/>
      <c r="D123" s="72"/>
      <c r="E123" s="72"/>
      <c r="F123" s="72"/>
      <c r="G123" s="72"/>
      <c r="H123" s="68"/>
      <c r="I123" s="104"/>
      <c r="N123" s="76"/>
      <c r="O123" s="76"/>
      <c r="P123" s="76"/>
      <c r="Q123" s="76"/>
      <c r="R123" s="76"/>
      <c r="S123" s="76"/>
      <c r="T123" s="76"/>
      <c r="U123" s="76"/>
    </row>
    <row r="124" spans="1:21" x14ac:dyDescent="0.25">
      <c r="A124" s="345" t="s">
        <v>103</v>
      </c>
      <c r="B124" s="346"/>
      <c r="C124" s="346"/>
      <c r="D124" s="346"/>
      <c r="E124" s="346"/>
      <c r="F124" s="346"/>
      <c r="G124" s="346"/>
      <c r="H124" s="347"/>
      <c r="I124" s="348">
        <f>I115+I122</f>
        <v>4998307.919999999</v>
      </c>
      <c r="N124" s="76"/>
      <c r="O124" s="76"/>
      <c r="P124" s="76"/>
      <c r="Q124" s="76"/>
      <c r="R124" s="76"/>
      <c r="S124" s="76"/>
      <c r="T124" s="76"/>
      <c r="U124" s="76"/>
    </row>
    <row r="125" spans="1:21" x14ac:dyDescent="0.25">
      <c r="B125" s="72"/>
      <c r="C125" s="72"/>
      <c r="D125" s="72"/>
      <c r="E125" s="72"/>
      <c r="F125" s="72"/>
      <c r="G125" s="72"/>
      <c r="H125" s="68"/>
      <c r="I125" s="104"/>
      <c r="N125" s="76"/>
      <c r="O125" s="76"/>
      <c r="P125" s="76"/>
      <c r="Q125" s="76"/>
      <c r="R125" s="76"/>
      <c r="S125" s="76"/>
      <c r="T125" s="76"/>
      <c r="U125" s="76"/>
    </row>
    <row r="126" spans="1:21" x14ac:dyDescent="0.25">
      <c r="A126" s="3" t="s">
        <v>104</v>
      </c>
      <c r="B126" s="72"/>
      <c r="C126" s="162"/>
      <c r="D126" s="72"/>
      <c r="F126" s="72"/>
      <c r="G126" s="72"/>
      <c r="H126" s="68"/>
      <c r="I126" s="302">
        <v>-3787713.74</v>
      </c>
      <c r="N126" s="76"/>
      <c r="O126" s="76"/>
      <c r="P126" s="76"/>
      <c r="Q126" s="76"/>
      <c r="R126" s="76"/>
      <c r="S126" s="76"/>
      <c r="T126" s="76"/>
      <c r="U126" s="76"/>
    </row>
    <row r="127" spans="1:21" x14ac:dyDescent="0.25">
      <c r="B127" s="72"/>
      <c r="C127" s="72"/>
      <c r="D127" s="72"/>
      <c r="E127" s="72"/>
      <c r="F127" s="72"/>
      <c r="G127" s="72"/>
      <c r="H127" s="68"/>
      <c r="I127" s="104"/>
      <c r="N127" s="76"/>
      <c r="O127" s="76"/>
      <c r="P127" s="76"/>
      <c r="Q127" s="76"/>
      <c r="R127" s="76"/>
      <c r="S127" s="76"/>
      <c r="T127" s="76"/>
      <c r="U127" s="76"/>
    </row>
    <row r="128" spans="1:21" x14ac:dyDescent="0.25">
      <c r="A128" s="84" t="s">
        <v>297</v>
      </c>
      <c r="B128" s="72"/>
      <c r="C128" s="72"/>
      <c r="D128" s="72"/>
      <c r="E128" s="72"/>
      <c r="F128" s="72"/>
      <c r="G128" s="72"/>
      <c r="H128" s="68"/>
      <c r="I128" s="104">
        <f>I124+I126</f>
        <v>1210594.1799999988</v>
      </c>
      <c r="N128" s="76"/>
      <c r="O128" s="76"/>
      <c r="P128" s="76"/>
      <c r="Q128" s="76"/>
      <c r="R128" s="76"/>
      <c r="S128" s="76"/>
      <c r="T128" s="76"/>
      <c r="U128" s="76"/>
    </row>
    <row r="129" spans="1:21" x14ac:dyDescent="0.25">
      <c r="A129" s="84"/>
      <c r="B129" s="72"/>
      <c r="C129" s="72"/>
      <c r="D129" s="72"/>
      <c r="E129" s="72"/>
      <c r="F129" s="72"/>
      <c r="G129" s="72"/>
      <c r="H129" s="68"/>
      <c r="I129" s="104"/>
      <c r="N129" s="76"/>
      <c r="O129" s="76"/>
      <c r="P129" s="76"/>
      <c r="Q129" s="76"/>
      <c r="R129" s="76"/>
      <c r="S129" s="76"/>
      <c r="T129" s="76"/>
      <c r="U129" s="76"/>
    </row>
    <row r="130" spans="1:21" x14ac:dyDescent="0.25">
      <c r="A130" s="84" t="s">
        <v>298</v>
      </c>
      <c r="B130" s="72"/>
      <c r="C130" s="72"/>
      <c r="D130" s="72"/>
      <c r="E130" s="72"/>
      <c r="F130" s="72"/>
      <c r="G130" s="72"/>
      <c r="H130" s="68"/>
      <c r="I130" s="303">
        <f>'0664'!I130</f>
        <v>3</v>
      </c>
      <c r="N130" s="76"/>
      <c r="O130" s="76"/>
      <c r="P130" s="76"/>
      <c r="Q130" s="76"/>
      <c r="R130" s="76"/>
      <c r="S130" s="76"/>
      <c r="T130" s="76"/>
      <c r="U130" s="76"/>
    </row>
    <row r="131" spans="1:21" x14ac:dyDescent="0.25">
      <c r="B131" s="72"/>
      <c r="C131" s="72"/>
      <c r="D131" s="72"/>
      <c r="E131" s="72"/>
      <c r="F131" s="72"/>
      <c r="G131" s="72"/>
      <c r="H131" s="68"/>
      <c r="I131" s="104"/>
      <c r="N131" s="76"/>
      <c r="O131" s="76"/>
      <c r="P131" s="76"/>
      <c r="Q131" s="76"/>
      <c r="R131" s="76"/>
      <c r="S131" s="76"/>
      <c r="T131" s="76"/>
      <c r="U131" s="76"/>
    </row>
    <row r="132" spans="1:21" ht="16.5" thickBot="1" x14ac:dyDescent="0.3">
      <c r="A132" s="3" t="s">
        <v>105</v>
      </c>
      <c r="B132" s="72"/>
      <c r="C132" s="72"/>
      <c r="D132" s="72"/>
      <c r="E132" s="72"/>
      <c r="F132" s="72"/>
      <c r="G132" s="72"/>
      <c r="H132" s="68"/>
      <c r="I132" s="178">
        <f>ROUND(I128/I130,2)</f>
        <v>403531.39</v>
      </c>
      <c r="N132" s="76"/>
      <c r="O132" s="76"/>
      <c r="P132" s="76"/>
      <c r="Q132" s="76"/>
      <c r="R132" s="76"/>
      <c r="S132" s="76"/>
      <c r="T132" s="76"/>
      <c r="U132" s="76"/>
    </row>
    <row r="133" spans="1:21" ht="16.5" thickTop="1" x14ac:dyDescent="0.25">
      <c r="B133" s="72"/>
      <c r="C133" s="72"/>
      <c r="D133" s="72"/>
      <c r="E133" s="72"/>
      <c r="F133" s="72"/>
      <c r="G133" s="72"/>
      <c r="H133" s="68"/>
      <c r="I133" s="104"/>
      <c r="N133" s="76"/>
      <c r="O133" s="76"/>
      <c r="P133" s="76"/>
      <c r="Q133" s="76"/>
      <c r="R133" s="76"/>
      <c r="S133" s="76"/>
      <c r="T133" s="76"/>
      <c r="U133" s="76"/>
    </row>
    <row r="134" spans="1:21" ht="16.5" thickBot="1" x14ac:dyDescent="0.3">
      <c r="A134" s="3" t="s">
        <v>121</v>
      </c>
      <c r="B134" s="72"/>
      <c r="C134" s="72"/>
      <c r="D134" s="72"/>
      <c r="E134" s="72"/>
      <c r="F134" s="72"/>
      <c r="G134" s="72"/>
      <c r="H134" s="68"/>
      <c r="I134" s="155">
        <f>IF(G122="H",(H122*0.02)+I122,(H122*0.05)+I122)</f>
        <v>142499.87299999996</v>
      </c>
      <c r="N134" s="76"/>
      <c r="O134" s="76"/>
      <c r="P134" s="76"/>
      <c r="Q134" s="76"/>
      <c r="R134" s="76"/>
      <c r="S134" s="76"/>
      <c r="T134" s="76"/>
      <c r="U134" s="76"/>
    </row>
    <row r="135" spans="1:21" ht="16.5" thickTop="1" x14ac:dyDescent="0.25">
      <c r="B135" s="72"/>
      <c r="C135" s="72"/>
      <c r="D135" s="72"/>
      <c r="E135" s="72"/>
      <c r="F135" s="72"/>
      <c r="G135" s="72"/>
      <c r="H135" s="68"/>
      <c r="I135" s="156"/>
      <c r="N135" s="76"/>
      <c r="O135" s="76"/>
      <c r="P135" s="76"/>
      <c r="Q135" s="76"/>
      <c r="R135" s="76"/>
      <c r="S135" s="76"/>
      <c r="T135" s="76"/>
      <c r="U135" s="76"/>
    </row>
    <row r="136" spans="1:21" x14ac:dyDescent="0.25">
      <c r="B136" s="72"/>
      <c r="C136" s="72"/>
      <c r="D136" s="72"/>
      <c r="E136" s="72"/>
      <c r="F136" s="72"/>
      <c r="G136" s="72"/>
      <c r="H136" s="68"/>
      <c r="I136" s="104"/>
      <c r="N136" s="76"/>
      <c r="O136" s="76"/>
      <c r="P136" s="76"/>
      <c r="Q136" s="76"/>
      <c r="R136" s="76"/>
      <c r="S136" s="76"/>
      <c r="T136" s="76"/>
      <c r="U136" s="76"/>
    </row>
    <row r="137" spans="1:21" x14ac:dyDescent="0.25">
      <c r="B137" s="72"/>
      <c r="C137" s="72"/>
      <c r="D137" s="72"/>
      <c r="E137" s="72"/>
      <c r="F137" s="72"/>
      <c r="G137" s="72"/>
      <c r="H137" s="68"/>
      <c r="I137" s="156"/>
      <c r="N137" s="76"/>
      <c r="O137" s="76"/>
      <c r="P137" s="76"/>
      <c r="Q137" s="76"/>
      <c r="R137" s="76"/>
      <c r="S137" s="76"/>
      <c r="T137" s="76"/>
      <c r="U137" s="76"/>
    </row>
    <row r="138" spans="1:21" x14ac:dyDescent="0.25">
      <c r="A138" s="281" t="s">
        <v>7</v>
      </c>
      <c r="B138" s="281"/>
      <c r="C138" s="281"/>
      <c r="D138" s="281"/>
      <c r="E138" s="281"/>
      <c r="F138" s="281"/>
      <c r="G138" s="281"/>
      <c r="H138" s="281"/>
      <c r="I138" s="281"/>
      <c r="J138" s="156"/>
      <c r="N138" s="76"/>
      <c r="O138" s="76"/>
      <c r="P138" s="76"/>
      <c r="Q138" s="76"/>
      <c r="R138" s="76"/>
      <c r="S138" s="76"/>
      <c r="T138" s="76"/>
      <c r="U138" s="76"/>
    </row>
    <row r="139" spans="1:21" ht="15.75" customHeight="1" x14ac:dyDescent="0.25">
      <c r="A139" s="356" t="str">
        <f>'0664'!A139</f>
        <v>(a) Additional FTE includes FTE earned through Advanced Placement, International Baccalaureate, Advanced International Certificate of Education, Industry Certified Career</v>
      </c>
      <c r="B139" s="357"/>
      <c r="C139" s="357"/>
      <c r="D139" s="357"/>
      <c r="E139" s="357"/>
      <c r="F139" s="357"/>
      <c r="G139" s="357"/>
      <c r="H139" s="357"/>
      <c r="I139" s="357"/>
      <c r="J139" s="80"/>
      <c r="K139" s="79"/>
      <c r="L139" s="79"/>
      <c r="M139" s="79"/>
      <c r="N139" s="477"/>
      <c r="O139" s="477"/>
      <c r="P139" s="477"/>
      <c r="Q139" s="477"/>
      <c r="R139" s="477"/>
      <c r="S139" s="477"/>
      <c r="T139" s="477"/>
      <c r="U139" s="477"/>
    </row>
    <row r="140" spans="1:21" ht="15.75" customHeight="1" x14ac:dyDescent="0.25">
      <c r="A140" s="390" t="str">
        <f>'0664'!A140</f>
        <v xml:space="preserve">Education (CAPE), Early High School Graduation and the small district ESE Supplement, pursuant to s. 1011.62(1)(l-p), F.S. </v>
      </c>
      <c r="B140" s="357"/>
      <c r="C140" s="357"/>
      <c r="D140" s="357"/>
      <c r="E140" s="357"/>
      <c r="F140" s="357"/>
      <c r="G140" s="357"/>
      <c r="H140" s="357"/>
      <c r="I140" s="357"/>
      <c r="J140" s="80"/>
      <c r="K140" s="79"/>
      <c r="L140" s="79"/>
      <c r="M140" s="79"/>
      <c r="N140" s="76"/>
      <c r="O140" s="76"/>
      <c r="P140" s="76"/>
      <c r="Q140" s="76"/>
      <c r="R140" s="76"/>
      <c r="S140" s="76"/>
      <c r="T140" s="76"/>
      <c r="U140" s="76"/>
    </row>
    <row r="141" spans="1:21" x14ac:dyDescent="0.25">
      <c r="A141" s="356" t="str">
        <f>'0664'!A141</f>
        <v>(b) District allocations multiplied by percentage from item 3A.</v>
      </c>
      <c r="B141" s="281"/>
      <c r="C141" s="281"/>
      <c r="D141" s="281"/>
      <c r="E141" s="281"/>
      <c r="F141" s="281"/>
      <c r="G141" s="281"/>
      <c r="H141" s="281"/>
      <c r="I141" s="281"/>
      <c r="J141" s="79"/>
      <c r="K141" s="79"/>
      <c r="L141" s="79"/>
      <c r="M141" s="79"/>
      <c r="N141" s="81"/>
      <c r="O141" s="82"/>
      <c r="P141" s="82"/>
      <c r="Q141" s="82"/>
      <c r="R141" s="82"/>
      <c r="S141" s="82"/>
      <c r="T141" s="82"/>
      <c r="U141" s="82"/>
    </row>
    <row r="142" spans="1:21" s="79" customFormat="1" x14ac:dyDescent="0.2">
      <c r="A142" s="356" t="str">
        <f>'0664'!A142</f>
        <v>(c) District allocations multiplied by percentage from item 3B.</v>
      </c>
      <c r="B142" s="281"/>
      <c r="C142" s="281"/>
      <c r="D142" s="281"/>
      <c r="E142" s="281"/>
      <c r="F142" s="281"/>
      <c r="G142" s="281"/>
      <c r="H142" s="281"/>
      <c r="I142" s="281"/>
      <c r="N142" s="81"/>
    </row>
    <row r="143" spans="1:21" s="79" customFormat="1" ht="15.75" customHeight="1" x14ac:dyDescent="0.2">
      <c r="A143" s="356" t="str">
        <f>'0664'!A143</f>
        <v>(d) The Digital Classroom Allocation is provided pursuant to s. 1011.62(12), F.S.</v>
      </c>
      <c r="B143" s="281"/>
      <c r="C143" s="281"/>
      <c r="D143" s="281"/>
      <c r="E143" s="281"/>
      <c r="F143" s="281"/>
      <c r="G143" s="281"/>
      <c r="H143" s="281"/>
      <c r="I143" s="281"/>
      <c r="N143" s="81"/>
    </row>
    <row r="144" spans="1:21" s="79" customFormat="1" ht="15.75" customHeight="1" x14ac:dyDescent="0.2">
      <c r="A144" s="356" t="str">
        <f>'0664'!A144</f>
        <v>(e) School districts are required to pay for instructional materials used for the instruction of public high school students who are earning credit toward high school</v>
      </c>
      <c r="B144" s="281"/>
      <c r="C144" s="281"/>
      <c r="D144" s="281"/>
      <c r="E144" s="281"/>
      <c r="F144" s="281"/>
      <c r="G144" s="281"/>
      <c r="H144" s="281"/>
      <c r="I144" s="281"/>
      <c r="N144" s="81"/>
    </row>
    <row r="145" spans="1:14" s="79" customFormat="1" ht="15.75" customHeight="1" x14ac:dyDescent="0.2">
      <c r="A145" s="390" t="str">
        <f>'0664'!A145</f>
        <v xml:space="preserve">graduation under the dual enrollment program as provided in s. 1011.62(l)(i), F.S.  </v>
      </c>
      <c r="B145" s="281"/>
      <c r="C145" s="281"/>
      <c r="D145" s="281"/>
      <c r="E145" s="281"/>
      <c r="F145" s="281"/>
      <c r="G145" s="281"/>
      <c r="H145" s="281"/>
      <c r="I145" s="281"/>
      <c r="N145" s="81"/>
    </row>
    <row r="146" spans="1:14" s="79" customFormat="1" x14ac:dyDescent="0.2">
      <c r="A146" s="356" t="str">
        <f>'0664'!A146</f>
        <v>(f) This allocation will be frozen as of the 2021-22 FEFP Second Calculation and will not be recalculated throughout the year. Charter school allocations should be</v>
      </c>
      <c r="B146" s="281"/>
      <c r="C146" s="281"/>
      <c r="D146" s="281"/>
      <c r="E146" s="281"/>
      <c r="F146" s="281"/>
      <c r="G146" s="281"/>
      <c r="H146" s="281"/>
      <c r="I146" s="281"/>
      <c r="N146" s="81"/>
    </row>
    <row r="147" spans="1:14" s="79" customFormat="1" x14ac:dyDescent="0.2">
      <c r="A147" s="358" t="str">
        <f>'0664'!A147</f>
        <v xml:space="preserve">distributed on weighted FTE (or base funding as is done in the FEFP) and should not be recalculated with fluctuations in student enrollment later in the year. </v>
      </c>
      <c r="B147" s="281"/>
      <c r="C147" s="281"/>
      <c r="D147" s="281"/>
      <c r="E147" s="281"/>
      <c r="F147" s="281"/>
      <c r="G147" s="281"/>
      <c r="H147" s="281"/>
      <c r="I147" s="281"/>
      <c r="N147" s="81"/>
    </row>
    <row r="148" spans="1:14" s="79" customFormat="1" x14ac:dyDescent="0.2">
      <c r="A148" s="356" t="str">
        <f>'0664'!A148</f>
        <v>(g) Numbers entered here will be multiplied by the district level transportation funding per rider. "All Adjusted Fundable Riders" should include both basic and ESE Riders.</v>
      </c>
      <c r="B148" s="281"/>
      <c r="C148" s="281"/>
      <c r="D148" s="281"/>
      <c r="E148" s="281"/>
      <c r="F148" s="281"/>
      <c r="G148" s="281"/>
      <c r="H148" s="281"/>
      <c r="I148" s="281"/>
      <c r="N148" s="81"/>
    </row>
    <row r="149" spans="1:14" s="79" customFormat="1" x14ac:dyDescent="0.2">
      <c r="A149" s="390" t="str">
        <f>'0664'!A149</f>
        <v>"All Adjusted ESE Riders" should include only ESE Riders.</v>
      </c>
      <c r="B149" s="281"/>
      <c r="C149" s="281"/>
      <c r="D149" s="281"/>
      <c r="E149" s="281"/>
      <c r="F149" s="281"/>
      <c r="G149" s="281"/>
      <c r="H149" s="281"/>
      <c r="I149" s="281"/>
      <c r="N149" s="81"/>
    </row>
    <row r="150" spans="1:14" s="79" customFormat="1" x14ac:dyDescent="0.2">
      <c r="A150" s="356" t="str">
        <f>'0664'!A150</f>
        <v xml:space="preserve">(h) The Federally Connected Student Supplement provides additional funding for students on federal lands that receive Section 8003 impact aide pursuant to s. 1011.62(13), F.S. </v>
      </c>
      <c r="B150" s="281"/>
      <c r="C150" s="281"/>
      <c r="D150" s="281"/>
      <c r="E150" s="281"/>
      <c r="F150" s="281"/>
      <c r="G150" s="281"/>
      <c r="H150" s="281"/>
      <c r="I150" s="281"/>
      <c r="N150" s="81"/>
    </row>
    <row r="151" spans="1:14" s="79" customFormat="1" x14ac:dyDescent="0.2">
      <c r="A151" s="356" t="str">
        <f>'0664'!A151</f>
        <v>(i) Teacher Classroom Supply Assistance Program allocation pursuant to s. 1012.71, F.S., for certified teachers employed by a public school district or public charter school</v>
      </c>
      <c r="B151" s="281"/>
      <c r="C151" s="281"/>
      <c r="D151" s="281"/>
      <c r="E151" s="281"/>
      <c r="F151" s="281"/>
      <c r="G151" s="281"/>
      <c r="H151" s="281"/>
      <c r="I151" s="281"/>
      <c r="N151" s="81"/>
    </row>
    <row r="152" spans="1:14" s="79" customFormat="1" x14ac:dyDescent="0.2">
      <c r="A152" s="358" t="str">
        <f>'0664'!A152</f>
        <v xml:space="preserve">before September 1 of each year whose full-time or job-share responsibility is the classroom instruction of students in prekindergarten through grade 12, including </v>
      </c>
      <c r="B152" s="281"/>
      <c r="C152" s="281"/>
      <c r="D152" s="281"/>
      <c r="E152" s="281"/>
      <c r="F152" s="281"/>
      <c r="G152" s="281"/>
      <c r="H152" s="281"/>
      <c r="I152" s="281"/>
      <c r="N152" s="81"/>
    </row>
    <row r="153" spans="1:14" s="79" customFormat="1" ht="15.75" customHeight="1" x14ac:dyDescent="0.2">
      <c r="A153" s="358" t="str">
        <f>'0664'!A153</f>
        <v>full-time media specialists and certified school counselors serving students in prekindergarten through grade 12, who are funded through the FEFP.</v>
      </c>
      <c r="B153" s="281"/>
      <c r="C153" s="281"/>
      <c r="D153" s="281"/>
      <c r="E153" s="281"/>
      <c r="F153" s="281"/>
      <c r="G153" s="281"/>
      <c r="H153" s="281"/>
      <c r="I153" s="281"/>
      <c r="N153" s="81"/>
    </row>
    <row r="154" spans="1:14" s="79" customFormat="1" ht="15.75" customHeight="1" x14ac:dyDescent="0.2">
      <c r="A154" s="356" t="str">
        <f>'0664'!A154</f>
        <v xml:space="preserve">(j) Funding based on student eligibility and meals provided, if participating in the National School Lunch Program. </v>
      </c>
      <c r="B154" s="328"/>
      <c r="C154" s="328"/>
      <c r="D154" s="328"/>
      <c r="E154" s="328"/>
      <c r="F154" s="328"/>
      <c r="G154" s="328"/>
      <c r="H154" s="328"/>
      <c r="I154" s="328"/>
      <c r="N154" s="81"/>
    </row>
    <row r="155" spans="1:14" s="79" customFormat="1" ht="15.75" customHeight="1" x14ac:dyDescent="0.2">
      <c r="A155" s="356" t="str">
        <f>'0664'!A155</f>
        <v>(k) Consistent with s. 1002.33(20)(a), F.S., for charter schools with a population of 75% or more ESE students, the administrative fee shall be calculated based on</v>
      </c>
      <c r="B155" s="381"/>
      <c r="C155" s="381"/>
      <c r="D155" s="381"/>
      <c r="E155" s="381"/>
      <c r="F155" s="381"/>
      <c r="G155" s="381"/>
      <c r="H155" s="381"/>
      <c r="I155" s="381"/>
      <c r="N155" s="81"/>
    </row>
    <row r="156" spans="1:14" s="79" customFormat="1" ht="15.75" customHeight="1" x14ac:dyDescent="0.2">
      <c r="A156" s="390" t="str">
        <f>'0664'!A156</f>
        <v xml:space="preserve">unweighted full-time equivalent students. </v>
      </c>
      <c r="B156" s="381"/>
      <c r="C156" s="381"/>
      <c r="D156" s="381"/>
      <c r="E156" s="381"/>
      <c r="F156" s="381"/>
      <c r="G156" s="381"/>
      <c r="H156" s="381"/>
      <c r="I156" s="381"/>
      <c r="N156" s="81"/>
    </row>
    <row r="157" spans="1:14" s="79" customFormat="1" ht="15.75" customHeight="1" x14ac:dyDescent="0.2">
      <c r="A157" s="356"/>
      <c r="B157" s="381"/>
      <c r="C157" s="381"/>
      <c r="D157" s="381"/>
      <c r="E157" s="381"/>
      <c r="F157" s="381"/>
      <c r="G157" s="381"/>
      <c r="H157" s="381"/>
      <c r="I157" s="381"/>
      <c r="N157" s="81"/>
    </row>
    <row r="158" spans="1:14" s="79" customFormat="1" ht="15.75" customHeight="1" x14ac:dyDescent="0.25">
      <c r="A158" s="398" t="str">
        <f>'0664'!A158</f>
        <v>Administrative fees:</v>
      </c>
      <c r="B158" s="328"/>
      <c r="C158" s="328"/>
      <c r="D158" s="328"/>
      <c r="E158" s="328"/>
      <c r="F158" s="328"/>
      <c r="G158" s="328"/>
      <c r="H158" s="328"/>
      <c r="I158" s="328"/>
      <c r="J158" s="3"/>
      <c r="K158" s="3"/>
      <c r="L158" s="3"/>
      <c r="M158" s="3"/>
      <c r="N158" s="81"/>
    </row>
    <row r="159" spans="1:14" s="79" customFormat="1" ht="15.75" customHeight="1" x14ac:dyDescent="0.25">
      <c r="A159" s="399" t="str">
        <f>'0664'!A159</f>
        <v xml:space="preserve">Administrative fees charged by the school district pursuant to s. 1002.33(20)(a), F.S., shall be calculated based upon 5% of available funds from the FEFP and categorical </v>
      </c>
      <c r="B159" s="328"/>
      <c r="C159" s="328"/>
      <c r="D159" s="328"/>
      <c r="E159" s="328"/>
      <c r="F159" s="328"/>
      <c r="G159" s="328"/>
      <c r="H159" s="328"/>
      <c r="I159" s="328"/>
      <c r="J159" s="3"/>
      <c r="K159" s="3"/>
      <c r="L159" s="3"/>
      <c r="M159" s="3"/>
      <c r="N159" s="81"/>
    </row>
    <row r="160" spans="1:14" s="79" customFormat="1" ht="15.75" customHeight="1" x14ac:dyDescent="0.25">
      <c r="A160" s="400" t="str">
        <f>'0664'!A160</f>
        <v>funding for which charter students may be eligible.  To calculate the administrative fee to be withheld for schools with more than 250 students, divide the school</v>
      </c>
      <c r="B160" s="328"/>
      <c r="C160" s="328"/>
      <c r="D160" s="328"/>
      <c r="E160" s="328"/>
      <c r="F160" s="328"/>
      <c r="G160" s="328"/>
      <c r="H160" s="328"/>
      <c r="I160" s="328"/>
      <c r="J160" s="3"/>
      <c r="K160" s="3"/>
      <c r="L160" s="3"/>
      <c r="M160" s="3"/>
      <c r="N160" s="81"/>
    </row>
    <row r="161" spans="1:21" s="79" customFormat="1" ht="15.75" customHeight="1" x14ac:dyDescent="0.25">
      <c r="A161" s="400" t="str">
        <f>'0664'!A161</f>
        <v xml:space="preserve">population into 250. Multiply that fraction times the funds available, then times 5%.  </v>
      </c>
      <c r="B161" s="328"/>
      <c r="C161" s="328"/>
      <c r="D161" s="328"/>
      <c r="E161" s="328"/>
      <c r="F161" s="328"/>
      <c r="G161" s="328"/>
      <c r="H161" s="328"/>
      <c r="I161" s="328"/>
      <c r="J161" s="3"/>
      <c r="K161" s="3"/>
      <c r="L161" s="3"/>
      <c r="M161" s="3"/>
      <c r="N161" s="81"/>
    </row>
    <row r="162" spans="1:21" s="79" customFormat="1" ht="15.75" customHeight="1" x14ac:dyDescent="0.25">
      <c r="A162" s="399"/>
      <c r="B162" s="394"/>
      <c r="C162" s="394"/>
      <c r="D162" s="394"/>
      <c r="E162" s="394"/>
      <c r="F162" s="394"/>
      <c r="G162" s="394"/>
      <c r="H162" s="394"/>
      <c r="I162" s="394"/>
      <c r="N162" s="77"/>
      <c r="O162" s="3"/>
      <c r="P162" s="3"/>
      <c r="Q162" s="3"/>
      <c r="R162" s="3"/>
      <c r="S162" s="3"/>
      <c r="T162" s="3"/>
      <c r="U162" s="3"/>
    </row>
    <row r="163" spans="1:21" ht="15.75" customHeight="1" x14ac:dyDescent="0.25">
      <c r="A163" s="399" t="str">
        <f>'0664'!A163</f>
        <v xml:space="preserve">For high performing charter schools, administrative fees charged by the school district shall be calculated based upon 2% of available funds from the FEFP and categorical </v>
      </c>
      <c r="B163" s="328"/>
      <c r="C163" s="328"/>
      <c r="D163" s="328"/>
      <c r="E163" s="328"/>
      <c r="F163" s="328"/>
      <c r="G163" s="328"/>
      <c r="H163" s="328"/>
      <c r="I163" s="328"/>
      <c r="J163" s="79"/>
      <c r="K163" s="79"/>
      <c r="L163" s="79"/>
      <c r="M163" s="79"/>
      <c r="N163" s="81"/>
      <c r="O163" s="79"/>
      <c r="P163" s="79"/>
      <c r="Q163" s="79"/>
      <c r="R163" s="79"/>
      <c r="S163" s="79"/>
      <c r="T163" s="79"/>
      <c r="U163" s="79"/>
    </row>
    <row r="164" spans="1:21" ht="15.75" customHeight="1" x14ac:dyDescent="0.25">
      <c r="A164" s="400" t="str">
        <f>'0664'!A164</f>
        <v>funding for which charter students may be eligible.  To calculate the administrative fee to be withheld for schools with more than 250 students, divide the school</v>
      </c>
      <c r="B164" s="381"/>
      <c r="C164" s="381"/>
      <c r="D164" s="381"/>
      <c r="E164" s="381"/>
      <c r="F164" s="381"/>
      <c r="G164" s="381"/>
      <c r="H164" s="381"/>
      <c r="I164" s="381"/>
      <c r="J164" s="79"/>
      <c r="K164" s="79"/>
      <c r="L164" s="79"/>
      <c r="M164" s="79"/>
      <c r="N164" s="81"/>
      <c r="O164" s="79"/>
      <c r="P164" s="79"/>
      <c r="Q164" s="79"/>
      <c r="R164" s="79"/>
      <c r="S164" s="79"/>
      <c r="T164" s="79"/>
      <c r="U164" s="79"/>
    </row>
    <row r="165" spans="1:21" s="79" customFormat="1" ht="15.75" customHeight="1" x14ac:dyDescent="0.2">
      <c r="A165" s="400" t="str">
        <f>'0664'!A165</f>
        <v xml:space="preserve">population into 250. Multiply that fraction times the funds available, then times 2%.  </v>
      </c>
      <c r="B165" s="328"/>
      <c r="C165" s="328"/>
      <c r="D165" s="328"/>
      <c r="E165" s="328"/>
      <c r="F165" s="328"/>
      <c r="G165" s="328"/>
      <c r="H165" s="328"/>
      <c r="I165" s="328"/>
      <c r="N165" s="81"/>
    </row>
    <row r="166" spans="1:21" x14ac:dyDescent="0.25">
      <c r="A166" s="356"/>
      <c r="N166" s="77"/>
    </row>
    <row r="167" spans="1:21" x14ac:dyDescent="0.25">
      <c r="A167" s="398" t="str">
        <f>'0664'!A167</f>
        <v>Other:</v>
      </c>
      <c r="N167" s="77"/>
    </row>
    <row r="168" spans="1:21" x14ac:dyDescent="0.25">
      <c r="A168" s="399" t="str">
        <f>'0664'!A168</f>
        <v>FEFP and categorical funding are recalculated during the year to reflect the revised number of full-time equivalent students reported during the survey periods designated</v>
      </c>
      <c r="N168" s="77"/>
    </row>
    <row r="169" spans="1:21" x14ac:dyDescent="0.25">
      <c r="A169" s="402" t="str">
        <f>'0664'!A169</f>
        <v>by the Commissioner of Education.</v>
      </c>
      <c r="N169" s="77"/>
    </row>
    <row r="170" spans="1:21" x14ac:dyDescent="0.25">
      <c r="A170" s="399" t="str">
        <f>'0664'!A170</f>
        <v>Revenues flow to districts from state sources and from county tax collectors on various distribution schedules.</v>
      </c>
      <c r="N170" s="77"/>
    </row>
    <row r="171" spans="1:21" x14ac:dyDescent="0.25">
      <c r="A171" s="77"/>
      <c r="N171" s="77"/>
    </row>
    <row r="172" spans="1:21" x14ac:dyDescent="0.25">
      <c r="A172" s="77"/>
      <c r="N172" s="77"/>
    </row>
    <row r="173" spans="1:21" x14ac:dyDescent="0.25">
      <c r="A173" s="77"/>
      <c r="N173" s="77"/>
    </row>
    <row r="174" spans="1:21" x14ac:dyDescent="0.25">
      <c r="A174" s="77"/>
      <c r="N174" s="77"/>
    </row>
    <row r="175" spans="1:21" x14ac:dyDescent="0.25">
      <c r="A175" s="77"/>
      <c r="N175" s="77"/>
    </row>
    <row r="176" spans="1:21" x14ac:dyDescent="0.25">
      <c r="A176" s="77"/>
      <c r="N176" s="77"/>
    </row>
    <row r="177" spans="1:14" x14ac:dyDescent="0.25">
      <c r="A177" s="77"/>
      <c r="N177" s="77"/>
    </row>
    <row r="178" spans="1:14" x14ac:dyDescent="0.25">
      <c r="A178" s="77"/>
      <c r="N178" s="77"/>
    </row>
    <row r="179" spans="1:14" x14ac:dyDescent="0.25">
      <c r="A179" s="77"/>
      <c r="N179" s="77"/>
    </row>
    <row r="180" spans="1:14" x14ac:dyDescent="0.25">
      <c r="A180" s="77"/>
      <c r="N180" s="77"/>
    </row>
    <row r="181" spans="1:14" x14ac:dyDescent="0.25">
      <c r="A181" s="77"/>
      <c r="N181" s="77"/>
    </row>
    <row r="182" spans="1:14" x14ac:dyDescent="0.25">
      <c r="A182" s="77"/>
      <c r="N182" s="77"/>
    </row>
    <row r="183" spans="1:14" x14ac:dyDescent="0.25">
      <c r="A183" s="77"/>
      <c r="N183" s="77"/>
    </row>
    <row r="184" spans="1:14" x14ac:dyDescent="0.25">
      <c r="A184" s="77"/>
      <c r="N184" s="77"/>
    </row>
    <row r="185" spans="1:14" x14ac:dyDescent="0.25">
      <c r="A185" s="77"/>
      <c r="N185" s="77"/>
    </row>
    <row r="186" spans="1:14" x14ac:dyDescent="0.25">
      <c r="A186" s="77"/>
      <c r="N186" s="77"/>
    </row>
    <row r="187" spans="1:14" x14ac:dyDescent="0.25">
      <c r="A187" s="77"/>
      <c r="N187" s="77"/>
    </row>
    <row r="188" spans="1:14" x14ac:dyDescent="0.25">
      <c r="A188" s="77"/>
    </row>
    <row r="189" spans="1:14" x14ac:dyDescent="0.25">
      <c r="A189" s="77"/>
    </row>
    <row r="190" spans="1:14" x14ac:dyDescent="0.25">
      <c r="A190" s="77"/>
    </row>
    <row r="191" spans="1:14" x14ac:dyDescent="0.25">
      <c r="A191" s="77"/>
    </row>
    <row r="192" spans="1:14" x14ac:dyDescent="0.25">
      <c r="A192" s="77"/>
    </row>
    <row r="193" spans="1:1" x14ac:dyDescent="0.25">
      <c r="A193" s="77"/>
    </row>
    <row r="194" spans="1:1" x14ac:dyDescent="0.25">
      <c r="A194" s="77"/>
    </row>
    <row r="195" spans="1:1" x14ac:dyDescent="0.25">
      <c r="A195" s="77"/>
    </row>
    <row r="196" spans="1:1" x14ac:dyDescent="0.25">
      <c r="A196" s="77"/>
    </row>
    <row r="197" spans="1:1" x14ac:dyDescent="0.25">
      <c r="A197" s="77"/>
    </row>
    <row r="198" spans="1:1" x14ac:dyDescent="0.25">
      <c r="A198" s="77"/>
    </row>
    <row r="199" spans="1:1" x14ac:dyDescent="0.25">
      <c r="A199" s="77"/>
    </row>
    <row r="200" spans="1:1" x14ac:dyDescent="0.25">
      <c r="A200" s="77"/>
    </row>
    <row r="201" spans="1:1" x14ac:dyDescent="0.25">
      <c r="A201" s="77"/>
    </row>
    <row r="202" spans="1:1" x14ac:dyDescent="0.25">
      <c r="A202" s="77"/>
    </row>
    <row r="203" spans="1:1" x14ac:dyDescent="0.25">
      <c r="A203" s="77"/>
    </row>
    <row r="204" spans="1:1" x14ac:dyDescent="0.25">
      <c r="A204" s="77"/>
    </row>
    <row r="205" spans="1:1" x14ac:dyDescent="0.25">
      <c r="A205" s="77"/>
    </row>
    <row r="206" spans="1:1" x14ac:dyDescent="0.25">
      <c r="A206" s="77"/>
    </row>
  </sheetData>
  <mergeCells count="266">
    <mergeCell ref="R109:S109"/>
    <mergeCell ref="A110:B110"/>
    <mergeCell ref="N110:O110"/>
    <mergeCell ref="N139:U139"/>
    <mergeCell ref="N119:U119"/>
    <mergeCell ref="N113:P113"/>
    <mergeCell ref="A113:C113"/>
    <mergeCell ref="F113:H113"/>
    <mergeCell ref="N114:T114"/>
    <mergeCell ref="A115:H115"/>
    <mergeCell ref="A119:G119"/>
    <mergeCell ref="N120:U120"/>
    <mergeCell ref="A120:G120"/>
    <mergeCell ref="N108:O108"/>
    <mergeCell ref="P108:Q108"/>
    <mergeCell ref="A112:C112"/>
    <mergeCell ref="F112:H112"/>
    <mergeCell ref="N112:P112"/>
    <mergeCell ref="A109:B109"/>
    <mergeCell ref="F109:G109"/>
    <mergeCell ref="N109:O109"/>
    <mergeCell ref="P109:Q109"/>
    <mergeCell ref="R106:S106"/>
    <mergeCell ref="A99:B99"/>
    <mergeCell ref="N99:O99"/>
    <mergeCell ref="P99:R99"/>
    <mergeCell ref="A100:B100"/>
    <mergeCell ref="N100:O100"/>
    <mergeCell ref="P100:R100"/>
    <mergeCell ref="R108:S108"/>
    <mergeCell ref="A103:C103"/>
    <mergeCell ref="F103:I103"/>
    <mergeCell ref="N103:U103"/>
    <mergeCell ref="C104:E104"/>
    <mergeCell ref="F105:G105"/>
    <mergeCell ref="A106:B106"/>
    <mergeCell ref="F106:G106"/>
    <mergeCell ref="N106:O106"/>
    <mergeCell ref="P106:Q106"/>
    <mergeCell ref="A107:B107"/>
    <mergeCell ref="F107:G107"/>
    <mergeCell ref="N107:O107"/>
    <mergeCell ref="P107:Q107"/>
    <mergeCell ref="R107:S107"/>
    <mergeCell ref="A108:B108"/>
    <mergeCell ref="F108:G108"/>
    <mergeCell ref="C91:D91"/>
    <mergeCell ref="P91:Q91"/>
    <mergeCell ref="C92:D92"/>
    <mergeCell ref="P92:Q92"/>
    <mergeCell ref="C93:D93"/>
    <mergeCell ref="P93:T93"/>
    <mergeCell ref="A94:I94"/>
    <mergeCell ref="N94:U94"/>
    <mergeCell ref="F96:I96"/>
    <mergeCell ref="N96:P96"/>
    <mergeCell ref="Q96:T96"/>
    <mergeCell ref="A87:I87"/>
    <mergeCell ref="N87:U87"/>
    <mergeCell ref="C88:D88"/>
    <mergeCell ref="C89:D89"/>
    <mergeCell ref="N89:O89"/>
    <mergeCell ref="P89:Q89"/>
    <mergeCell ref="R89:U89"/>
    <mergeCell ref="C90:D90"/>
    <mergeCell ref="P90:Q90"/>
    <mergeCell ref="A80:C80"/>
    <mergeCell ref="N80:P80"/>
    <mergeCell ref="A85:C85"/>
    <mergeCell ref="N85:P85"/>
    <mergeCell ref="F73:H73"/>
    <mergeCell ref="N73:T73"/>
    <mergeCell ref="N74:T74"/>
    <mergeCell ref="A78:C78"/>
    <mergeCell ref="N78:P78"/>
    <mergeCell ref="A79:C79"/>
    <mergeCell ref="A69:C69"/>
    <mergeCell ref="N69:P69"/>
    <mergeCell ref="N79:P79"/>
    <mergeCell ref="A76:C76"/>
    <mergeCell ref="N76:P76"/>
    <mergeCell ref="A77:C77"/>
    <mergeCell ref="A70:C70"/>
    <mergeCell ref="A71:C71"/>
    <mergeCell ref="N71:P71"/>
    <mergeCell ref="A72:C72"/>
    <mergeCell ref="N77:P77"/>
    <mergeCell ref="N72:P72"/>
    <mergeCell ref="A65:B65"/>
    <mergeCell ref="D65:G65"/>
    <mergeCell ref="N65:O65"/>
    <mergeCell ref="Q65:S65"/>
    <mergeCell ref="T65:U65"/>
    <mergeCell ref="N66:S66"/>
    <mergeCell ref="T66:U66"/>
    <mergeCell ref="A68:C68"/>
    <mergeCell ref="N68:P68"/>
    <mergeCell ref="A62:B62"/>
    <mergeCell ref="D62:G62"/>
    <mergeCell ref="N62:O62"/>
    <mergeCell ref="Q62:S62"/>
    <mergeCell ref="T62:U62"/>
    <mergeCell ref="N63:S63"/>
    <mergeCell ref="T63:U63"/>
    <mergeCell ref="A64:I64"/>
    <mergeCell ref="N64:U64"/>
    <mergeCell ref="A59:B59"/>
    <mergeCell ref="F59:H59"/>
    <mergeCell ref="N59:O59"/>
    <mergeCell ref="P59:Q59"/>
    <mergeCell ref="R59:T59"/>
    <mergeCell ref="A60:I60"/>
    <mergeCell ref="N60:U60"/>
    <mergeCell ref="A61:I61"/>
    <mergeCell ref="N61:U61"/>
    <mergeCell ref="A50:B58"/>
    <mergeCell ref="N50:O58"/>
    <mergeCell ref="P50:Q50"/>
    <mergeCell ref="P51:Q51"/>
    <mergeCell ref="P52:Q52"/>
    <mergeCell ref="P53:Q53"/>
    <mergeCell ref="P54:Q54"/>
    <mergeCell ref="P55:Q55"/>
    <mergeCell ref="P56:Q56"/>
    <mergeCell ref="P57:Q57"/>
    <mergeCell ref="P58:Q58"/>
    <mergeCell ref="A42:B42"/>
    <mergeCell ref="N42:O42"/>
    <mergeCell ref="P42:T42"/>
    <mergeCell ref="N43:Q43"/>
    <mergeCell ref="S43:T43"/>
    <mergeCell ref="N45:Q45"/>
    <mergeCell ref="S45:T45"/>
    <mergeCell ref="N49:O49"/>
    <mergeCell ref="P49:Q49"/>
    <mergeCell ref="A39:B39"/>
    <mergeCell ref="N39:O39"/>
    <mergeCell ref="P39:T39"/>
    <mergeCell ref="A40:B40"/>
    <mergeCell ref="N40:O40"/>
    <mergeCell ref="P40:T40"/>
    <mergeCell ref="A41:B41"/>
    <mergeCell ref="N41:O41"/>
    <mergeCell ref="P41:T41"/>
    <mergeCell ref="N34:T34"/>
    <mergeCell ref="A36:B36"/>
    <mergeCell ref="N36:O36"/>
    <mergeCell ref="P36:T36"/>
    <mergeCell ref="A37:B37"/>
    <mergeCell ref="N37:O37"/>
    <mergeCell ref="P37:T37"/>
    <mergeCell ref="F33:H36"/>
    <mergeCell ref="A38:B38"/>
    <mergeCell ref="N38:O38"/>
    <mergeCell ref="P38:T38"/>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A20:B20"/>
    <mergeCell ref="F20:G20"/>
    <mergeCell ref="N20:O20"/>
    <mergeCell ref="P20:Q20"/>
    <mergeCell ref="R20:S20"/>
    <mergeCell ref="A19:B19"/>
    <mergeCell ref="A21:B21"/>
    <mergeCell ref="F21:G21"/>
    <mergeCell ref="N21:O21"/>
    <mergeCell ref="P21:Q21"/>
    <mergeCell ref="R21:S21"/>
    <mergeCell ref="A18:B18"/>
    <mergeCell ref="F18:G18"/>
    <mergeCell ref="N18:O18"/>
    <mergeCell ref="P18:Q18"/>
    <mergeCell ref="R18:S18"/>
    <mergeCell ref="A17:B17"/>
    <mergeCell ref="F17:G17"/>
    <mergeCell ref="F19:G19"/>
    <mergeCell ref="N19:O19"/>
    <mergeCell ref="P19:Q19"/>
    <mergeCell ref="R19:S19"/>
    <mergeCell ref="A16:B16"/>
    <mergeCell ref="F16:G16"/>
    <mergeCell ref="N16:O16"/>
    <mergeCell ref="P16:Q16"/>
    <mergeCell ref="R16:S16"/>
    <mergeCell ref="A15:B15"/>
    <mergeCell ref="F15:G15"/>
    <mergeCell ref="N17:O17"/>
    <mergeCell ref="P17:Q17"/>
    <mergeCell ref="R17:S17"/>
    <mergeCell ref="A14:B14"/>
    <mergeCell ref="F14:G14"/>
    <mergeCell ref="N14:O14"/>
    <mergeCell ref="P14:Q14"/>
    <mergeCell ref="R14:S14"/>
    <mergeCell ref="A13:B13"/>
    <mergeCell ref="F13:G13"/>
    <mergeCell ref="N15:O15"/>
    <mergeCell ref="P15:Q15"/>
    <mergeCell ref="R15:S15"/>
    <mergeCell ref="A12:B12"/>
    <mergeCell ref="F12:G12"/>
    <mergeCell ref="N12:O12"/>
    <mergeCell ref="P12:Q12"/>
    <mergeCell ref="R12:S12"/>
    <mergeCell ref="A11:B11"/>
    <mergeCell ref="F11:G11"/>
    <mergeCell ref="N13:O13"/>
    <mergeCell ref="P13:Q13"/>
    <mergeCell ref="R13:S13"/>
    <mergeCell ref="N8:O8"/>
    <mergeCell ref="P8:Q8"/>
    <mergeCell ref="R8:S8"/>
    <mergeCell ref="T8:U8"/>
    <mergeCell ref="F10:G10"/>
    <mergeCell ref="R10:S10"/>
    <mergeCell ref="A7:I7"/>
    <mergeCell ref="N11:O11"/>
    <mergeCell ref="P11:Q11"/>
    <mergeCell ref="R11:S11"/>
    <mergeCell ref="B1:I1"/>
    <mergeCell ref="O1:U1"/>
    <mergeCell ref="N2:U2"/>
    <mergeCell ref="N3:U3"/>
    <mergeCell ref="A4:B4"/>
    <mergeCell ref="C4:E4"/>
    <mergeCell ref="N4:O4"/>
    <mergeCell ref="P4:Q4"/>
    <mergeCell ref="N7:U7"/>
  </mergeCells>
  <pageMargins left="0.1" right="0.1" top="0.5" bottom="0.5" header="0" footer="0.1"/>
  <pageSetup scale="70" fitToHeight="3" orientation="portrait" r:id="rId1"/>
  <headerFooter alignWithMargins="0">
    <oddFooter>&amp;R&amp;P of &amp;N</oddFooter>
  </headerFooter>
  <rowBreaks count="1" manualBreakCount="1">
    <brk id="138" max="16383" man="1"/>
  </rowBreaks>
  <colBreaks count="1" manualBreakCount="1">
    <brk id="9" max="1048575" man="1"/>
  </colBreak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CCFFCC"/>
  </sheetPr>
  <dimension ref="A1:U206"/>
  <sheetViews>
    <sheetView showGridLines="0" zoomScaleNormal="100" workbookViewId="0">
      <pane ySplit="1" topLeftCell="A14" activePane="bottomLeft" state="frozen"/>
      <selection activeCell="I9" sqref="I9"/>
      <selection pane="bottomLeft" activeCell="D50" sqref="D50:D58"/>
    </sheetView>
  </sheetViews>
  <sheetFormatPr defaultRowHeight="15.75" x14ac:dyDescent="0.25"/>
  <cols>
    <col min="1" max="1" width="10.28515625" style="72"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72"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5">
        <v>50</v>
      </c>
      <c r="B1" s="441" t="s">
        <v>17</v>
      </c>
      <c r="C1" s="442"/>
      <c r="D1" s="442"/>
      <c r="E1" s="442"/>
      <c r="F1" s="442"/>
      <c r="G1" s="442"/>
      <c r="H1" s="442"/>
      <c r="I1" s="442"/>
      <c r="J1" s="157"/>
      <c r="K1" s="157"/>
      <c r="L1" s="157"/>
      <c r="N1" s="85">
        <f>A1</f>
        <v>50</v>
      </c>
      <c r="O1" s="527" t="s">
        <v>17</v>
      </c>
      <c r="P1" s="528"/>
      <c r="Q1" s="528"/>
      <c r="R1" s="528"/>
      <c r="S1" s="528"/>
      <c r="T1" s="528"/>
      <c r="U1" s="528"/>
    </row>
    <row r="2" spans="1:21" ht="21" x14ac:dyDescent="0.35">
      <c r="A2" s="1" t="s">
        <v>159</v>
      </c>
      <c r="B2" s="2"/>
      <c r="C2" s="2"/>
      <c r="D2" s="2"/>
      <c r="E2" s="2"/>
      <c r="F2" s="2"/>
      <c r="G2" s="2"/>
      <c r="H2" s="2"/>
      <c r="I2" s="2"/>
      <c r="N2" s="529" t="s">
        <v>23</v>
      </c>
      <c r="O2" s="529"/>
      <c r="P2" s="529"/>
      <c r="Q2" s="529"/>
      <c r="R2" s="529"/>
      <c r="S2" s="529"/>
      <c r="T2" s="529"/>
      <c r="U2" s="529"/>
    </row>
    <row r="3" spans="1:21" x14ac:dyDescent="0.25">
      <c r="A3" s="84" t="str">
        <f>'0664'!A3</f>
        <v>Based on the FLDOE 2022-23 FEFP Third Calculation</v>
      </c>
      <c r="N3" s="485" t="str">
        <f>A3</f>
        <v>Based on the FLDOE 2022-23 FEFP Third Calculation</v>
      </c>
      <c r="O3" s="485"/>
      <c r="P3" s="485"/>
      <c r="Q3" s="485"/>
      <c r="R3" s="485"/>
      <c r="S3" s="485"/>
      <c r="T3" s="485"/>
      <c r="U3" s="485"/>
    </row>
    <row r="4" spans="1:21" x14ac:dyDescent="0.25">
      <c r="A4" s="443" t="s">
        <v>0</v>
      </c>
      <c r="B4" s="443"/>
      <c r="C4" s="444" t="s">
        <v>9</v>
      </c>
      <c r="D4" s="444"/>
      <c r="E4" s="444"/>
      <c r="F4" s="4" t="str">
        <f>'0664'!F4</f>
        <v>Apr 2023</v>
      </c>
      <c r="G4" s="4"/>
      <c r="H4" s="4"/>
      <c r="I4" s="4"/>
      <c r="N4" s="530" t="s">
        <v>0</v>
      </c>
      <c r="O4" s="530"/>
      <c r="P4" s="531" t="str">
        <f>C4</f>
        <v>Palm Beach</v>
      </c>
      <c r="Q4" s="531"/>
      <c r="R4" s="5"/>
      <c r="S4" s="5"/>
      <c r="T4" s="5"/>
      <c r="U4" s="5"/>
    </row>
    <row r="5" spans="1:21" ht="12" customHeight="1" thickBot="1" x14ac:dyDescent="0.3">
      <c r="A5" s="262"/>
      <c r="B5" s="262"/>
      <c r="C5" s="253"/>
      <c r="D5" s="253"/>
      <c r="E5" s="253"/>
      <c r="F5" s="254"/>
      <c r="G5" s="254"/>
      <c r="H5" s="254"/>
      <c r="I5" s="254"/>
      <c r="N5" s="86"/>
      <c r="O5" s="86"/>
      <c r="P5" s="6"/>
      <c r="Q5" s="6"/>
      <c r="R5" s="5"/>
      <c r="S5" s="5"/>
      <c r="T5" s="5"/>
      <c r="U5" s="5"/>
    </row>
    <row r="6" spans="1:21" ht="12" customHeight="1" x14ac:dyDescent="0.25">
      <c r="A6" s="150"/>
      <c r="B6" s="150"/>
      <c r="C6" s="261"/>
      <c r="D6" s="261"/>
      <c r="E6" s="261"/>
      <c r="F6" s="4"/>
      <c r="G6" s="4"/>
      <c r="H6" s="4"/>
      <c r="I6" s="4"/>
      <c r="N6" s="86"/>
      <c r="O6" s="86"/>
      <c r="P6" s="6"/>
      <c r="Q6" s="6"/>
      <c r="R6" s="5"/>
      <c r="S6" s="5"/>
      <c r="T6" s="5"/>
      <c r="U6" s="5"/>
    </row>
    <row r="7" spans="1:21" x14ac:dyDescent="0.25">
      <c r="A7" s="445" t="str">
        <f>'0664'!A7:I7</f>
        <v>1.   2022-23 FEFP State and Local Funding</v>
      </c>
      <c r="B7" s="533"/>
      <c r="C7" s="533"/>
      <c r="D7" s="533"/>
      <c r="E7" s="533"/>
      <c r="F7" s="533"/>
      <c r="G7" s="533"/>
      <c r="H7" s="533"/>
      <c r="I7" s="533"/>
      <c r="N7" s="530" t="s">
        <v>86</v>
      </c>
      <c r="O7" s="530"/>
      <c r="P7" s="530"/>
      <c r="Q7" s="530"/>
      <c r="R7" s="530"/>
      <c r="S7" s="530"/>
      <c r="T7" s="530"/>
      <c r="U7" s="530"/>
    </row>
    <row r="8" spans="1:21" x14ac:dyDescent="0.25">
      <c r="A8" s="87"/>
      <c r="B8" s="88" t="s">
        <v>123</v>
      </c>
      <c r="C8" s="334">
        <f>'0664'!C8</f>
        <v>4587.3999999999996</v>
      </c>
      <c r="D8" s="89"/>
      <c r="E8" s="90"/>
      <c r="F8" s="87"/>
      <c r="G8" s="88" t="s">
        <v>122</v>
      </c>
      <c r="H8" s="320">
        <f>'0664'!H8</f>
        <v>1.0438000000000001</v>
      </c>
      <c r="I8" s="78"/>
      <c r="N8" s="534" t="s">
        <v>10</v>
      </c>
      <c r="O8" s="534"/>
      <c r="P8" s="535">
        <v>4154.45</v>
      </c>
      <c r="Q8" s="535"/>
      <c r="R8" s="518" t="s">
        <v>11</v>
      </c>
      <c r="S8" s="518"/>
      <c r="T8" s="519">
        <f>H8</f>
        <v>1.0438000000000001</v>
      </c>
      <c r="U8" s="519"/>
    </row>
    <row r="9" spans="1:21" x14ac:dyDescent="0.25">
      <c r="A9" s="7"/>
      <c r="B9" s="44" t="s">
        <v>370</v>
      </c>
      <c r="C9" s="372" t="s">
        <v>370</v>
      </c>
      <c r="D9" s="372" t="s">
        <v>370</v>
      </c>
      <c r="E9" s="8"/>
      <c r="F9" s="9"/>
      <c r="G9" s="9"/>
      <c r="H9" s="10"/>
      <c r="I9" s="340" t="str">
        <f>'0664'!I9</f>
        <v>2022-23</v>
      </c>
      <c r="N9" s="12"/>
      <c r="O9" s="12"/>
      <c r="P9" s="13"/>
      <c r="Q9" s="13"/>
      <c r="R9" s="14"/>
      <c r="S9" s="14"/>
      <c r="T9" s="15"/>
      <c r="U9" s="405" t="s">
        <v>405</v>
      </c>
    </row>
    <row r="10" spans="1:21" x14ac:dyDescent="0.25">
      <c r="A10" s="7"/>
      <c r="B10" s="7"/>
      <c r="C10" s="91" t="s">
        <v>463</v>
      </c>
      <c r="D10" s="371" t="s">
        <v>464</v>
      </c>
      <c r="E10" s="92" t="s">
        <v>8</v>
      </c>
      <c r="F10" s="446" t="s">
        <v>1</v>
      </c>
      <c r="G10" s="446"/>
      <c r="H10" s="10" t="s">
        <v>73</v>
      </c>
      <c r="I10" s="11" t="s">
        <v>36</v>
      </c>
      <c r="N10" s="12"/>
      <c r="O10" s="12"/>
      <c r="P10" s="13"/>
      <c r="Q10" s="13"/>
      <c r="R10" s="520" t="s">
        <v>1</v>
      </c>
      <c r="S10" s="520"/>
      <c r="T10" s="15" t="s">
        <v>73</v>
      </c>
      <c r="U10" s="16" t="s">
        <v>36</v>
      </c>
    </row>
    <row r="11" spans="1:21" x14ac:dyDescent="0.25">
      <c r="A11" s="447" t="s">
        <v>1</v>
      </c>
      <c r="B11" s="447"/>
      <c r="C11" s="362" t="s">
        <v>2</v>
      </c>
      <c r="D11" s="362" t="s">
        <v>2</v>
      </c>
      <c r="E11" s="362" t="s">
        <v>2</v>
      </c>
      <c r="F11" s="448" t="s">
        <v>76</v>
      </c>
      <c r="G11" s="448"/>
      <c r="H11" s="17" t="s">
        <v>72</v>
      </c>
      <c r="I11" s="18" t="s">
        <v>75</v>
      </c>
      <c r="N11" s="510" t="s">
        <v>1</v>
      </c>
      <c r="O11" s="510"/>
      <c r="P11" s="521" t="s">
        <v>24</v>
      </c>
      <c r="Q11" s="521"/>
      <c r="R11" s="522" t="s">
        <v>76</v>
      </c>
      <c r="S11" s="522"/>
      <c r="T11" s="19" t="s">
        <v>72</v>
      </c>
      <c r="U11" s="20" t="s">
        <v>75</v>
      </c>
    </row>
    <row r="12" spans="1:21" x14ac:dyDescent="0.25">
      <c r="A12" s="449" t="s">
        <v>47</v>
      </c>
      <c r="B12" s="449"/>
      <c r="C12" s="94"/>
      <c r="D12" s="94"/>
      <c r="E12" s="95" t="s">
        <v>48</v>
      </c>
      <c r="F12" s="450" t="s">
        <v>49</v>
      </c>
      <c r="G12" s="450"/>
      <c r="H12" s="21" t="s">
        <v>50</v>
      </c>
      <c r="I12" s="22" t="s">
        <v>51</v>
      </c>
      <c r="N12" s="523" t="s">
        <v>47</v>
      </c>
      <c r="O12" s="523"/>
      <c r="P12" s="524" t="s">
        <v>48</v>
      </c>
      <c r="Q12" s="524"/>
      <c r="R12" s="525" t="s">
        <v>49</v>
      </c>
      <c r="S12" s="525"/>
      <c r="T12" s="23" t="s">
        <v>50</v>
      </c>
      <c r="U12" s="24" t="s">
        <v>51</v>
      </c>
    </row>
    <row r="13" spans="1:21" x14ac:dyDescent="0.25">
      <c r="A13" s="451" t="s">
        <v>29</v>
      </c>
      <c r="B13" s="451"/>
      <c r="C13" s="165">
        <v>89.15</v>
      </c>
      <c r="D13" s="165">
        <v>88.09</v>
      </c>
      <c r="E13" s="210">
        <f>IF(D$29=0,C13*2,C13+D13)</f>
        <v>177.24</v>
      </c>
      <c r="F13" s="537">
        <f>'0664'!F13:G13</f>
        <v>1.1259999999999999</v>
      </c>
      <c r="G13" s="537"/>
      <c r="H13" s="167">
        <f>ROUND(E13*F13,4)</f>
        <v>199.57220000000001</v>
      </c>
      <c r="I13" s="119">
        <f t="shared" ref="I13:I28" si="0">ROUND(ROUND(H13*$C$8,4)*($H$8),2)</f>
        <v>955617.18</v>
      </c>
      <c r="N13" s="512" t="s">
        <v>29</v>
      </c>
      <c r="O13" s="512"/>
      <c r="P13" s="513">
        <f t="shared" ref="P13:P28" si="1">IF($H$120=1,E13,0)</f>
        <v>0</v>
      </c>
      <c r="Q13" s="513"/>
      <c r="R13" s="526">
        <v>1</v>
      </c>
      <c r="S13" s="526"/>
      <c r="T13" s="98">
        <f>ROUND(P13*R13,4)</f>
        <v>0</v>
      </c>
      <c r="U13" s="99">
        <f t="shared" ref="U13:U28" si="2">ROUND(ROUND(T13*$C$8,4)*($H$8),0)</f>
        <v>0</v>
      </c>
    </row>
    <row r="14" spans="1:21" x14ac:dyDescent="0.25">
      <c r="A14" s="453" t="s">
        <v>30</v>
      </c>
      <c r="B14" s="453"/>
      <c r="C14" s="165">
        <v>15</v>
      </c>
      <c r="D14" s="165">
        <v>15.01</v>
      </c>
      <c r="E14" s="125">
        <f t="shared" ref="E14:E28" si="3">IF(D$29=0,C14*2,C14+D14)</f>
        <v>30.009999999999998</v>
      </c>
      <c r="F14" s="532">
        <f>'0664'!F14:G14</f>
        <v>1.1259999999999999</v>
      </c>
      <c r="G14" s="532"/>
      <c r="H14" s="83">
        <f t="shared" ref="H14:H28" si="4">ROUND(E14*F14,4)</f>
        <v>33.7913</v>
      </c>
      <c r="I14" s="104">
        <f t="shared" si="0"/>
        <v>161803.82999999999</v>
      </c>
      <c r="J14" s="68" t="str">
        <f>IF(ROUND(E14,2)=ROUND(SUM(E50:E52),2)," ","CHECK PK-3 LINES BELOW")</f>
        <v xml:space="preserve"> </v>
      </c>
      <c r="N14" s="479" t="s">
        <v>30</v>
      </c>
      <c r="O14" s="479"/>
      <c r="P14" s="513">
        <f t="shared" si="1"/>
        <v>0</v>
      </c>
      <c r="Q14" s="513"/>
      <c r="R14" s="517">
        <v>1</v>
      </c>
      <c r="S14" s="517"/>
      <c r="T14" s="98">
        <f t="shared" ref="T14:T28" si="5">ROUND(P14*R14,4)</f>
        <v>0</v>
      </c>
      <c r="U14" s="99">
        <f t="shared" si="2"/>
        <v>0</v>
      </c>
    </row>
    <row r="15" spans="1:21" x14ac:dyDescent="0.25">
      <c r="A15" s="453" t="s">
        <v>31</v>
      </c>
      <c r="B15" s="453"/>
      <c r="C15" s="165">
        <v>140.91</v>
      </c>
      <c r="D15" s="165">
        <v>138.54</v>
      </c>
      <c r="E15" s="125">
        <f t="shared" si="3"/>
        <v>279.45</v>
      </c>
      <c r="F15" s="532">
        <f>'0664'!F15:G15</f>
        <v>1</v>
      </c>
      <c r="G15" s="532"/>
      <c r="H15" s="83">
        <f t="shared" si="4"/>
        <v>279.45</v>
      </c>
      <c r="I15" s="104">
        <f t="shared" si="0"/>
        <v>1338098.29</v>
      </c>
      <c r="N15" s="479" t="s">
        <v>31</v>
      </c>
      <c r="O15" s="479"/>
      <c r="P15" s="513">
        <f t="shared" si="1"/>
        <v>0</v>
      </c>
      <c r="Q15" s="513"/>
      <c r="R15" s="517">
        <v>1</v>
      </c>
      <c r="S15" s="517"/>
      <c r="T15" s="98">
        <f t="shared" si="5"/>
        <v>0</v>
      </c>
      <c r="U15" s="99">
        <f t="shared" si="2"/>
        <v>0</v>
      </c>
    </row>
    <row r="16" spans="1:21" x14ac:dyDescent="0.25">
      <c r="A16" s="453" t="s">
        <v>32</v>
      </c>
      <c r="B16" s="453"/>
      <c r="C16" s="165">
        <v>35</v>
      </c>
      <c r="D16" s="165">
        <v>33.909999999999997</v>
      </c>
      <c r="E16" s="125">
        <f t="shared" si="3"/>
        <v>68.91</v>
      </c>
      <c r="F16" s="532">
        <f>'0664'!F16:G16</f>
        <v>1</v>
      </c>
      <c r="G16" s="532"/>
      <c r="H16" s="83">
        <f t="shared" si="4"/>
        <v>68.91</v>
      </c>
      <c r="I16" s="104">
        <f t="shared" si="0"/>
        <v>329963.69</v>
      </c>
      <c r="J16" s="68" t="str">
        <f>IF(ROUND(E16,2)=ROUND(SUM(E53:E55),2)," ","CHECK 4-8 LINES BELOW")</f>
        <v xml:space="preserve"> </v>
      </c>
      <c r="N16" s="479" t="s">
        <v>32</v>
      </c>
      <c r="O16" s="479"/>
      <c r="P16" s="513">
        <f t="shared" si="1"/>
        <v>0</v>
      </c>
      <c r="Q16" s="513"/>
      <c r="R16" s="517">
        <v>1</v>
      </c>
      <c r="S16" s="517"/>
      <c r="T16" s="98">
        <f t="shared" si="5"/>
        <v>0</v>
      </c>
      <c r="U16" s="99">
        <f t="shared" si="2"/>
        <v>0</v>
      </c>
    </row>
    <row r="17" spans="1:21" x14ac:dyDescent="0.25">
      <c r="A17" s="453" t="s">
        <v>33</v>
      </c>
      <c r="B17" s="453"/>
      <c r="C17" s="165">
        <v>0</v>
      </c>
      <c r="D17" s="165">
        <v>0</v>
      </c>
      <c r="E17" s="125">
        <f t="shared" si="3"/>
        <v>0</v>
      </c>
      <c r="F17" s="532">
        <f>'0664'!F17:G17</f>
        <v>0.999</v>
      </c>
      <c r="G17" s="532"/>
      <c r="H17" s="83">
        <f t="shared" si="4"/>
        <v>0</v>
      </c>
      <c r="I17" s="104">
        <f t="shared" si="0"/>
        <v>0</v>
      </c>
      <c r="N17" s="479" t="s">
        <v>33</v>
      </c>
      <c r="O17" s="479"/>
      <c r="P17" s="513">
        <f t="shared" si="1"/>
        <v>0</v>
      </c>
      <c r="Q17" s="513"/>
      <c r="R17" s="517">
        <v>1</v>
      </c>
      <c r="S17" s="517"/>
      <c r="T17" s="98">
        <f t="shared" si="5"/>
        <v>0</v>
      </c>
      <c r="U17" s="99">
        <f t="shared" si="2"/>
        <v>0</v>
      </c>
    </row>
    <row r="18" spans="1:21" x14ac:dyDescent="0.25">
      <c r="A18" s="453" t="s">
        <v>34</v>
      </c>
      <c r="B18" s="453"/>
      <c r="C18" s="165">
        <v>0</v>
      </c>
      <c r="D18" s="165">
        <v>0</v>
      </c>
      <c r="E18" s="125">
        <f t="shared" si="3"/>
        <v>0</v>
      </c>
      <c r="F18" s="532">
        <f>'0664'!F18:G18</f>
        <v>0.999</v>
      </c>
      <c r="G18" s="532"/>
      <c r="H18" s="83">
        <f t="shared" si="4"/>
        <v>0</v>
      </c>
      <c r="I18" s="104">
        <f t="shared" si="0"/>
        <v>0</v>
      </c>
      <c r="J18" s="68" t="str">
        <f>IF(ROUND(E18,2)=ROUND(SUM(E56:E58),2)," ","CHECK 4-8 LINES BELOW")</f>
        <v xml:space="preserve"> </v>
      </c>
      <c r="N18" s="479" t="s">
        <v>34</v>
      </c>
      <c r="O18" s="479"/>
      <c r="P18" s="513">
        <f t="shared" si="1"/>
        <v>0</v>
      </c>
      <c r="Q18" s="513"/>
      <c r="R18" s="517">
        <v>1</v>
      </c>
      <c r="S18" s="517"/>
      <c r="T18" s="98">
        <f t="shared" si="5"/>
        <v>0</v>
      </c>
      <c r="U18" s="101">
        <f t="shared" si="2"/>
        <v>0</v>
      </c>
    </row>
    <row r="19" spans="1:21" x14ac:dyDescent="0.25">
      <c r="A19" s="453" t="s">
        <v>108</v>
      </c>
      <c r="B19" s="453"/>
      <c r="C19" s="165">
        <v>0</v>
      </c>
      <c r="D19" s="165">
        <v>0</v>
      </c>
      <c r="E19" s="125">
        <f t="shared" si="3"/>
        <v>0</v>
      </c>
      <c r="F19" s="532">
        <f>'0664'!F19:G19</f>
        <v>3.6739999999999999</v>
      </c>
      <c r="G19" s="532"/>
      <c r="H19" s="83">
        <f t="shared" si="4"/>
        <v>0</v>
      </c>
      <c r="I19" s="104">
        <f t="shared" si="0"/>
        <v>0</v>
      </c>
      <c r="N19" s="479" t="s">
        <v>108</v>
      </c>
      <c r="O19" s="479"/>
      <c r="P19" s="513">
        <f t="shared" si="1"/>
        <v>0</v>
      </c>
      <c r="Q19" s="513"/>
      <c r="R19" s="517">
        <v>1</v>
      </c>
      <c r="S19" s="517"/>
      <c r="T19" s="98">
        <f t="shared" si="5"/>
        <v>0</v>
      </c>
      <c r="U19" s="99">
        <f t="shared" si="2"/>
        <v>0</v>
      </c>
    </row>
    <row r="20" spans="1:21" x14ac:dyDescent="0.25">
      <c r="A20" s="453" t="s">
        <v>109</v>
      </c>
      <c r="B20" s="453"/>
      <c r="C20" s="165">
        <v>0</v>
      </c>
      <c r="D20" s="165">
        <v>0</v>
      </c>
      <c r="E20" s="125">
        <f t="shared" si="3"/>
        <v>0</v>
      </c>
      <c r="F20" s="532">
        <f>'0664'!F20:G20</f>
        <v>3.6739999999999999</v>
      </c>
      <c r="G20" s="532"/>
      <c r="H20" s="83">
        <f t="shared" si="4"/>
        <v>0</v>
      </c>
      <c r="I20" s="104">
        <f t="shared" si="0"/>
        <v>0</v>
      </c>
      <c r="N20" s="479" t="s">
        <v>109</v>
      </c>
      <c r="O20" s="479"/>
      <c r="P20" s="513">
        <f t="shared" si="1"/>
        <v>0</v>
      </c>
      <c r="Q20" s="513"/>
      <c r="R20" s="517">
        <v>1</v>
      </c>
      <c r="S20" s="517"/>
      <c r="T20" s="98">
        <f t="shared" si="5"/>
        <v>0</v>
      </c>
      <c r="U20" s="99">
        <f t="shared" si="2"/>
        <v>0</v>
      </c>
    </row>
    <row r="21" spans="1:21" x14ac:dyDescent="0.25">
      <c r="A21" s="453" t="s">
        <v>110</v>
      </c>
      <c r="B21" s="453"/>
      <c r="C21" s="165">
        <v>0</v>
      </c>
      <c r="D21" s="165">
        <v>0</v>
      </c>
      <c r="E21" s="125">
        <f t="shared" si="3"/>
        <v>0</v>
      </c>
      <c r="F21" s="532">
        <f>'0664'!F21:G21</f>
        <v>3.6739999999999999</v>
      </c>
      <c r="G21" s="532"/>
      <c r="H21" s="83">
        <f t="shared" si="4"/>
        <v>0</v>
      </c>
      <c r="I21" s="104">
        <f t="shared" si="0"/>
        <v>0</v>
      </c>
      <c r="N21" s="479" t="s">
        <v>110</v>
      </c>
      <c r="O21" s="479"/>
      <c r="P21" s="513">
        <f t="shared" si="1"/>
        <v>0</v>
      </c>
      <c r="Q21" s="513"/>
      <c r="R21" s="517">
        <v>1</v>
      </c>
      <c r="S21" s="517"/>
      <c r="T21" s="98">
        <f t="shared" si="5"/>
        <v>0</v>
      </c>
      <c r="U21" s="99">
        <f t="shared" si="2"/>
        <v>0</v>
      </c>
    </row>
    <row r="22" spans="1:21" x14ac:dyDescent="0.25">
      <c r="A22" s="453" t="s">
        <v>111</v>
      </c>
      <c r="B22" s="453"/>
      <c r="C22" s="165">
        <v>0</v>
      </c>
      <c r="D22" s="165">
        <v>0</v>
      </c>
      <c r="E22" s="125">
        <f t="shared" si="3"/>
        <v>0</v>
      </c>
      <c r="F22" s="532">
        <f>'0664'!F22:G22</f>
        <v>5.4009999999999998</v>
      </c>
      <c r="G22" s="532"/>
      <c r="H22" s="83">
        <f t="shared" si="4"/>
        <v>0</v>
      </c>
      <c r="I22" s="104">
        <f t="shared" si="0"/>
        <v>0</v>
      </c>
      <c r="N22" s="479" t="s">
        <v>111</v>
      </c>
      <c r="O22" s="479"/>
      <c r="P22" s="513">
        <f t="shared" si="1"/>
        <v>0</v>
      </c>
      <c r="Q22" s="513"/>
      <c r="R22" s="517">
        <v>1</v>
      </c>
      <c r="S22" s="517"/>
      <c r="T22" s="98">
        <f t="shared" si="5"/>
        <v>0</v>
      </c>
      <c r="U22" s="99">
        <f t="shared" si="2"/>
        <v>0</v>
      </c>
    </row>
    <row r="23" spans="1:21" x14ac:dyDescent="0.25">
      <c r="A23" s="453" t="s">
        <v>112</v>
      </c>
      <c r="B23" s="453"/>
      <c r="C23" s="165">
        <v>0</v>
      </c>
      <c r="D23" s="165">
        <v>0</v>
      </c>
      <c r="E23" s="125">
        <f t="shared" si="3"/>
        <v>0</v>
      </c>
      <c r="F23" s="532">
        <f>'0664'!F23:G23</f>
        <v>5.4009999999999998</v>
      </c>
      <c r="G23" s="532"/>
      <c r="H23" s="83">
        <f t="shared" si="4"/>
        <v>0</v>
      </c>
      <c r="I23" s="104">
        <f t="shared" si="0"/>
        <v>0</v>
      </c>
      <c r="N23" s="479" t="s">
        <v>112</v>
      </c>
      <c r="O23" s="479"/>
      <c r="P23" s="513">
        <f t="shared" si="1"/>
        <v>0</v>
      </c>
      <c r="Q23" s="513"/>
      <c r="R23" s="517">
        <v>1</v>
      </c>
      <c r="S23" s="517"/>
      <c r="T23" s="98">
        <f t="shared" si="5"/>
        <v>0</v>
      </c>
      <c r="U23" s="99">
        <f t="shared" si="2"/>
        <v>0</v>
      </c>
    </row>
    <row r="24" spans="1:21" x14ac:dyDescent="0.25">
      <c r="A24" s="453" t="s">
        <v>113</v>
      </c>
      <c r="B24" s="453"/>
      <c r="C24" s="165">
        <v>0</v>
      </c>
      <c r="D24" s="165">
        <v>0</v>
      </c>
      <c r="E24" s="125">
        <f t="shared" si="3"/>
        <v>0</v>
      </c>
      <c r="F24" s="532">
        <f>'0664'!F24:G24</f>
        <v>5.4009999999999998</v>
      </c>
      <c r="G24" s="532"/>
      <c r="H24" s="83">
        <f t="shared" si="4"/>
        <v>0</v>
      </c>
      <c r="I24" s="104">
        <f t="shared" si="0"/>
        <v>0</v>
      </c>
      <c r="N24" s="479" t="s">
        <v>113</v>
      </c>
      <c r="O24" s="479"/>
      <c r="P24" s="513">
        <f t="shared" si="1"/>
        <v>0</v>
      </c>
      <c r="Q24" s="513"/>
      <c r="R24" s="517">
        <v>1</v>
      </c>
      <c r="S24" s="517"/>
      <c r="T24" s="98">
        <f t="shared" si="5"/>
        <v>0</v>
      </c>
      <c r="U24" s="99">
        <f t="shared" si="2"/>
        <v>0</v>
      </c>
    </row>
    <row r="25" spans="1:21" x14ac:dyDescent="0.25">
      <c r="A25" s="453" t="s">
        <v>114</v>
      </c>
      <c r="B25" s="453"/>
      <c r="C25" s="165">
        <v>6.8</v>
      </c>
      <c r="D25" s="165">
        <v>7.01</v>
      </c>
      <c r="E25" s="125">
        <f t="shared" si="3"/>
        <v>13.809999999999999</v>
      </c>
      <c r="F25" s="532">
        <f>'0664'!F25:G25</f>
        <v>1.206</v>
      </c>
      <c r="G25" s="532"/>
      <c r="H25" s="83">
        <f t="shared" si="4"/>
        <v>16.654900000000001</v>
      </c>
      <c r="I25" s="104">
        <f t="shared" si="0"/>
        <v>79749.13</v>
      </c>
      <c r="N25" s="479" t="s">
        <v>114</v>
      </c>
      <c r="O25" s="479"/>
      <c r="P25" s="513">
        <f t="shared" si="1"/>
        <v>0</v>
      </c>
      <c r="Q25" s="513"/>
      <c r="R25" s="517">
        <v>1</v>
      </c>
      <c r="S25" s="517"/>
      <c r="T25" s="98">
        <f t="shared" si="5"/>
        <v>0</v>
      </c>
      <c r="U25" s="99">
        <f t="shared" si="2"/>
        <v>0</v>
      </c>
    </row>
    <row r="26" spans="1:21" x14ac:dyDescent="0.25">
      <c r="A26" s="453" t="s">
        <v>115</v>
      </c>
      <c r="B26" s="453"/>
      <c r="C26" s="165">
        <v>0.75</v>
      </c>
      <c r="D26" s="165">
        <v>0.84</v>
      </c>
      <c r="E26" s="125">
        <f t="shared" si="3"/>
        <v>1.5899999999999999</v>
      </c>
      <c r="F26" s="532">
        <f>'0664'!F26:G26</f>
        <v>1.206</v>
      </c>
      <c r="G26" s="532"/>
      <c r="H26" s="83">
        <f t="shared" si="4"/>
        <v>1.9175</v>
      </c>
      <c r="I26" s="104">
        <f t="shared" si="0"/>
        <v>9181.6200000000008</v>
      </c>
      <c r="N26" s="479" t="s">
        <v>115</v>
      </c>
      <c r="O26" s="479"/>
      <c r="P26" s="513">
        <f t="shared" si="1"/>
        <v>0</v>
      </c>
      <c r="Q26" s="513"/>
      <c r="R26" s="517">
        <v>1</v>
      </c>
      <c r="S26" s="517"/>
      <c r="T26" s="98">
        <f t="shared" si="5"/>
        <v>0</v>
      </c>
      <c r="U26" s="99">
        <f t="shared" si="2"/>
        <v>0</v>
      </c>
    </row>
    <row r="27" spans="1:21" x14ac:dyDescent="0.25">
      <c r="A27" s="453" t="s">
        <v>116</v>
      </c>
      <c r="B27" s="453"/>
      <c r="C27" s="165">
        <v>0</v>
      </c>
      <c r="D27" s="165">
        <v>0</v>
      </c>
      <c r="E27" s="125">
        <f t="shared" si="3"/>
        <v>0</v>
      </c>
      <c r="F27" s="532">
        <f>'0664'!F27:G27</f>
        <v>1.206</v>
      </c>
      <c r="G27" s="532"/>
      <c r="H27" s="83">
        <f t="shared" si="4"/>
        <v>0</v>
      </c>
      <c r="I27" s="104">
        <f t="shared" si="0"/>
        <v>0</v>
      </c>
      <c r="N27" s="479" t="s">
        <v>116</v>
      </c>
      <c r="O27" s="479"/>
      <c r="P27" s="513">
        <f t="shared" si="1"/>
        <v>0</v>
      </c>
      <c r="Q27" s="513"/>
      <c r="R27" s="517">
        <v>1</v>
      </c>
      <c r="S27" s="517"/>
      <c r="T27" s="98">
        <f t="shared" si="5"/>
        <v>0</v>
      </c>
      <c r="U27" s="99">
        <f t="shared" si="2"/>
        <v>0</v>
      </c>
    </row>
    <row r="28" spans="1:21" x14ac:dyDescent="0.25">
      <c r="A28" s="453" t="s">
        <v>117</v>
      </c>
      <c r="B28" s="453"/>
      <c r="C28" s="116">
        <v>0</v>
      </c>
      <c r="D28" s="116">
        <v>0</v>
      </c>
      <c r="E28" s="177">
        <f t="shared" si="3"/>
        <v>0</v>
      </c>
      <c r="F28" s="532">
        <f>'0664'!F28:G28</f>
        <v>0.999</v>
      </c>
      <c r="G28" s="532"/>
      <c r="H28" s="96">
        <f t="shared" si="4"/>
        <v>0</v>
      </c>
      <c r="I28" s="97">
        <f t="shared" si="0"/>
        <v>0</v>
      </c>
      <c r="N28" s="482" t="s">
        <v>117</v>
      </c>
      <c r="O28" s="482"/>
      <c r="P28" s="513">
        <f t="shared" si="1"/>
        <v>0</v>
      </c>
      <c r="Q28" s="513"/>
      <c r="R28" s="514">
        <v>1</v>
      </c>
      <c r="S28" s="514"/>
      <c r="T28" s="98">
        <f t="shared" si="5"/>
        <v>0</v>
      </c>
      <c r="U28" s="99">
        <f t="shared" si="2"/>
        <v>0</v>
      </c>
    </row>
    <row r="29" spans="1:21" x14ac:dyDescent="0.25">
      <c r="A29" s="461" t="s">
        <v>5</v>
      </c>
      <c r="B29" s="461"/>
      <c r="C29" s="97">
        <f>SUM(C13:C28)</f>
        <v>287.61</v>
      </c>
      <c r="D29" s="97">
        <f>SUM(D13:D28)</f>
        <v>283.39999999999992</v>
      </c>
      <c r="E29" s="97">
        <f>SUM(E13:E28)</f>
        <v>571.01</v>
      </c>
      <c r="F29" s="457"/>
      <c r="G29" s="457"/>
      <c r="H29" s="102">
        <f>SUM(H13:H28)</f>
        <v>600.29589999999996</v>
      </c>
      <c r="I29" s="97">
        <f>SUM(I13:I28)</f>
        <v>2874413.7399999998</v>
      </c>
      <c r="N29" s="515" t="s">
        <v>5</v>
      </c>
      <c r="O29" s="515"/>
      <c r="P29" s="516">
        <f>SUM(P13:P28)</f>
        <v>0</v>
      </c>
      <c r="Q29" s="516"/>
      <c r="R29" s="508"/>
      <c r="S29" s="508"/>
      <c r="T29" s="103">
        <f>SUM(T13:T28)</f>
        <v>0</v>
      </c>
      <c r="U29" s="99">
        <f>SUM(U13:U28)</f>
        <v>0</v>
      </c>
    </row>
    <row r="30" spans="1:21" x14ac:dyDescent="0.25">
      <c r="A30" s="27"/>
      <c r="B30" s="27"/>
      <c r="C30" s="104"/>
      <c r="D30" s="104"/>
      <c r="E30" s="104"/>
      <c r="F30" s="28"/>
      <c r="G30" s="28"/>
      <c r="H30" s="83"/>
      <c r="I30" s="104"/>
      <c r="N30" s="29"/>
      <c r="O30" s="29"/>
      <c r="P30" s="30"/>
      <c r="Q30" s="30"/>
      <c r="R30" s="31"/>
      <c r="S30" s="31"/>
      <c r="T30" s="105"/>
      <c r="U30" s="106"/>
    </row>
    <row r="31" spans="1:21" x14ac:dyDescent="0.25">
      <c r="A31" s="168" t="s">
        <v>97</v>
      </c>
      <c r="B31" s="27"/>
      <c r="C31" s="104"/>
      <c r="D31" s="104"/>
      <c r="E31" s="104"/>
      <c r="F31" s="28"/>
      <c r="G31" s="28"/>
      <c r="H31" s="83"/>
      <c r="I31" s="104"/>
      <c r="N31" s="29"/>
      <c r="O31" s="29"/>
      <c r="P31" s="30"/>
      <c r="Q31" s="30"/>
      <c r="R31" s="31"/>
      <c r="S31" s="31"/>
      <c r="T31" s="105"/>
      <c r="U31" s="106"/>
    </row>
    <row r="32" spans="1:21" hidden="1" x14ac:dyDescent="0.25">
      <c r="A32" s="168"/>
      <c r="B32" s="27"/>
      <c r="C32" s="104"/>
      <c r="D32" s="104"/>
      <c r="E32" s="104"/>
      <c r="F32" s="28"/>
      <c r="G32" s="28"/>
      <c r="H32" s="83"/>
      <c r="I32" s="104"/>
      <c r="N32" s="29"/>
      <c r="O32" s="29"/>
      <c r="P32" s="30"/>
      <c r="Q32" s="30"/>
      <c r="R32" s="31"/>
      <c r="S32" s="31"/>
      <c r="T32" s="105"/>
      <c r="U32" s="106"/>
    </row>
    <row r="33" spans="1:21" hidden="1" x14ac:dyDescent="0.25">
      <c r="A33" s="168"/>
      <c r="B33" s="27"/>
      <c r="C33" s="104"/>
      <c r="D33" s="104"/>
      <c r="E33" s="104"/>
      <c r="F33" s="541" t="s">
        <v>282</v>
      </c>
      <c r="G33" s="541"/>
      <c r="H33" s="541"/>
      <c r="I33" s="104"/>
      <c r="N33" s="29"/>
      <c r="O33" s="29"/>
      <c r="P33" s="30"/>
      <c r="Q33" s="30"/>
      <c r="R33" s="31"/>
      <c r="S33" s="31"/>
      <c r="T33" s="105"/>
      <c r="U33" s="106"/>
    </row>
    <row r="34" spans="1:21" hidden="1" x14ac:dyDescent="0.25">
      <c r="A34" s="3"/>
      <c r="B34" s="72"/>
      <c r="C34" s="72"/>
      <c r="D34" s="72"/>
      <c r="E34" s="72"/>
      <c r="F34" s="541"/>
      <c r="G34" s="541"/>
      <c r="H34" s="541"/>
      <c r="I34" s="25" t="s">
        <v>74</v>
      </c>
      <c r="N34" s="485" t="s">
        <v>35</v>
      </c>
      <c r="O34" s="485"/>
      <c r="P34" s="485"/>
      <c r="Q34" s="485"/>
      <c r="R34" s="485"/>
      <c r="S34" s="485"/>
      <c r="T34" s="485"/>
      <c r="U34" s="26" t="s">
        <v>74</v>
      </c>
    </row>
    <row r="35" spans="1:21" hidden="1" x14ac:dyDescent="0.25">
      <c r="A35" s="27"/>
      <c r="B35" s="27"/>
      <c r="C35" s="91" t="s">
        <v>124</v>
      </c>
      <c r="D35" s="91" t="s">
        <v>125</v>
      </c>
      <c r="E35" s="92" t="s">
        <v>8</v>
      </c>
      <c r="F35" s="541"/>
      <c r="G35" s="541"/>
      <c r="H35" s="541"/>
      <c r="I35" s="25" t="s">
        <v>36</v>
      </c>
      <c r="N35" s="29"/>
      <c r="O35" s="29"/>
      <c r="P35" s="30"/>
      <c r="Q35" s="30"/>
      <c r="R35" s="31"/>
      <c r="S35" s="31"/>
      <c r="T35" s="105"/>
      <c r="U35" s="26" t="s">
        <v>36</v>
      </c>
    </row>
    <row r="36" spans="1:21" hidden="1" x14ac:dyDescent="0.25">
      <c r="A36" s="447" t="s">
        <v>63</v>
      </c>
      <c r="B36" s="447"/>
      <c r="C36" s="93" t="s">
        <v>2</v>
      </c>
      <c r="D36" s="93" t="s">
        <v>2</v>
      </c>
      <c r="E36" s="93" t="s">
        <v>2</v>
      </c>
      <c r="F36" s="542"/>
      <c r="G36" s="542"/>
      <c r="H36" s="542"/>
      <c r="I36" s="32" t="s">
        <v>75</v>
      </c>
      <c r="N36" s="510" t="s">
        <v>63</v>
      </c>
      <c r="O36" s="510"/>
      <c r="P36" s="511" t="s">
        <v>24</v>
      </c>
      <c r="Q36" s="511"/>
      <c r="R36" s="511"/>
      <c r="S36" s="511"/>
      <c r="T36" s="511"/>
      <c r="U36" s="20" t="s">
        <v>75</v>
      </c>
    </row>
    <row r="37" spans="1:21" hidden="1" x14ac:dyDescent="0.25">
      <c r="A37" s="451" t="s">
        <v>56</v>
      </c>
      <c r="B37" s="451"/>
      <c r="C37" s="169">
        <v>0</v>
      </c>
      <c r="D37" s="169">
        <v>0</v>
      </c>
      <c r="E37" s="210">
        <f t="shared" ref="E37:E42" si="6">IF(D$43=0,C37*2,C37+D37)</f>
        <v>0</v>
      </c>
      <c r="F37" s="170"/>
      <c r="G37" s="170"/>
      <c r="H37" s="170"/>
      <c r="I37" s="119">
        <f t="shared" ref="I37:I42" si="7">ROUND(ROUND(E37*$C$8,4)*($H$8),2)</f>
        <v>0</v>
      </c>
      <c r="N37" s="512" t="s">
        <v>56</v>
      </c>
      <c r="O37" s="512"/>
      <c r="P37" s="483">
        <f t="shared" ref="P37:P42" si="8">IF($H$120=1,E37,0)</f>
        <v>0</v>
      </c>
      <c r="Q37" s="483"/>
      <c r="R37" s="483"/>
      <c r="S37" s="483"/>
      <c r="T37" s="483"/>
      <c r="U37" s="101">
        <f t="shared" ref="U37:U42" si="9">ROUND(ROUND(P37*$C$8,4)*($H$8),0)</f>
        <v>0</v>
      </c>
    </row>
    <row r="38" spans="1:21" hidden="1" x14ac:dyDescent="0.25">
      <c r="A38" s="453" t="s">
        <v>57</v>
      </c>
      <c r="B38" s="453"/>
      <c r="C38" s="172">
        <v>0</v>
      </c>
      <c r="D38" s="172">
        <v>0</v>
      </c>
      <c r="E38" s="125">
        <f t="shared" si="6"/>
        <v>0</v>
      </c>
      <c r="F38" s="173"/>
      <c r="G38" s="173"/>
      <c r="H38" s="173"/>
      <c r="I38" s="104">
        <f t="shared" si="7"/>
        <v>0</v>
      </c>
      <c r="N38" s="479" t="s">
        <v>57</v>
      </c>
      <c r="O38" s="479"/>
      <c r="P38" s="483">
        <f t="shared" si="8"/>
        <v>0</v>
      </c>
      <c r="Q38" s="483"/>
      <c r="R38" s="483"/>
      <c r="S38" s="483"/>
      <c r="T38" s="483"/>
      <c r="U38" s="101">
        <f t="shared" si="9"/>
        <v>0</v>
      </c>
    </row>
    <row r="39" spans="1:21" hidden="1" x14ac:dyDescent="0.25">
      <c r="A39" s="458" t="s">
        <v>58</v>
      </c>
      <c r="B39" s="458"/>
      <c r="C39" s="172">
        <v>0</v>
      </c>
      <c r="D39" s="172">
        <v>0</v>
      </c>
      <c r="E39" s="125">
        <f t="shared" si="6"/>
        <v>0</v>
      </c>
      <c r="F39" s="173"/>
      <c r="G39" s="173"/>
      <c r="H39" s="173"/>
      <c r="I39" s="104">
        <f t="shared" si="7"/>
        <v>0</v>
      </c>
      <c r="N39" s="509" t="s">
        <v>58</v>
      </c>
      <c r="O39" s="509"/>
      <c r="P39" s="483">
        <f t="shared" si="8"/>
        <v>0</v>
      </c>
      <c r="Q39" s="483"/>
      <c r="R39" s="483"/>
      <c r="S39" s="483"/>
      <c r="T39" s="483"/>
      <c r="U39" s="101">
        <f t="shared" si="9"/>
        <v>0</v>
      </c>
    </row>
    <row r="40" spans="1:21" hidden="1" x14ac:dyDescent="0.25">
      <c r="A40" s="453" t="s">
        <v>59</v>
      </c>
      <c r="B40" s="453"/>
      <c r="C40" s="172">
        <v>0</v>
      </c>
      <c r="D40" s="172">
        <v>0</v>
      </c>
      <c r="E40" s="125">
        <f t="shared" si="6"/>
        <v>0</v>
      </c>
      <c r="F40" s="173"/>
      <c r="G40" s="173"/>
      <c r="H40" s="173"/>
      <c r="I40" s="104">
        <f t="shared" si="7"/>
        <v>0</v>
      </c>
      <c r="N40" s="479" t="s">
        <v>59</v>
      </c>
      <c r="O40" s="479"/>
      <c r="P40" s="483">
        <f t="shared" si="8"/>
        <v>0</v>
      </c>
      <c r="Q40" s="483"/>
      <c r="R40" s="483"/>
      <c r="S40" s="483"/>
      <c r="T40" s="483"/>
      <c r="U40" s="101">
        <f t="shared" si="9"/>
        <v>0</v>
      </c>
    </row>
    <row r="41" spans="1:21" hidden="1" x14ac:dyDescent="0.25">
      <c r="A41" s="453" t="s">
        <v>60</v>
      </c>
      <c r="B41" s="453"/>
      <c r="C41" s="172">
        <v>0</v>
      </c>
      <c r="D41" s="172">
        <v>0</v>
      </c>
      <c r="E41" s="125">
        <f t="shared" si="6"/>
        <v>0</v>
      </c>
      <c r="F41" s="173"/>
      <c r="G41" s="173"/>
      <c r="H41" s="173"/>
      <c r="I41" s="104">
        <f t="shared" si="7"/>
        <v>0</v>
      </c>
      <c r="N41" s="479" t="s">
        <v>60</v>
      </c>
      <c r="O41" s="479"/>
      <c r="P41" s="483">
        <f t="shared" si="8"/>
        <v>0</v>
      </c>
      <c r="Q41" s="483"/>
      <c r="R41" s="483"/>
      <c r="S41" s="483"/>
      <c r="T41" s="483"/>
      <c r="U41" s="101">
        <f t="shared" si="9"/>
        <v>0</v>
      </c>
    </row>
    <row r="42" spans="1:21" hidden="1" x14ac:dyDescent="0.25">
      <c r="A42" s="453" t="s">
        <v>52</v>
      </c>
      <c r="B42" s="453"/>
      <c r="C42" s="171">
        <v>0</v>
      </c>
      <c r="D42" s="171">
        <v>0</v>
      </c>
      <c r="E42" s="177">
        <f t="shared" si="6"/>
        <v>0</v>
      </c>
      <c r="F42" s="173"/>
      <c r="G42" s="173"/>
      <c r="H42" s="173"/>
      <c r="I42" s="97">
        <f t="shared" si="7"/>
        <v>0</v>
      </c>
      <c r="N42" s="482" t="s">
        <v>52</v>
      </c>
      <c r="O42" s="482"/>
      <c r="P42" s="483">
        <f t="shared" si="8"/>
        <v>0</v>
      </c>
      <c r="Q42" s="483"/>
      <c r="R42" s="483"/>
      <c r="S42" s="483"/>
      <c r="T42" s="483"/>
      <c r="U42" s="101">
        <f t="shared" si="9"/>
        <v>0</v>
      </c>
    </row>
    <row r="43" spans="1:21" hidden="1" x14ac:dyDescent="0.25">
      <c r="A43" s="3"/>
      <c r="B43" s="55" t="s">
        <v>126</v>
      </c>
      <c r="C43" s="100">
        <f>SUM(C37:C42)</f>
        <v>0</v>
      </c>
      <c r="D43" s="100">
        <f>SUM(D37:D42)</f>
        <v>0</v>
      </c>
      <c r="E43" s="100">
        <f>SUM(E37:E42)</f>
        <v>0</v>
      </c>
      <c r="F43" s="33"/>
      <c r="G43" s="109"/>
      <c r="H43" s="110" t="s">
        <v>128</v>
      </c>
      <c r="I43" s="100">
        <f>SUM(I37:I42)</f>
        <v>0</v>
      </c>
      <c r="N43" s="480" t="s">
        <v>54</v>
      </c>
      <c r="O43" s="480"/>
      <c r="P43" s="480"/>
      <c r="Q43" s="480"/>
      <c r="R43" s="34">
        <f>SUM(P37:R42)</f>
        <v>0</v>
      </c>
      <c r="S43" s="508" t="s">
        <v>64</v>
      </c>
      <c r="T43" s="508"/>
      <c r="U43" s="106">
        <f>SUM(U37:U42)</f>
        <v>0</v>
      </c>
    </row>
    <row r="44" spans="1:21" ht="16.5" hidden="1" thickBot="1" x14ac:dyDescent="0.3">
      <c r="A44" s="3"/>
      <c r="B44" s="55"/>
      <c r="C44" s="104"/>
      <c r="D44" s="104"/>
      <c r="E44" s="119"/>
      <c r="F44" s="33"/>
      <c r="G44" s="109"/>
      <c r="H44" s="110"/>
      <c r="I44" s="104"/>
      <c r="N44" s="29"/>
      <c r="O44" s="29"/>
      <c r="P44" s="29"/>
      <c r="Q44" s="29"/>
      <c r="R44" s="34"/>
      <c r="S44" s="31"/>
      <c r="T44" s="31"/>
      <c r="U44" s="106"/>
    </row>
    <row r="45" spans="1:21" ht="16.5" hidden="1" thickBot="1" x14ac:dyDescent="0.3">
      <c r="A45" s="3"/>
      <c r="B45" s="55" t="s">
        <v>127</v>
      </c>
      <c r="E45" s="174">
        <f>H29+E43</f>
        <v>600.29589999999996</v>
      </c>
      <c r="F45" s="35"/>
      <c r="G45" s="109"/>
      <c r="H45" s="110" t="s">
        <v>129</v>
      </c>
      <c r="I45" s="97">
        <f>SUM(I43,I29)</f>
        <v>2874413.7399999998</v>
      </c>
      <c r="N45" s="480" t="s">
        <v>55</v>
      </c>
      <c r="O45" s="480"/>
      <c r="P45" s="480"/>
      <c r="Q45" s="480"/>
      <c r="R45" s="36">
        <f>R43+T29</f>
        <v>0</v>
      </c>
      <c r="S45" s="508" t="s">
        <v>53</v>
      </c>
      <c r="T45" s="508"/>
      <c r="U45" s="111">
        <f>SUM(U43,U29)</f>
        <v>0</v>
      </c>
    </row>
    <row r="46" spans="1:21" hidden="1" x14ac:dyDescent="0.25">
      <c r="A46" s="27"/>
      <c r="B46" s="27"/>
      <c r="C46" s="27"/>
      <c r="D46" s="27"/>
      <c r="E46" s="27"/>
      <c r="F46" s="35"/>
      <c r="G46" s="28"/>
      <c r="H46" s="28"/>
      <c r="I46" s="104"/>
      <c r="N46" s="29"/>
      <c r="O46" s="29"/>
      <c r="P46" s="29"/>
      <c r="Q46" s="29"/>
      <c r="R46" s="36"/>
      <c r="S46" s="31"/>
      <c r="T46" s="31"/>
      <c r="U46" s="106"/>
    </row>
    <row r="47" spans="1:21" x14ac:dyDescent="0.25">
      <c r="A47" s="27"/>
      <c r="B47" s="55" t="s">
        <v>370</v>
      </c>
      <c r="C47" s="372" t="s">
        <v>370</v>
      </c>
      <c r="D47" s="372" t="s">
        <v>370</v>
      </c>
      <c r="E47" s="27"/>
      <c r="F47" s="35"/>
      <c r="G47" s="28"/>
      <c r="H47" s="28"/>
      <c r="I47" s="104"/>
      <c r="N47" s="29"/>
      <c r="O47" s="29"/>
      <c r="P47" s="29"/>
      <c r="Q47" s="29"/>
      <c r="R47" s="36"/>
      <c r="S47" s="31"/>
      <c r="T47" s="31"/>
      <c r="U47" s="106"/>
    </row>
    <row r="48" spans="1:21" x14ac:dyDescent="0.25">
      <c r="A48" s="27"/>
      <c r="B48" s="27"/>
      <c r="C48" s="91" t="s">
        <v>463</v>
      </c>
      <c r="D48" s="371" t="s">
        <v>464</v>
      </c>
      <c r="E48" s="92" t="s">
        <v>8</v>
      </c>
      <c r="F48" s="49" t="s">
        <v>130</v>
      </c>
      <c r="G48" s="112" t="s">
        <v>132</v>
      </c>
      <c r="H48" s="113" t="s">
        <v>133</v>
      </c>
      <c r="I48" s="104"/>
      <c r="N48" s="29"/>
      <c r="O48" s="29"/>
      <c r="P48" s="29"/>
      <c r="Q48" s="29"/>
      <c r="R48" s="36"/>
      <c r="S48" s="31"/>
      <c r="T48" s="31"/>
      <c r="U48" s="106"/>
    </row>
    <row r="49" spans="1:21" x14ac:dyDescent="0.25">
      <c r="A49" s="37" t="s">
        <v>87</v>
      </c>
      <c r="B49" s="37"/>
      <c r="C49" s="362" t="s">
        <v>2</v>
      </c>
      <c r="D49" s="362" t="s">
        <v>2</v>
      </c>
      <c r="E49" s="362" t="s">
        <v>2</v>
      </c>
      <c r="F49" s="95" t="s">
        <v>131</v>
      </c>
      <c r="G49" s="62" t="s">
        <v>131</v>
      </c>
      <c r="H49" s="114" t="s">
        <v>134</v>
      </c>
      <c r="I49" s="37"/>
      <c r="N49" s="482" t="s">
        <v>87</v>
      </c>
      <c r="O49" s="482"/>
      <c r="P49" s="503" t="s">
        <v>2</v>
      </c>
      <c r="Q49" s="503"/>
      <c r="R49" s="38" t="s">
        <v>25</v>
      </c>
      <c r="S49" s="63" t="s">
        <v>26</v>
      </c>
      <c r="T49" s="115" t="s">
        <v>27</v>
      </c>
      <c r="U49" s="38"/>
    </row>
    <row r="50" spans="1:21" x14ac:dyDescent="0.25">
      <c r="A50" s="459" t="s">
        <v>98</v>
      </c>
      <c r="B50" s="459"/>
      <c r="C50" s="165">
        <v>12</v>
      </c>
      <c r="D50" s="165">
        <v>12.01</v>
      </c>
      <c r="E50" s="125">
        <f>IF(D$59=0,C50*2,C50+D50)</f>
        <v>24.009999999999998</v>
      </c>
      <c r="F50" s="39" t="s">
        <v>21</v>
      </c>
      <c r="G50" s="39">
        <v>251</v>
      </c>
      <c r="H50" s="321">
        <f>'0664'!H50</f>
        <v>1047</v>
      </c>
      <c r="I50" s="104">
        <f>ROUND(E50*H50,2)</f>
        <v>25138.47</v>
      </c>
      <c r="N50" s="504" t="s">
        <v>28</v>
      </c>
      <c r="O50" s="504"/>
      <c r="P50" s="505"/>
      <c r="Q50" s="505"/>
      <c r="R50" s="40" t="s">
        <v>21</v>
      </c>
      <c r="S50" s="40">
        <v>251</v>
      </c>
      <c r="T50" s="117">
        <f>H50</f>
        <v>1047</v>
      </c>
      <c r="U50" s="118">
        <f>ROUND(P50*T50,0)</f>
        <v>0</v>
      </c>
    </row>
    <row r="51" spans="1:21" x14ac:dyDescent="0.25">
      <c r="A51" s="460"/>
      <c r="B51" s="460"/>
      <c r="C51" s="165">
        <v>3</v>
      </c>
      <c r="D51" s="165">
        <v>3</v>
      </c>
      <c r="E51" s="125">
        <f t="shared" ref="E51:E58" si="10">IF(D$59=0,C51*2,C51+D51)</f>
        <v>6</v>
      </c>
      <c r="F51" s="39" t="s">
        <v>21</v>
      </c>
      <c r="G51" s="39">
        <v>252</v>
      </c>
      <c r="H51" s="321">
        <f>'0664'!H51</f>
        <v>3380</v>
      </c>
      <c r="I51" s="104">
        <f t="shared" ref="I51:I58" si="11">ROUND(E51*H51,2)</f>
        <v>20280</v>
      </c>
      <c r="N51" s="504"/>
      <c r="O51" s="504"/>
      <c r="P51" s="506"/>
      <c r="Q51" s="506"/>
      <c r="R51" s="40" t="s">
        <v>21</v>
      </c>
      <c r="S51" s="40">
        <v>252</v>
      </c>
      <c r="T51" s="117">
        <f t="shared" ref="T51:T58" si="12">H51</f>
        <v>3380</v>
      </c>
      <c r="U51" s="118">
        <f t="shared" ref="U51:U58" si="13">ROUND(P51*T51,0)</f>
        <v>0</v>
      </c>
    </row>
    <row r="52" spans="1:21" x14ac:dyDescent="0.25">
      <c r="A52" s="460"/>
      <c r="B52" s="460"/>
      <c r="C52" s="165">
        <v>0</v>
      </c>
      <c r="D52" s="165">
        <v>0</v>
      </c>
      <c r="E52" s="125">
        <f t="shared" si="10"/>
        <v>0</v>
      </c>
      <c r="F52" s="39" t="s">
        <v>21</v>
      </c>
      <c r="G52" s="39">
        <v>253</v>
      </c>
      <c r="H52" s="321">
        <f>'0664'!H52</f>
        <v>6896</v>
      </c>
      <c r="I52" s="104">
        <f t="shared" si="11"/>
        <v>0</v>
      </c>
      <c r="N52" s="504"/>
      <c r="O52" s="504"/>
      <c r="P52" s="506"/>
      <c r="Q52" s="506"/>
      <c r="R52" s="40" t="s">
        <v>21</v>
      </c>
      <c r="S52" s="40">
        <v>253</v>
      </c>
      <c r="T52" s="117">
        <f t="shared" si="12"/>
        <v>6896</v>
      </c>
      <c r="U52" s="118">
        <f t="shared" si="13"/>
        <v>0</v>
      </c>
    </row>
    <row r="53" spans="1:21" x14ac:dyDescent="0.25">
      <c r="A53" s="460"/>
      <c r="B53" s="460"/>
      <c r="C53" s="165">
        <v>31.5</v>
      </c>
      <c r="D53" s="165">
        <v>30.52</v>
      </c>
      <c r="E53" s="125">
        <f t="shared" si="10"/>
        <v>62.019999999999996</v>
      </c>
      <c r="F53" s="41" t="s">
        <v>14</v>
      </c>
      <c r="G53" s="39">
        <v>251</v>
      </c>
      <c r="H53" s="321">
        <f>'0664'!H53</f>
        <v>1173</v>
      </c>
      <c r="I53" s="104">
        <f t="shared" si="11"/>
        <v>72749.460000000006</v>
      </c>
      <c r="N53" s="504"/>
      <c r="O53" s="504"/>
      <c r="P53" s="506"/>
      <c r="Q53" s="506"/>
      <c r="R53" s="42" t="s">
        <v>14</v>
      </c>
      <c r="S53" s="40">
        <v>251</v>
      </c>
      <c r="T53" s="117">
        <f t="shared" si="12"/>
        <v>1173</v>
      </c>
      <c r="U53" s="118">
        <f t="shared" si="13"/>
        <v>0</v>
      </c>
    </row>
    <row r="54" spans="1:21" x14ac:dyDescent="0.25">
      <c r="A54" s="460"/>
      <c r="B54" s="460"/>
      <c r="C54" s="165">
        <v>3.5</v>
      </c>
      <c r="D54" s="165">
        <v>3.39</v>
      </c>
      <c r="E54" s="125">
        <f t="shared" si="10"/>
        <v>6.8900000000000006</v>
      </c>
      <c r="F54" s="41" t="s">
        <v>14</v>
      </c>
      <c r="G54" s="39">
        <v>252</v>
      </c>
      <c r="H54" s="321">
        <f>'0664'!H54</f>
        <v>3506</v>
      </c>
      <c r="I54" s="104">
        <f t="shared" si="11"/>
        <v>24156.34</v>
      </c>
      <c r="N54" s="504"/>
      <c r="O54" s="504"/>
      <c r="P54" s="506"/>
      <c r="Q54" s="506"/>
      <c r="R54" s="42" t="s">
        <v>14</v>
      </c>
      <c r="S54" s="40">
        <v>252</v>
      </c>
      <c r="T54" s="117">
        <f t="shared" si="12"/>
        <v>3506</v>
      </c>
      <c r="U54" s="118">
        <f t="shared" si="13"/>
        <v>0</v>
      </c>
    </row>
    <row r="55" spans="1:21" x14ac:dyDescent="0.25">
      <c r="A55" s="460"/>
      <c r="B55" s="460"/>
      <c r="C55" s="165">
        <v>0</v>
      </c>
      <c r="D55" s="165">
        <v>0</v>
      </c>
      <c r="E55" s="125">
        <f t="shared" si="10"/>
        <v>0</v>
      </c>
      <c r="F55" s="41" t="s">
        <v>14</v>
      </c>
      <c r="G55" s="39">
        <v>253</v>
      </c>
      <c r="H55" s="321">
        <f>'0664'!H55</f>
        <v>7023</v>
      </c>
      <c r="I55" s="104">
        <f t="shared" si="11"/>
        <v>0</v>
      </c>
      <c r="N55" s="504"/>
      <c r="O55" s="504"/>
      <c r="P55" s="506"/>
      <c r="Q55" s="506"/>
      <c r="R55" s="42" t="s">
        <v>14</v>
      </c>
      <c r="S55" s="40">
        <v>253</v>
      </c>
      <c r="T55" s="117">
        <f t="shared" si="12"/>
        <v>7023</v>
      </c>
      <c r="U55" s="118">
        <f t="shared" si="13"/>
        <v>0</v>
      </c>
    </row>
    <row r="56" spans="1:21" x14ac:dyDescent="0.25">
      <c r="A56" s="460"/>
      <c r="B56" s="460"/>
      <c r="C56" s="165">
        <v>0</v>
      </c>
      <c r="D56" s="165">
        <v>0</v>
      </c>
      <c r="E56" s="125">
        <f t="shared" si="10"/>
        <v>0</v>
      </c>
      <c r="F56" s="41" t="s">
        <v>15</v>
      </c>
      <c r="G56" s="39">
        <v>251</v>
      </c>
      <c r="H56" s="321">
        <f>'0664'!H56</f>
        <v>835</v>
      </c>
      <c r="I56" s="104">
        <f t="shared" si="11"/>
        <v>0</v>
      </c>
      <c r="N56" s="504"/>
      <c r="O56" s="504"/>
      <c r="P56" s="506"/>
      <c r="Q56" s="506"/>
      <c r="R56" s="42" t="s">
        <v>15</v>
      </c>
      <c r="S56" s="40">
        <v>251</v>
      </c>
      <c r="T56" s="117">
        <f t="shared" si="12"/>
        <v>835</v>
      </c>
      <c r="U56" s="118">
        <f t="shared" si="13"/>
        <v>0</v>
      </c>
    </row>
    <row r="57" spans="1:21" x14ac:dyDescent="0.25">
      <c r="A57" s="460"/>
      <c r="B57" s="460"/>
      <c r="C57" s="165">
        <v>0</v>
      </c>
      <c r="D57" s="165">
        <v>0</v>
      </c>
      <c r="E57" s="125">
        <f t="shared" si="10"/>
        <v>0</v>
      </c>
      <c r="F57" s="41" t="s">
        <v>15</v>
      </c>
      <c r="G57" s="39">
        <v>252</v>
      </c>
      <c r="H57" s="321">
        <f>'0664'!H57</f>
        <v>3168</v>
      </c>
      <c r="I57" s="104">
        <f t="shared" si="11"/>
        <v>0</v>
      </c>
      <c r="N57" s="504"/>
      <c r="O57" s="504"/>
      <c r="P57" s="506"/>
      <c r="Q57" s="506"/>
      <c r="R57" s="42" t="s">
        <v>15</v>
      </c>
      <c r="S57" s="40">
        <v>252</v>
      </c>
      <c r="T57" s="117">
        <f t="shared" si="12"/>
        <v>3168</v>
      </c>
      <c r="U57" s="118">
        <f t="shared" si="13"/>
        <v>0</v>
      </c>
    </row>
    <row r="58" spans="1:21" ht="16.5" thickBot="1" x14ac:dyDescent="0.3">
      <c r="A58" s="460"/>
      <c r="B58" s="460"/>
      <c r="C58" s="165">
        <v>0</v>
      </c>
      <c r="D58" s="165">
        <v>0</v>
      </c>
      <c r="E58" s="125">
        <f t="shared" si="10"/>
        <v>0</v>
      </c>
      <c r="F58" s="41" t="s">
        <v>15</v>
      </c>
      <c r="G58" s="39">
        <v>253</v>
      </c>
      <c r="H58" s="321">
        <f>'0664'!H58</f>
        <v>6685</v>
      </c>
      <c r="I58" s="104">
        <f t="shared" si="11"/>
        <v>0</v>
      </c>
      <c r="N58" s="504"/>
      <c r="O58" s="504"/>
      <c r="P58" s="507"/>
      <c r="Q58" s="507"/>
      <c r="R58" s="42" t="s">
        <v>15</v>
      </c>
      <c r="S58" s="40">
        <v>253</v>
      </c>
      <c r="T58" s="117">
        <f t="shared" si="12"/>
        <v>6685</v>
      </c>
      <c r="U58" s="120">
        <f t="shared" si="13"/>
        <v>0</v>
      </c>
    </row>
    <row r="59" spans="1:21" ht="16.5" thickBot="1" x14ac:dyDescent="0.3">
      <c r="A59" s="461" t="s">
        <v>16</v>
      </c>
      <c r="B59" s="461"/>
      <c r="C59" s="100">
        <f>SUM(C50:C58)</f>
        <v>50</v>
      </c>
      <c r="D59" s="100">
        <f>SUM(D50:D58)</f>
        <v>48.92</v>
      </c>
      <c r="E59" s="100">
        <f>SUM(E50:E58)</f>
        <v>98.92</v>
      </c>
      <c r="F59" s="461" t="s">
        <v>77</v>
      </c>
      <c r="G59" s="461"/>
      <c r="H59" s="461"/>
      <c r="I59" s="100">
        <f>SUM(I50:I58)</f>
        <v>142324.27000000002</v>
      </c>
      <c r="N59" s="480" t="s">
        <v>16</v>
      </c>
      <c r="O59" s="480"/>
      <c r="P59" s="502">
        <f>SUM(P50:P58)</f>
        <v>0</v>
      </c>
      <c r="Q59" s="502"/>
      <c r="R59" s="480" t="s">
        <v>77</v>
      </c>
      <c r="S59" s="480"/>
      <c r="T59" s="480"/>
      <c r="U59" s="111">
        <f>SUM(U50:U58)</f>
        <v>0</v>
      </c>
    </row>
    <row r="60" spans="1:21" x14ac:dyDescent="0.25">
      <c r="A60" s="462"/>
      <c r="B60" s="462"/>
      <c r="C60" s="462"/>
      <c r="D60" s="462"/>
      <c r="E60" s="462"/>
      <c r="F60" s="462"/>
      <c r="G60" s="462"/>
      <c r="H60" s="462"/>
      <c r="I60" s="462"/>
      <c r="N60" s="484"/>
      <c r="O60" s="484"/>
      <c r="P60" s="484"/>
      <c r="Q60" s="484"/>
      <c r="R60" s="484"/>
      <c r="S60" s="484"/>
      <c r="T60" s="484"/>
      <c r="U60" s="484"/>
    </row>
    <row r="61" spans="1:21" x14ac:dyDescent="0.25">
      <c r="A61" s="463" t="s">
        <v>136</v>
      </c>
      <c r="B61" s="453"/>
      <c r="C61" s="453"/>
      <c r="D61" s="453"/>
      <c r="E61" s="453"/>
      <c r="F61" s="453"/>
      <c r="G61" s="453"/>
      <c r="H61" s="453"/>
      <c r="I61" s="453"/>
      <c r="N61" s="479" t="s">
        <v>88</v>
      </c>
      <c r="O61" s="479"/>
      <c r="P61" s="479"/>
      <c r="Q61" s="479"/>
      <c r="R61" s="479"/>
      <c r="S61" s="479"/>
      <c r="T61" s="479"/>
      <c r="U61" s="479"/>
    </row>
    <row r="62" spans="1:21" x14ac:dyDescent="0.25">
      <c r="A62" s="463" t="s">
        <v>138</v>
      </c>
      <c r="B62" s="453"/>
      <c r="C62" s="121">
        <f>E29</f>
        <v>571.01</v>
      </c>
      <c r="D62" s="464" t="s">
        <v>135</v>
      </c>
      <c r="E62" s="464"/>
      <c r="F62" s="464"/>
      <c r="G62" s="464"/>
      <c r="H62" s="335">
        <f>'0664'!H62</f>
        <v>193340.76</v>
      </c>
      <c r="I62" s="122"/>
      <c r="N62" s="478" t="s">
        <v>312</v>
      </c>
      <c r="O62" s="479"/>
      <c r="P62" s="43">
        <f>P29</f>
        <v>0</v>
      </c>
      <c r="Q62" s="498" t="s">
        <v>78</v>
      </c>
      <c r="R62" s="498"/>
      <c r="S62" s="498"/>
      <c r="T62" s="497">
        <f>H62</f>
        <v>193340.76</v>
      </c>
      <c r="U62" s="497"/>
    </row>
    <row r="63" spans="1:21" x14ac:dyDescent="0.25">
      <c r="B63" s="72"/>
      <c r="G63" s="44" t="s">
        <v>13</v>
      </c>
      <c r="H63" s="123">
        <f>ROUND(C62/H62,6)</f>
        <v>2.9529999999999999E-3</v>
      </c>
      <c r="I63" s="124"/>
      <c r="N63" s="479" t="s">
        <v>19</v>
      </c>
      <c r="O63" s="479"/>
      <c r="P63" s="479"/>
      <c r="Q63" s="479"/>
      <c r="R63" s="479"/>
      <c r="S63" s="479"/>
      <c r="T63" s="501">
        <f>ROUND(P62/T62,6)</f>
        <v>0</v>
      </c>
      <c r="U63" s="501"/>
    </row>
    <row r="64" spans="1:21" x14ac:dyDescent="0.25">
      <c r="A64" s="463" t="s">
        <v>137</v>
      </c>
      <c r="B64" s="453"/>
      <c r="C64" s="453"/>
      <c r="D64" s="453"/>
      <c r="E64" s="453"/>
      <c r="F64" s="453"/>
      <c r="G64" s="453"/>
      <c r="H64" s="453"/>
      <c r="I64" s="453"/>
      <c r="N64" s="479" t="s">
        <v>89</v>
      </c>
      <c r="O64" s="479"/>
      <c r="P64" s="479"/>
      <c r="Q64" s="479"/>
      <c r="R64" s="479"/>
      <c r="S64" s="479"/>
      <c r="T64" s="479"/>
      <c r="U64" s="479"/>
    </row>
    <row r="65" spans="1:21" x14ac:dyDescent="0.25">
      <c r="A65" s="463" t="s">
        <v>139</v>
      </c>
      <c r="B65" s="453"/>
      <c r="C65" s="121">
        <f>E45</f>
        <v>600.29589999999996</v>
      </c>
      <c r="D65" s="464" t="s">
        <v>140</v>
      </c>
      <c r="E65" s="464"/>
      <c r="F65" s="464"/>
      <c r="G65" s="464"/>
      <c r="H65" s="336">
        <f>'0664'!H65</f>
        <v>216845.88</v>
      </c>
      <c r="I65" s="125"/>
      <c r="N65" s="479" t="s">
        <v>80</v>
      </c>
      <c r="O65" s="479"/>
      <c r="P65" s="43">
        <f>R45</f>
        <v>0</v>
      </c>
      <c r="Q65" s="498" t="s">
        <v>79</v>
      </c>
      <c r="R65" s="498"/>
      <c r="S65" s="498"/>
      <c r="T65" s="497">
        <f>H65</f>
        <v>216845.88</v>
      </c>
      <c r="U65" s="497"/>
    </row>
    <row r="66" spans="1:21" s="37" customFormat="1" x14ac:dyDescent="0.25">
      <c r="A66" s="126"/>
      <c r="G66" s="45" t="s">
        <v>13</v>
      </c>
      <c r="H66" s="127">
        <f>ROUND(C65/H65,6)</f>
        <v>2.7680000000000001E-3</v>
      </c>
      <c r="I66" s="127"/>
      <c r="N66" s="482" t="s">
        <v>20</v>
      </c>
      <c r="O66" s="482"/>
      <c r="P66" s="482"/>
      <c r="Q66" s="482"/>
      <c r="R66" s="482"/>
      <c r="S66" s="482"/>
      <c r="T66" s="500">
        <f>ROUND(P65/T65,6)</f>
        <v>0</v>
      </c>
      <c r="U66" s="500"/>
    </row>
    <row r="67" spans="1:21" x14ac:dyDescent="0.25">
      <c r="G67" s="44"/>
      <c r="H67" s="123"/>
      <c r="I67" s="123"/>
      <c r="N67" s="48"/>
      <c r="O67" s="48"/>
      <c r="P67" s="48"/>
      <c r="Q67" s="48"/>
      <c r="R67" s="128"/>
      <c r="S67" s="48"/>
      <c r="T67" s="129"/>
      <c r="U67" s="130"/>
    </row>
    <row r="68" spans="1:21" x14ac:dyDescent="0.25">
      <c r="A68" s="453" t="s">
        <v>85</v>
      </c>
      <c r="B68" s="453"/>
      <c r="C68" s="453"/>
      <c r="D68" s="72"/>
      <c r="E68" s="46" t="s">
        <v>3</v>
      </c>
      <c r="F68" s="337">
        <f>'0664'!F68</f>
        <v>42465042</v>
      </c>
      <c r="G68" s="39" t="s">
        <v>6</v>
      </c>
      <c r="H68" s="131">
        <f>H63</f>
        <v>2.9529999999999999E-3</v>
      </c>
      <c r="I68" s="104">
        <f>ROUND(F68*H68,2)</f>
        <v>125399.27</v>
      </c>
      <c r="N68" s="479" t="s">
        <v>85</v>
      </c>
      <c r="O68" s="479"/>
      <c r="P68" s="479"/>
      <c r="Q68" s="47"/>
      <c r="R68" s="132">
        <f>F68</f>
        <v>42465042</v>
      </c>
      <c r="S68" s="40" t="s">
        <v>6</v>
      </c>
      <c r="T68" s="133">
        <f>T63</f>
        <v>0</v>
      </c>
      <c r="U68" s="99">
        <f>ROUND(R68*T68,0)</f>
        <v>0</v>
      </c>
    </row>
    <row r="69" spans="1:21" x14ac:dyDescent="0.25">
      <c r="A69" s="458" t="s">
        <v>96</v>
      </c>
      <c r="B69" s="453"/>
      <c r="C69" s="453"/>
      <c r="D69" s="72"/>
      <c r="E69" s="46"/>
      <c r="F69" s="136"/>
      <c r="G69" s="39"/>
      <c r="H69" s="131"/>
      <c r="I69" s="104"/>
      <c r="N69" s="479" t="s">
        <v>84</v>
      </c>
      <c r="O69" s="479"/>
      <c r="P69" s="479"/>
      <c r="Q69" s="54"/>
      <c r="R69" s="54"/>
      <c r="S69" s="54"/>
      <c r="T69" s="54"/>
      <c r="U69" s="54"/>
    </row>
    <row r="70" spans="1:21" x14ac:dyDescent="0.25">
      <c r="A70" s="465" t="s">
        <v>141</v>
      </c>
      <c r="B70" s="453"/>
      <c r="C70" s="453"/>
      <c r="D70" s="72"/>
      <c r="E70" s="46" t="s">
        <v>3</v>
      </c>
      <c r="F70" s="337">
        <f>'0664'!F70</f>
        <v>0</v>
      </c>
      <c r="G70" s="39" t="s">
        <v>6</v>
      </c>
      <c r="H70" s="131">
        <f>H63</f>
        <v>2.9529999999999999E-3</v>
      </c>
      <c r="I70" s="104">
        <f>ROUND(F70*H70,2)</f>
        <v>0</v>
      </c>
      <c r="N70" s="48"/>
      <c r="O70" s="48"/>
      <c r="P70" s="48"/>
      <c r="Q70" s="47"/>
      <c r="R70" s="132">
        <f>F70</f>
        <v>0</v>
      </c>
      <c r="S70" s="40" t="s">
        <v>6</v>
      </c>
      <c r="T70" s="133">
        <f>T63</f>
        <v>0</v>
      </c>
      <c r="U70" s="99">
        <f>ROUND(R70*T70,0)</f>
        <v>0</v>
      </c>
    </row>
    <row r="71" spans="1:21" x14ac:dyDescent="0.25">
      <c r="A71" s="463" t="s">
        <v>433</v>
      </c>
      <c r="B71" s="453"/>
      <c r="C71" s="453"/>
      <c r="D71" s="72"/>
      <c r="E71" s="46" t="s">
        <v>3</v>
      </c>
      <c r="F71" s="337">
        <f>'0664'!F71</f>
        <v>13414654</v>
      </c>
      <c r="G71" s="39" t="s">
        <v>6</v>
      </c>
      <c r="H71" s="131">
        <f>H63</f>
        <v>2.9529999999999999E-3</v>
      </c>
      <c r="I71" s="104">
        <f>ROUND(F71*H71,2)</f>
        <v>39613.47</v>
      </c>
      <c r="N71" s="479" t="s">
        <v>83</v>
      </c>
      <c r="O71" s="479"/>
      <c r="P71" s="479"/>
      <c r="Q71" s="47"/>
      <c r="R71" s="132">
        <f>F71</f>
        <v>13414654</v>
      </c>
      <c r="S71" s="40" t="s">
        <v>6</v>
      </c>
      <c r="T71" s="133">
        <f>T63</f>
        <v>0</v>
      </c>
      <c r="U71" s="99">
        <f>ROUND(R71*T71,0)</f>
        <v>0</v>
      </c>
    </row>
    <row r="72" spans="1:21" x14ac:dyDescent="0.25">
      <c r="A72" s="463" t="s">
        <v>434</v>
      </c>
      <c r="B72" s="453"/>
      <c r="C72" s="453"/>
      <c r="D72" s="72"/>
      <c r="E72" s="46" t="s">
        <v>3</v>
      </c>
      <c r="F72" s="337">
        <f>'0664'!F72</f>
        <v>14708421</v>
      </c>
      <c r="G72" s="39" t="s">
        <v>6</v>
      </c>
      <c r="H72" s="131">
        <f>H63</f>
        <v>2.9529999999999999E-3</v>
      </c>
      <c r="I72" s="104">
        <f>ROUND(F72*H72,2)</f>
        <v>43433.97</v>
      </c>
      <c r="N72" s="479" t="s">
        <v>82</v>
      </c>
      <c r="O72" s="479"/>
      <c r="P72" s="479"/>
      <c r="Q72" s="47"/>
      <c r="R72" s="134">
        <f>F72</f>
        <v>14708421</v>
      </c>
      <c r="S72" s="40" t="s">
        <v>6</v>
      </c>
      <c r="T72" s="133">
        <f>T63</f>
        <v>0</v>
      </c>
      <c r="U72" s="99">
        <f>ROUND(R72*T72,0)</f>
        <v>0</v>
      </c>
    </row>
    <row r="73" spans="1:21" x14ac:dyDescent="0.25">
      <c r="A73" s="263" t="s">
        <v>99</v>
      </c>
      <c r="D73" s="72"/>
      <c r="E73" s="41" t="s">
        <v>353</v>
      </c>
      <c r="F73" s="466"/>
      <c r="G73" s="466"/>
      <c r="H73" s="466"/>
      <c r="I73" s="104">
        <v>0</v>
      </c>
      <c r="N73" s="499" t="s">
        <v>118</v>
      </c>
      <c r="O73" s="499"/>
      <c r="P73" s="499"/>
      <c r="Q73" s="499"/>
      <c r="R73" s="499"/>
      <c r="S73" s="499"/>
      <c r="T73" s="499"/>
      <c r="U73" s="99">
        <f>IF($H$120=1,I73,0)</f>
        <v>0</v>
      </c>
    </row>
    <row r="74" spans="1:21" x14ac:dyDescent="0.25">
      <c r="A74" s="264" t="s">
        <v>142</v>
      </c>
      <c r="I74" s="104"/>
      <c r="N74" s="499" t="s">
        <v>43</v>
      </c>
      <c r="O74" s="499"/>
      <c r="P74" s="499"/>
      <c r="Q74" s="499"/>
      <c r="R74" s="499"/>
      <c r="S74" s="499"/>
      <c r="T74" s="499"/>
      <c r="U74" s="99">
        <f>IF($H$120=1,I74,0)</f>
        <v>0</v>
      </c>
    </row>
    <row r="75" spans="1:21" x14ac:dyDescent="0.25">
      <c r="A75" s="324" t="s">
        <v>101</v>
      </c>
      <c r="B75" s="72"/>
      <c r="C75" s="72"/>
      <c r="D75" s="72"/>
      <c r="E75" s="72"/>
      <c r="F75" s="72"/>
      <c r="G75" s="72"/>
      <c r="H75" s="72"/>
      <c r="I75" s="135"/>
      <c r="N75" s="382" t="s">
        <v>44</v>
      </c>
      <c r="O75" s="48"/>
      <c r="P75" s="48"/>
      <c r="Q75" s="48"/>
      <c r="R75" s="48"/>
      <c r="S75" s="48"/>
      <c r="T75" s="48"/>
      <c r="U75" s="106"/>
    </row>
    <row r="76" spans="1:21" x14ac:dyDescent="0.25">
      <c r="A76" s="463" t="s">
        <v>435</v>
      </c>
      <c r="B76" s="453"/>
      <c r="C76" s="453"/>
      <c r="D76" s="72"/>
      <c r="E76" s="46" t="s">
        <v>3</v>
      </c>
      <c r="F76" s="337">
        <f>'0664'!F76</f>
        <v>8720092</v>
      </c>
      <c r="G76" s="39" t="s">
        <v>6</v>
      </c>
      <c r="H76" s="131">
        <f>H63</f>
        <v>2.9529999999999999E-3</v>
      </c>
      <c r="I76" s="104">
        <f t="shared" ref="I76:I85" si="14">ROUND(F76*H76,2)</f>
        <v>25750.43</v>
      </c>
      <c r="N76" s="478" t="s">
        <v>366</v>
      </c>
      <c r="O76" s="479"/>
      <c r="P76" s="479"/>
      <c r="Q76" s="47"/>
      <c r="R76" s="134">
        <f t="shared" ref="R76:R85" si="15">F76</f>
        <v>8720092</v>
      </c>
      <c r="S76" s="40" t="s">
        <v>6</v>
      </c>
      <c r="T76" s="133">
        <f>T63</f>
        <v>0</v>
      </c>
      <c r="U76" s="99">
        <f t="shared" ref="U76:U85" si="16">ROUND(R76*T76,0)</f>
        <v>0</v>
      </c>
    </row>
    <row r="77" spans="1:21" x14ac:dyDescent="0.25">
      <c r="A77" s="463" t="s">
        <v>436</v>
      </c>
      <c r="B77" s="453"/>
      <c r="C77" s="453"/>
      <c r="D77" s="72"/>
      <c r="E77" s="46" t="s">
        <v>3</v>
      </c>
      <c r="F77" s="337">
        <f>'0664'!F77</f>
        <v>0</v>
      </c>
      <c r="G77" s="39" t="s">
        <v>6</v>
      </c>
      <c r="H77" s="131">
        <f>H63</f>
        <v>2.9529999999999999E-3</v>
      </c>
      <c r="I77" s="104">
        <f t="shared" si="14"/>
        <v>0</v>
      </c>
      <c r="N77" s="479" t="s">
        <v>367</v>
      </c>
      <c r="O77" s="479"/>
      <c r="P77" s="479"/>
      <c r="Q77" s="47"/>
      <c r="R77" s="134">
        <f t="shared" si="15"/>
        <v>0</v>
      </c>
      <c r="S77" s="40" t="s">
        <v>6</v>
      </c>
      <c r="T77" s="133">
        <f>T63</f>
        <v>0</v>
      </c>
      <c r="U77" s="99">
        <f t="shared" si="16"/>
        <v>0</v>
      </c>
    </row>
    <row r="78" spans="1:21" x14ac:dyDescent="0.25">
      <c r="A78" s="463" t="s">
        <v>437</v>
      </c>
      <c r="B78" s="453"/>
      <c r="C78" s="453"/>
      <c r="D78" s="72"/>
      <c r="E78" s="46" t="s">
        <v>4</v>
      </c>
      <c r="F78" s="337">
        <f>'0664'!F78</f>
        <v>0</v>
      </c>
      <c r="G78" s="39" t="s">
        <v>6</v>
      </c>
      <c r="H78" s="131">
        <f>H66</f>
        <v>2.7680000000000001E-3</v>
      </c>
      <c r="I78" s="104">
        <f t="shared" si="14"/>
        <v>0</v>
      </c>
      <c r="N78" s="478" t="s">
        <v>392</v>
      </c>
      <c r="O78" s="479"/>
      <c r="P78" s="479"/>
      <c r="Q78" s="47"/>
      <c r="R78" s="134">
        <f t="shared" si="15"/>
        <v>0</v>
      </c>
      <c r="S78" s="40" t="s">
        <v>6</v>
      </c>
      <c r="T78" s="133">
        <f>T66</f>
        <v>0</v>
      </c>
      <c r="U78" s="99">
        <f t="shared" si="16"/>
        <v>0</v>
      </c>
    </row>
    <row r="79" spans="1:21" x14ac:dyDescent="0.25">
      <c r="A79" s="463" t="s">
        <v>438</v>
      </c>
      <c r="B79" s="453"/>
      <c r="C79" s="453"/>
      <c r="D79" s="72"/>
      <c r="E79" s="46" t="s">
        <v>4</v>
      </c>
      <c r="F79" s="337">
        <f>'0664'!F79</f>
        <v>11278687</v>
      </c>
      <c r="G79" s="39" t="s">
        <v>6</v>
      </c>
      <c r="H79" s="131">
        <f>H66</f>
        <v>2.7680000000000001E-3</v>
      </c>
      <c r="I79" s="104">
        <f t="shared" si="14"/>
        <v>31219.41</v>
      </c>
      <c r="N79" s="478" t="s">
        <v>393</v>
      </c>
      <c r="O79" s="479"/>
      <c r="P79" s="479"/>
      <c r="Q79" s="47"/>
      <c r="R79" s="134">
        <f t="shared" si="15"/>
        <v>11278687</v>
      </c>
      <c r="S79" s="40" t="s">
        <v>6</v>
      </c>
      <c r="T79" s="133">
        <f>T66</f>
        <v>0</v>
      </c>
      <c r="U79" s="99">
        <f t="shared" si="16"/>
        <v>0</v>
      </c>
    </row>
    <row r="80" spans="1:21" x14ac:dyDescent="0.25">
      <c r="A80" s="463" t="s">
        <v>439</v>
      </c>
      <c r="B80" s="453"/>
      <c r="C80" s="453"/>
      <c r="D80" s="72"/>
      <c r="E80" s="46" t="s">
        <v>4</v>
      </c>
      <c r="F80" s="337">
        <f>'0664'!F80</f>
        <v>206284749</v>
      </c>
      <c r="G80" s="39" t="s">
        <v>6</v>
      </c>
      <c r="H80" s="131">
        <f>H66</f>
        <v>2.7680000000000001E-3</v>
      </c>
      <c r="I80" s="104">
        <f t="shared" si="14"/>
        <v>570996.18999999994</v>
      </c>
      <c r="N80" s="478" t="s">
        <v>397</v>
      </c>
      <c r="O80" s="479"/>
      <c r="P80" s="479"/>
      <c r="Q80" s="47"/>
      <c r="R80" s="134">
        <f t="shared" si="15"/>
        <v>206284749</v>
      </c>
      <c r="S80" s="40" t="s">
        <v>6</v>
      </c>
      <c r="T80" s="133">
        <f>T66</f>
        <v>0</v>
      </c>
      <c r="U80" s="99">
        <f t="shared" si="16"/>
        <v>0</v>
      </c>
    </row>
    <row r="81" spans="1:21" x14ac:dyDescent="0.25">
      <c r="A81" s="84" t="s">
        <v>440</v>
      </c>
      <c r="B81" s="72"/>
      <c r="C81" s="72"/>
      <c r="D81" s="72"/>
      <c r="E81" s="46"/>
      <c r="F81" s="337"/>
      <c r="G81" s="39"/>
      <c r="H81" s="131"/>
      <c r="I81" s="104"/>
      <c r="N81" s="419" t="s">
        <v>440</v>
      </c>
      <c r="O81" s="48"/>
      <c r="P81" s="48"/>
      <c r="Q81" s="47"/>
      <c r="R81" s="423"/>
      <c r="S81" s="40"/>
      <c r="T81" s="133"/>
      <c r="U81" s="120"/>
    </row>
    <row r="82" spans="1:21" x14ac:dyDescent="0.25">
      <c r="A82" s="264" t="s">
        <v>441</v>
      </c>
      <c r="B82" s="72"/>
      <c r="C82" s="72"/>
      <c r="D82" s="72"/>
      <c r="E82" s="46" t="s">
        <v>442</v>
      </c>
      <c r="F82" s="337">
        <f>'0664'!F82</f>
        <v>0</v>
      </c>
      <c r="G82" s="39" t="s">
        <v>6</v>
      </c>
      <c r="H82" s="131">
        <f>H66</f>
        <v>2.7680000000000001E-3</v>
      </c>
      <c r="I82" s="104">
        <v>93111.34</v>
      </c>
      <c r="N82" s="422" t="s">
        <v>441</v>
      </c>
      <c r="O82" s="48"/>
      <c r="P82" s="48"/>
      <c r="Q82" s="47"/>
      <c r="R82" s="134">
        <f t="shared" si="15"/>
        <v>0</v>
      </c>
      <c r="S82" s="40"/>
      <c r="T82" s="133"/>
      <c r="U82" s="99">
        <f t="shared" si="16"/>
        <v>0</v>
      </c>
    </row>
    <row r="83" spans="1:21" x14ac:dyDescent="0.25">
      <c r="A83" s="264" t="s">
        <v>443</v>
      </c>
      <c r="B83" s="72"/>
      <c r="C83" s="72"/>
      <c r="D83" s="72"/>
      <c r="E83" s="46" t="s">
        <v>442</v>
      </c>
      <c r="F83" s="337">
        <f>'0664'!F83</f>
        <v>0</v>
      </c>
      <c r="G83" s="39" t="s">
        <v>6</v>
      </c>
      <c r="H83" s="131">
        <f>H66</f>
        <v>2.7680000000000001E-3</v>
      </c>
      <c r="I83" s="104">
        <v>42323.34</v>
      </c>
      <c r="N83" s="422" t="s">
        <v>443</v>
      </c>
      <c r="O83" s="48"/>
      <c r="P83" s="48"/>
      <c r="Q83" s="47"/>
      <c r="R83" s="134">
        <f t="shared" si="15"/>
        <v>0</v>
      </c>
      <c r="S83" s="40"/>
      <c r="T83" s="133"/>
      <c r="U83" s="99">
        <f t="shared" si="16"/>
        <v>0</v>
      </c>
    </row>
    <row r="84" spans="1:21" x14ac:dyDescent="0.25">
      <c r="A84" s="420" t="s">
        <v>444</v>
      </c>
      <c r="B84" s="72"/>
      <c r="C84" s="72"/>
      <c r="D84" s="72"/>
      <c r="E84" s="46"/>
      <c r="F84" s="337"/>
      <c r="G84" s="39"/>
      <c r="H84" s="131"/>
      <c r="I84" s="104">
        <f>I82+I83</f>
        <v>135434.68</v>
      </c>
      <c r="N84" s="421" t="s">
        <v>444</v>
      </c>
      <c r="O84" s="48"/>
      <c r="P84" s="48"/>
      <c r="Q84" s="47"/>
      <c r="R84" s="423"/>
      <c r="S84" s="40"/>
      <c r="T84" s="133"/>
      <c r="U84" s="99">
        <f>U82+U83</f>
        <v>0</v>
      </c>
    </row>
    <row r="85" spans="1:21" x14ac:dyDescent="0.25">
      <c r="A85" s="463" t="s">
        <v>398</v>
      </c>
      <c r="B85" s="453"/>
      <c r="C85" s="453"/>
      <c r="D85" s="72"/>
      <c r="E85" s="46" t="s">
        <v>4</v>
      </c>
      <c r="F85" s="337">
        <f>'0664'!F85</f>
        <v>0</v>
      </c>
      <c r="G85" s="39" t="s">
        <v>6</v>
      </c>
      <c r="H85" s="131">
        <f>H66</f>
        <v>2.7680000000000001E-3</v>
      </c>
      <c r="I85" s="104">
        <f t="shared" si="14"/>
        <v>0</v>
      </c>
      <c r="N85" s="478" t="s">
        <v>398</v>
      </c>
      <c r="O85" s="479"/>
      <c r="P85" s="479"/>
      <c r="Q85" s="47"/>
      <c r="R85" s="132">
        <f t="shared" si="15"/>
        <v>0</v>
      </c>
      <c r="S85" s="40" t="s">
        <v>6</v>
      </c>
      <c r="T85" s="133">
        <f>T66</f>
        <v>0</v>
      </c>
      <c r="U85" s="99">
        <f t="shared" si="16"/>
        <v>0</v>
      </c>
    </row>
    <row r="86" spans="1:21" x14ac:dyDescent="0.25">
      <c r="B86" s="72"/>
      <c r="C86" s="72"/>
      <c r="D86" s="72"/>
      <c r="E86" s="46"/>
      <c r="F86" s="136"/>
      <c r="G86" s="39"/>
      <c r="H86" s="131"/>
      <c r="I86" s="104"/>
      <c r="N86" s="48"/>
      <c r="O86" s="48"/>
      <c r="P86" s="48"/>
      <c r="Q86" s="47"/>
      <c r="R86" s="137"/>
      <c r="S86" s="40"/>
      <c r="T86" s="133"/>
      <c r="U86" s="106"/>
    </row>
    <row r="87" spans="1:21" x14ac:dyDescent="0.25">
      <c r="A87" s="463" t="s">
        <v>445</v>
      </c>
      <c r="B87" s="453"/>
      <c r="C87" s="453"/>
      <c r="D87" s="453"/>
      <c r="E87" s="453"/>
      <c r="F87" s="453"/>
      <c r="G87" s="453"/>
      <c r="H87" s="453"/>
      <c r="I87" s="453"/>
      <c r="N87" s="478" t="s">
        <v>429</v>
      </c>
      <c r="O87" s="479"/>
      <c r="P87" s="479"/>
      <c r="Q87" s="479"/>
      <c r="R87" s="479"/>
      <c r="S87" s="479"/>
      <c r="T87" s="479"/>
      <c r="U87" s="479"/>
    </row>
    <row r="88" spans="1:21" x14ac:dyDescent="0.25">
      <c r="B88" s="72"/>
      <c r="C88" s="466" t="s">
        <v>73</v>
      </c>
      <c r="D88" s="466"/>
      <c r="E88" s="72"/>
      <c r="F88" s="41" t="s">
        <v>37</v>
      </c>
      <c r="G88" s="72"/>
      <c r="H88" s="72"/>
      <c r="I88" s="72"/>
      <c r="N88" s="48"/>
      <c r="O88" s="48"/>
      <c r="P88" s="48"/>
      <c r="Q88" s="48"/>
      <c r="R88" s="48"/>
      <c r="S88" s="48"/>
      <c r="T88" s="48"/>
      <c r="U88" s="48"/>
    </row>
    <row r="89" spans="1:21" x14ac:dyDescent="0.25">
      <c r="A89" s="3"/>
      <c r="B89" s="138"/>
      <c r="C89" s="462" t="s">
        <v>144</v>
      </c>
      <c r="D89" s="462"/>
      <c r="E89" s="139" t="s">
        <v>150</v>
      </c>
      <c r="F89" s="140" t="s">
        <v>149</v>
      </c>
      <c r="G89" s="141"/>
      <c r="H89" s="141"/>
      <c r="I89" s="141"/>
      <c r="N89" s="495" t="s">
        <v>46</v>
      </c>
      <c r="O89" s="495"/>
      <c r="P89" s="496" t="s">
        <v>119</v>
      </c>
      <c r="Q89" s="496"/>
      <c r="R89" s="497" t="s">
        <v>40</v>
      </c>
      <c r="S89" s="497"/>
      <c r="T89" s="497"/>
      <c r="U89" s="497"/>
    </row>
    <row r="90" spans="1:21" x14ac:dyDescent="0.25">
      <c r="A90" s="27"/>
      <c r="B90" s="55" t="s">
        <v>148</v>
      </c>
      <c r="C90" s="467">
        <f>H13+H14+H19+H22+H25</f>
        <v>250.01840000000001</v>
      </c>
      <c r="D90" s="467"/>
      <c r="E90" s="49">
        <f>H8</f>
        <v>1.0438000000000001</v>
      </c>
      <c r="F90" s="338">
        <f>'0664'!F90</f>
        <v>957.94</v>
      </c>
      <c r="G90" s="41" t="s">
        <v>13</v>
      </c>
      <c r="H90" s="104">
        <f>ROUND(C90*E90*F90,2)</f>
        <v>249992.84</v>
      </c>
      <c r="I90" s="107"/>
      <c r="N90" s="29" t="s">
        <v>22</v>
      </c>
      <c r="O90" s="50">
        <f>T13+T14+T19+T22+T25</f>
        <v>0</v>
      </c>
      <c r="P90" s="490">
        <f>T8</f>
        <v>1.0438000000000001</v>
      </c>
      <c r="Q90" s="490"/>
      <c r="R90" s="51">
        <f>F90</f>
        <v>957.94</v>
      </c>
      <c r="S90" s="42" t="s">
        <v>13</v>
      </c>
      <c r="T90" s="134">
        <f>ROUND(O90*P90*R90,0)</f>
        <v>0</v>
      </c>
      <c r="U90" s="105"/>
    </row>
    <row r="91" spans="1:21" x14ac:dyDescent="0.25">
      <c r="A91" s="52"/>
      <c r="B91" s="52" t="s">
        <v>147</v>
      </c>
      <c r="C91" s="467">
        <f>H15+H16+H20+H23+H26</f>
        <v>350.27750000000003</v>
      </c>
      <c r="D91" s="467"/>
      <c r="E91" s="49">
        <f>H8</f>
        <v>1.0438000000000001</v>
      </c>
      <c r="F91" s="338">
        <f>'0664'!F91</f>
        <v>914.63</v>
      </c>
      <c r="G91" s="41" t="s">
        <v>13</v>
      </c>
      <c r="H91" s="104">
        <f>ROUND(C91*E91*F91,2)</f>
        <v>334406.7</v>
      </c>
      <c r="N91" s="53" t="s">
        <v>14</v>
      </c>
      <c r="O91" s="50">
        <f>T15+T16+T20+T23+T26</f>
        <v>0</v>
      </c>
      <c r="P91" s="490">
        <f>T8</f>
        <v>1.0438000000000001</v>
      </c>
      <c r="Q91" s="490"/>
      <c r="R91" s="51">
        <f>F91</f>
        <v>914.63</v>
      </c>
      <c r="S91" s="42" t="s">
        <v>13</v>
      </c>
      <c r="T91" s="134">
        <f>ROUND(O91*P91*R91,0)</f>
        <v>0</v>
      </c>
      <c r="U91" s="54"/>
    </row>
    <row r="92" spans="1:21" ht="16.5" thickBot="1" x14ac:dyDescent="0.3">
      <c r="A92" s="55"/>
      <c r="B92" s="55" t="s">
        <v>146</v>
      </c>
      <c r="C92" s="467">
        <f>H17+H18+H21+H24+H27+H28</f>
        <v>0</v>
      </c>
      <c r="D92" s="467"/>
      <c r="E92" s="49">
        <f>H8</f>
        <v>1.0438000000000001</v>
      </c>
      <c r="F92" s="338">
        <f>'0664'!F92</f>
        <v>916.84</v>
      </c>
      <c r="G92" s="41" t="s">
        <v>13</v>
      </c>
      <c r="H92" s="97">
        <f>ROUND(C92*E92*F92,2)</f>
        <v>0</v>
      </c>
      <c r="N92" s="56" t="s">
        <v>15</v>
      </c>
      <c r="O92" s="57">
        <f>T17+T18+T21+T24+T27+T28</f>
        <v>0</v>
      </c>
      <c r="P92" s="490">
        <f>T8</f>
        <v>1.0438000000000001</v>
      </c>
      <c r="Q92" s="490"/>
      <c r="R92" s="51">
        <f>F92</f>
        <v>916.84</v>
      </c>
      <c r="S92" s="42" t="s">
        <v>13</v>
      </c>
      <c r="T92" s="134">
        <f>ROUND(O92*P92*R92,0)</f>
        <v>0</v>
      </c>
      <c r="U92" s="54"/>
    </row>
    <row r="93" spans="1:21" ht="16.5" thickBot="1" x14ac:dyDescent="0.3">
      <c r="A93" s="58"/>
      <c r="B93" s="142" t="s">
        <v>145</v>
      </c>
      <c r="C93" s="469">
        <f>SUM(C90:C92)</f>
        <v>600.29590000000007</v>
      </c>
      <c r="D93" s="469"/>
      <c r="E93" s="143"/>
      <c r="F93" s="143"/>
      <c r="G93" s="143"/>
      <c r="H93" s="144" t="s">
        <v>143</v>
      </c>
      <c r="I93" s="104">
        <f>IF(A1=75,0,H92+H91+H90)</f>
        <v>584399.54</v>
      </c>
      <c r="N93" s="59" t="s">
        <v>120</v>
      </c>
      <c r="O93" s="60">
        <f>SUM(O90:O92)</f>
        <v>0</v>
      </c>
      <c r="P93" s="491" t="s">
        <v>18</v>
      </c>
      <c r="Q93" s="492"/>
      <c r="R93" s="492"/>
      <c r="S93" s="492"/>
      <c r="T93" s="492"/>
      <c r="U93" s="99">
        <f>IF(N1=75,0,T92+T91+T90)</f>
        <v>0</v>
      </c>
    </row>
    <row r="94" spans="1:21" ht="16.5" thickTop="1" x14ac:dyDescent="0.25">
      <c r="A94" s="540" t="s">
        <v>90</v>
      </c>
      <c r="B94" s="540"/>
      <c r="C94" s="540"/>
      <c r="D94" s="540"/>
      <c r="E94" s="540"/>
      <c r="F94" s="540"/>
      <c r="G94" s="540"/>
      <c r="H94" s="540"/>
      <c r="I94" s="540"/>
      <c r="N94" s="493" t="s">
        <v>90</v>
      </c>
      <c r="O94" s="493"/>
      <c r="P94" s="493"/>
      <c r="Q94" s="493"/>
      <c r="R94" s="493"/>
      <c r="S94" s="493"/>
      <c r="T94" s="493"/>
      <c r="U94" s="493"/>
    </row>
    <row r="95" spans="1:21" x14ac:dyDescent="0.25">
      <c r="A95" s="145"/>
      <c r="B95" s="145"/>
      <c r="C95" s="145"/>
      <c r="D95" s="145"/>
      <c r="E95" s="145"/>
      <c r="F95" s="145"/>
      <c r="G95" s="145"/>
      <c r="H95" s="145"/>
      <c r="I95" s="145"/>
      <c r="N95" s="146"/>
      <c r="O95" s="146"/>
      <c r="P95" s="146"/>
      <c r="Q95" s="146"/>
      <c r="R95" s="146"/>
      <c r="S95" s="146"/>
      <c r="T95" s="146"/>
      <c r="U95" s="146"/>
    </row>
    <row r="96" spans="1:21" x14ac:dyDescent="0.25">
      <c r="A96" s="84" t="s">
        <v>446</v>
      </c>
      <c r="C96" s="46"/>
      <c r="D96" s="72"/>
      <c r="E96" s="46" t="s">
        <v>100</v>
      </c>
      <c r="F96" s="471"/>
      <c r="G96" s="471"/>
      <c r="H96" s="471"/>
      <c r="I96" s="471"/>
      <c r="N96" s="478" t="s">
        <v>426</v>
      </c>
      <c r="O96" s="479"/>
      <c r="P96" s="479"/>
      <c r="Q96" s="494"/>
      <c r="R96" s="494"/>
      <c r="S96" s="494"/>
      <c r="T96" s="494"/>
      <c r="U96" s="106"/>
    </row>
    <row r="97" spans="1:21" x14ac:dyDescent="0.25">
      <c r="B97" s="72"/>
      <c r="C97" s="91" t="s">
        <v>409</v>
      </c>
      <c r="D97" s="371" t="s">
        <v>410</v>
      </c>
      <c r="E97" s="92" t="s">
        <v>151</v>
      </c>
      <c r="F97" s="46"/>
      <c r="G97" s="46"/>
      <c r="H97" s="46"/>
      <c r="I97" s="46"/>
      <c r="N97" s="48"/>
      <c r="O97" s="48"/>
      <c r="P97" s="48"/>
      <c r="Q97" s="147"/>
      <c r="R97" s="147"/>
      <c r="S97" s="147"/>
      <c r="T97" s="147"/>
      <c r="U97" s="106"/>
    </row>
    <row r="98" spans="1:21" x14ac:dyDescent="0.25">
      <c r="B98" s="72"/>
      <c r="C98" s="362" t="s">
        <v>2</v>
      </c>
      <c r="D98" s="362" t="s">
        <v>2</v>
      </c>
      <c r="E98" s="362" t="s">
        <v>2</v>
      </c>
      <c r="F98" s="46"/>
      <c r="G98" s="46"/>
      <c r="H98" s="46"/>
      <c r="I98" s="46"/>
      <c r="N98" s="48"/>
      <c r="O98" s="48"/>
      <c r="P98" s="48"/>
      <c r="Q98" s="147"/>
      <c r="R98" s="147"/>
      <c r="S98" s="147"/>
      <c r="T98" s="147"/>
      <c r="U98" s="106"/>
    </row>
    <row r="99" spans="1:21" x14ac:dyDescent="0.25">
      <c r="A99" s="536" t="s">
        <v>470</v>
      </c>
      <c r="B99" s="461"/>
      <c r="C99" s="165">
        <v>0</v>
      </c>
      <c r="D99" s="165">
        <v>0</v>
      </c>
      <c r="E99" s="125">
        <f>C99</f>
        <v>0</v>
      </c>
      <c r="F99" s="148" t="s">
        <v>39</v>
      </c>
      <c r="G99" s="339">
        <f>'0664'!G99</f>
        <v>558</v>
      </c>
      <c r="I99" s="104">
        <f>ROUND(G99*E99,2)</f>
        <v>0</v>
      </c>
      <c r="N99" s="488" t="s">
        <v>65</v>
      </c>
      <c r="O99" s="488"/>
      <c r="P99" s="489">
        <f>IF(H120=1,E99,0)</f>
        <v>0</v>
      </c>
      <c r="Q99" s="489"/>
      <c r="R99" s="489"/>
      <c r="S99" s="86" t="s">
        <v>39</v>
      </c>
      <c r="T99" s="61">
        <f>G99</f>
        <v>558</v>
      </c>
      <c r="U99" s="99">
        <f>ROUND(T99*P99,0)</f>
        <v>0</v>
      </c>
    </row>
    <row r="100" spans="1:21" x14ac:dyDescent="0.25">
      <c r="A100" s="536" t="s">
        <v>471</v>
      </c>
      <c r="B100" s="461"/>
      <c r="C100" s="165">
        <v>0</v>
      </c>
      <c r="D100" s="165">
        <v>0</v>
      </c>
      <c r="E100" s="125">
        <f>C100</f>
        <v>0</v>
      </c>
      <c r="F100" s="148" t="s">
        <v>39</v>
      </c>
      <c r="G100" s="339">
        <f>'0664'!G100</f>
        <v>1707</v>
      </c>
      <c r="I100" s="104">
        <f>ROUND(G100*E100,2)</f>
        <v>0</v>
      </c>
      <c r="N100" s="488" t="s">
        <v>81</v>
      </c>
      <c r="O100" s="488"/>
      <c r="P100" s="483"/>
      <c r="Q100" s="483"/>
      <c r="R100" s="483"/>
      <c r="S100" s="86" t="s">
        <v>39</v>
      </c>
      <c r="T100" s="61">
        <f>G100</f>
        <v>1707</v>
      </c>
      <c r="U100" s="99">
        <f>ROUND(T100*P100,0)</f>
        <v>0</v>
      </c>
    </row>
    <row r="101" spans="1:21" x14ac:dyDescent="0.25">
      <c r="A101" s="149"/>
      <c r="B101" s="149"/>
      <c r="C101" s="68"/>
      <c r="D101" s="68"/>
      <c r="E101" s="68"/>
      <c r="F101" s="68"/>
      <c r="G101" s="150"/>
      <c r="H101" s="151"/>
      <c r="I101" s="104"/>
      <c r="N101" s="152"/>
      <c r="O101" s="152"/>
      <c r="P101" s="153"/>
      <c r="Q101" s="153"/>
      <c r="R101" s="153"/>
      <c r="S101" s="86"/>
      <c r="T101" s="61"/>
      <c r="U101" s="106"/>
    </row>
    <row r="102" spans="1:21" x14ac:dyDescent="0.25">
      <c r="A102" s="149"/>
      <c r="B102" s="149"/>
      <c r="C102" s="68"/>
      <c r="D102" s="68"/>
      <c r="E102" s="68"/>
      <c r="F102" s="68"/>
      <c r="G102" s="150"/>
      <c r="H102" s="151"/>
      <c r="I102" s="104"/>
      <c r="N102" s="152"/>
      <c r="O102" s="152"/>
      <c r="P102" s="153"/>
      <c r="Q102" s="153"/>
      <c r="R102" s="153"/>
      <c r="S102" s="86"/>
      <c r="T102" s="61"/>
      <c r="U102" s="106"/>
    </row>
    <row r="103" spans="1:21" hidden="1" x14ac:dyDescent="0.25">
      <c r="A103" s="463" t="s">
        <v>447</v>
      </c>
      <c r="B103" s="453"/>
      <c r="C103" s="453"/>
      <c r="D103" s="72"/>
      <c r="E103" s="41" t="s">
        <v>41</v>
      </c>
      <c r="F103" s="466"/>
      <c r="G103" s="466"/>
      <c r="H103" s="466"/>
      <c r="I103" s="466"/>
      <c r="N103" s="478" t="s">
        <v>362</v>
      </c>
      <c r="O103" s="479"/>
      <c r="P103" s="479"/>
      <c r="Q103" s="479"/>
      <c r="R103" s="479"/>
      <c r="S103" s="479"/>
      <c r="T103" s="479"/>
      <c r="U103" s="479"/>
    </row>
    <row r="104" spans="1:21" hidden="1" x14ac:dyDescent="0.25">
      <c r="B104" s="72"/>
      <c r="C104" s="462" t="s">
        <v>91</v>
      </c>
      <c r="D104" s="462"/>
      <c r="E104" s="462"/>
      <c r="F104" s="39"/>
      <c r="G104" s="39"/>
      <c r="H104" s="41" t="s">
        <v>152</v>
      </c>
      <c r="I104" s="39"/>
      <c r="N104" s="48"/>
      <c r="O104" s="48"/>
      <c r="P104" s="48"/>
      <c r="Q104" s="48"/>
      <c r="R104" s="48"/>
      <c r="S104" s="48"/>
      <c r="T104" s="48"/>
      <c r="U104" s="48"/>
    </row>
    <row r="105" spans="1:21" hidden="1" x14ac:dyDescent="0.25">
      <c r="B105" s="72"/>
      <c r="C105" s="91" t="s">
        <v>371</v>
      </c>
      <c r="D105" s="91" t="s">
        <v>351</v>
      </c>
      <c r="E105" s="159" t="s">
        <v>8</v>
      </c>
      <c r="F105" s="464" t="s">
        <v>153</v>
      </c>
      <c r="G105" s="466"/>
      <c r="H105" s="39" t="s">
        <v>38</v>
      </c>
      <c r="I105" s="39"/>
      <c r="N105" s="48"/>
      <c r="O105" s="48"/>
      <c r="P105" s="48"/>
      <c r="Q105" s="48"/>
      <c r="R105" s="48"/>
      <c r="S105" s="48"/>
      <c r="T105" s="48"/>
      <c r="U105" s="48"/>
    </row>
    <row r="106" spans="1:21" hidden="1" x14ac:dyDescent="0.25">
      <c r="A106" s="462" t="s">
        <v>94</v>
      </c>
      <c r="B106" s="462"/>
      <c r="C106" s="93" t="s">
        <v>2</v>
      </c>
      <c r="D106" s="93" t="s">
        <v>2</v>
      </c>
      <c r="E106" s="62" t="s">
        <v>2</v>
      </c>
      <c r="F106" s="462" t="s">
        <v>37</v>
      </c>
      <c r="G106" s="462"/>
      <c r="H106" s="62" t="s">
        <v>37</v>
      </c>
      <c r="I106" s="62" t="s">
        <v>8</v>
      </c>
      <c r="N106" s="484" t="s">
        <v>66</v>
      </c>
      <c r="O106" s="484"/>
      <c r="P106" s="489" t="s">
        <v>91</v>
      </c>
      <c r="Q106" s="489"/>
      <c r="R106" s="484" t="s">
        <v>67</v>
      </c>
      <c r="S106" s="484"/>
      <c r="T106" s="63" t="s">
        <v>68</v>
      </c>
      <c r="U106" s="63" t="s">
        <v>8</v>
      </c>
    </row>
    <row r="107" spans="1:21" hidden="1" x14ac:dyDescent="0.25">
      <c r="A107" s="473" t="s">
        <v>69</v>
      </c>
      <c r="B107" s="473"/>
      <c r="C107" s="163">
        <v>0</v>
      </c>
      <c r="D107" s="163">
        <v>0</v>
      </c>
      <c r="E107" s="210">
        <f>IF(D$59=0,C107*2,C107+D107)</f>
        <v>0</v>
      </c>
      <c r="F107" s="474">
        <v>0</v>
      </c>
      <c r="G107" s="474"/>
      <c r="H107" s="250">
        <f>IF(C107=0,0,125)</f>
        <v>0</v>
      </c>
      <c r="I107" s="104">
        <f>ROUND((H107+F107)*E107,2)</f>
        <v>0</v>
      </c>
      <c r="N107" s="479" t="s">
        <v>69</v>
      </c>
      <c r="O107" s="479"/>
      <c r="P107" s="483">
        <f>IF(H$120=1,C107,0)</f>
        <v>0</v>
      </c>
      <c r="Q107" s="483"/>
      <c r="R107" s="486">
        <f>F107</f>
        <v>0</v>
      </c>
      <c r="S107" s="486"/>
      <c r="T107" s="65">
        <f>H107</f>
        <v>0</v>
      </c>
      <c r="U107" s="99">
        <f>ROUND((T107+R107)*P107,0)</f>
        <v>0</v>
      </c>
    </row>
    <row r="108" spans="1:21" hidden="1" x14ac:dyDescent="0.25">
      <c r="A108" s="456" t="s">
        <v>70</v>
      </c>
      <c r="B108" s="456"/>
      <c r="C108" s="165">
        <v>0</v>
      </c>
      <c r="D108" s="165">
        <v>0</v>
      </c>
      <c r="E108" s="125">
        <f>IF(D$59=0,C108*2,C108+D108)</f>
        <v>0</v>
      </c>
      <c r="F108" s="468">
        <f>ROUND(F107/2,2)</f>
        <v>0</v>
      </c>
      <c r="G108" s="468"/>
      <c r="H108" s="250">
        <f>IF(C108=0,0,62.5)</f>
        <v>0</v>
      </c>
      <c r="I108" s="104">
        <f>ROUND((H108+F108)*E108,2)</f>
        <v>0</v>
      </c>
      <c r="N108" s="479" t="s">
        <v>70</v>
      </c>
      <c r="O108" s="479"/>
      <c r="P108" s="483">
        <f>IF(H$120=1,C108,0)</f>
        <v>0</v>
      </c>
      <c r="Q108" s="483"/>
      <c r="R108" s="487">
        <f>ROUND(R107/2,2)</f>
        <v>0</v>
      </c>
      <c r="S108" s="487"/>
      <c r="T108" s="65">
        <f>H108</f>
        <v>0</v>
      </c>
      <c r="U108" s="99">
        <f>ROUND((T108+R108)*P108,0)</f>
        <v>0</v>
      </c>
    </row>
    <row r="109" spans="1:21" ht="16.5" hidden="1" thickBot="1" x14ac:dyDescent="0.3">
      <c r="A109" s="456" t="s">
        <v>71</v>
      </c>
      <c r="B109" s="456"/>
      <c r="C109" s="165">
        <v>0</v>
      </c>
      <c r="D109" s="165">
        <v>0</v>
      </c>
      <c r="E109" s="125">
        <f>IF(D$59=0,C109*2,C109+D109)</f>
        <v>0</v>
      </c>
      <c r="F109" s="475"/>
      <c r="G109" s="475"/>
      <c r="H109" s="251">
        <f>IF(H107&gt;0,436,0)</f>
        <v>0</v>
      </c>
      <c r="I109" s="104">
        <f>ROUND(H109*E109,2)</f>
        <v>0</v>
      </c>
      <c r="N109" s="482" t="s">
        <v>71</v>
      </c>
      <c r="O109" s="482"/>
      <c r="P109" s="483">
        <f>IF(H$120=1,C109,0)</f>
        <v>0</v>
      </c>
      <c r="Q109" s="483"/>
      <c r="R109" s="484"/>
      <c r="S109" s="484"/>
      <c r="T109" s="67">
        <f>H109</f>
        <v>0</v>
      </c>
      <c r="U109" s="106">
        <f>ROUND(T109*P109,0)</f>
        <v>0</v>
      </c>
    </row>
    <row r="110" spans="1:21" ht="16.5" hidden="1" thickBot="1" x14ac:dyDescent="0.3">
      <c r="A110" s="466" t="s">
        <v>8</v>
      </c>
      <c r="B110" s="466"/>
      <c r="C110" s="68"/>
      <c r="D110" s="68"/>
      <c r="E110" s="68"/>
      <c r="F110" s="68"/>
      <c r="G110" s="68"/>
      <c r="H110" s="68"/>
      <c r="I110" s="100">
        <f>SUM(I107:I109)</f>
        <v>0</v>
      </c>
      <c r="N110" s="485" t="s">
        <v>8</v>
      </c>
      <c r="O110" s="485"/>
      <c r="P110" s="69"/>
      <c r="Q110" s="69"/>
      <c r="R110" s="69"/>
      <c r="S110" s="69"/>
      <c r="T110" s="69"/>
      <c r="U110" s="70">
        <f>SUM(U107:U109)</f>
        <v>0</v>
      </c>
    </row>
    <row r="111" spans="1:21" hidden="1" x14ac:dyDescent="0.25">
      <c r="A111" s="39"/>
      <c r="B111" s="39"/>
      <c r="C111" s="68"/>
      <c r="D111" s="68"/>
      <c r="E111" s="68"/>
      <c r="F111" s="68"/>
      <c r="G111" s="68"/>
      <c r="H111" s="68"/>
      <c r="I111" s="104"/>
      <c r="N111" s="40"/>
      <c r="O111" s="40"/>
      <c r="P111" s="69"/>
      <c r="Q111" s="69"/>
      <c r="R111" s="69"/>
      <c r="S111" s="69"/>
      <c r="T111" s="69"/>
      <c r="U111" s="160"/>
    </row>
    <row r="112" spans="1:21" x14ac:dyDescent="0.25">
      <c r="A112" s="463" t="s">
        <v>448</v>
      </c>
      <c r="B112" s="453"/>
      <c r="C112" s="453"/>
      <c r="D112" s="72"/>
      <c r="E112" s="71" t="s">
        <v>354</v>
      </c>
      <c r="F112" s="472"/>
      <c r="G112" s="472"/>
      <c r="H112" s="472"/>
      <c r="I112" s="125">
        <v>0</v>
      </c>
      <c r="N112" s="478" t="s">
        <v>427</v>
      </c>
      <c r="O112" s="479"/>
      <c r="P112" s="479"/>
      <c r="Q112" s="341"/>
      <c r="R112" s="341"/>
      <c r="S112" s="341"/>
      <c r="T112" s="341"/>
      <c r="U112" s="99">
        <f>IF($H$120=1,I112,0)</f>
        <v>0</v>
      </c>
    </row>
    <row r="113" spans="1:21" x14ac:dyDescent="0.25">
      <c r="A113" s="463" t="s">
        <v>449</v>
      </c>
      <c r="B113" s="453"/>
      <c r="C113" s="453"/>
      <c r="D113" s="72"/>
      <c r="E113" s="71" t="s">
        <v>45</v>
      </c>
      <c r="F113" s="472"/>
      <c r="G113" s="472"/>
      <c r="H113" s="472"/>
      <c r="I113" s="177">
        <v>0</v>
      </c>
      <c r="N113" s="478" t="s">
        <v>428</v>
      </c>
      <c r="O113" s="479"/>
      <c r="P113" s="479"/>
      <c r="Q113" s="341"/>
      <c r="R113" s="341"/>
      <c r="S113" s="341"/>
      <c r="T113" s="341"/>
      <c r="U113" s="99">
        <f>IF($H$120=1,I113,0)</f>
        <v>0</v>
      </c>
    </row>
    <row r="114" spans="1:21" ht="16.5" thickBot="1" x14ac:dyDescent="0.3">
      <c r="B114" s="72"/>
      <c r="C114" s="72"/>
      <c r="D114" s="72"/>
      <c r="E114" s="71"/>
      <c r="F114" s="71"/>
      <c r="G114" s="71"/>
      <c r="H114" s="71"/>
      <c r="I114" s="125"/>
      <c r="N114" s="480" t="s">
        <v>42</v>
      </c>
      <c r="O114" s="480"/>
      <c r="P114" s="480"/>
      <c r="Q114" s="480"/>
      <c r="R114" s="480"/>
      <c r="S114" s="480"/>
      <c r="T114" s="480"/>
      <c r="U114" s="154">
        <f>SUM(U112,U110,U100,U99,U93,U77,U76,U74,U73,U72,U71,U70,U68,U59,U45,U78,U79,U80,U85,U113)</f>
        <v>0</v>
      </c>
    </row>
    <row r="115" spans="1:21" ht="16.5" thickTop="1" x14ac:dyDescent="0.25">
      <c r="A115" s="461" t="s">
        <v>8</v>
      </c>
      <c r="B115" s="461"/>
      <c r="C115" s="461"/>
      <c r="D115" s="461"/>
      <c r="E115" s="461"/>
      <c r="F115" s="461"/>
      <c r="G115" s="461"/>
      <c r="H115" s="461"/>
      <c r="I115" s="97">
        <f>SUM(I113,I112,I110,I100,I99,I93,I85,I84,I80,I79,I78,I77,I76,I74,I73,I72,I71,I70,I68,I59,I45)</f>
        <v>4572984.97</v>
      </c>
      <c r="N115" s="29"/>
      <c r="O115" s="29"/>
      <c r="P115" s="29"/>
      <c r="Q115" s="29"/>
      <c r="R115" s="29"/>
      <c r="S115" s="29"/>
      <c r="T115" s="29"/>
      <c r="U115" s="160"/>
    </row>
    <row r="116" spans="1:21" x14ac:dyDescent="0.25">
      <c r="A116" s="27"/>
      <c r="B116" s="27"/>
      <c r="C116" s="27"/>
      <c r="D116" s="27"/>
      <c r="E116" s="27"/>
      <c r="F116" s="27"/>
      <c r="G116" s="27"/>
      <c r="H116" s="27"/>
      <c r="I116" s="104"/>
      <c r="N116" s="29"/>
      <c r="O116" s="29"/>
      <c r="P116" s="29"/>
      <c r="Q116" s="29"/>
      <c r="R116" s="29"/>
      <c r="S116" s="29"/>
      <c r="T116" s="29"/>
      <c r="U116" s="160"/>
    </row>
    <row r="117" spans="1:21" x14ac:dyDescent="0.25">
      <c r="A117" s="432" t="s">
        <v>467</v>
      </c>
      <c r="B117" s="27"/>
      <c r="C117" s="27"/>
      <c r="D117" s="27"/>
      <c r="E117" s="27"/>
      <c r="F117" s="27"/>
      <c r="G117" s="27"/>
      <c r="H117" s="27"/>
      <c r="I117" s="104">
        <f>I115-I84</f>
        <v>4437550.29</v>
      </c>
      <c r="N117" s="29"/>
      <c r="O117" s="29"/>
      <c r="P117" s="29"/>
      <c r="Q117" s="29"/>
      <c r="R117" s="29"/>
      <c r="S117" s="29"/>
      <c r="T117" s="29"/>
      <c r="U117" s="160"/>
    </row>
    <row r="118" spans="1:21" x14ac:dyDescent="0.25">
      <c r="A118" s="27"/>
      <c r="B118" s="27"/>
      <c r="C118" s="27"/>
      <c r="D118" s="27"/>
      <c r="E118" s="27"/>
      <c r="F118" s="27"/>
      <c r="G118" s="27"/>
      <c r="H118" s="27"/>
      <c r="I118" s="104"/>
      <c r="N118" s="29"/>
      <c r="O118" s="29"/>
      <c r="P118" s="29"/>
      <c r="Q118" s="29"/>
      <c r="R118" s="29"/>
      <c r="S118" s="29"/>
      <c r="T118" s="29"/>
      <c r="U118" s="160"/>
    </row>
    <row r="119" spans="1:21" x14ac:dyDescent="0.25">
      <c r="A119" s="463" t="s">
        <v>468</v>
      </c>
      <c r="B119" s="453"/>
      <c r="C119" s="453"/>
      <c r="D119" s="453"/>
      <c r="E119" s="453"/>
      <c r="F119" s="453"/>
      <c r="G119" s="453"/>
      <c r="H119" s="84" t="s">
        <v>394</v>
      </c>
      <c r="I119" s="156"/>
      <c r="N119" s="481"/>
      <c r="O119" s="481"/>
      <c r="P119" s="481"/>
      <c r="Q119" s="481"/>
      <c r="R119" s="481"/>
      <c r="S119" s="481"/>
      <c r="T119" s="481"/>
      <c r="U119" s="481"/>
    </row>
    <row r="120" spans="1:21" x14ac:dyDescent="0.25">
      <c r="A120" s="453" t="s">
        <v>95</v>
      </c>
      <c r="B120" s="453"/>
      <c r="C120" s="453"/>
      <c r="D120" s="453"/>
      <c r="E120" s="453"/>
      <c r="F120" s="453"/>
      <c r="G120" s="453"/>
      <c r="H120" s="73" t="str">
        <f>IF(E29=0,"",IF((E14+E16+SUM(E18:E24))/E29&gt;0.75,1,""))</f>
        <v/>
      </c>
      <c r="I120" s="125">
        <f>U114</f>
        <v>0</v>
      </c>
      <c r="N120" s="476" t="s">
        <v>7</v>
      </c>
      <c r="O120" s="476"/>
      <c r="P120" s="476"/>
      <c r="Q120" s="476"/>
      <c r="R120" s="476"/>
      <c r="S120" s="476"/>
      <c r="T120" s="476"/>
      <c r="U120" s="476"/>
    </row>
    <row r="121" spans="1:21" x14ac:dyDescent="0.25">
      <c r="B121" s="72"/>
      <c r="C121" s="72"/>
      <c r="D121" s="72"/>
      <c r="E121" s="72"/>
      <c r="F121" s="72"/>
      <c r="G121" s="72"/>
      <c r="H121" s="68"/>
      <c r="I121" s="104"/>
      <c r="N121" s="74" t="s">
        <v>106</v>
      </c>
      <c r="O121" s="74"/>
      <c r="P121" s="74"/>
      <c r="Q121" s="74"/>
      <c r="R121" s="74"/>
      <c r="S121" s="74"/>
      <c r="T121" s="74"/>
      <c r="U121" s="74"/>
    </row>
    <row r="122" spans="1:21" x14ac:dyDescent="0.25">
      <c r="A122" s="3" t="s">
        <v>102</v>
      </c>
      <c r="B122" s="72"/>
      <c r="C122" s="72"/>
      <c r="D122" s="72"/>
      <c r="E122" s="72"/>
      <c r="F122" s="72"/>
      <c r="G122" s="287" t="s">
        <v>290</v>
      </c>
      <c r="H122" s="161">
        <f>IF(H120=1,I120,I117)</f>
        <v>4437550.29</v>
      </c>
      <c r="I122" s="97">
        <f>ROUND(IF(E29=0,0,IF(E29&gt;250,-(((250/E29)*H122)*IF(G122="H",0.02,0.05)),IF(G122="H",-0.02*H122,-0.05*H122))),2)</f>
        <v>-38857.03</v>
      </c>
      <c r="N122" s="75" t="s">
        <v>107</v>
      </c>
      <c r="O122" s="74"/>
      <c r="P122" s="74"/>
      <c r="Q122" s="74"/>
      <c r="R122" s="74"/>
      <c r="S122" s="74"/>
      <c r="T122" s="74"/>
      <c r="U122" s="74"/>
    </row>
    <row r="123" spans="1:21" x14ac:dyDescent="0.25">
      <c r="B123" s="72"/>
      <c r="C123" s="72"/>
      <c r="D123" s="72"/>
      <c r="E123" s="72"/>
      <c r="F123" s="72"/>
      <c r="G123" s="72"/>
      <c r="H123" s="68"/>
      <c r="I123" s="104"/>
      <c r="N123" s="76"/>
      <c r="O123" s="76"/>
      <c r="P123" s="76"/>
      <c r="Q123" s="76"/>
      <c r="R123" s="76"/>
      <c r="S123" s="76"/>
      <c r="T123" s="76"/>
      <c r="U123" s="76"/>
    </row>
    <row r="124" spans="1:21" x14ac:dyDescent="0.25">
      <c r="A124" s="345" t="s">
        <v>103</v>
      </c>
      <c r="B124" s="346"/>
      <c r="C124" s="346"/>
      <c r="D124" s="346"/>
      <c r="E124" s="346"/>
      <c r="F124" s="346"/>
      <c r="G124" s="346"/>
      <c r="H124" s="347"/>
      <c r="I124" s="348">
        <f>I115+I122</f>
        <v>4534127.9399999995</v>
      </c>
      <c r="N124" s="76"/>
      <c r="O124" s="76"/>
      <c r="P124" s="76"/>
      <c r="Q124" s="76"/>
      <c r="R124" s="76"/>
      <c r="S124" s="76"/>
      <c r="T124" s="76"/>
      <c r="U124" s="76"/>
    </row>
    <row r="125" spans="1:21" x14ac:dyDescent="0.25">
      <c r="B125" s="72"/>
      <c r="C125" s="72"/>
      <c r="D125" s="72"/>
      <c r="E125" s="72"/>
      <c r="F125" s="72"/>
      <c r="G125" s="72"/>
      <c r="H125" s="68"/>
      <c r="I125" s="104"/>
      <c r="N125" s="76"/>
      <c r="O125" s="76"/>
      <c r="P125" s="76"/>
      <c r="Q125" s="76"/>
      <c r="R125" s="76"/>
      <c r="S125" s="76"/>
      <c r="T125" s="76"/>
      <c r="U125" s="76"/>
    </row>
    <row r="126" spans="1:21" x14ac:dyDescent="0.25">
      <c r="A126" s="3" t="s">
        <v>104</v>
      </c>
      <c r="B126" s="72"/>
      <c r="C126" s="162"/>
      <c r="D126" s="72"/>
      <c r="F126" s="72"/>
      <c r="G126" s="72"/>
      <c r="H126" s="68"/>
      <c r="I126" s="302">
        <v>-3282023.02</v>
      </c>
      <c r="N126" s="76"/>
      <c r="O126" s="76"/>
      <c r="P126" s="76"/>
      <c r="Q126" s="76"/>
      <c r="R126" s="76"/>
      <c r="S126" s="76"/>
      <c r="T126" s="76"/>
      <c r="U126" s="76"/>
    </row>
    <row r="127" spans="1:21" x14ac:dyDescent="0.25">
      <c r="B127" s="72"/>
      <c r="C127" s="72"/>
      <c r="D127" s="72"/>
      <c r="E127" s="72"/>
      <c r="F127" s="72"/>
      <c r="G127" s="72"/>
      <c r="H127" s="68"/>
      <c r="I127" s="104"/>
      <c r="N127" s="76"/>
      <c r="O127" s="76"/>
      <c r="P127" s="76"/>
      <c r="Q127" s="76"/>
      <c r="R127" s="76"/>
      <c r="S127" s="76"/>
      <c r="T127" s="76"/>
      <c r="U127" s="76"/>
    </row>
    <row r="128" spans="1:21" x14ac:dyDescent="0.25">
      <c r="A128" s="84" t="s">
        <v>297</v>
      </c>
      <c r="B128" s="72"/>
      <c r="C128" s="72"/>
      <c r="D128" s="72"/>
      <c r="E128" s="72"/>
      <c r="F128" s="72"/>
      <c r="G128" s="72"/>
      <c r="H128" s="68"/>
      <c r="I128" s="104">
        <f>I124+I126</f>
        <v>1252104.9199999995</v>
      </c>
      <c r="N128" s="76"/>
      <c r="O128" s="76"/>
      <c r="P128" s="76"/>
      <c r="Q128" s="76"/>
      <c r="R128" s="76"/>
      <c r="S128" s="76"/>
      <c r="T128" s="76"/>
      <c r="U128" s="76"/>
    </row>
    <row r="129" spans="1:21" x14ac:dyDescent="0.25">
      <c r="A129" s="84"/>
      <c r="B129" s="72"/>
      <c r="C129" s="72"/>
      <c r="D129" s="72"/>
      <c r="E129" s="72"/>
      <c r="F129" s="72"/>
      <c r="G129" s="72"/>
      <c r="H129" s="68"/>
      <c r="I129" s="104"/>
      <c r="N129" s="76"/>
      <c r="O129" s="76"/>
      <c r="P129" s="76"/>
      <c r="Q129" s="76"/>
      <c r="R129" s="76"/>
      <c r="S129" s="76"/>
      <c r="T129" s="76"/>
      <c r="U129" s="76"/>
    </row>
    <row r="130" spans="1:21" x14ac:dyDescent="0.25">
      <c r="A130" s="84" t="s">
        <v>298</v>
      </c>
      <c r="B130" s="72"/>
      <c r="C130" s="72"/>
      <c r="D130" s="72"/>
      <c r="E130" s="72"/>
      <c r="F130" s="72"/>
      <c r="G130" s="72"/>
      <c r="H130" s="68"/>
      <c r="I130" s="303">
        <f>'0664'!I130</f>
        <v>3</v>
      </c>
      <c r="N130" s="76"/>
      <c r="O130" s="76"/>
      <c r="P130" s="76"/>
      <c r="Q130" s="76"/>
      <c r="R130" s="76"/>
      <c r="S130" s="76"/>
      <c r="T130" s="76"/>
      <c r="U130" s="76"/>
    </row>
    <row r="131" spans="1:21" x14ac:dyDescent="0.25">
      <c r="B131" s="72"/>
      <c r="C131" s="72"/>
      <c r="D131" s="72"/>
      <c r="E131" s="72"/>
      <c r="F131" s="72"/>
      <c r="G131" s="72"/>
      <c r="H131" s="68"/>
      <c r="I131" s="104"/>
      <c r="N131" s="76"/>
      <c r="O131" s="76"/>
      <c r="P131" s="76"/>
      <c r="Q131" s="76"/>
      <c r="R131" s="76"/>
      <c r="S131" s="76"/>
      <c r="T131" s="76"/>
      <c r="U131" s="76"/>
    </row>
    <row r="132" spans="1:21" ht="16.5" thickBot="1" x14ac:dyDescent="0.3">
      <c r="A132" s="3" t="s">
        <v>105</v>
      </c>
      <c r="B132" s="72"/>
      <c r="C132" s="72"/>
      <c r="D132" s="72"/>
      <c r="E132" s="72"/>
      <c r="F132" s="72"/>
      <c r="G132" s="72"/>
      <c r="H132" s="68"/>
      <c r="I132" s="178">
        <f>ROUND(I128/I130,2)</f>
        <v>417368.31</v>
      </c>
      <c r="N132" s="76"/>
      <c r="O132" s="76"/>
      <c r="P132" s="76"/>
      <c r="Q132" s="76"/>
      <c r="R132" s="76"/>
      <c r="S132" s="76"/>
      <c r="T132" s="76"/>
      <c r="U132" s="76"/>
    </row>
    <row r="133" spans="1:21" ht="16.5" thickTop="1" x14ac:dyDescent="0.25">
      <c r="B133" s="72"/>
      <c r="C133" s="72"/>
      <c r="D133" s="72"/>
      <c r="E133" s="72"/>
      <c r="F133" s="72"/>
      <c r="G133" s="72"/>
      <c r="H133" s="68"/>
      <c r="I133" s="104"/>
      <c r="N133" s="76"/>
      <c r="O133" s="76"/>
      <c r="P133" s="76"/>
      <c r="Q133" s="76"/>
      <c r="R133" s="76"/>
      <c r="S133" s="76"/>
      <c r="T133" s="76"/>
      <c r="U133" s="76"/>
    </row>
    <row r="134" spans="1:21" ht="16.5" thickBot="1" x14ac:dyDescent="0.3">
      <c r="A134" s="3" t="s">
        <v>121</v>
      </c>
      <c r="B134" s="72"/>
      <c r="C134" s="72"/>
      <c r="D134" s="72"/>
      <c r="E134" s="72"/>
      <c r="F134" s="72"/>
      <c r="G134" s="72"/>
      <c r="H134" s="68"/>
      <c r="I134" s="155">
        <f>IF(G122="H",(H122*0.02)+I122,(H122*0.05)+I122)</f>
        <v>49893.9758</v>
      </c>
      <c r="N134" s="76"/>
      <c r="O134" s="76"/>
      <c r="P134" s="76"/>
      <c r="Q134" s="76"/>
      <c r="R134" s="76"/>
      <c r="S134" s="76"/>
      <c r="T134" s="76"/>
      <c r="U134" s="76"/>
    </row>
    <row r="135" spans="1:21" ht="16.5" thickTop="1" x14ac:dyDescent="0.25">
      <c r="B135" s="72"/>
      <c r="C135" s="72"/>
      <c r="D135" s="72"/>
      <c r="E135" s="72"/>
      <c r="F135" s="72"/>
      <c r="G135" s="72"/>
      <c r="H135" s="68"/>
      <c r="I135" s="156"/>
      <c r="N135" s="76"/>
      <c r="O135" s="76"/>
      <c r="P135" s="76"/>
      <c r="Q135" s="76"/>
      <c r="R135" s="76"/>
      <c r="S135" s="76"/>
      <c r="T135" s="76"/>
      <c r="U135" s="76"/>
    </row>
    <row r="136" spans="1:21" x14ac:dyDescent="0.25">
      <c r="B136" s="72"/>
      <c r="C136" s="72"/>
      <c r="D136" s="72"/>
      <c r="E136" s="72"/>
      <c r="F136" s="72"/>
      <c r="G136" s="72"/>
      <c r="H136" s="68"/>
      <c r="I136" s="104"/>
      <c r="N136" s="76"/>
      <c r="O136" s="76"/>
      <c r="P136" s="76"/>
      <c r="Q136" s="76"/>
      <c r="R136" s="76"/>
      <c r="S136" s="76"/>
      <c r="T136" s="76"/>
      <c r="U136" s="76"/>
    </row>
    <row r="137" spans="1:21" x14ac:dyDescent="0.25">
      <c r="B137" s="72"/>
      <c r="C137" s="72"/>
      <c r="D137" s="72"/>
      <c r="E137" s="72"/>
      <c r="F137" s="72"/>
      <c r="G137" s="72"/>
      <c r="H137" s="68"/>
      <c r="I137" s="156"/>
      <c r="N137" s="76"/>
      <c r="O137" s="76"/>
      <c r="P137" s="76"/>
      <c r="Q137" s="76"/>
      <c r="R137" s="76"/>
      <c r="S137" s="76"/>
      <c r="T137" s="76"/>
      <c r="U137" s="76"/>
    </row>
    <row r="138" spans="1:21" x14ac:dyDescent="0.25">
      <c r="A138" s="281" t="s">
        <v>7</v>
      </c>
      <c r="B138" s="281"/>
      <c r="C138" s="281"/>
      <c r="D138" s="281"/>
      <c r="E138" s="281"/>
      <c r="F138" s="281"/>
      <c r="G138" s="281"/>
      <c r="H138" s="281"/>
      <c r="I138" s="281"/>
      <c r="J138" s="156"/>
      <c r="N138" s="76"/>
      <c r="O138" s="76"/>
      <c r="P138" s="76"/>
      <c r="Q138" s="76"/>
      <c r="R138" s="76"/>
      <c r="S138" s="76"/>
      <c r="T138" s="76"/>
      <c r="U138" s="76"/>
    </row>
    <row r="139" spans="1:21" ht="15.75" customHeight="1" x14ac:dyDescent="0.25">
      <c r="A139" s="356" t="str">
        <f>'0664'!A139</f>
        <v>(a) Additional FTE includes FTE earned through Advanced Placement, International Baccalaureate, Advanced International Certificate of Education, Industry Certified Career</v>
      </c>
      <c r="B139" s="357"/>
      <c r="C139" s="357"/>
      <c r="D139" s="357"/>
      <c r="E139" s="357"/>
      <c r="F139" s="357"/>
      <c r="G139" s="357"/>
      <c r="H139" s="357"/>
      <c r="I139" s="357"/>
      <c r="J139" s="80"/>
      <c r="K139" s="79"/>
      <c r="L139" s="79"/>
      <c r="M139" s="79"/>
      <c r="N139" s="477"/>
      <c r="O139" s="477"/>
      <c r="P139" s="477"/>
      <c r="Q139" s="477"/>
      <c r="R139" s="477"/>
      <c r="S139" s="477"/>
      <c r="T139" s="477"/>
      <c r="U139" s="477"/>
    </row>
    <row r="140" spans="1:21" ht="15.75" customHeight="1" x14ac:dyDescent="0.25">
      <c r="A140" s="390" t="str">
        <f>'0664'!A140</f>
        <v xml:space="preserve">Education (CAPE), Early High School Graduation and the small district ESE Supplement, pursuant to s. 1011.62(1)(l-p), F.S. </v>
      </c>
      <c r="B140" s="357"/>
      <c r="C140" s="357"/>
      <c r="D140" s="357"/>
      <c r="E140" s="357"/>
      <c r="F140" s="357"/>
      <c r="G140" s="357"/>
      <c r="H140" s="357"/>
      <c r="I140" s="357"/>
      <c r="J140" s="80"/>
      <c r="K140" s="79"/>
      <c r="L140" s="79"/>
      <c r="M140" s="79"/>
      <c r="N140" s="76"/>
      <c r="O140" s="76"/>
      <c r="P140" s="76"/>
      <c r="Q140" s="76"/>
      <c r="R140" s="76"/>
      <c r="S140" s="76"/>
      <c r="T140" s="76"/>
      <c r="U140" s="76"/>
    </row>
    <row r="141" spans="1:21" x14ac:dyDescent="0.25">
      <c r="A141" s="356" t="str">
        <f>'0664'!A141</f>
        <v>(b) District allocations multiplied by percentage from item 3A.</v>
      </c>
      <c r="B141" s="281"/>
      <c r="C141" s="281"/>
      <c r="D141" s="281"/>
      <c r="E141" s="281"/>
      <c r="F141" s="281"/>
      <c r="G141" s="281"/>
      <c r="H141" s="281"/>
      <c r="I141" s="281"/>
      <c r="J141" s="79"/>
      <c r="K141" s="79"/>
      <c r="L141" s="79"/>
      <c r="M141" s="79"/>
      <c r="N141" s="81"/>
      <c r="O141" s="82"/>
      <c r="P141" s="82"/>
      <c r="Q141" s="82"/>
      <c r="R141" s="82"/>
      <c r="S141" s="82"/>
      <c r="T141" s="82"/>
      <c r="U141" s="82"/>
    </row>
    <row r="142" spans="1:21" s="79" customFormat="1" x14ac:dyDescent="0.2">
      <c r="A142" s="356" t="str">
        <f>'0664'!A142</f>
        <v>(c) District allocations multiplied by percentage from item 3B.</v>
      </c>
      <c r="B142" s="281"/>
      <c r="C142" s="281"/>
      <c r="D142" s="281"/>
      <c r="E142" s="281"/>
      <c r="F142" s="281"/>
      <c r="G142" s="281"/>
      <c r="H142" s="281"/>
      <c r="I142" s="281"/>
      <c r="N142" s="81"/>
    </row>
    <row r="143" spans="1:21" s="79" customFormat="1" ht="15.75" customHeight="1" x14ac:dyDescent="0.2">
      <c r="A143" s="356" t="str">
        <f>'0664'!A143</f>
        <v>(d) The Digital Classroom Allocation is provided pursuant to s. 1011.62(12), F.S.</v>
      </c>
      <c r="B143" s="281"/>
      <c r="C143" s="281"/>
      <c r="D143" s="281"/>
      <c r="E143" s="281"/>
      <c r="F143" s="281"/>
      <c r="G143" s="281"/>
      <c r="H143" s="281"/>
      <c r="I143" s="281"/>
      <c r="N143" s="81"/>
    </row>
    <row r="144" spans="1:21" s="79" customFormat="1" ht="15.75" customHeight="1" x14ac:dyDescent="0.2">
      <c r="A144" s="356" t="str">
        <f>'0664'!A144</f>
        <v>(e) School districts are required to pay for instructional materials used for the instruction of public high school students who are earning credit toward high school</v>
      </c>
      <c r="B144" s="281"/>
      <c r="C144" s="281"/>
      <c r="D144" s="281"/>
      <c r="E144" s="281"/>
      <c r="F144" s="281"/>
      <c r="G144" s="281"/>
      <c r="H144" s="281"/>
      <c r="I144" s="281"/>
      <c r="N144" s="81"/>
    </row>
    <row r="145" spans="1:14" s="79" customFormat="1" ht="15.75" customHeight="1" x14ac:dyDescent="0.2">
      <c r="A145" s="390" t="str">
        <f>'0664'!A145</f>
        <v xml:space="preserve">graduation under the dual enrollment program as provided in s. 1011.62(l)(i), F.S.  </v>
      </c>
      <c r="B145" s="281"/>
      <c r="C145" s="281"/>
      <c r="D145" s="281"/>
      <c r="E145" s="281"/>
      <c r="F145" s="281"/>
      <c r="G145" s="281"/>
      <c r="H145" s="281"/>
      <c r="I145" s="281"/>
      <c r="N145" s="81"/>
    </row>
    <row r="146" spans="1:14" s="79" customFormat="1" x14ac:dyDescent="0.2">
      <c r="A146" s="356" t="str">
        <f>'0664'!A146</f>
        <v>(f) This allocation will be frozen as of the 2021-22 FEFP Second Calculation and will not be recalculated throughout the year. Charter school allocations should be</v>
      </c>
      <c r="B146" s="281"/>
      <c r="C146" s="281"/>
      <c r="D146" s="281"/>
      <c r="E146" s="281"/>
      <c r="F146" s="281"/>
      <c r="G146" s="281"/>
      <c r="H146" s="281"/>
      <c r="I146" s="281"/>
      <c r="N146" s="81"/>
    </row>
    <row r="147" spans="1:14" s="79" customFormat="1" x14ac:dyDescent="0.2">
      <c r="A147" s="358" t="str">
        <f>'0664'!A147</f>
        <v xml:space="preserve">distributed on weighted FTE (or base funding as is done in the FEFP) and should not be recalculated with fluctuations in student enrollment later in the year. </v>
      </c>
      <c r="B147" s="281"/>
      <c r="C147" s="281"/>
      <c r="D147" s="281"/>
      <c r="E147" s="281"/>
      <c r="F147" s="281"/>
      <c r="G147" s="281"/>
      <c r="H147" s="281"/>
      <c r="I147" s="281"/>
      <c r="N147" s="81"/>
    </row>
    <row r="148" spans="1:14" s="79" customFormat="1" x14ac:dyDescent="0.2">
      <c r="A148" s="356" t="str">
        <f>'0664'!A148</f>
        <v>(g) Numbers entered here will be multiplied by the district level transportation funding per rider. "All Adjusted Fundable Riders" should include both basic and ESE Riders.</v>
      </c>
      <c r="B148" s="281"/>
      <c r="C148" s="281"/>
      <c r="D148" s="281"/>
      <c r="E148" s="281"/>
      <c r="F148" s="281"/>
      <c r="G148" s="281"/>
      <c r="H148" s="281"/>
      <c r="I148" s="281"/>
      <c r="N148" s="81"/>
    </row>
    <row r="149" spans="1:14" s="79" customFormat="1" x14ac:dyDescent="0.2">
      <c r="A149" s="390" t="str">
        <f>'0664'!A149</f>
        <v>"All Adjusted ESE Riders" should include only ESE Riders.</v>
      </c>
      <c r="B149" s="281"/>
      <c r="C149" s="281"/>
      <c r="D149" s="281"/>
      <c r="E149" s="281"/>
      <c r="F149" s="281"/>
      <c r="G149" s="281"/>
      <c r="H149" s="281"/>
      <c r="I149" s="281"/>
      <c r="N149" s="81"/>
    </row>
    <row r="150" spans="1:14" s="79" customFormat="1" x14ac:dyDescent="0.2">
      <c r="A150" s="356" t="str">
        <f>'0664'!A150</f>
        <v xml:space="preserve">(h) The Federally Connected Student Supplement provides additional funding for students on federal lands that receive Section 8003 impact aide pursuant to s. 1011.62(13), F.S. </v>
      </c>
      <c r="B150" s="281"/>
      <c r="C150" s="281"/>
      <c r="D150" s="281"/>
      <c r="E150" s="281"/>
      <c r="F150" s="281"/>
      <c r="G150" s="281"/>
      <c r="H150" s="281"/>
      <c r="I150" s="281"/>
      <c r="N150" s="81"/>
    </row>
    <row r="151" spans="1:14" s="79" customFormat="1" x14ac:dyDescent="0.2">
      <c r="A151" s="356" t="str">
        <f>'0664'!A151</f>
        <v>(i) Teacher Classroom Supply Assistance Program allocation pursuant to s. 1012.71, F.S., for certified teachers employed by a public school district or public charter school</v>
      </c>
      <c r="B151" s="281"/>
      <c r="C151" s="281"/>
      <c r="D151" s="281"/>
      <c r="E151" s="281"/>
      <c r="F151" s="281"/>
      <c r="G151" s="281"/>
      <c r="H151" s="281"/>
      <c r="I151" s="281"/>
      <c r="N151" s="81"/>
    </row>
    <row r="152" spans="1:14" s="79" customFormat="1" x14ac:dyDescent="0.2">
      <c r="A152" s="358" t="str">
        <f>'0664'!A152</f>
        <v xml:space="preserve">before September 1 of each year whose full-time or job-share responsibility is the classroom instruction of students in prekindergarten through grade 12, including </v>
      </c>
      <c r="B152" s="281"/>
      <c r="C152" s="281"/>
      <c r="D152" s="281"/>
      <c r="E152" s="281"/>
      <c r="F152" s="281"/>
      <c r="G152" s="281"/>
      <c r="H152" s="281"/>
      <c r="I152" s="281"/>
      <c r="N152" s="81"/>
    </row>
    <row r="153" spans="1:14" s="79" customFormat="1" ht="15.75" customHeight="1" x14ac:dyDescent="0.2">
      <c r="A153" s="358" t="str">
        <f>'0664'!A153</f>
        <v>full-time media specialists and certified school counselors serving students in prekindergarten through grade 12, who are funded through the FEFP.</v>
      </c>
      <c r="B153" s="281"/>
      <c r="C153" s="281"/>
      <c r="D153" s="281"/>
      <c r="E153" s="281"/>
      <c r="F153" s="281"/>
      <c r="G153" s="281"/>
      <c r="H153" s="281"/>
      <c r="I153" s="281"/>
      <c r="N153" s="81"/>
    </row>
    <row r="154" spans="1:14" s="79" customFormat="1" ht="15.75" customHeight="1" x14ac:dyDescent="0.2">
      <c r="A154" s="356" t="str">
        <f>'0664'!A154</f>
        <v xml:space="preserve">(j) Funding based on student eligibility and meals provided, if participating in the National School Lunch Program. </v>
      </c>
      <c r="B154" s="328"/>
      <c r="C154" s="328"/>
      <c r="D154" s="328"/>
      <c r="E154" s="328"/>
      <c r="F154" s="328"/>
      <c r="G154" s="328"/>
      <c r="H154" s="328"/>
      <c r="I154" s="328"/>
      <c r="N154" s="81"/>
    </row>
    <row r="155" spans="1:14" s="79" customFormat="1" ht="15.75" customHeight="1" x14ac:dyDescent="0.2">
      <c r="A155" s="356" t="str">
        <f>'0664'!A155</f>
        <v>(k) Consistent with s. 1002.33(20)(a), F.S., for charter schools with a population of 75% or more ESE students, the administrative fee shall be calculated based on</v>
      </c>
      <c r="B155" s="381"/>
      <c r="C155" s="381"/>
      <c r="D155" s="381"/>
      <c r="E155" s="381"/>
      <c r="F155" s="381"/>
      <c r="G155" s="381"/>
      <c r="H155" s="381"/>
      <c r="I155" s="381"/>
      <c r="N155" s="81"/>
    </row>
    <row r="156" spans="1:14" s="79" customFormat="1" ht="15.75" customHeight="1" x14ac:dyDescent="0.2">
      <c r="A156" s="390" t="str">
        <f>'0664'!A156</f>
        <v xml:space="preserve">unweighted full-time equivalent students. </v>
      </c>
      <c r="B156" s="381"/>
      <c r="C156" s="381"/>
      <c r="D156" s="381"/>
      <c r="E156" s="381"/>
      <c r="F156" s="381"/>
      <c r="G156" s="381"/>
      <c r="H156" s="381"/>
      <c r="I156" s="381"/>
      <c r="N156" s="81"/>
    </row>
    <row r="157" spans="1:14" s="79" customFormat="1" ht="15.75" customHeight="1" x14ac:dyDescent="0.2">
      <c r="A157" s="356"/>
      <c r="B157" s="381"/>
      <c r="C157" s="381"/>
      <c r="D157" s="381"/>
      <c r="E157" s="381"/>
      <c r="F157" s="381"/>
      <c r="G157" s="381"/>
      <c r="H157" s="381"/>
      <c r="I157" s="381"/>
      <c r="N157" s="81"/>
    </row>
    <row r="158" spans="1:14" s="79" customFormat="1" ht="15.75" customHeight="1" x14ac:dyDescent="0.25">
      <c r="A158" s="398" t="str">
        <f>'0664'!A158</f>
        <v>Administrative fees:</v>
      </c>
      <c r="B158" s="328"/>
      <c r="C158" s="328"/>
      <c r="D158" s="328"/>
      <c r="E158" s="328"/>
      <c r="F158" s="328"/>
      <c r="G158" s="328"/>
      <c r="H158" s="328"/>
      <c r="I158" s="328"/>
      <c r="J158" s="3"/>
      <c r="K158" s="3"/>
      <c r="L158" s="3"/>
      <c r="M158" s="3"/>
      <c r="N158" s="81"/>
    </row>
    <row r="159" spans="1:14" s="79" customFormat="1" ht="15.75" customHeight="1" x14ac:dyDescent="0.25">
      <c r="A159" s="399" t="str">
        <f>'0664'!A159</f>
        <v xml:space="preserve">Administrative fees charged by the school district pursuant to s. 1002.33(20)(a), F.S., shall be calculated based upon 5% of available funds from the FEFP and categorical </v>
      </c>
      <c r="B159" s="328"/>
      <c r="C159" s="328"/>
      <c r="D159" s="328"/>
      <c r="E159" s="328"/>
      <c r="F159" s="328"/>
      <c r="G159" s="328"/>
      <c r="H159" s="328"/>
      <c r="I159" s="328"/>
      <c r="J159" s="3"/>
      <c r="K159" s="3"/>
      <c r="L159" s="3"/>
      <c r="M159" s="3"/>
      <c r="N159" s="81"/>
    </row>
    <row r="160" spans="1:14" s="79" customFormat="1" ht="15.75" customHeight="1" x14ac:dyDescent="0.25">
      <c r="A160" s="400" t="str">
        <f>'0664'!A160</f>
        <v>funding for which charter students may be eligible.  To calculate the administrative fee to be withheld for schools with more than 250 students, divide the school</v>
      </c>
      <c r="B160" s="328"/>
      <c r="C160" s="328"/>
      <c r="D160" s="328"/>
      <c r="E160" s="328"/>
      <c r="F160" s="328"/>
      <c r="G160" s="328"/>
      <c r="H160" s="328"/>
      <c r="I160" s="328"/>
      <c r="J160" s="3"/>
      <c r="K160" s="3"/>
      <c r="L160" s="3"/>
      <c r="M160" s="3"/>
      <c r="N160" s="81"/>
    </row>
    <row r="161" spans="1:21" s="79" customFormat="1" ht="15.75" customHeight="1" x14ac:dyDescent="0.25">
      <c r="A161" s="400" t="str">
        <f>'0664'!A161</f>
        <v xml:space="preserve">population into 250. Multiply that fraction times the funds available, then times 5%.  </v>
      </c>
      <c r="B161" s="328"/>
      <c r="C161" s="328"/>
      <c r="D161" s="328"/>
      <c r="E161" s="328"/>
      <c r="F161" s="328"/>
      <c r="G161" s="328"/>
      <c r="H161" s="328"/>
      <c r="I161" s="328"/>
      <c r="J161" s="3"/>
      <c r="K161" s="3"/>
      <c r="L161" s="3"/>
      <c r="M161" s="3"/>
      <c r="N161" s="81"/>
    </row>
    <row r="162" spans="1:21" s="79" customFormat="1" ht="15.75" customHeight="1" x14ac:dyDescent="0.25">
      <c r="A162" s="399"/>
      <c r="B162" s="394"/>
      <c r="C162" s="394"/>
      <c r="D162" s="394"/>
      <c r="E162" s="394"/>
      <c r="F162" s="394"/>
      <c r="G162" s="394"/>
      <c r="H162" s="394"/>
      <c r="I162" s="394"/>
      <c r="N162" s="77"/>
      <c r="O162" s="3"/>
      <c r="P162" s="3"/>
      <c r="Q162" s="3"/>
      <c r="R162" s="3"/>
      <c r="S162" s="3"/>
      <c r="T162" s="3"/>
      <c r="U162" s="3"/>
    </row>
    <row r="163" spans="1:21" ht="15.75" customHeight="1" x14ac:dyDescent="0.25">
      <c r="A163" s="399" t="str">
        <f>'0664'!A163</f>
        <v xml:space="preserve">For high performing charter schools, administrative fees charged by the school district shall be calculated based upon 2% of available funds from the FEFP and categorical </v>
      </c>
      <c r="B163" s="328"/>
      <c r="C163" s="328"/>
      <c r="D163" s="328"/>
      <c r="E163" s="328"/>
      <c r="F163" s="328"/>
      <c r="G163" s="328"/>
      <c r="H163" s="328"/>
      <c r="I163" s="328"/>
      <c r="J163" s="79"/>
      <c r="K163" s="79"/>
      <c r="L163" s="79"/>
      <c r="M163" s="79"/>
      <c r="N163" s="81"/>
      <c r="O163" s="79"/>
      <c r="P163" s="79"/>
      <c r="Q163" s="79"/>
      <c r="R163" s="79"/>
      <c r="S163" s="79"/>
      <c r="T163" s="79"/>
      <c r="U163" s="79"/>
    </row>
    <row r="164" spans="1:21" ht="15.75" customHeight="1" x14ac:dyDescent="0.25">
      <c r="A164" s="400" t="str">
        <f>'0664'!A164</f>
        <v>funding for which charter students may be eligible.  To calculate the administrative fee to be withheld for schools with more than 250 students, divide the school</v>
      </c>
      <c r="B164" s="381"/>
      <c r="C164" s="381"/>
      <c r="D164" s="381"/>
      <c r="E164" s="381"/>
      <c r="F164" s="381"/>
      <c r="G164" s="381"/>
      <c r="H164" s="381"/>
      <c r="I164" s="381"/>
      <c r="J164" s="79"/>
      <c r="K164" s="79"/>
      <c r="L164" s="79"/>
      <c r="M164" s="79"/>
      <c r="N164" s="81"/>
      <c r="O164" s="79"/>
      <c r="P164" s="79"/>
      <c r="Q164" s="79"/>
      <c r="R164" s="79"/>
      <c r="S164" s="79"/>
      <c r="T164" s="79"/>
      <c r="U164" s="79"/>
    </row>
    <row r="165" spans="1:21" s="79" customFormat="1" ht="15.75" customHeight="1" x14ac:dyDescent="0.2">
      <c r="A165" s="400" t="str">
        <f>'0664'!A165</f>
        <v xml:space="preserve">population into 250. Multiply that fraction times the funds available, then times 2%.  </v>
      </c>
      <c r="B165" s="328"/>
      <c r="C165" s="328"/>
      <c r="D165" s="328"/>
      <c r="E165" s="328"/>
      <c r="F165" s="328"/>
      <c r="G165" s="328"/>
      <c r="H165" s="328"/>
      <c r="I165" s="328"/>
      <c r="N165" s="81"/>
    </row>
    <row r="166" spans="1:21" x14ac:dyDescent="0.25">
      <c r="A166" s="356"/>
      <c r="N166" s="77"/>
    </row>
    <row r="167" spans="1:21" x14ac:dyDescent="0.25">
      <c r="A167" s="398" t="str">
        <f>'0664'!A167</f>
        <v>Other:</v>
      </c>
      <c r="N167" s="77"/>
    </row>
    <row r="168" spans="1:21" x14ac:dyDescent="0.25">
      <c r="A168" s="399" t="str">
        <f>'0664'!A168</f>
        <v>FEFP and categorical funding are recalculated during the year to reflect the revised number of full-time equivalent students reported during the survey periods designated</v>
      </c>
      <c r="N168" s="77"/>
    </row>
    <row r="169" spans="1:21" x14ac:dyDescent="0.25">
      <c r="A169" s="402" t="str">
        <f>'0664'!A169</f>
        <v>by the Commissioner of Education.</v>
      </c>
      <c r="N169" s="77"/>
    </row>
    <row r="170" spans="1:21" x14ac:dyDescent="0.25">
      <c r="A170" s="399" t="str">
        <f>'0664'!A170</f>
        <v>Revenues flow to districts from state sources and from county tax collectors on various distribution schedules.</v>
      </c>
      <c r="N170" s="77"/>
    </row>
    <row r="171" spans="1:21" x14ac:dyDescent="0.25">
      <c r="A171" s="77"/>
      <c r="N171" s="77"/>
    </row>
    <row r="172" spans="1:21" x14ac:dyDescent="0.25">
      <c r="A172" s="77"/>
      <c r="N172" s="77"/>
    </row>
    <row r="173" spans="1:21" x14ac:dyDescent="0.25">
      <c r="A173" s="77"/>
      <c r="N173" s="77"/>
    </row>
    <row r="174" spans="1:21" x14ac:dyDescent="0.25">
      <c r="A174" s="77"/>
      <c r="N174" s="77"/>
    </row>
    <row r="175" spans="1:21" x14ac:dyDescent="0.25">
      <c r="A175" s="77"/>
      <c r="N175" s="77"/>
    </row>
    <row r="176" spans="1:21" x14ac:dyDescent="0.25">
      <c r="A176" s="77"/>
      <c r="N176" s="77"/>
    </row>
    <row r="177" spans="1:14" x14ac:dyDescent="0.25">
      <c r="A177" s="77"/>
      <c r="N177" s="77"/>
    </row>
    <row r="178" spans="1:14" x14ac:dyDescent="0.25">
      <c r="A178" s="77"/>
      <c r="N178" s="77"/>
    </row>
    <row r="179" spans="1:14" x14ac:dyDescent="0.25">
      <c r="A179" s="77"/>
      <c r="N179" s="77"/>
    </row>
    <row r="180" spans="1:14" x14ac:dyDescent="0.25">
      <c r="A180" s="77"/>
      <c r="N180" s="77"/>
    </row>
    <row r="181" spans="1:14" x14ac:dyDescent="0.25">
      <c r="A181" s="77"/>
      <c r="N181" s="77"/>
    </row>
    <row r="182" spans="1:14" x14ac:dyDescent="0.25">
      <c r="A182" s="77"/>
      <c r="N182" s="77"/>
    </row>
    <row r="183" spans="1:14" x14ac:dyDescent="0.25">
      <c r="A183" s="77"/>
      <c r="N183" s="77"/>
    </row>
    <row r="184" spans="1:14" x14ac:dyDescent="0.25">
      <c r="A184" s="77"/>
      <c r="N184" s="77"/>
    </row>
    <row r="185" spans="1:14" x14ac:dyDescent="0.25">
      <c r="A185" s="77"/>
      <c r="N185" s="77"/>
    </row>
    <row r="186" spans="1:14" x14ac:dyDescent="0.25">
      <c r="A186" s="77"/>
      <c r="N186" s="77"/>
    </row>
    <row r="187" spans="1:14" x14ac:dyDescent="0.25">
      <c r="A187" s="77"/>
      <c r="N187" s="77"/>
    </row>
    <row r="188" spans="1:14" x14ac:dyDescent="0.25">
      <c r="A188" s="77"/>
    </row>
    <row r="189" spans="1:14" x14ac:dyDescent="0.25">
      <c r="A189" s="77"/>
    </row>
    <row r="190" spans="1:14" x14ac:dyDescent="0.25">
      <c r="A190" s="77"/>
    </row>
    <row r="191" spans="1:14" x14ac:dyDescent="0.25">
      <c r="A191" s="77"/>
    </row>
    <row r="192" spans="1:14" x14ac:dyDescent="0.25">
      <c r="A192" s="77"/>
    </row>
    <row r="193" spans="1:1" x14ac:dyDescent="0.25">
      <c r="A193" s="77"/>
    </row>
    <row r="194" spans="1:1" x14ac:dyDescent="0.25">
      <c r="A194" s="77"/>
    </row>
    <row r="195" spans="1:1" x14ac:dyDescent="0.25">
      <c r="A195" s="77"/>
    </row>
    <row r="196" spans="1:1" x14ac:dyDescent="0.25">
      <c r="A196" s="77"/>
    </row>
    <row r="197" spans="1:1" x14ac:dyDescent="0.25">
      <c r="A197" s="77"/>
    </row>
    <row r="198" spans="1:1" x14ac:dyDescent="0.25">
      <c r="A198" s="77"/>
    </row>
    <row r="199" spans="1:1" x14ac:dyDescent="0.25">
      <c r="A199" s="77"/>
    </row>
    <row r="200" spans="1:1" x14ac:dyDescent="0.25">
      <c r="A200" s="77"/>
    </row>
    <row r="201" spans="1:1" x14ac:dyDescent="0.25">
      <c r="A201" s="77"/>
    </row>
    <row r="202" spans="1:1" x14ac:dyDescent="0.25">
      <c r="A202" s="77"/>
    </row>
    <row r="203" spans="1:1" x14ac:dyDescent="0.25">
      <c r="A203" s="77"/>
    </row>
    <row r="204" spans="1:1" x14ac:dyDescent="0.25">
      <c r="A204" s="77"/>
    </row>
    <row r="205" spans="1:1" x14ac:dyDescent="0.25">
      <c r="A205" s="77"/>
    </row>
    <row r="206" spans="1:1" x14ac:dyDescent="0.25">
      <c r="A206" s="77"/>
    </row>
  </sheetData>
  <mergeCells count="266">
    <mergeCell ref="A11:B11"/>
    <mergeCell ref="A119:G119"/>
    <mergeCell ref="N120:U120"/>
    <mergeCell ref="A120:G120"/>
    <mergeCell ref="R109:S109"/>
    <mergeCell ref="A107:B107"/>
    <mergeCell ref="F107:G107"/>
    <mergeCell ref="N107:O107"/>
    <mergeCell ref="A112:C112"/>
    <mergeCell ref="F112:H112"/>
    <mergeCell ref="A108:B108"/>
    <mergeCell ref="F108:G108"/>
    <mergeCell ref="N108:O108"/>
    <mergeCell ref="P108:Q108"/>
    <mergeCell ref="R108:S108"/>
    <mergeCell ref="C104:E104"/>
    <mergeCell ref="F105:G105"/>
    <mergeCell ref="A106:B106"/>
    <mergeCell ref="F106:G106"/>
    <mergeCell ref="N106:O106"/>
    <mergeCell ref="P106:Q106"/>
    <mergeCell ref="R106:S106"/>
    <mergeCell ref="P107:Q107"/>
    <mergeCell ref="R107:S107"/>
    <mergeCell ref="N139:U139"/>
    <mergeCell ref="N119:U119"/>
    <mergeCell ref="N113:P113"/>
    <mergeCell ref="A113:C113"/>
    <mergeCell ref="F113:H113"/>
    <mergeCell ref="N114:T114"/>
    <mergeCell ref="A115:H115"/>
    <mergeCell ref="N112:P112"/>
    <mergeCell ref="A109:B109"/>
    <mergeCell ref="F109:G109"/>
    <mergeCell ref="N109:O109"/>
    <mergeCell ref="P109:Q109"/>
    <mergeCell ref="A110:B110"/>
    <mergeCell ref="N110:O110"/>
    <mergeCell ref="A99:B99"/>
    <mergeCell ref="N99:O99"/>
    <mergeCell ref="P99:R99"/>
    <mergeCell ref="A100:B100"/>
    <mergeCell ref="N100:O100"/>
    <mergeCell ref="P100:R100"/>
    <mergeCell ref="A103:C103"/>
    <mergeCell ref="F103:I103"/>
    <mergeCell ref="N103:U103"/>
    <mergeCell ref="C91:D91"/>
    <mergeCell ref="P91:Q91"/>
    <mergeCell ref="C92:D92"/>
    <mergeCell ref="P92:Q92"/>
    <mergeCell ref="C93:D93"/>
    <mergeCell ref="P93:T93"/>
    <mergeCell ref="A94:I94"/>
    <mergeCell ref="N94:U94"/>
    <mergeCell ref="F96:I96"/>
    <mergeCell ref="N96:P96"/>
    <mergeCell ref="Q96:T96"/>
    <mergeCell ref="A87:I87"/>
    <mergeCell ref="N87:U87"/>
    <mergeCell ref="C88:D88"/>
    <mergeCell ref="C89:D89"/>
    <mergeCell ref="N89:O89"/>
    <mergeCell ref="P89:Q89"/>
    <mergeCell ref="R89:U89"/>
    <mergeCell ref="C90:D90"/>
    <mergeCell ref="P90:Q90"/>
    <mergeCell ref="A80:C80"/>
    <mergeCell ref="N80:P80"/>
    <mergeCell ref="A85:C85"/>
    <mergeCell ref="N85:P85"/>
    <mergeCell ref="F73:H73"/>
    <mergeCell ref="N73:T73"/>
    <mergeCell ref="N74:T74"/>
    <mergeCell ref="A78:C78"/>
    <mergeCell ref="N78:P78"/>
    <mergeCell ref="A79:C79"/>
    <mergeCell ref="A69:C69"/>
    <mergeCell ref="N69:P69"/>
    <mergeCell ref="N79:P79"/>
    <mergeCell ref="A76:C76"/>
    <mergeCell ref="N76:P76"/>
    <mergeCell ref="A77:C77"/>
    <mergeCell ref="A70:C70"/>
    <mergeCell ref="A71:C71"/>
    <mergeCell ref="N71:P71"/>
    <mergeCell ref="A72:C72"/>
    <mergeCell ref="N77:P77"/>
    <mergeCell ref="N72:P72"/>
    <mergeCell ref="A65:B65"/>
    <mergeCell ref="D65:G65"/>
    <mergeCell ref="N65:O65"/>
    <mergeCell ref="Q65:S65"/>
    <mergeCell ref="T65:U65"/>
    <mergeCell ref="N66:S66"/>
    <mergeCell ref="T66:U66"/>
    <mergeCell ref="A68:C68"/>
    <mergeCell ref="N68:P68"/>
    <mergeCell ref="A62:B62"/>
    <mergeCell ref="D62:G62"/>
    <mergeCell ref="N62:O62"/>
    <mergeCell ref="Q62:S62"/>
    <mergeCell ref="T62:U62"/>
    <mergeCell ref="N63:S63"/>
    <mergeCell ref="T63:U63"/>
    <mergeCell ref="A64:I64"/>
    <mergeCell ref="N64:U64"/>
    <mergeCell ref="A59:B59"/>
    <mergeCell ref="F59:H59"/>
    <mergeCell ref="N59:O59"/>
    <mergeCell ref="P59:Q59"/>
    <mergeCell ref="R59:T59"/>
    <mergeCell ref="A60:I60"/>
    <mergeCell ref="N60:U60"/>
    <mergeCell ref="A61:I61"/>
    <mergeCell ref="N61:U61"/>
    <mergeCell ref="A50:B58"/>
    <mergeCell ref="N50:O58"/>
    <mergeCell ref="P50:Q50"/>
    <mergeCell ref="P51:Q51"/>
    <mergeCell ref="P52:Q52"/>
    <mergeCell ref="P53:Q53"/>
    <mergeCell ref="P54:Q54"/>
    <mergeCell ref="P55:Q55"/>
    <mergeCell ref="P56:Q56"/>
    <mergeCell ref="P57:Q57"/>
    <mergeCell ref="P58:Q58"/>
    <mergeCell ref="A42:B42"/>
    <mergeCell ref="N42:O42"/>
    <mergeCell ref="P42:T42"/>
    <mergeCell ref="N43:Q43"/>
    <mergeCell ref="S43:T43"/>
    <mergeCell ref="N45:Q45"/>
    <mergeCell ref="S45:T45"/>
    <mergeCell ref="N49:O49"/>
    <mergeCell ref="P49:Q49"/>
    <mergeCell ref="A39:B39"/>
    <mergeCell ref="N39:O39"/>
    <mergeCell ref="P39:T39"/>
    <mergeCell ref="A40:B40"/>
    <mergeCell ref="N40:O40"/>
    <mergeCell ref="P40:T40"/>
    <mergeCell ref="A41:B41"/>
    <mergeCell ref="N41:O41"/>
    <mergeCell ref="P41:T41"/>
    <mergeCell ref="N34:T34"/>
    <mergeCell ref="A36:B36"/>
    <mergeCell ref="N36:O36"/>
    <mergeCell ref="P36:T36"/>
    <mergeCell ref="A37:B37"/>
    <mergeCell ref="N37:O37"/>
    <mergeCell ref="P37:T37"/>
    <mergeCell ref="F33:H36"/>
    <mergeCell ref="A38:B38"/>
    <mergeCell ref="N38:O38"/>
    <mergeCell ref="P38:T38"/>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A20:B20"/>
    <mergeCell ref="F20:G20"/>
    <mergeCell ref="N20:O20"/>
    <mergeCell ref="P20:Q20"/>
    <mergeCell ref="R20:S20"/>
    <mergeCell ref="A21:B21"/>
    <mergeCell ref="F21:G21"/>
    <mergeCell ref="N21:O21"/>
    <mergeCell ref="P21:Q21"/>
    <mergeCell ref="R21:S21"/>
    <mergeCell ref="A18:B18"/>
    <mergeCell ref="F18:G18"/>
    <mergeCell ref="N18:O18"/>
    <mergeCell ref="P18:Q18"/>
    <mergeCell ref="R18:S18"/>
    <mergeCell ref="A19:B19"/>
    <mergeCell ref="F19:G19"/>
    <mergeCell ref="N19:O19"/>
    <mergeCell ref="P19:Q19"/>
    <mergeCell ref="R19:S19"/>
    <mergeCell ref="A16:B16"/>
    <mergeCell ref="F16:G16"/>
    <mergeCell ref="N16:O16"/>
    <mergeCell ref="P16:Q16"/>
    <mergeCell ref="R16:S16"/>
    <mergeCell ref="A17:B17"/>
    <mergeCell ref="F17:G17"/>
    <mergeCell ref="N17:O17"/>
    <mergeCell ref="P17:Q17"/>
    <mergeCell ref="R17:S17"/>
    <mergeCell ref="A14:B14"/>
    <mergeCell ref="F14:G14"/>
    <mergeCell ref="N14:O14"/>
    <mergeCell ref="P14:Q14"/>
    <mergeCell ref="R14:S14"/>
    <mergeCell ref="A15:B15"/>
    <mergeCell ref="F15:G15"/>
    <mergeCell ref="N15:O15"/>
    <mergeCell ref="P15:Q15"/>
    <mergeCell ref="R15:S15"/>
    <mergeCell ref="A12:B12"/>
    <mergeCell ref="F12:G12"/>
    <mergeCell ref="N12:O12"/>
    <mergeCell ref="P12:Q12"/>
    <mergeCell ref="R12:S12"/>
    <mergeCell ref="A13:B13"/>
    <mergeCell ref="F13:G13"/>
    <mergeCell ref="N13:O13"/>
    <mergeCell ref="P13:Q13"/>
    <mergeCell ref="R13:S13"/>
    <mergeCell ref="N8:O8"/>
    <mergeCell ref="P8:Q8"/>
    <mergeCell ref="R8:S8"/>
    <mergeCell ref="T8:U8"/>
    <mergeCell ref="F10:G10"/>
    <mergeCell ref="R10:S10"/>
    <mergeCell ref="F11:G11"/>
    <mergeCell ref="N11:O11"/>
    <mergeCell ref="P11:Q11"/>
    <mergeCell ref="R11:S11"/>
    <mergeCell ref="B1:I1"/>
    <mergeCell ref="O1:U1"/>
    <mergeCell ref="N2:U2"/>
    <mergeCell ref="N3:U3"/>
    <mergeCell ref="A4:B4"/>
    <mergeCell ref="C4:E4"/>
    <mergeCell ref="N4:O4"/>
    <mergeCell ref="P4:Q4"/>
    <mergeCell ref="A7:I7"/>
    <mergeCell ref="N7:U7"/>
  </mergeCells>
  <pageMargins left="0.1" right="0.1" top="0.5" bottom="0.5" header="0" footer="0.1"/>
  <pageSetup scale="70" fitToHeight="3" orientation="portrait" r:id="rId1"/>
  <headerFooter alignWithMargins="0">
    <oddFooter>&amp;R&amp;P of &amp;N</oddFooter>
  </headerFooter>
  <rowBreaks count="1" manualBreakCount="1">
    <brk id="138" max="16383" man="1"/>
  </rowBreaks>
  <colBreaks count="1" manualBreakCount="1">
    <brk id="9" max="1048575" man="1"/>
  </colBreaks>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CCFFCC"/>
  </sheetPr>
  <dimension ref="A1:U206"/>
  <sheetViews>
    <sheetView showGridLines="0" zoomScaleNormal="100" workbookViewId="0">
      <pane ySplit="1" topLeftCell="A14" activePane="bottomLeft" state="frozen"/>
      <selection activeCell="I9" sqref="I9"/>
      <selection pane="bottomLeft" activeCell="E22" sqref="E22:E24"/>
    </sheetView>
  </sheetViews>
  <sheetFormatPr defaultRowHeight="15.75" x14ac:dyDescent="0.25"/>
  <cols>
    <col min="1" max="1" width="10.28515625" style="72"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72"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5">
        <v>50</v>
      </c>
      <c r="B1" s="441" t="s">
        <v>17</v>
      </c>
      <c r="C1" s="442"/>
      <c r="D1" s="442"/>
      <c r="E1" s="442"/>
      <c r="F1" s="442"/>
      <c r="G1" s="442"/>
      <c r="H1" s="442"/>
      <c r="I1" s="442"/>
      <c r="J1" s="157"/>
      <c r="K1" s="157"/>
      <c r="L1" s="157"/>
      <c r="N1" s="85">
        <f>A1</f>
        <v>50</v>
      </c>
      <c r="O1" s="527" t="s">
        <v>17</v>
      </c>
      <c r="P1" s="528"/>
      <c r="Q1" s="528"/>
      <c r="R1" s="528"/>
      <c r="S1" s="528"/>
      <c r="T1" s="528"/>
      <c r="U1" s="528"/>
    </row>
    <row r="2" spans="1:21" ht="21" x14ac:dyDescent="0.35">
      <c r="A2" s="1" t="s">
        <v>160</v>
      </c>
      <c r="B2" s="2"/>
      <c r="C2" s="2"/>
      <c r="D2" s="2"/>
      <c r="E2" s="2"/>
      <c r="F2" s="2"/>
      <c r="G2" s="2"/>
      <c r="H2" s="2"/>
      <c r="I2" s="2"/>
      <c r="N2" s="529" t="s">
        <v>23</v>
      </c>
      <c r="O2" s="529"/>
      <c r="P2" s="529"/>
      <c r="Q2" s="529"/>
      <c r="R2" s="529"/>
      <c r="S2" s="529"/>
      <c r="T2" s="529"/>
      <c r="U2" s="529"/>
    </row>
    <row r="3" spans="1:21" x14ac:dyDescent="0.25">
      <c r="A3" s="84" t="str">
        <f>'0664'!A3</f>
        <v>Based on the FLDOE 2022-23 FEFP Third Calculation</v>
      </c>
      <c r="N3" s="485" t="str">
        <f>A3</f>
        <v>Based on the FLDOE 2022-23 FEFP Third Calculation</v>
      </c>
      <c r="O3" s="485"/>
      <c r="P3" s="485"/>
      <c r="Q3" s="485"/>
      <c r="R3" s="485"/>
      <c r="S3" s="485"/>
      <c r="T3" s="485"/>
      <c r="U3" s="485"/>
    </row>
    <row r="4" spans="1:21" x14ac:dyDescent="0.25">
      <c r="A4" s="443" t="s">
        <v>0</v>
      </c>
      <c r="B4" s="443"/>
      <c r="C4" s="444" t="s">
        <v>9</v>
      </c>
      <c r="D4" s="444"/>
      <c r="E4" s="444"/>
      <c r="F4" s="4" t="str">
        <f>'0664'!F4</f>
        <v>Apr 2023</v>
      </c>
      <c r="G4" s="4"/>
      <c r="H4" s="4"/>
      <c r="I4" s="4"/>
      <c r="N4" s="530" t="s">
        <v>0</v>
      </c>
      <c r="O4" s="530"/>
      <c r="P4" s="531" t="str">
        <f>C4</f>
        <v>Palm Beach</v>
      </c>
      <c r="Q4" s="531"/>
      <c r="R4" s="5"/>
      <c r="S4" s="5"/>
      <c r="T4" s="5"/>
      <c r="U4" s="5"/>
    </row>
    <row r="5" spans="1:21" ht="12" customHeight="1" thickBot="1" x14ac:dyDescent="0.3">
      <c r="A5" s="262"/>
      <c r="B5" s="262"/>
      <c r="C5" s="253"/>
      <c r="D5" s="253"/>
      <c r="E5" s="253"/>
      <c r="F5" s="254"/>
      <c r="G5" s="254"/>
      <c r="H5" s="254"/>
      <c r="I5" s="254"/>
      <c r="N5" s="86"/>
      <c r="O5" s="86"/>
      <c r="P5" s="6"/>
      <c r="Q5" s="6"/>
      <c r="R5" s="5"/>
      <c r="S5" s="5"/>
      <c r="T5" s="5"/>
      <c r="U5" s="5"/>
    </row>
    <row r="6" spans="1:21" ht="12" customHeight="1" x14ac:dyDescent="0.25">
      <c r="A6" s="150"/>
      <c r="B6" s="150"/>
      <c r="C6" s="261"/>
      <c r="D6" s="261"/>
      <c r="E6" s="261"/>
      <c r="F6" s="4"/>
      <c r="G6" s="4"/>
      <c r="H6" s="4"/>
      <c r="I6" s="4"/>
      <c r="N6" s="86"/>
      <c r="O6" s="86"/>
      <c r="P6" s="6"/>
      <c r="Q6" s="6"/>
      <c r="R6" s="5"/>
      <c r="S6" s="5"/>
      <c r="T6" s="5"/>
      <c r="U6" s="5"/>
    </row>
    <row r="7" spans="1:21" x14ac:dyDescent="0.25">
      <c r="A7" s="445" t="str">
        <f>'0664'!A7:I7</f>
        <v>1.   2022-23 FEFP State and Local Funding</v>
      </c>
      <c r="B7" s="533"/>
      <c r="C7" s="533"/>
      <c r="D7" s="533"/>
      <c r="E7" s="533"/>
      <c r="F7" s="533"/>
      <c r="G7" s="533"/>
      <c r="H7" s="533"/>
      <c r="I7" s="533"/>
      <c r="N7" s="530" t="s">
        <v>86</v>
      </c>
      <c r="O7" s="530"/>
      <c r="P7" s="530"/>
      <c r="Q7" s="530"/>
      <c r="R7" s="530"/>
      <c r="S7" s="530"/>
      <c r="T7" s="530"/>
      <c r="U7" s="530"/>
    </row>
    <row r="8" spans="1:21" x14ac:dyDescent="0.25">
      <c r="A8" s="87"/>
      <c r="B8" s="88" t="s">
        <v>123</v>
      </c>
      <c r="C8" s="334">
        <f>'0664'!C8</f>
        <v>4587.3999999999996</v>
      </c>
      <c r="D8" s="89"/>
      <c r="E8" s="90"/>
      <c r="F8" s="87"/>
      <c r="G8" s="88" t="s">
        <v>122</v>
      </c>
      <c r="H8" s="320">
        <f>'0664'!H8</f>
        <v>1.0438000000000001</v>
      </c>
      <c r="I8" s="78"/>
      <c r="N8" s="534" t="s">
        <v>10</v>
      </c>
      <c r="O8" s="534"/>
      <c r="P8" s="535">
        <v>4154.45</v>
      </c>
      <c r="Q8" s="535"/>
      <c r="R8" s="518" t="s">
        <v>11</v>
      </c>
      <c r="S8" s="518"/>
      <c r="T8" s="519">
        <f>H8</f>
        <v>1.0438000000000001</v>
      </c>
      <c r="U8" s="519"/>
    </row>
    <row r="9" spans="1:21" x14ac:dyDescent="0.25">
      <c r="A9" s="7"/>
      <c r="B9" s="44" t="s">
        <v>370</v>
      </c>
      <c r="C9" s="41" t="s">
        <v>370</v>
      </c>
      <c r="D9" s="91" t="s">
        <v>370</v>
      </c>
      <c r="E9" s="8"/>
      <c r="F9" s="9"/>
      <c r="G9" s="9"/>
      <c r="H9" s="10"/>
      <c r="I9" s="340" t="str">
        <f>'0664'!I9</f>
        <v>2022-23</v>
      </c>
      <c r="N9" s="12"/>
      <c r="O9" s="12"/>
      <c r="P9" s="13"/>
      <c r="Q9" s="13"/>
      <c r="R9" s="14"/>
      <c r="S9" s="14"/>
      <c r="T9" s="15"/>
      <c r="U9" s="405" t="s">
        <v>405</v>
      </c>
    </row>
    <row r="10" spans="1:21" x14ac:dyDescent="0.25">
      <c r="A10" s="7"/>
      <c r="B10" s="7"/>
      <c r="C10" s="91" t="s">
        <v>463</v>
      </c>
      <c r="D10" s="371" t="s">
        <v>464</v>
      </c>
      <c r="E10" s="92" t="s">
        <v>8</v>
      </c>
      <c r="F10" s="446" t="s">
        <v>1</v>
      </c>
      <c r="G10" s="446"/>
      <c r="H10" s="10" t="s">
        <v>73</v>
      </c>
      <c r="I10" s="11" t="s">
        <v>36</v>
      </c>
      <c r="N10" s="12"/>
      <c r="O10" s="12"/>
      <c r="P10" s="13"/>
      <c r="Q10" s="13"/>
      <c r="R10" s="520" t="s">
        <v>1</v>
      </c>
      <c r="S10" s="520"/>
      <c r="T10" s="15" t="s">
        <v>73</v>
      </c>
      <c r="U10" s="16" t="s">
        <v>36</v>
      </c>
    </row>
    <row r="11" spans="1:21" x14ac:dyDescent="0.25">
      <c r="A11" s="447" t="s">
        <v>1</v>
      </c>
      <c r="B11" s="447"/>
      <c r="C11" s="362" t="s">
        <v>2</v>
      </c>
      <c r="D11" s="362" t="s">
        <v>2</v>
      </c>
      <c r="E11" s="362" t="s">
        <v>2</v>
      </c>
      <c r="F11" s="448" t="s">
        <v>76</v>
      </c>
      <c r="G11" s="448"/>
      <c r="H11" s="17" t="s">
        <v>72</v>
      </c>
      <c r="I11" s="18" t="s">
        <v>75</v>
      </c>
      <c r="N11" s="510" t="s">
        <v>1</v>
      </c>
      <c r="O11" s="510"/>
      <c r="P11" s="521" t="s">
        <v>24</v>
      </c>
      <c r="Q11" s="521"/>
      <c r="R11" s="522" t="s">
        <v>76</v>
      </c>
      <c r="S11" s="522"/>
      <c r="T11" s="19" t="s">
        <v>72</v>
      </c>
      <c r="U11" s="20" t="s">
        <v>75</v>
      </c>
    </row>
    <row r="12" spans="1:21" x14ac:dyDescent="0.25">
      <c r="A12" s="449" t="s">
        <v>47</v>
      </c>
      <c r="B12" s="449"/>
      <c r="C12" s="94"/>
      <c r="D12" s="94"/>
      <c r="E12" s="95" t="s">
        <v>48</v>
      </c>
      <c r="F12" s="450" t="s">
        <v>49</v>
      </c>
      <c r="G12" s="450"/>
      <c r="H12" s="21" t="s">
        <v>50</v>
      </c>
      <c r="I12" s="22" t="s">
        <v>51</v>
      </c>
      <c r="N12" s="523" t="s">
        <v>47</v>
      </c>
      <c r="O12" s="523"/>
      <c r="P12" s="524" t="s">
        <v>48</v>
      </c>
      <c r="Q12" s="524"/>
      <c r="R12" s="525" t="s">
        <v>49</v>
      </c>
      <c r="S12" s="525"/>
      <c r="T12" s="23" t="s">
        <v>50</v>
      </c>
      <c r="U12" s="24" t="s">
        <v>51</v>
      </c>
    </row>
    <row r="13" spans="1:21" x14ac:dyDescent="0.25">
      <c r="A13" s="451" t="s">
        <v>29</v>
      </c>
      <c r="B13" s="451"/>
      <c r="C13" s="165">
        <v>0.25</v>
      </c>
      <c r="D13" s="165">
        <v>0</v>
      </c>
      <c r="E13" s="210">
        <f>IF(D$29=0,C13*2,C13+D13)</f>
        <v>0.25</v>
      </c>
      <c r="F13" s="537">
        <f>'0664'!F13:G13</f>
        <v>1.1259999999999999</v>
      </c>
      <c r="G13" s="537"/>
      <c r="H13" s="167">
        <f>ROUND(E13*F13,4)</f>
        <v>0.28149999999999997</v>
      </c>
      <c r="I13" s="119">
        <f t="shared" ref="I13:I28" si="0">ROUND(ROUND(H13*$C$8,4)*($H$8),2)</f>
        <v>1347.91</v>
      </c>
      <c r="N13" s="512" t="s">
        <v>29</v>
      </c>
      <c r="O13" s="512"/>
      <c r="P13" s="513">
        <f t="shared" ref="P13:P28" si="1">IF($H$120=1,E13,0)</f>
        <v>0.25</v>
      </c>
      <c r="Q13" s="513"/>
      <c r="R13" s="526">
        <v>1</v>
      </c>
      <c r="S13" s="526"/>
      <c r="T13" s="98">
        <f>ROUND(P13*R13,4)</f>
        <v>0.25</v>
      </c>
      <c r="U13" s="99">
        <f t="shared" ref="U13:U28" si="2">ROUND(ROUND(T13*$C$8,4)*($H$8),0)</f>
        <v>1197</v>
      </c>
    </row>
    <row r="14" spans="1:21" x14ac:dyDescent="0.25">
      <c r="A14" s="453" t="s">
        <v>30</v>
      </c>
      <c r="B14" s="453"/>
      <c r="C14" s="165">
        <v>4.75</v>
      </c>
      <c r="D14" s="165">
        <v>6</v>
      </c>
      <c r="E14" s="125">
        <f t="shared" ref="E14:E28" si="3">IF(D$29=0,C14*2,C14+D14)</f>
        <v>10.75</v>
      </c>
      <c r="F14" s="532">
        <f>'0664'!F14:G14</f>
        <v>1.1259999999999999</v>
      </c>
      <c r="G14" s="532"/>
      <c r="H14" s="83">
        <f t="shared" ref="H14:H28" si="4">ROUND(E14*F14,4)</f>
        <v>12.1045</v>
      </c>
      <c r="I14" s="104">
        <f t="shared" si="0"/>
        <v>57960.32</v>
      </c>
      <c r="J14" s="68" t="str">
        <f>IF(ROUND(E14,2)=ROUND(SUM(E50:E52),2)," ","CHECK PK-3 LINES BELOW")</f>
        <v xml:space="preserve"> </v>
      </c>
      <c r="N14" s="479" t="s">
        <v>30</v>
      </c>
      <c r="O14" s="479"/>
      <c r="P14" s="513">
        <f t="shared" si="1"/>
        <v>10.75</v>
      </c>
      <c r="Q14" s="513"/>
      <c r="R14" s="517">
        <v>1</v>
      </c>
      <c r="S14" s="517"/>
      <c r="T14" s="98">
        <f t="shared" ref="T14:T28" si="5">ROUND(P14*R14,4)</f>
        <v>10.75</v>
      </c>
      <c r="U14" s="99">
        <f t="shared" si="2"/>
        <v>51475</v>
      </c>
    </row>
    <row r="15" spans="1:21" x14ac:dyDescent="0.25">
      <c r="A15" s="453" t="s">
        <v>31</v>
      </c>
      <c r="B15" s="453"/>
      <c r="C15" s="165">
        <v>0</v>
      </c>
      <c r="D15" s="165">
        <v>0</v>
      </c>
      <c r="E15" s="125">
        <f t="shared" si="3"/>
        <v>0</v>
      </c>
      <c r="F15" s="532">
        <f>'0664'!F15:G15</f>
        <v>1</v>
      </c>
      <c r="G15" s="532"/>
      <c r="H15" s="83">
        <f t="shared" si="4"/>
        <v>0</v>
      </c>
      <c r="I15" s="104">
        <f t="shared" si="0"/>
        <v>0</v>
      </c>
      <c r="N15" s="479" t="s">
        <v>31</v>
      </c>
      <c r="O15" s="479"/>
      <c r="P15" s="513">
        <f t="shared" si="1"/>
        <v>0</v>
      </c>
      <c r="Q15" s="513"/>
      <c r="R15" s="517">
        <v>1</v>
      </c>
      <c r="S15" s="517"/>
      <c r="T15" s="98">
        <f t="shared" si="5"/>
        <v>0</v>
      </c>
      <c r="U15" s="99">
        <f t="shared" si="2"/>
        <v>0</v>
      </c>
    </row>
    <row r="16" spans="1:21" x14ac:dyDescent="0.25">
      <c r="A16" s="453" t="s">
        <v>32</v>
      </c>
      <c r="B16" s="453"/>
      <c r="C16" s="165">
        <v>11</v>
      </c>
      <c r="D16" s="165">
        <v>10.5</v>
      </c>
      <c r="E16" s="125">
        <f t="shared" si="3"/>
        <v>21.5</v>
      </c>
      <c r="F16" s="532">
        <f>'0664'!F16:G16</f>
        <v>1</v>
      </c>
      <c r="G16" s="532"/>
      <c r="H16" s="83">
        <f t="shared" si="4"/>
        <v>21.5</v>
      </c>
      <c r="I16" s="104">
        <f t="shared" si="0"/>
        <v>102949.05</v>
      </c>
      <c r="J16" s="68" t="str">
        <f>IF(ROUND(E16,2)=ROUND(SUM(E53:E55),2)," ","CHECK 4-8 LINES BELOW")</f>
        <v xml:space="preserve"> </v>
      </c>
      <c r="N16" s="479" t="s">
        <v>32</v>
      </c>
      <c r="O16" s="479"/>
      <c r="P16" s="513">
        <f t="shared" si="1"/>
        <v>21.5</v>
      </c>
      <c r="Q16" s="513"/>
      <c r="R16" s="517">
        <v>1</v>
      </c>
      <c r="S16" s="517"/>
      <c r="T16" s="98">
        <f t="shared" si="5"/>
        <v>21.5</v>
      </c>
      <c r="U16" s="99">
        <f t="shared" si="2"/>
        <v>102949</v>
      </c>
    </row>
    <row r="17" spans="1:21" x14ac:dyDescent="0.25">
      <c r="A17" s="453" t="s">
        <v>33</v>
      </c>
      <c r="B17" s="453"/>
      <c r="C17" s="165">
        <v>0</v>
      </c>
      <c r="D17" s="165">
        <v>0</v>
      </c>
      <c r="E17" s="125">
        <f t="shared" si="3"/>
        <v>0</v>
      </c>
      <c r="F17" s="532">
        <f>'0664'!F17:G17</f>
        <v>0.999</v>
      </c>
      <c r="G17" s="532"/>
      <c r="H17" s="83">
        <f t="shared" si="4"/>
        <v>0</v>
      </c>
      <c r="I17" s="104">
        <f t="shared" si="0"/>
        <v>0</v>
      </c>
      <c r="N17" s="479" t="s">
        <v>33</v>
      </c>
      <c r="O17" s="479"/>
      <c r="P17" s="513">
        <f t="shared" si="1"/>
        <v>0</v>
      </c>
      <c r="Q17" s="513"/>
      <c r="R17" s="517">
        <v>1</v>
      </c>
      <c r="S17" s="517"/>
      <c r="T17" s="98">
        <f t="shared" si="5"/>
        <v>0</v>
      </c>
      <c r="U17" s="99">
        <f t="shared" si="2"/>
        <v>0</v>
      </c>
    </row>
    <row r="18" spans="1:21" x14ac:dyDescent="0.25">
      <c r="A18" s="453" t="s">
        <v>34</v>
      </c>
      <c r="B18" s="453"/>
      <c r="C18" s="165">
        <v>21.84</v>
      </c>
      <c r="D18" s="165">
        <v>24.98</v>
      </c>
      <c r="E18" s="125">
        <f t="shared" si="3"/>
        <v>46.82</v>
      </c>
      <c r="F18" s="532">
        <f>'0664'!F18:G18</f>
        <v>0.999</v>
      </c>
      <c r="G18" s="532"/>
      <c r="H18" s="83">
        <f t="shared" si="4"/>
        <v>46.773200000000003</v>
      </c>
      <c r="I18" s="104">
        <f t="shared" si="0"/>
        <v>223965.43</v>
      </c>
      <c r="J18" s="68" t="str">
        <f>IF(ROUND(E18,2)=ROUND(SUM(E56:E58),2)," ","CHECK 4-8 LINES BELOW")</f>
        <v xml:space="preserve"> </v>
      </c>
      <c r="N18" s="479" t="s">
        <v>34</v>
      </c>
      <c r="O18" s="479"/>
      <c r="P18" s="513">
        <f t="shared" si="1"/>
        <v>46.82</v>
      </c>
      <c r="Q18" s="513"/>
      <c r="R18" s="517">
        <v>1</v>
      </c>
      <c r="S18" s="517"/>
      <c r="T18" s="98">
        <f t="shared" si="5"/>
        <v>46.82</v>
      </c>
      <c r="U18" s="101">
        <f t="shared" si="2"/>
        <v>224190</v>
      </c>
    </row>
    <row r="19" spans="1:21" x14ac:dyDescent="0.25">
      <c r="A19" s="453" t="s">
        <v>108</v>
      </c>
      <c r="B19" s="453"/>
      <c r="C19" s="165">
        <v>51.5</v>
      </c>
      <c r="D19" s="165">
        <v>53</v>
      </c>
      <c r="E19" s="125">
        <f t="shared" si="3"/>
        <v>104.5</v>
      </c>
      <c r="F19" s="532">
        <f>'0664'!F19:G19</f>
        <v>3.6739999999999999</v>
      </c>
      <c r="G19" s="532"/>
      <c r="H19" s="83">
        <f t="shared" si="4"/>
        <v>383.93299999999999</v>
      </c>
      <c r="I19" s="104">
        <f t="shared" si="0"/>
        <v>1838397.18</v>
      </c>
      <c r="N19" s="479" t="s">
        <v>108</v>
      </c>
      <c r="O19" s="479"/>
      <c r="P19" s="513">
        <f t="shared" si="1"/>
        <v>104.5</v>
      </c>
      <c r="Q19" s="513"/>
      <c r="R19" s="517">
        <v>1</v>
      </c>
      <c r="S19" s="517"/>
      <c r="T19" s="98">
        <f t="shared" si="5"/>
        <v>104.5</v>
      </c>
      <c r="U19" s="99">
        <f t="shared" si="2"/>
        <v>500380</v>
      </c>
    </row>
    <row r="20" spans="1:21" x14ac:dyDescent="0.25">
      <c r="A20" s="453" t="s">
        <v>109</v>
      </c>
      <c r="B20" s="453"/>
      <c r="C20" s="165">
        <v>31.5</v>
      </c>
      <c r="D20" s="165">
        <v>32</v>
      </c>
      <c r="E20" s="125">
        <f t="shared" si="3"/>
        <v>63.5</v>
      </c>
      <c r="F20" s="532">
        <f>'0664'!F20:G20</f>
        <v>3.6739999999999999</v>
      </c>
      <c r="G20" s="532"/>
      <c r="H20" s="83">
        <f t="shared" si="4"/>
        <v>233.29900000000001</v>
      </c>
      <c r="I20" s="104">
        <f t="shared" si="0"/>
        <v>1117112.1599999999</v>
      </c>
      <c r="N20" s="479" t="s">
        <v>109</v>
      </c>
      <c r="O20" s="479"/>
      <c r="P20" s="513">
        <f t="shared" si="1"/>
        <v>63.5</v>
      </c>
      <c r="Q20" s="513"/>
      <c r="R20" s="517">
        <v>1</v>
      </c>
      <c r="S20" s="517"/>
      <c r="T20" s="98">
        <f t="shared" si="5"/>
        <v>63.5</v>
      </c>
      <c r="U20" s="99">
        <f t="shared" si="2"/>
        <v>304059</v>
      </c>
    </row>
    <row r="21" spans="1:21" x14ac:dyDescent="0.25">
      <c r="A21" s="453" t="s">
        <v>110</v>
      </c>
      <c r="B21" s="453"/>
      <c r="C21" s="165">
        <v>30.5</v>
      </c>
      <c r="D21" s="165">
        <v>30.46</v>
      </c>
      <c r="E21" s="125">
        <f t="shared" si="3"/>
        <v>60.96</v>
      </c>
      <c r="F21" s="532">
        <f>'0664'!F21:G21</f>
        <v>3.6739999999999999</v>
      </c>
      <c r="G21" s="532"/>
      <c r="H21" s="83">
        <f t="shared" si="4"/>
        <v>223.96700000000001</v>
      </c>
      <c r="I21" s="104">
        <f t="shared" si="0"/>
        <v>1072427.48</v>
      </c>
      <c r="N21" s="479" t="s">
        <v>110</v>
      </c>
      <c r="O21" s="479"/>
      <c r="P21" s="513">
        <f t="shared" si="1"/>
        <v>60.96</v>
      </c>
      <c r="Q21" s="513"/>
      <c r="R21" s="517">
        <v>1</v>
      </c>
      <c r="S21" s="517"/>
      <c r="T21" s="98">
        <f t="shared" si="5"/>
        <v>60.96</v>
      </c>
      <c r="U21" s="99">
        <f t="shared" si="2"/>
        <v>291896</v>
      </c>
    </row>
    <row r="22" spans="1:21" x14ac:dyDescent="0.25">
      <c r="A22" s="453" t="s">
        <v>111</v>
      </c>
      <c r="B22" s="453"/>
      <c r="C22" s="165">
        <v>6</v>
      </c>
      <c r="D22" s="165">
        <v>5</v>
      </c>
      <c r="E22" s="125">
        <f t="shared" si="3"/>
        <v>11</v>
      </c>
      <c r="F22" s="532">
        <f>'0664'!F22:G22</f>
        <v>5.4009999999999998</v>
      </c>
      <c r="G22" s="532"/>
      <c r="H22" s="83">
        <f t="shared" si="4"/>
        <v>59.411000000000001</v>
      </c>
      <c r="I22" s="104">
        <f t="shared" si="0"/>
        <v>284479.35999999999</v>
      </c>
      <c r="N22" s="479" t="s">
        <v>111</v>
      </c>
      <c r="O22" s="479"/>
      <c r="P22" s="513">
        <f t="shared" si="1"/>
        <v>11</v>
      </c>
      <c r="Q22" s="513"/>
      <c r="R22" s="517">
        <v>1</v>
      </c>
      <c r="S22" s="517"/>
      <c r="T22" s="98">
        <f t="shared" si="5"/>
        <v>11</v>
      </c>
      <c r="U22" s="99">
        <f t="shared" si="2"/>
        <v>52672</v>
      </c>
    </row>
    <row r="23" spans="1:21" x14ac:dyDescent="0.25">
      <c r="A23" s="453" t="s">
        <v>112</v>
      </c>
      <c r="B23" s="453"/>
      <c r="C23" s="165">
        <v>19.5</v>
      </c>
      <c r="D23" s="165">
        <v>17.5</v>
      </c>
      <c r="E23" s="125">
        <f t="shared" si="3"/>
        <v>37</v>
      </c>
      <c r="F23" s="532">
        <f>'0664'!F23:G23</f>
        <v>5.4009999999999998</v>
      </c>
      <c r="G23" s="532"/>
      <c r="H23" s="83">
        <f t="shared" si="4"/>
        <v>199.83699999999999</v>
      </c>
      <c r="I23" s="104">
        <f t="shared" si="0"/>
        <v>956885.13</v>
      </c>
      <c r="N23" s="479" t="s">
        <v>112</v>
      </c>
      <c r="O23" s="479"/>
      <c r="P23" s="513">
        <f t="shared" si="1"/>
        <v>37</v>
      </c>
      <c r="Q23" s="513"/>
      <c r="R23" s="517">
        <v>1</v>
      </c>
      <c r="S23" s="517"/>
      <c r="T23" s="98">
        <f t="shared" si="5"/>
        <v>37</v>
      </c>
      <c r="U23" s="99">
        <f t="shared" si="2"/>
        <v>177168</v>
      </c>
    </row>
    <row r="24" spans="1:21" x14ac:dyDescent="0.25">
      <c r="A24" s="453" t="s">
        <v>113</v>
      </c>
      <c r="B24" s="453"/>
      <c r="C24" s="165">
        <v>16</v>
      </c>
      <c r="D24" s="165">
        <v>14.18</v>
      </c>
      <c r="E24" s="125">
        <f t="shared" si="3"/>
        <v>30.18</v>
      </c>
      <c r="F24" s="532">
        <f>'0664'!F24:G24</f>
        <v>5.4009999999999998</v>
      </c>
      <c r="G24" s="532"/>
      <c r="H24" s="83">
        <f t="shared" si="4"/>
        <v>163.00219999999999</v>
      </c>
      <c r="I24" s="104">
        <f t="shared" si="0"/>
        <v>780508.02</v>
      </c>
      <c r="N24" s="479" t="s">
        <v>113</v>
      </c>
      <c r="O24" s="479"/>
      <c r="P24" s="513">
        <f t="shared" si="1"/>
        <v>30.18</v>
      </c>
      <c r="Q24" s="513"/>
      <c r="R24" s="517">
        <v>1</v>
      </c>
      <c r="S24" s="517"/>
      <c r="T24" s="98">
        <f t="shared" si="5"/>
        <v>30.18</v>
      </c>
      <c r="U24" s="99">
        <f t="shared" si="2"/>
        <v>144512</v>
      </c>
    </row>
    <row r="25" spans="1:21" x14ac:dyDescent="0.25">
      <c r="A25" s="453" t="s">
        <v>114</v>
      </c>
      <c r="B25" s="453"/>
      <c r="C25" s="165">
        <v>0</v>
      </c>
      <c r="D25" s="165">
        <v>0</v>
      </c>
      <c r="E25" s="125">
        <f t="shared" si="3"/>
        <v>0</v>
      </c>
      <c r="F25" s="532">
        <f>'0664'!F25:G25</f>
        <v>1.206</v>
      </c>
      <c r="G25" s="532"/>
      <c r="H25" s="83">
        <f t="shared" si="4"/>
        <v>0</v>
      </c>
      <c r="I25" s="104">
        <f t="shared" si="0"/>
        <v>0</v>
      </c>
      <c r="N25" s="479" t="s">
        <v>114</v>
      </c>
      <c r="O25" s="479"/>
      <c r="P25" s="513">
        <f t="shared" si="1"/>
        <v>0</v>
      </c>
      <c r="Q25" s="513"/>
      <c r="R25" s="517">
        <v>1</v>
      </c>
      <c r="S25" s="517"/>
      <c r="T25" s="98">
        <f t="shared" si="5"/>
        <v>0</v>
      </c>
      <c r="U25" s="99">
        <f t="shared" si="2"/>
        <v>0</v>
      </c>
    </row>
    <row r="26" spans="1:21" x14ac:dyDescent="0.25">
      <c r="A26" s="453" t="s">
        <v>115</v>
      </c>
      <c r="B26" s="453"/>
      <c r="C26" s="165">
        <v>0</v>
      </c>
      <c r="D26" s="165">
        <v>0</v>
      </c>
      <c r="E26" s="125">
        <f t="shared" si="3"/>
        <v>0</v>
      </c>
      <c r="F26" s="532">
        <f>'0664'!F26:G26</f>
        <v>1.206</v>
      </c>
      <c r="G26" s="532"/>
      <c r="H26" s="83">
        <f t="shared" si="4"/>
        <v>0</v>
      </c>
      <c r="I26" s="104">
        <f t="shared" si="0"/>
        <v>0</v>
      </c>
      <c r="N26" s="479" t="s">
        <v>115</v>
      </c>
      <c r="O26" s="479"/>
      <c r="P26" s="513">
        <f t="shared" si="1"/>
        <v>0</v>
      </c>
      <c r="Q26" s="513"/>
      <c r="R26" s="517">
        <v>1</v>
      </c>
      <c r="S26" s="517"/>
      <c r="T26" s="98">
        <f t="shared" si="5"/>
        <v>0</v>
      </c>
      <c r="U26" s="99">
        <f t="shared" si="2"/>
        <v>0</v>
      </c>
    </row>
    <row r="27" spans="1:21" x14ac:dyDescent="0.25">
      <c r="A27" s="453" t="s">
        <v>116</v>
      </c>
      <c r="B27" s="453"/>
      <c r="C27" s="165">
        <v>0</v>
      </c>
      <c r="D27" s="165">
        <v>0</v>
      </c>
      <c r="E27" s="125">
        <f t="shared" si="3"/>
        <v>0</v>
      </c>
      <c r="F27" s="532">
        <f>'0664'!F27:G27</f>
        <v>1.206</v>
      </c>
      <c r="G27" s="532"/>
      <c r="H27" s="83">
        <f t="shared" si="4"/>
        <v>0</v>
      </c>
      <c r="I27" s="104">
        <f t="shared" si="0"/>
        <v>0</v>
      </c>
      <c r="N27" s="479" t="s">
        <v>116</v>
      </c>
      <c r="O27" s="479"/>
      <c r="P27" s="513">
        <f t="shared" si="1"/>
        <v>0</v>
      </c>
      <c r="Q27" s="513"/>
      <c r="R27" s="517">
        <v>1</v>
      </c>
      <c r="S27" s="517"/>
      <c r="T27" s="98">
        <f t="shared" si="5"/>
        <v>0</v>
      </c>
      <c r="U27" s="99">
        <f t="shared" si="2"/>
        <v>0</v>
      </c>
    </row>
    <row r="28" spans="1:21" x14ac:dyDescent="0.25">
      <c r="A28" s="453" t="s">
        <v>117</v>
      </c>
      <c r="B28" s="453"/>
      <c r="C28" s="116">
        <v>0</v>
      </c>
      <c r="D28" s="116">
        <v>0</v>
      </c>
      <c r="E28" s="177">
        <f t="shared" si="3"/>
        <v>0</v>
      </c>
      <c r="F28" s="532">
        <f>'0664'!F28:G28</f>
        <v>0.999</v>
      </c>
      <c r="G28" s="532"/>
      <c r="H28" s="96">
        <f t="shared" si="4"/>
        <v>0</v>
      </c>
      <c r="I28" s="97">
        <f t="shared" si="0"/>
        <v>0</v>
      </c>
      <c r="N28" s="482" t="s">
        <v>117</v>
      </c>
      <c r="O28" s="482"/>
      <c r="P28" s="513">
        <f t="shared" si="1"/>
        <v>0</v>
      </c>
      <c r="Q28" s="513"/>
      <c r="R28" s="514">
        <v>1</v>
      </c>
      <c r="S28" s="514"/>
      <c r="T28" s="98">
        <f t="shared" si="5"/>
        <v>0</v>
      </c>
      <c r="U28" s="99">
        <f t="shared" si="2"/>
        <v>0</v>
      </c>
    </row>
    <row r="29" spans="1:21" x14ac:dyDescent="0.25">
      <c r="A29" s="461" t="s">
        <v>5</v>
      </c>
      <c r="B29" s="461"/>
      <c r="C29" s="97">
        <f>SUM(C13:C28)</f>
        <v>192.84</v>
      </c>
      <c r="D29" s="97">
        <f>SUM(D13:D28)</f>
        <v>193.62</v>
      </c>
      <c r="E29" s="97">
        <f>SUM(E13:E28)</f>
        <v>386.46</v>
      </c>
      <c r="F29" s="457"/>
      <c r="G29" s="457"/>
      <c r="H29" s="102">
        <f>SUM(H13:H28)</f>
        <v>1344.1083999999998</v>
      </c>
      <c r="I29" s="97">
        <f>SUM(I13:I28)</f>
        <v>6436032.0399999991</v>
      </c>
      <c r="N29" s="515" t="s">
        <v>5</v>
      </c>
      <c r="O29" s="515"/>
      <c r="P29" s="516">
        <f>SUM(P13:P28)</f>
        <v>386.46</v>
      </c>
      <c r="Q29" s="516"/>
      <c r="R29" s="508"/>
      <c r="S29" s="508"/>
      <c r="T29" s="103">
        <f>SUM(T13:T28)</f>
        <v>386.46</v>
      </c>
      <c r="U29" s="99">
        <f>SUM(U13:U28)</f>
        <v>1850498</v>
      </c>
    </row>
    <row r="30" spans="1:21" x14ac:dyDescent="0.25">
      <c r="A30" s="27"/>
      <c r="B30" s="27"/>
      <c r="C30" s="104"/>
      <c r="D30" s="104"/>
      <c r="E30" s="104"/>
      <c r="F30" s="28"/>
      <c r="G30" s="28"/>
      <c r="H30" s="83"/>
      <c r="I30" s="104"/>
      <c r="N30" s="29"/>
      <c r="O30" s="29"/>
      <c r="P30" s="30"/>
      <c r="Q30" s="30"/>
      <c r="R30" s="31"/>
      <c r="S30" s="31"/>
      <c r="T30" s="105"/>
      <c r="U30" s="106"/>
    </row>
    <row r="31" spans="1:21" x14ac:dyDescent="0.25">
      <c r="A31" s="168" t="s">
        <v>97</v>
      </c>
      <c r="B31" s="27"/>
      <c r="C31" s="104"/>
      <c r="D31" s="104"/>
      <c r="E31" s="104"/>
      <c r="F31" s="28"/>
      <c r="G31" s="28"/>
      <c r="H31" s="83"/>
      <c r="I31" s="104"/>
      <c r="N31" s="29"/>
      <c r="O31" s="29"/>
      <c r="P31" s="30"/>
      <c r="Q31" s="30"/>
      <c r="R31" s="31"/>
      <c r="S31" s="31"/>
      <c r="T31" s="105"/>
      <c r="U31" s="106"/>
    </row>
    <row r="32" spans="1:21" hidden="1" x14ac:dyDescent="0.25">
      <c r="A32" s="168"/>
      <c r="B32" s="27"/>
      <c r="C32" s="104"/>
      <c r="D32" s="104"/>
      <c r="E32" s="104"/>
      <c r="F32" s="28"/>
      <c r="G32" s="28"/>
      <c r="H32" s="83"/>
      <c r="I32" s="104"/>
      <c r="N32" s="29"/>
      <c r="O32" s="29"/>
      <c r="P32" s="30"/>
      <c r="Q32" s="30"/>
      <c r="R32" s="31"/>
      <c r="S32" s="31"/>
      <c r="T32" s="105"/>
      <c r="U32" s="106"/>
    </row>
    <row r="33" spans="1:21" hidden="1" x14ac:dyDescent="0.25">
      <c r="A33" s="168"/>
      <c r="B33" s="27"/>
      <c r="C33" s="104"/>
      <c r="D33" s="104"/>
      <c r="E33" s="104"/>
      <c r="F33" s="541" t="s">
        <v>282</v>
      </c>
      <c r="G33" s="541"/>
      <c r="H33" s="541"/>
      <c r="I33" s="104"/>
      <c r="N33" s="29"/>
      <c r="O33" s="29"/>
      <c r="P33" s="30"/>
      <c r="Q33" s="30"/>
      <c r="R33" s="31"/>
      <c r="S33" s="31"/>
      <c r="T33" s="105"/>
      <c r="U33" s="106"/>
    </row>
    <row r="34" spans="1:21" hidden="1" x14ac:dyDescent="0.25">
      <c r="A34" s="3"/>
      <c r="B34" s="72"/>
      <c r="C34" s="72"/>
      <c r="D34" s="72"/>
      <c r="E34" s="72"/>
      <c r="F34" s="541"/>
      <c r="G34" s="541"/>
      <c r="H34" s="541"/>
      <c r="I34" s="25" t="s">
        <v>74</v>
      </c>
      <c r="N34" s="485" t="s">
        <v>35</v>
      </c>
      <c r="O34" s="485"/>
      <c r="P34" s="485"/>
      <c r="Q34" s="485"/>
      <c r="R34" s="485"/>
      <c r="S34" s="485"/>
      <c r="T34" s="485"/>
      <c r="U34" s="26" t="s">
        <v>74</v>
      </c>
    </row>
    <row r="35" spans="1:21" hidden="1" x14ac:dyDescent="0.25">
      <c r="A35" s="27"/>
      <c r="B35" s="27"/>
      <c r="C35" s="91" t="s">
        <v>124</v>
      </c>
      <c r="D35" s="91" t="s">
        <v>125</v>
      </c>
      <c r="E35" s="92" t="s">
        <v>8</v>
      </c>
      <c r="F35" s="541"/>
      <c r="G35" s="541"/>
      <c r="H35" s="541"/>
      <c r="I35" s="25" t="s">
        <v>36</v>
      </c>
      <c r="N35" s="29"/>
      <c r="O35" s="29"/>
      <c r="P35" s="30"/>
      <c r="Q35" s="30"/>
      <c r="R35" s="31"/>
      <c r="S35" s="31"/>
      <c r="T35" s="105"/>
      <c r="U35" s="26" t="s">
        <v>36</v>
      </c>
    </row>
    <row r="36" spans="1:21" hidden="1" x14ac:dyDescent="0.25">
      <c r="A36" s="447" t="s">
        <v>63</v>
      </c>
      <c r="B36" s="447"/>
      <c r="C36" s="93" t="s">
        <v>2</v>
      </c>
      <c r="D36" s="93" t="s">
        <v>2</v>
      </c>
      <c r="E36" s="93" t="s">
        <v>2</v>
      </c>
      <c r="F36" s="542"/>
      <c r="G36" s="542"/>
      <c r="H36" s="542"/>
      <c r="I36" s="32" t="s">
        <v>75</v>
      </c>
      <c r="N36" s="510" t="s">
        <v>63</v>
      </c>
      <c r="O36" s="510"/>
      <c r="P36" s="511" t="s">
        <v>24</v>
      </c>
      <c r="Q36" s="511"/>
      <c r="R36" s="511"/>
      <c r="S36" s="511"/>
      <c r="T36" s="511"/>
      <c r="U36" s="20" t="s">
        <v>75</v>
      </c>
    </row>
    <row r="37" spans="1:21" hidden="1" x14ac:dyDescent="0.25">
      <c r="A37" s="451" t="s">
        <v>56</v>
      </c>
      <c r="B37" s="451"/>
      <c r="C37" s="169">
        <v>0</v>
      </c>
      <c r="D37" s="169">
        <v>0</v>
      </c>
      <c r="E37" s="210">
        <f t="shared" ref="E37:E42" si="6">IF(D$43=0,C37*2,C37+D37)</f>
        <v>0</v>
      </c>
      <c r="F37" s="170"/>
      <c r="G37" s="170"/>
      <c r="H37" s="170"/>
      <c r="I37" s="119">
        <f t="shared" ref="I37:I42" si="7">ROUND(ROUND(E37*$C$8,4)*($H$8),2)</f>
        <v>0</v>
      </c>
      <c r="N37" s="512" t="s">
        <v>56</v>
      </c>
      <c r="O37" s="512"/>
      <c r="P37" s="483">
        <f t="shared" ref="P37:P42" si="8">IF($H$120=1,E37,0)</f>
        <v>0</v>
      </c>
      <c r="Q37" s="483"/>
      <c r="R37" s="483"/>
      <c r="S37" s="483"/>
      <c r="T37" s="483"/>
      <c r="U37" s="101">
        <f t="shared" ref="U37:U42" si="9">ROUND(ROUND(P37*$C$8,4)*($H$8),0)</f>
        <v>0</v>
      </c>
    </row>
    <row r="38" spans="1:21" hidden="1" x14ac:dyDescent="0.25">
      <c r="A38" s="453" t="s">
        <v>57</v>
      </c>
      <c r="B38" s="453"/>
      <c r="C38" s="172">
        <v>0</v>
      </c>
      <c r="D38" s="172">
        <v>0</v>
      </c>
      <c r="E38" s="125">
        <f t="shared" si="6"/>
        <v>0</v>
      </c>
      <c r="F38" s="173"/>
      <c r="G38" s="173"/>
      <c r="H38" s="173"/>
      <c r="I38" s="104">
        <f t="shared" si="7"/>
        <v>0</v>
      </c>
      <c r="N38" s="479" t="s">
        <v>57</v>
      </c>
      <c r="O38" s="479"/>
      <c r="P38" s="483">
        <f t="shared" si="8"/>
        <v>0</v>
      </c>
      <c r="Q38" s="483"/>
      <c r="R38" s="483"/>
      <c r="S38" s="483"/>
      <c r="T38" s="483"/>
      <c r="U38" s="101">
        <f t="shared" si="9"/>
        <v>0</v>
      </c>
    </row>
    <row r="39" spans="1:21" hidden="1" x14ac:dyDescent="0.25">
      <c r="A39" s="458" t="s">
        <v>58</v>
      </c>
      <c r="B39" s="458"/>
      <c r="C39" s="172">
        <v>0</v>
      </c>
      <c r="D39" s="172">
        <v>0</v>
      </c>
      <c r="E39" s="125">
        <f t="shared" si="6"/>
        <v>0</v>
      </c>
      <c r="F39" s="173"/>
      <c r="G39" s="173"/>
      <c r="H39" s="173"/>
      <c r="I39" s="104">
        <f t="shared" si="7"/>
        <v>0</v>
      </c>
      <c r="N39" s="509" t="s">
        <v>58</v>
      </c>
      <c r="O39" s="509"/>
      <c r="P39" s="483">
        <f t="shared" si="8"/>
        <v>0</v>
      </c>
      <c r="Q39" s="483"/>
      <c r="R39" s="483"/>
      <c r="S39" s="483"/>
      <c r="T39" s="483"/>
      <c r="U39" s="101">
        <f t="shared" si="9"/>
        <v>0</v>
      </c>
    </row>
    <row r="40" spans="1:21" hidden="1" x14ac:dyDescent="0.25">
      <c r="A40" s="453" t="s">
        <v>59</v>
      </c>
      <c r="B40" s="453"/>
      <c r="C40" s="172">
        <v>0</v>
      </c>
      <c r="D40" s="172">
        <v>0</v>
      </c>
      <c r="E40" s="125">
        <f t="shared" si="6"/>
        <v>0</v>
      </c>
      <c r="F40" s="173"/>
      <c r="G40" s="173"/>
      <c r="H40" s="173"/>
      <c r="I40" s="104">
        <f t="shared" si="7"/>
        <v>0</v>
      </c>
      <c r="N40" s="479" t="s">
        <v>59</v>
      </c>
      <c r="O40" s="479"/>
      <c r="P40" s="483">
        <f t="shared" si="8"/>
        <v>0</v>
      </c>
      <c r="Q40" s="483"/>
      <c r="R40" s="483"/>
      <c r="S40" s="483"/>
      <c r="T40" s="483"/>
      <c r="U40" s="101">
        <f t="shared" si="9"/>
        <v>0</v>
      </c>
    </row>
    <row r="41" spans="1:21" hidden="1" x14ac:dyDescent="0.25">
      <c r="A41" s="453" t="s">
        <v>60</v>
      </c>
      <c r="B41" s="453"/>
      <c r="C41" s="172">
        <v>0</v>
      </c>
      <c r="D41" s="172">
        <v>0</v>
      </c>
      <c r="E41" s="125">
        <f t="shared" si="6"/>
        <v>0</v>
      </c>
      <c r="F41" s="173"/>
      <c r="G41" s="173"/>
      <c r="H41" s="173"/>
      <c r="I41" s="104">
        <f t="shared" si="7"/>
        <v>0</v>
      </c>
      <c r="N41" s="479" t="s">
        <v>60</v>
      </c>
      <c r="O41" s="479"/>
      <c r="P41" s="483">
        <f t="shared" si="8"/>
        <v>0</v>
      </c>
      <c r="Q41" s="483"/>
      <c r="R41" s="483"/>
      <c r="S41" s="483"/>
      <c r="T41" s="483"/>
      <c r="U41" s="101">
        <f t="shared" si="9"/>
        <v>0</v>
      </c>
    </row>
    <row r="42" spans="1:21" hidden="1" x14ac:dyDescent="0.25">
      <c r="A42" s="453" t="s">
        <v>52</v>
      </c>
      <c r="B42" s="453"/>
      <c r="C42" s="171">
        <v>0</v>
      </c>
      <c r="D42" s="171">
        <v>0</v>
      </c>
      <c r="E42" s="177">
        <f t="shared" si="6"/>
        <v>0</v>
      </c>
      <c r="F42" s="173"/>
      <c r="G42" s="173"/>
      <c r="H42" s="173"/>
      <c r="I42" s="97">
        <f t="shared" si="7"/>
        <v>0</v>
      </c>
      <c r="N42" s="482" t="s">
        <v>52</v>
      </c>
      <c r="O42" s="482"/>
      <c r="P42" s="483">
        <f t="shared" si="8"/>
        <v>0</v>
      </c>
      <c r="Q42" s="483"/>
      <c r="R42" s="483"/>
      <c r="S42" s="483"/>
      <c r="T42" s="483"/>
      <c r="U42" s="101">
        <f t="shared" si="9"/>
        <v>0</v>
      </c>
    </row>
    <row r="43" spans="1:21" hidden="1" x14ac:dyDescent="0.25">
      <c r="A43" s="3"/>
      <c r="B43" s="55" t="s">
        <v>126</v>
      </c>
      <c r="C43" s="100">
        <f>SUM(C37:C42)</f>
        <v>0</v>
      </c>
      <c r="D43" s="100">
        <f>SUM(D37:D42)</f>
        <v>0</v>
      </c>
      <c r="E43" s="100">
        <f>SUM(E37:E42)</f>
        <v>0</v>
      </c>
      <c r="F43" s="33"/>
      <c r="G43" s="109"/>
      <c r="H43" s="110" t="s">
        <v>128</v>
      </c>
      <c r="I43" s="100">
        <f>SUM(I37:I42)</f>
        <v>0</v>
      </c>
      <c r="N43" s="480" t="s">
        <v>54</v>
      </c>
      <c r="O43" s="480"/>
      <c r="P43" s="480"/>
      <c r="Q43" s="480"/>
      <c r="R43" s="34">
        <f>SUM(P37:R42)</f>
        <v>0</v>
      </c>
      <c r="S43" s="508" t="s">
        <v>64</v>
      </c>
      <c r="T43" s="508"/>
      <c r="U43" s="106">
        <f>SUM(U37:U42)</f>
        <v>0</v>
      </c>
    </row>
    <row r="44" spans="1:21" ht="16.5" hidden="1" thickBot="1" x14ac:dyDescent="0.3">
      <c r="A44" s="3"/>
      <c r="B44" s="55"/>
      <c r="C44" s="104"/>
      <c r="D44" s="104"/>
      <c r="E44" s="119"/>
      <c r="F44" s="33"/>
      <c r="G44" s="109"/>
      <c r="H44" s="110"/>
      <c r="I44" s="104"/>
      <c r="N44" s="29"/>
      <c r="O44" s="29"/>
      <c r="P44" s="29"/>
      <c r="Q44" s="29"/>
      <c r="R44" s="34"/>
      <c r="S44" s="31"/>
      <c r="T44" s="31"/>
      <c r="U44" s="106"/>
    </row>
    <row r="45" spans="1:21" ht="16.5" hidden="1" thickBot="1" x14ac:dyDescent="0.3">
      <c r="A45" s="3"/>
      <c r="B45" s="55" t="s">
        <v>127</v>
      </c>
      <c r="E45" s="174">
        <f>H29+E43</f>
        <v>1344.1083999999998</v>
      </c>
      <c r="F45" s="35"/>
      <c r="G45" s="109"/>
      <c r="H45" s="110" t="s">
        <v>129</v>
      </c>
      <c r="I45" s="97">
        <f>SUM(I43,I29)</f>
        <v>6436032.0399999991</v>
      </c>
      <c r="N45" s="480" t="s">
        <v>55</v>
      </c>
      <c r="O45" s="480"/>
      <c r="P45" s="480"/>
      <c r="Q45" s="480"/>
      <c r="R45" s="36">
        <f>R43+T29</f>
        <v>386.46</v>
      </c>
      <c r="S45" s="508" t="s">
        <v>53</v>
      </c>
      <c r="T45" s="508"/>
      <c r="U45" s="111">
        <f>SUM(U43,U29)</f>
        <v>1850498</v>
      </c>
    </row>
    <row r="46" spans="1:21" hidden="1" x14ac:dyDescent="0.25">
      <c r="A46" s="27"/>
      <c r="B46" s="27"/>
      <c r="C46" s="27"/>
      <c r="D46" s="27"/>
      <c r="E46" s="27"/>
      <c r="F46" s="35"/>
      <c r="G46" s="28"/>
      <c r="H46" s="28"/>
      <c r="I46" s="104"/>
      <c r="N46" s="29"/>
      <c r="O46" s="29"/>
      <c r="P46" s="29"/>
      <c r="Q46" s="29"/>
      <c r="R46" s="36"/>
      <c r="S46" s="31"/>
      <c r="T46" s="31"/>
      <c r="U46" s="106"/>
    </row>
    <row r="47" spans="1:21" x14ac:dyDescent="0.25">
      <c r="A47" s="27"/>
      <c r="B47" s="55" t="s">
        <v>370</v>
      </c>
      <c r="C47" s="41" t="s">
        <v>370</v>
      </c>
      <c r="D47" s="91" t="s">
        <v>370</v>
      </c>
      <c r="E47" s="27"/>
      <c r="F47" s="35"/>
      <c r="G47" s="28"/>
      <c r="H47" s="28"/>
      <c r="I47" s="104"/>
      <c r="N47" s="29"/>
      <c r="O47" s="29"/>
      <c r="P47" s="29"/>
      <c r="Q47" s="29"/>
      <c r="R47" s="36"/>
      <c r="S47" s="31"/>
      <c r="T47" s="31"/>
      <c r="U47" s="106"/>
    </row>
    <row r="48" spans="1:21" x14ac:dyDescent="0.25">
      <c r="A48" s="27"/>
      <c r="B48" s="27"/>
      <c r="C48" s="91" t="s">
        <v>463</v>
      </c>
      <c r="D48" s="371" t="s">
        <v>464</v>
      </c>
      <c r="E48" s="92" t="s">
        <v>8</v>
      </c>
      <c r="F48" s="49" t="s">
        <v>130</v>
      </c>
      <c r="G48" s="112" t="s">
        <v>132</v>
      </c>
      <c r="H48" s="113" t="s">
        <v>133</v>
      </c>
      <c r="I48" s="104"/>
      <c r="N48" s="29"/>
      <c r="O48" s="29"/>
      <c r="P48" s="29"/>
      <c r="Q48" s="29"/>
      <c r="R48" s="36"/>
      <c r="S48" s="31"/>
      <c r="T48" s="31"/>
      <c r="U48" s="106"/>
    </row>
    <row r="49" spans="1:21" x14ac:dyDescent="0.25">
      <c r="A49" s="37" t="s">
        <v>87</v>
      </c>
      <c r="B49" s="37"/>
      <c r="C49" s="362" t="s">
        <v>2</v>
      </c>
      <c r="D49" s="362" t="s">
        <v>2</v>
      </c>
      <c r="E49" s="362" t="s">
        <v>2</v>
      </c>
      <c r="F49" s="95" t="s">
        <v>131</v>
      </c>
      <c r="G49" s="62" t="s">
        <v>131</v>
      </c>
      <c r="H49" s="114" t="s">
        <v>134</v>
      </c>
      <c r="I49" s="37"/>
      <c r="N49" s="482" t="s">
        <v>87</v>
      </c>
      <c r="O49" s="482"/>
      <c r="P49" s="503" t="s">
        <v>2</v>
      </c>
      <c r="Q49" s="503"/>
      <c r="R49" s="38" t="s">
        <v>25</v>
      </c>
      <c r="S49" s="63" t="s">
        <v>26</v>
      </c>
      <c r="T49" s="115" t="s">
        <v>27</v>
      </c>
      <c r="U49" s="38"/>
    </row>
    <row r="50" spans="1:21" x14ac:dyDescent="0.25">
      <c r="A50" s="459" t="s">
        <v>98</v>
      </c>
      <c r="B50" s="459"/>
      <c r="C50" s="165">
        <v>0</v>
      </c>
      <c r="D50" s="165">
        <v>0</v>
      </c>
      <c r="E50" s="125">
        <f>IF(D$59=0,C50*2,C50+D50)</f>
        <v>0</v>
      </c>
      <c r="F50" s="39" t="s">
        <v>21</v>
      </c>
      <c r="G50" s="39">
        <v>251</v>
      </c>
      <c r="H50" s="321">
        <f>'0664'!H50</f>
        <v>1047</v>
      </c>
      <c r="I50" s="104">
        <f>ROUND(E50*H50,2)</f>
        <v>0</v>
      </c>
      <c r="N50" s="504" t="s">
        <v>28</v>
      </c>
      <c r="O50" s="504"/>
      <c r="P50" s="505"/>
      <c r="Q50" s="505"/>
      <c r="R50" s="40" t="s">
        <v>21</v>
      </c>
      <c r="S50" s="40">
        <v>251</v>
      </c>
      <c r="T50" s="117">
        <f>H50</f>
        <v>1047</v>
      </c>
      <c r="U50" s="118">
        <f>ROUND(P50*T50,0)</f>
        <v>0</v>
      </c>
    </row>
    <row r="51" spans="1:21" x14ac:dyDescent="0.25">
      <c r="A51" s="460"/>
      <c r="B51" s="460"/>
      <c r="C51" s="165">
        <v>0</v>
      </c>
      <c r="D51" s="165">
        <v>0</v>
      </c>
      <c r="E51" s="125">
        <f t="shared" ref="E51:E58" si="10">IF(D$59=0,C51*2,C51+D51)</f>
        <v>0</v>
      </c>
      <c r="F51" s="39" t="s">
        <v>21</v>
      </c>
      <c r="G51" s="39">
        <v>252</v>
      </c>
      <c r="H51" s="321">
        <f>'0664'!H51</f>
        <v>3380</v>
      </c>
      <c r="I51" s="104">
        <f t="shared" ref="I51:I58" si="11">ROUND(E51*H51,2)</f>
        <v>0</v>
      </c>
      <c r="N51" s="504"/>
      <c r="O51" s="504"/>
      <c r="P51" s="506"/>
      <c r="Q51" s="506"/>
      <c r="R51" s="40" t="s">
        <v>21</v>
      </c>
      <c r="S51" s="40">
        <v>252</v>
      </c>
      <c r="T51" s="117">
        <f t="shared" ref="T51:T58" si="12">H51</f>
        <v>3380</v>
      </c>
      <c r="U51" s="118">
        <f t="shared" ref="U51:U58" si="13">ROUND(P51*T51,0)</f>
        <v>0</v>
      </c>
    </row>
    <row r="52" spans="1:21" x14ac:dyDescent="0.25">
      <c r="A52" s="460"/>
      <c r="B52" s="460"/>
      <c r="C52" s="165">
        <v>4.75</v>
      </c>
      <c r="D52" s="165">
        <v>6</v>
      </c>
      <c r="E52" s="125">
        <f t="shared" si="10"/>
        <v>10.75</v>
      </c>
      <c r="F52" s="39" t="s">
        <v>21</v>
      </c>
      <c r="G52" s="39">
        <v>253</v>
      </c>
      <c r="H52" s="321">
        <f>'0664'!H52</f>
        <v>6896</v>
      </c>
      <c r="I52" s="104">
        <f t="shared" si="11"/>
        <v>74132</v>
      </c>
      <c r="N52" s="504"/>
      <c r="O52" s="504"/>
      <c r="P52" s="506"/>
      <c r="Q52" s="506"/>
      <c r="R52" s="40" t="s">
        <v>21</v>
      </c>
      <c r="S52" s="40">
        <v>253</v>
      </c>
      <c r="T52" s="117">
        <f t="shared" si="12"/>
        <v>6896</v>
      </c>
      <c r="U52" s="118">
        <f t="shared" si="13"/>
        <v>0</v>
      </c>
    </row>
    <row r="53" spans="1:21" x14ac:dyDescent="0.25">
      <c r="A53" s="460"/>
      <c r="B53" s="460"/>
      <c r="C53" s="165">
        <v>0</v>
      </c>
      <c r="D53" s="165">
        <v>0</v>
      </c>
      <c r="E53" s="125">
        <f t="shared" si="10"/>
        <v>0</v>
      </c>
      <c r="F53" s="41" t="s">
        <v>14</v>
      </c>
      <c r="G53" s="39">
        <v>251</v>
      </c>
      <c r="H53" s="321">
        <f>'0664'!H53</f>
        <v>1173</v>
      </c>
      <c r="I53" s="104">
        <f t="shared" si="11"/>
        <v>0</v>
      </c>
      <c r="N53" s="504"/>
      <c r="O53" s="504"/>
      <c r="P53" s="506"/>
      <c r="Q53" s="506"/>
      <c r="R53" s="42" t="s">
        <v>14</v>
      </c>
      <c r="S53" s="40">
        <v>251</v>
      </c>
      <c r="T53" s="117">
        <f t="shared" si="12"/>
        <v>1173</v>
      </c>
      <c r="U53" s="118">
        <f t="shared" si="13"/>
        <v>0</v>
      </c>
    </row>
    <row r="54" spans="1:21" x14ac:dyDescent="0.25">
      <c r="A54" s="460"/>
      <c r="B54" s="460"/>
      <c r="C54" s="165">
        <v>0</v>
      </c>
      <c r="D54" s="165">
        <v>0</v>
      </c>
      <c r="E54" s="125">
        <f t="shared" si="10"/>
        <v>0</v>
      </c>
      <c r="F54" s="41" t="s">
        <v>14</v>
      </c>
      <c r="G54" s="39">
        <v>252</v>
      </c>
      <c r="H54" s="321">
        <f>'0664'!H54</f>
        <v>3506</v>
      </c>
      <c r="I54" s="104">
        <f t="shared" si="11"/>
        <v>0</v>
      </c>
      <c r="N54" s="504"/>
      <c r="O54" s="504"/>
      <c r="P54" s="506"/>
      <c r="Q54" s="506"/>
      <c r="R54" s="42" t="s">
        <v>14</v>
      </c>
      <c r="S54" s="40">
        <v>252</v>
      </c>
      <c r="T54" s="117">
        <f t="shared" si="12"/>
        <v>3506</v>
      </c>
      <c r="U54" s="118">
        <f t="shared" si="13"/>
        <v>0</v>
      </c>
    </row>
    <row r="55" spans="1:21" x14ac:dyDescent="0.25">
      <c r="A55" s="460"/>
      <c r="B55" s="460"/>
      <c r="C55" s="165">
        <v>11</v>
      </c>
      <c r="D55" s="165">
        <v>10.5</v>
      </c>
      <c r="E55" s="125">
        <f t="shared" si="10"/>
        <v>21.5</v>
      </c>
      <c r="F55" s="41" t="s">
        <v>14</v>
      </c>
      <c r="G55" s="39">
        <v>253</v>
      </c>
      <c r="H55" s="321">
        <f>'0664'!H55</f>
        <v>7023</v>
      </c>
      <c r="I55" s="104">
        <f t="shared" si="11"/>
        <v>150994.5</v>
      </c>
      <c r="N55" s="504"/>
      <c r="O55" s="504"/>
      <c r="P55" s="506"/>
      <c r="Q55" s="506"/>
      <c r="R55" s="42" t="s">
        <v>14</v>
      </c>
      <c r="S55" s="40">
        <v>253</v>
      </c>
      <c r="T55" s="117">
        <f t="shared" si="12"/>
        <v>7023</v>
      </c>
      <c r="U55" s="118">
        <f t="shared" si="13"/>
        <v>0</v>
      </c>
    </row>
    <row r="56" spans="1:21" x14ac:dyDescent="0.25">
      <c r="A56" s="460"/>
      <c r="B56" s="460"/>
      <c r="C56" s="165">
        <v>0</v>
      </c>
      <c r="D56" s="165">
        <v>0</v>
      </c>
      <c r="E56" s="125">
        <f t="shared" si="10"/>
        <v>0</v>
      </c>
      <c r="F56" s="41" t="s">
        <v>15</v>
      </c>
      <c r="G56" s="39">
        <v>251</v>
      </c>
      <c r="H56" s="321">
        <f>'0664'!H56</f>
        <v>835</v>
      </c>
      <c r="I56" s="104">
        <f t="shared" si="11"/>
        <v>0</v>
      </c>
      <c r="N56" s="504"/>
      <c r="O56" s="504"/>
      <c r="P56" s="506"/>
      <c r="Q56" s="506"/>
      <c r="R56" s="42" t="s">
        <v>15</v>
      </c>
      <c r="S56" s="40">
        <v>251</v>
      </c>
      <c r="T56" s="117">
        <f t="shared" si="12"/>
        <v>835</v>
      </c>
      <c r="U56" s="118">
        <f t="shared" si="13"/>
        <v>0</v>
      </c>
    </row>
    <row r="57" spans="1:21" x14ac:dyDescent="0.25">
      <c r="A57" s="460"/>
      <c r="B57" s="460"/>
      <c r="C57" s="165">
        <v>1</v>
      </c>
      <c r="D57" s="165">
        <v>1.1399999999999999</v>
      </c>
      <c r="E57" s="125">
        <f t="shared" si="10"/>
        <v>2.1399999999999997</v>
      </c>
      <c r="F57" s="41" t="s">
        <v>15</v>
      </c>
      <c r="G57" s="39">
        <v>252</v>
      </c>
      <c r="H57" s="321">
        <f>'0664'!H57</f>
        <v>3168</v>
      </c>
      <c r="I57" s="104">
        <f t="shared" si="11"/>
        <v>6779.52</v>
      </c>
      <c r="N57" s="504"/>
      <c r="O57" s="504"/>
      <c r="P57" s="506"/>
      <c r="Q57" s="506"/>
      <c r="R57" s="42" t="s">
        <v>15</v>
      </c>
      <c r="S57" s="40">
        <v>252</v>
      </c>
      <c r="T57" s="117">
        <f t="shared" si="12"/>
        <v>3168</v>
      </c>
      <c r="U57" s="118">
        <f t="shared" si="13"/>
        <v>0</v>
      </c>
    </row>
    <row r="58" spans="1:21" ht="16.5" thickBot="1" x14ac:dyDescent="0.3">
      <c r="A58" s="460"/>
      <c r="B58" s="460"/>
      <c r="C58" s="165">
        <v>20.84</v>
      </c>
      <c r="D58" s="165">
        <v>23.84</v>
      </c>
      <c r="E58" s="125">
        <f t="shared" si="10"/>
        <v>44.68</v>
      </c>
      <c r="F58" s="41" t="s">
        <v>15</v>
      </c>
      <c r="G58" s="39">
        <v>253</v>
      </c>
      <c r="H58" s="321">
        <f>'0664'!H58</f>
        <v>6685</v>
      </c>
      <c r="I58" s="104">
        <f t="shared" si="11"/>
        <v>298685.8</v>
      </c>
      <c r="N58" s="504"/>
      <c r="O58" s="504"/>
      <c r="P58" s="507"/>
      <c r="Q58" s="507"/>
      <c r="R58" s="42" t="s">
        <v>15</v>
      </c>
      <c r="S58" s="40">
        <v>253</v>
      </c>
      <c r="T58" s="117">
        <f t="shared" si="12"/>
        <v>6685</v>
      </c>
      <c r="U58" s="120">
        <f t="shared" si="13"/>
        <v>0</v>
      </c>
    </row>
    <row r="59" spans="1:21" ht="16.5" thickBot="1" x14ac:dyDescent="0.3">
      <c r="A59" s="461" t="s">
        <v>16</v>
      </c>
      <c r="B59" s="461"/>
      <c r="C59" s="100">
        <f>SUM(C50:C58)</f>
        <v>37.590000000000003</v>
      </c>
      <c r="D59" s="100">
        <f>SUM(D50:D58)</f>
        <v>41.480000000000004</v>
      </c>
      <c r="E59" s="100">
        <f>SUM(E50:E58)</f>
        <v>79.069999999999993</v>
      </c>
      <c r="F59" s="461" t="s">
        <v>77</v>
      </c>
      <c r="G59" s="461"/>
      <c r="H59" s="461"/>
      <c r="I59" s="100">
        <f>SUM(I50:I58)</f>
        <v>530591.81999999995</v>
      </c>
      <c r="N59" s="480" t="s">
        <v>16</v>
      </c>
      <c r="O59" s="480"/>
      <c r="P59" s="502">
        <f>SUM(P50:P58)</f>
        <v>0</v>
      </c>
      <c r="Q59" s="502"/>
      <c r="R59" s="480" t="s">
        <v>77</v>
      </c>
      <c r="S59" s="480"/>
      <c r="T59" s="480"/>
      <c r="U59" s="111">
        <f>SUM(U50:U58)</f>
        <v>0</v>
      </c>
    </row>
    <row r="60" spans="1:21" x14ac:dyDescent="0.25">
      <c r="A60" s="462"/>
      <c r="B60" s="462"/>
      <c r="C60" s="462"/>
      <c r="D60" s="462"/>
      <c r="E60" s="462"/>
      <c r="F60" s="462"/>
      <c r="G60" s="462"/>
      <c r="H60" s="462"/>
      <c r="I60" s="462"/>
      <c r="N60" s="484"/>
      <c r="O60" s="484"/>
      <c r="P60" s="484"/>
      <c r="Q60" s="484"/>
      <c r="R60" s="484"/>
      <c r="S60" s="484"/>
      <c r="T60" s="484"/>
      <c r="U60" s="484"/>
    </row>
    <row r="61" spans="1:21" x14ac:dyDescent="0.25">
      <c r="A61" s="463" t="s">
        <v>136</v>
      </c>
      <c r="B61" s="453"/>
      <c r="C61" s="453"/>
      <c r="D61" s="453"/>
      <c r="E61" s="453"/>
      <c r="F61" s="453"/>
      <c r="G61" s="453"/>
      <c r="H61" s="453"/>
      <c r="I61" s="453"/>
      <c r="N61" s="479" t="s">
        <v>88</v>
      </c>
      <c r="O61" s="479"/>
      <c r="P61" s="479"/>
      <c r="Q61" s="479"/>
      <c r="R61" s="479"/>
      <c r="S61" s="479"/>
      <c r="T61" s="479"/>
      <c r="U61" s="479"/>
    </row>
    <row r="62" spans="1:21" x14ac:dyDescent="0.25">
      <c r="A62" s="463" t="s">
        <v>138</v>
      </c>
      <c r="B62" s="453"/>
      <c r="C62" s="121">
        <f>E29</f>
        <v>386.46</v>
      </c>
      <c r="D62" s="464" t="s">
        <v>135</v>
      </c>
      <c r="E62" s="464"/>
      <c r="F62" s="464"/>
      <c r="G62" s="464"/>
      <c r="H62" s="335">
        <f>'0664'!H62</f>
        <v>193340.76</v>
      </c>
      <c r="I62" s="122"/>
      <c r="N62" s="478" t="s">
        <v>312</v>
      </c>
      <c r="O62" s="479"/>
      <c r="P62" s="43">
        <f>P29</f>
        <v>386.46</v>
      </c>
      <c r="Q62" s="498" t="s">
        <v>78</v>
      </c>
      <c r="R62" s="498"/>
      <c r="S62" s="498"/>
      <c r="T62" s="497">
        <f>H62</f>
        <v>193340.76</v>
      </c>
      <c r="U62" s="497"/>
    </row>
    <row r="63" spans="1:21" x14ac:dyDescent="0.25">
      <c r="B63" s="72"/>
      <c r="G63" s="44" t="s">
        <v>13</v>
      </c>
      <c r="H63" s="123">
        <f>ROUND(C62/H62,6)</f>
        <v>1.9989999999999999E-3</v>
      </c>
      <c r="I63" s="124"/>
      <c r="N63" s="479" t="s">
        <v>19</v>
      </c>
      <c r="O63" s="479"/>
      <c r="P63" s="479"/>
      <c r="Q63" s="479"/>
      <c r="R63" s="479"/>
      <c r="S63" s="479"/>
      <c r="T63" s="501">
        <f>ROUND(P62/T62,6)</f>
        <v>1.9989999999999999E-3</v>
      </c>
      <c r="U63" s="501"/>
    </row>
    <row r="64" spans="1:21" x14ac:dyDescent="0.25">
      <c r="A64" s="463" t="s">
        <v>137</v>
      </c>
      <c r="B64" s="453"/>
      <c r="C64" s="453"/>
      <c r="D64" s="453"/>
      <c r="E64" s="453"/>
      <c r="F64" s="453"/>
      <c r="G64" s="453"/>
      <c r="H64" s="453"/>
      <c r="I64" s="453"/>
      <c r="N64" s="479" t="s">
        <v>89</v>
      </c>
      <c r="O64" s="479"/>
      <c r="P64" s="479"/>
      <c r="Q64" s="479"/>
      <c r="R64" s="479"/>
      <c r="S64" s="479"/>
      <c r="T64" s="479"/>
      <c r="U64" s="479"/>
    </row>
    <row r="65" spans="1:21" x14ac:dyDescent="0.25">
      <c r="A65" s="463" t="s">
        <v>139</v>
      </c>
      <c r="B65" s="453"/>
      <c r="C65" s="121">
        <f>E45</f>
        <v>1344.1083999999998</v>
      </c>
      <c r="D65" s="464" t="s">
        <v>140</v>
      </c>
      <c r="E65" s="464"/>
      <c r="F65" s="464"/>
      <c r="G65" s="464"/>
      <c r="H65" s="336">
        <f>'0664'!H65</f>
        <v>216845.88</v>
      </c>
      <c r="I65" s="125"/>
      <c r="N65" s="479" t="s">
        <v>80</v>
      </c>
      <c r="O65" s="479"/>
      <c r="P65" s="43">
        <f>R45</f>
        <v>386.46</v>
      </c>
      <c r="Q65" s="498" t="s">
        <v>79</v>
      </c>
      <c r="R65" s="498"/>
      <c r="S65" s="498"/>
      <c r="T65" s="497">
        <f>H65</f>
        <v>216845.88</v>
      </c>
      <c r="U65" s="497"/>
    </row>
    <row r="66" spans="1:21" s="37" customFormat="1" x14ac:dyDescent="0.25">
      <c r="A66" s="126"/>
      <c r="G66" s="45" t="s">
        <v>13</v>
      </c>
      <c r="H66" s="127">
        <f>ROUND(C65/H65,6)</f>
        <v>6.1980000000000004E-3</v>
      </c>
      <c r="I66" s="127"/>
      <c r="N66" s="482" t="s">
        <v>20</v>
      </c>
      <c r="O66" s="482"/>
      <c r="P66" s="482"/>
      <c r="Q66" s="482"/>
      <c r="R66" s="482"/>
      <c r="S66" s="482"/>
      <c r="T66" s="500">
        <f>ROUND(P65/T65,6)</f>
        <v>1.7819999999999999E-3</v>
      </c>
      <c r="U66" s="500"/>
    </row>
    <row r="67" spans="1:21" x14ac:dyDescent="0.25">
      <c r="G67" s="44"/>
      <c r="H67" s="123"/>
      <c r="I67" s="123"/>
      <c r="N67" s="48"/>
      <c r="O67" s="48"/>
      <c r="P67" s="48"/>
      <c r="Q67" s="48"/>
      <c r="R67" s="128"/>
      <c r="S67" s="48"/>
      <c r="T67" s="129"/>
      <c r="U67" s="130"/>
    </row>
    <row r="68" spans="1:21" x14ac:dyDescent="0.25">
      <c r="A68" s="453" t="s">
        <v>85</v>
      </c>
      <c r="B68" s="453"/>
      <c r="C68" s="453"/>
      <c r="D68" s="72"/>
      <c r="E68" s="46" t="s">
        <v>3</v>
      </c>
      <c r="F68" s="337">
        <f>'0664'!F68</f>
        <v>42465042</v>
      </c>
      <c r="G68" s="39" t="s">
        <v>6</v>
      </c>
      <c r="H68" s="131">
        <f>H63</f>
        <v>1.9989999999999999E-3</v>
      </c>
      <c r="I68" s="104">
        <f>ROUND(F68*H68,2)</f>
        <v>84887.62</v>
      </c>
      <c r="N68" s="479" t="s">
        <v>85</v>
      </c>
      <c r="O68" s="479"/>
      <c r="P68" s="479"/>
      <c r="Q68" s="47"/>
      <c r="R68" s="132">
        <f>F68</f>
        <v>42465042</v>
      </c>
      <c r="S68" s="40" t="s">
        <v>6</v>
      </c>
      <c r="T68" s="133">
        <f>T63</f>
        <v>1.9989999999999999E-3</v>
      </c>
      <c r="U68" s="99">
        <f>ROUND(R68*T68,0)</f>
        <v>84888</v>
      </c>
    </row>
    <row r="69" spans="1:21" x14ac:dyDescent="0.25">
      <c r="A69" s="458" t="s">
        <v>96</v>
      </c>
      <c r="B69" s="453"/>
      <c r="C69" s="453"/>
      <c r="D69" s="72"/>
      <c r="E69" s="46"/>
      <c r="F69" s="136"/>
      <c r="G69" s="39"/>
      <c r="H69" s="131"/>
      <c r="I69" s="104"/>
      <c r="N69" s="479" t="s">
        <v>84</v>
      </c>
      <c r="O69" s="479"/>
      <c r="P69" s="479"/>
      <c r="Q69" s="54"/>
      <c r="R69" s="54"/>
      <c r="S69" s="54"/>
      <c r="T69" s="54"/>
      <c r="U69" s="54"/>
    </row>
    <row r="70" spans="1:21" x14ac:dyDescent="0.25">
      <c r="A70" s="465" t="s">
        <v>141</v>
      </c>
      <c r="B70" s="453"/>
      <c r="C70" s="453"/>
      <c r="D70" s="72"/>
      <c r="E70" s="46" t="s">
        <v>3</v>
      </c>
      <c r="F70" s="337">
        <f>'0664'!F70</f>
        <v>0</v>
      </c>
      <c r="G70" s="39" t="s">
        <v>6</v>
      </c>
      <c r="H70" s="131">
        <f>H63</f>
        <v>1.9989999999999999E-3</v>
      </c>
      <c r="I70" s="104">
        <f>ROUND(F70*H70,2)</f>
        <v>0</v>
      </c>
      <c r="N70" s="48"/>
      <c r="O70" s="48"/>
      <c r="P70" s="48"/>
      <c r="Q70" s="47"/>
      <c r="R70" s="132">
        <f>F70</f>
        <v>0</v>
      </c>
      <c r="S70" s="40" t="s">
        <v>6</v>
      </c>
      <c r="T70" s="133">
        <f>T63</f>
        <v>1.9989999999999999E-3</v>
      </c>
      <c r="U70" s="99">
        <f>ROUND(R70*T70,0)</f>
        <v>0</v>
      </c>
    </row>
    <row r="71" spans="1:21" x14ac:dyDescent="0.25">
      <c r="A71" s="463" t="s">
        <v>433</v>
      </c>
      <c r="B71" s="453"/>
      <c r="C71" s="453"/>
      <c r="D71" s="72"/>
      <c r="E71" s="46" t="s">
        <v>3</v>
      </c>
      <c r="F71" s="337">
        <f>'0664'!F71</f>
        <v>13414654</v>
      </c>
      <c r="G71" s="39" t="s">
        <v>6</v>
      </c>
      <c r="H71" s="131">
        <f>H63</f>
        <v>1.9989999999999999E-3</v>
      </c>
      <c r="I71" s="104">
        <f>ROUND(F71*H71,2)</f>
        <v>26815.89</v>
      </c>
      <c r="N71" s="479" t="s">
        <v>83</v>
      </c>
      <c r="O71" s="479"/>
      <c r="P71" s="479"/>
      <c r="Q71" s="47"/>
      <c r="R71" s="132">
        <f>F71</f>
        <v>13414654</v>
      </c>
      <c r="S71" s="40" t="s">
        <v>6</v>
      </c>
      <c r="T71" s="133">
        <f>T63</f>
        <v>1.9989999999999999E-3</v>
      </c>
      <c r="U71" s="99">
        <f>ROUND(R71*T71,0)</f>
        <v>26816</v>
      </c>
    </row>
    <row r="72" spans="1:21" x14ac:dyDescent="0.25">
      <c r="A72" s="463" t="s">
        <v>434</v>
      </c>
      <c r="B72" s="453"/>
      <c r="C72" s="453"/>
      <c r="D72" s="72"/>
      <c r="E72" s="46" t="s">
        <v>3</v>
      </c>
      <c r="F72" s="337">
        <f>'0664'!F72</f>
        <v>14708421</v>
      </c>
      <c r="G72" s="39" t="s">
        <v>6</v>
      </c>
      <c r="H72" s="131">
        <f>H63</f>
        <v>1.9989999999999999E-3</v>
      </c>
      <c r="I72" s="104">
        <f>ROUND(F72*H72,2)</f>
        <v>29402.13</v>
      </c>
      <c r="N72" s="479" t="s">
        <v>82</v>
      </c>
      <c r="O72" s="479"/>
      <c r="P72" s="479"/>
      <c r="Q72" s="47"/>
      <c r="R72" s="134">
        <f>F72</f>
        <v>14708421</v>
      </c>
      <c r="S72" s="40" t="s">
        <v>6</v>
      </c>
      <c r="T72" s="133">
        <f>T63</f>
        <v>1.9989999999999999E-3</v>
      </c>
      <c r="U72" s="99">
        <f>ROUND(R72*T72,0)</f>
        <v>29402</v>
      </c>
    </row>
    <row r="73" spans="1:21" x14ac:dyDescent="0.25">
      <c r="A73" s="263" t="s">
        <v>99</v>
      </c>
      <c r="D73" s="72"/>
      <c r="E73" s="41" t="s">
        <v>353</v>
      </c>
      <c r="F73" s="466"/>
      <c r="G73" s="466"/>
      <c r="H73" s="466"/>
      <c r="I73" s="104">
        <v>0</v>
      </c>
      <c r="N73" s="499" t="s">
        <v>118</v>
      </c>
      <c r="O73" s="499"/>
      <c r="P73" s="499"/>
      <c r="Q73" s="499"/>
      <c r="R73" s="499"/>
      <c r="S73" s="499"/>
      <c r="T73" s="499"/>
      <c r="U73" s="99">
        <f>IF($H$120=1,I73,0)</f>
        <v>0</v>
      </c>
    </row>
    <row r="74" spans="1:21" x14ac:dyDescent="0.25">
      <c r="A74" s="264" t="s">
        <v>142</v>
      </c>
      <c r="I74" s="104"/>
      <c r="N74" s="499" t="s">
        <v>43</v>
      </c>
      <c r="O74" s="499"/>
      <c r="P74" s="499"/>
      <c r="Q74" s="499"/>
      <c r="R74" s="499"/>
      <c r="S74" s="499"/>
      <c r="T74" s="499"/>
      <c r="U74" s="99">
        <f>IF($H$120=1,I74,0)</f>
        <v>0</v>
      </c>
    </row>
    <row r="75" spans="1:21" x14ac:dyDescent="0.25">
      <c r="A75" s="324" t="s">
        <v>101</v>
      </c>
      <c r="B75" s="72"/>
      <c r="C75" s="72"/>
      <c r="D75" s="72"/>
      <c r="E75" s="72"/>
      <c r="F75" s="72"/>
      <c r="G75" s="72"/>
      <c r="H75" s="72"/>
      <c r="I75" s="135"/>
      <c r="N75" s="382" t="s">
        <v>44</v>
      </c>
      <c r="O75" s="48"/>
      <c r="P75" s="48"/>
      <c r="Q75" s="48"/>
      <c r="R75" s="48"/>
      <c r="S75" s="48"/>
      <c r="T75" s="48"/>
      <c r="U75" s="106"/>
    </row>
    <row r="76" spans="1:21" x14ac:dyDescent="0.25">
      <c r="A76" s="463" t="s">
        <v>435</v>
      </c>
      <c r="B76" s="453"/>
      <c r="C76" s="453"/>
      <c r="D76" s="72"/>
      <c r="E76" s="46" t="s">
        <v>3</v>
      </c>
      <c r="F76" s="337">
        <f>'0664'!F76</f>
        <v>8720092</v>
      </c>
      <c r="G76" s="39" t="s">
        <v>6</v>
      </c>
      <c r="H76" s="131">
        <f>H63</f>
        <v>1.9989999999999999E-3</v>
      </c>
      <c r="I76" s="104">
        <f t="shared" ref="I76:I85" si="14">ROUND(F76*H76,2)</f>
        <v>17431.46</v>
      </c>
      <c r="N76" s="478" t="s">
        <v>366</v>
      </c>
      <c r="O76" s="479"/>
      <c r="P76" s="479"/>
      <c r="Q76" s="47"/>
      <c r="R76" s="134">
        <f t="shared" ref="R76:R85" si="15">F76</f>
        <v>8720092</v>
      </c>
      <c r="S76" s="40" t="s">
        <v>6</v>
      </c>
      <c r="T76" s="133">
        <f>T63</f>
        <v>1.9989999999999999E-3</v>
      </c>
      <c r="U76" s="99">
        <f t="shared" ref="U76:U85" si="16">ROUND(R76*T76,0)</f>
        <v>17431</v>
      </c>
    </row>
    <row r="77" spans="1:21" x14ac:dyDescent="0.25">
      <c r="A77" s="463" t="s">
        <v>436</v>
      </c>
      <c r="B77" s="453"/>
      <c r="C77" s="453"/>
      <c r="D77" s="72"/>
      <c r="E77" s="46" t="s">
        <v>3</v>
      </c>
      <c r="F77" s="337">
        <f>'0664'!F77</f>
        <v>0</v>
      </c>
      <c r="G77" s="39" t="s">
        <v>6</v>
      </c>
      <c r="H77" s="131">
        <f>H63</f>
        <v>1.9989999999999999E-3</v>
      </c>
      <c r="I77" s="104">
        <f t="shared" si="14"/>
        <v>0</v>
      </c>
      <c r="N77" s="479" t="s">
        <v>367</v>
      </c>
      <c r="O77" s="479"/>
      <c r="P77" s="479"/>
      <c r="Q77" s="47"/>
      <c r="R77" s="134">
        <f t="shared" si="15"/>
        <v>0</v>
      </c>
      <c r="S77" s="40" t="s">
        <v>6</v>
      </c>
      <c r="T77" s="133">
        <f>T63</f>
        <v>1.9989999999999999E-3</v>
      </c>
      <c r="U77" s="99">
        <f t="shared" si="16"/>
        <v>0</v>
      </c>
    </row>
    <row r="78" spans="1:21" x14ac:dyDescent="0.25">
      <c r="A78" s="463" t="s">
        <v>437</v>
      </c>
      <c r="B78" s="453"/>
      <c r="C78" s="453"/>
      <c r="D78" s="72"/>
      <c r="E78" s="46" t="s">
        <v>4</v>
      </c>
      <c r="F78" s="337">
        <f>'0664'!F78</f>
        <v>0</v>
      </c>
      <c r="G78" s="39" t="s">
        <v>6</v>
      </c>
      <c r="H78" s="131">
        <f>H66</f>
        <v>6.1980000000000004E-3</v>
      </c>
      <c r="I78" s="104">
        <f t="shared" si="14"/>
        <v>0</v>
      </c>
      <c r="N78" s="478" t="s">
        <v>392</v>
      </c>
      <c r="O78" s="479"/>
      <c r="P78" s="479"/>
      <c r="Q78" s="47"/>
      <c r="R78" s="134">
        <f t="shared" si="15"/>
        <v>0</v>
      </c>
      <c r="S78" s="40" t="s">
        <v>6</v>
      </c>
      <c r="T78" s="133">
        <f>T66</f>
        <v>1.7819999999999999E-3</v>
      </c>
      <c r="U78" s="99">
        <f t="shared" si="16"/>
        <v>0</v>
      </c>
    </row>
    <row r="79" spans="1:21" x14ac:dyDescent="0.25">
      <c r="A79" s="463" t="s">
        <v>438</v>
      </c>
      <c r="B79" s="453"/>
      <c r="C79" s="453"/>
      <c r="D79" s="72"/>
      <c r="E79" s="46" t="s">
        <v>4</v>
      </c>
      <c r="F79" s="337">
        <f>'0664'!F79</f>
        <v>11278687</v>
      </c>
      <c r="G79" s="39" t="s">
        <v>6</v>
      </c>
      <c r="H79" s="131">
        <f>H66</f>
        <v>6.1980000000000004E-3</v>
      </c>
      <c r="I79" s="104">
        <f t="shared" si="14"/>
        <v>69905.3</v>
      </c>
      <c r="N79" s="478" t="s">
        <v>393</v>
      </c>
      <c r="O79" s="479"/>
      <c r="P79" s="479"/>
      <c r="Q79" s="47"/>
      <c r="R79" s="134">
        <f t="shared" si="15"/>
        <v>11278687</v>
      </c>
      <c r="S79" s="40" t="s">
        <v>6</v>
      </c>
      <c r="T79" s="133">
        <f>T66</f>
        <v>1.7819999999999999E-3</v>
      </c>
      <c r="U79" s="99">
        <f t="shared" si="16"/>
        <v>20099</v>
      </c>
    </row>
    <row r="80" spans="1:21" x14ac:dyDescent="0.25">
      <c r="A80" s="463" t="s">
        <v>439</v>
      </c>
      <c r="B80" s="453"/>
      <c r="C80" s="453"/>
      <c r="D80" s="72"/>
      <c r="E80" s="46" t="s">
        <v>4</v>
      </c>
      <c r="F80" s="337">
        <f>'0664'!F80</f>
        <v>206284749</v>
      </c>
      <c r="G80" s="39" t="s">
        <v>6</v>
      </c>
      <c r="H80" s="131">
        <f>H66</f>
        <v>6.1980000000000004E-3</v>
      </c>
      <c r="I80" s="104">
        <f t="shared" si="14"/>
        <v>1278552.8700000001</v>
      </c>
      <c r="N80" s="478" t="s">
        <v>397</v>
      </c>
      <c r="O80" s="479"/>
      <c r="P80" s="479"/>
      <c r="Q80" s="47"/>
      <c r="R80" s="134">
        <f t="shared" si="15"/>
        <v>206284749</v>
      </c>
      <c r="S80" s="40" t="s">
        <v>6</v>
      </c>
      <c r="T80" s="133">
        <f>T66</f>
        <v>1.7819999999999999E-3</v>
      </c>
      <c r="U80" s="99">
        <f t="shared" si="16"/>
        <v>367599</v>
      </c>
    </row>
    <row r="81" spans="1:21" x14ac:dyDescent="0.25">
      <c r="A81" s="84" t="s">
        <v>440</v>
      </c>
      <c r="B81" s="72"/>
      <c r="C81" s="72"/>
      <c r="D81" s="72"/>
      <c r="E81" s="46"/>
      <c r="F81" s="337"/>
      <c r="G81" s="39"/>
      <c r="H81" s="131"/>
      <c r="I81" s="104"/>
      <c r="N81" s="419" t="s">
        <v>440</v>
      </c>
      <c r="O81" s="48"/>
      <c r="P81" s="48"/>
      <c r="Q81" s="47"/>
      <c r="R81" s="423"/>
      <c r="S81" s="40"/>
      <c r="T81" s="133"/>
      <c r="U81" s="120"/>
    </row>
    <row r="82" spans="1:21" x14ac:dyDescent="0.25">
      <c r="A82" s="264" t="s">
        <v>441</v>
      </c>
      <c r="B82" s="72"/>
      <c r="C82" s="72"/>
      <c r="D82" s="72"/>
      <c r="E82" s="46" t="s">
        <v>442</v>
      </c>
      <c r="F82" s="337">
        <f>'0664'!F82</f>
        <v>0</v>
      </c>
      <c r="G82" s="39" t="s">
        <v>6</v>
      </c>
      <c r="H82" s="131">
        <f>H66</f>
        <v>6.1980000000000004E-3</v>
      </c>
      <c r="I82" s="104">
        <v>230412.76</v>
      </c>
      <c r="N82" s="422" t="s">
        <v>441</v>
      </c>
      <c r="O82" s="48"/>
      <c r="P82" s="48"/>
      <c r="Q82" s="47"/>
      <c r="R82" s="134">
        <f t="shared" si="15"/>
        <v>0</v>
      </c>
      <c r="S82" s="40"/>
      <c r="T82" s="133"/>
      <c r="U82" s="99">
        <f t="shared" si="16"/>
        <v>0</v>
      </c>
    </row>
    <row r="83" spans="1:21" x14ac:dyDescent="0.25">
      <c r="A83" s="264" t="s">
        <v>443</v>
      </c>
      <c r="B83" s="72"/>
      <c r="C83" s="72"/>
      <c r="D83" s="72"/>
      <c r="E83" s="46" t="s">
        <v>442</v>
      </c>
      <c r="F83" s="337">
        <f>'0664'!F83</f>
        <v>0</v>
      </c>
      <c r="G83" s="39" t="s">
        <v>6</v>
      </c>
      <c r="H83" s="131">
        <f>H66</f>
        <v>6.1980000000000004E-3</v>
      </c>
      <c r="I83" s="104">
        <v>104733.07</v>
      </c>
      <c r="N83" s="422" t="s">
        <v>443</v>
      </c>
      <c r="O83" s="48"/>
      <c r="P83" s="48"/>
      <c r="Q83" s="47"/>
      <c r="R83" s="134">
        <f t="shared" si="15"/>
        <v>0</v>
      </c>
      <c r="S83" s="40"/>
      <c r="T83" s="133"/>
      <c r="U83" s="99">
        <f t="shared" si="16"/>
        <v>0</v>
      </c>
    </row>
    <row r="84" spans="1:21" x14ac:dyDescent="0.25">
      <c r="A84" s="420" t="s">
        <v>444</v>
      </c>
      <c r="B84" s="72"/>
      <c r="C84" s="72"/>
      <c r="D84" s="72"/>
      <c r="E84" s="46"/>
      <c r="F84" s="337"/>
      <c r="G84" s="39"/>
      <c r="H84" s="131"/>
      <c r="I84" s="104">
        <f>I82+I83</f>
        <v>335145.83</v>
      </c>
      <c r="N84" s="421" t="s">
        <v>444</v>
      </c>
      <c r="O84" s="48"/>
      <c r="P84" s="48"/>
      <c r="Q84" s="47"/>
      <c r="R84" s="423"/>
      <c r="S84" s="40"/>
      <c r="T84" s="133"/>
      <c r="U84" s="99">
        <f>U82+U83</f>
        <v>0</v>
      </c>
    </row>
    <row r="85" spans="1:21" x14ac:dyDescent="0.25">
      <c r="A85" s="463" t="s">
        <v>398</v>
      </c>
      <c r="B85" s="453"/>
      <c r="C85" s="453"/>
      <c r="D85" s="72"/>
      <c r="E85" s="46" t="s">
        <v>4</v>
      </c>
      <c r="F85" s="337">
        <f>'0664'!F85</f>
        <v>0</v>
      </c>
      <c r="G85" s="39" t="s">
        <v>6</v>
      </c>
      <c r="H85" s="131">
        <f>H66</f>
        <v>6.1980000000000004E-3</v>
      </c>
      <c r="I85" s="104">
        <f t="shared" si="14"/>
        <v>0</v>
      </c>
      <c r="N85" s="478" t="s">
        <v>398</v>
      </c>
      <c r="O85" s="479"/>
      <c r="P85" s="479"/>
      <c r="Q85" s="47"/>
      <c r="R85" s="132">
        <f t="shared" si="15"/>
        <v>0</v>
      </c>
      <c r="S85" s="40" t="s">
        <v>6</v>
      </c>
      <c r="T85" s="133">
        <f>T66</f>
        <v>1.7819999999999999E-3</v>
      </c>
      <c r="U85" s="99">
        <f t="shared" si="16"/>
        <v>0</v>
      </c>
    </row>
    <row r="86" spans="1:21" x14ac:dyDescent="0.25">
      <c r="B86" s="72"/>
      <c r="C86" s="72"/>
      <c r="D86" s="72"/>
      <c r="E86" s="46"/>
      <c r="F86" s="136"/>
      <c r="G86" s="39"/>
      <c r="H86" s="131"/>
      <c r="I86" s="104"/>
      <c r="N86" s="48"/>
      <c r="O86" s="48"/>
      <c r="P86" s="48"/>
      <c r="Q86" s="47"/>
      <c r="R86" s="137"/>
      <c r="S86" s="40"/>
      <c r="T86" s="133"/>
      <c r="U86" s="106"/>
    </row>
    <row r="87" spans="1:21" x14ac:dyDescent="0.25">
      <c r="A87" s="463" t="s">
        <v>445</v>
      </c>
      <c r="B87" s="453"/>
      <c r="C87" s="453"/>
      <c r="D87" s="453"/>
      <c r="E87" s="453"/>
      <c r="F87" s="453"/>
      <c r="G87" s="453"/>
      <c r="H87" s="453"/>
      <c r="I87" s="453"/>
      <c r="N87" s="478" t="s">
        <v>429</v>
      </c>
      <c r="O87" s="479"/>
      <c r="P87" s="479"/>
      <c r="Q87" s="479"/>
      <c r="R87" s="479"/>
      <c r="S87" s="479"/>
      <c r="T87" s="479"/>
      <c r="U87" s="479"/>
    </row>
    <row r="88" spans="1:21" x14ac:dyDescent="0.25">
      <c r="B88" s="72"/>
      <c r="C88" s="466" t="s">
        <v>73</v>
      </c>
      <c r="D88" s="466"/>
      <c r="E88" s="72"/>
      <c r="F88" s="41" t="s">
        <v>37</v>
      </c>
      <c r="G88" s="72"/>
      <c r="H88" s="72"/>
      <c r="I88" s="72"/>
      <c r="N88" s="48"/>
      <c r="O88" s="48"/>
      <c r="P88" s="48"/>
      <c r="Q88" s="48"/>
      <c r="R88" s="48"/>
      <c r="S88" s="48"/>
      <c r="T88" s="48"/>
      <c r="U88" s="48"/>
    </row>
    <row r="89" spans="1:21" x14ac:dyDescent="0.25">
      <c r="A89" s="3"/>
      <c r="B89" s="138"/>
      <c r="C89" s="462" t="s">
        <v>144</v>
      </c>
      <c r="D89" s="462"/>
      <c r="E89" s="139" t="s">
        <v>150</v>
      </c>
      <c r="F89" s="140" t="s">
        <v>149</v>
      </c>
      <c r="G89" s="141"/>
      <c r="H89" s="141"/>
      <c r="I89" s="141"/>
      <c r="N89" s="495" t="s">
        <v>46</v>
      </c>
      <c r="O89" s="495"/>
      <c r="P89" s="496" t="s">
        <v>119</v>
      </c>
      <c r="Q89" s="496"/>
      <c r="R89" s="497" t="s">
        <v>40</v>
      </c>
      <c r="S89" s="497"/>
      <c r="T89" s="497"/>
      <c r="U89" s="497"/>
    </row>
    <row r="90" spans="1:21" x14ac:dyDescent="0.25">
      <c r="A90" s="27"/>
      <c r="B90" s="55" t="s">
        <v>148</v>
      </c>
      <c r="C90" s="467">
        <f>H13+H14+H19+H22+H25</f>
        <v>455.73</v>
      </c>
      <c r="D90" s="467"/>
      <c r="E90" s="49">
        <f>H8</f>
        <v>1.0438000000000001</v>
      </c>
      <c r="F90" s="338">
        <f>'0664'!F90</f>
        <v>957.94</v>
      </c>
      <c r="G90" s="41" t="s">
        <v>13</v>
      </c>
      <c r="H90" s="104">
        <f>ROUND(C90*E90*F90,2)</f>
        <v>455683.41</v>
      </c>
      <c r="I90" s="107"/>
      <c r="N90" s="29" t="s">
        <v>22</v>
      </c>
      <c r="O90" s="50">
        <f>T13+T14+T19+T22+T25</f>
        <v>126.5</v>
      </c>
      <c r="P90" s="490">
        <f>T8</f>
        <v>1.0438000000000001</v>
      </c>
      <c r="Q90" s="490"/>
      <c r="R90" s="51">
        <f>F90</f>
        <v>957.94</v>
      </c>
      <c r="S90" s="42" t="s">
        <v>13</v>
      </c>
      <c r="T90" s="134">
        <f>ROUND(O90*P90*R90,0)</f>
        <v>126487</v>
      </c>
      <c r="U90" s="105"/>
    </row>
    <row r="91" spans="1:21" x14ac:dyDescent="0.25">
      <c r="A91" s="52"/>
      <c r="B91" s="52" t="s">
        <v>147</v>
      </c>
      <c r="C91" s="467">
        <f>H15+H16+H20+H23+H26</f>
        <v>454.63599999999997</v>
      </c>
      <c r="D91" s="467"/>
      <c r="E91" s="49">
        <f>H8</f>
        <v>1.0438000000000001</v>
      </c>
      <c r="F91" s="338">
        <f>'0664'!F91</f>
        <v>914.63</v>
      </c>
      <c r="G91" s="41" t="s">
        <v>13</v>
      </c>
      <c r="H91" s="104">
        <f>ROUND(C91*E91*F91,2)</f>
        <v>434036.8</v>
      </c>
      <c r="N91" s="53" t="s">
        <v>14</v>
      </c>
      <c r="O91" s="50">
        <f>T15+T16+T20+T23+T26</f>
        <v>122</v>
      </c>
      <c r="P91" s="490">
        <f>T8</f>
        <v>1.0438000000000001</v>
      </c>
      <c r="Q91" s="490"/>
      <c r="R91" s="51">
        <f>F91</f>
        <v>914.63</v>
      </c>
      <c r="S91" s="42" t="s">
        <v>13</v>
      </c>
      <c r="T91" s="134">
        <f>ROUND(O91*P91*R91,0)</f>
        <v>116472</v>
      </c>
      <c r="U91" s="54"/>
    </row>
    <row r="92" spans="1:21" ht="16.5" thickBot="1" x14ac:dyDescent="0.3">
      <c r="A92" s="55"/>
      <c r="B92" s="55" t="s">
        <v>146</v>
      </c>
      <c r="C92" s="467">
        <f>H17+H18+H21+H24+H27+H28</f>
        <v>433.74239999999998</v>
      </c>
      <c r="D92" s="467"/>
      <c r="E92" s="49">
        <f>H8</f>
        <v>1.0438000000000001</v>
      </c>
      <c r="F92" s="338">
        <f>'0664'!F92</f>
        <v>916.84</v>
      </c>
      <c r="G92" s="41" t="s">
        <v>13</v>
      </c>
      <c r="H92" s="97">
        <f>ROUND(C92*E92*F92,2)</f>
        <v>415090.43</v>
      </c>
      <c r="N92" s="56" t="s">
        <v>15</v>
      </c>
      <c r="O92" s="57">
        <f>T17+T18+T21+T24+T27+T28</f>
        <v>137.96</v>
      </c>
      <c r="P92" s="490">
        <f>T8</f>
        <v>1.0438000000000001</v>
      </c>
      <c r="Q92" s="490"/>
      <c r="R92" s="51">
        <f>F92</f>
        <v>916.84</v>
      </c>
      <c r="S92" s="42" t="s">
        <v>13</v>
      </c>
      <c r="T92" s="134">
        <f>ROUND(O92*P92*R92,0)</f>
        <v>132027</v>
      </c>
      <c r="U92" s="54"/>
    </row>
    <row r="93" spans="1:21" ht="16.5" thickBot="1" x14ac:dyDescent="0.3">
      <c r="A93" s="58"/>
      <c r="B93" s="142" t="s">
        <v>145</v>
      </c>
      <c r="C93" s="469">
        <f>SUM(C90:C92)</f>
        <v>1344.1084000000001</v>
      </c>
      <c r="D93" s="469"/>
      <c r="E93" s="143"/>
      <c r="F93" s="143"/>
      <c r="G93" s="143"/>
      <c r="H93" s="144" t="s">
        <v>143</v>
      </c>
      <c r="I93" s="104">
        <f>IF(A1=75,0,H92+H91+H90)</f>
        <v>1304810.6399999999</v>
      </c>
      <c r="N93" s="59" t="s">
        <v>120</v>
      </c>
      <c r="O93" s="60">
        <f>SUM(O90:O92)</f>
        <v>386.46000000000004</v>
      </c>
      <c r="P93" s="491" t="s">
        <v>18</v>
      </c>
      <c r="Q93" s="492"/>
      <c r="R93" s="492"/>
      <c r="S93" s="492"/>
      <c r="T93" s="492"/>
      <c r="U93" s="99">
        <f>IF(N1=75,0,T92+T91+T90)</f>
        <v>374986</v>
      </c>
    </row>
    <row r="94" spans="1:21" ht="16.5" thickTop="1" x14ac:dyDescent="0.25">
      <c r="A94" s="540" t="s">
        <v>90</v>
      </c>
      <c r="B94" s="540"/>
      <c r="C94" s="540"/>
      <c r="D94" s="540"/>
      <c r="E94" s="540"/>
      <c r="F94" s="540"/>
      <c r="G94" s="540"/>
      <c r="H94" s="540"/>
      <c r="I94" s="540"/>
      <c r="N94" s="493" t="s">
        <v>90</v>
      </c>
      <c r="O94" s="493"/>
      <c r="P94" s="493"/>
      <c r="Q94" s="493"/>
      <c r="R94" s="493"/>
      <c r="S94" s="493"/>
      <c r="T94" s="493"/>
      <c r="U94" s="493"/>
    </row>
    <row r="95" spans="1:21" x14ac:dyDescent="0.25">
      <c r="A95" s="145"/>
      <c r="B95" s="145"/>
      <c r="C95" s="145"/>
      <c r="D95" s="145"/>
      <c r="E95" s="145"/>
      <c r="F95" s="145"/>
      <c r="G95" s="145"/>
      <c r="H95" s="145"/>
      <c r="I95" s="145"/>
      <c r="N95" s="146"/>
      <c r="O95" s="146"/>
      <c r="P95" s="146"/>
      <c r="Q95" s="146"/>
      <c r="R95" s="146"/>
      <c r="S95" s="146"/>
      <c r="T95" s="146"/>
      <c r="U95" s="146"/>
    </row>
    <row r="96" spans="1:21" x14ac:dyDescent="0.25">
      <c r="A96" s="84" t="s">
        <v>446</v>
      </c>
      <c r="C96" s="46"/>
      <c r="D96" s="72"/>
      <c r="E96" s="46" t="s">
        <v>100</v>
      </c>
      <c r="F96" s="471"/>
      <c r="G96" s="471"/>
      <c r="H96" s="471"/>
      <c r="I96" s="471"/>
      <c r="N96" s="478" t="s">
        <v>426</v>
      </c>
      <c r="O96" s="479"/>
      <c r="P96" s="479"/>
      <c r="Q96" s="494"/>
      <c r="R96" s="494"/>
      <c r="S96" s="494"/>
      <c r="T96" s="494"/>
      <c r="U96" s="106"/>
    </row>
    <row r="97" spans="1:21" x14ac:dyDescent="0.25">
      <c r="B97" s="72"/>
      <c r="C97" s="91" t="s">
        <v>409</v>
      </c>
      <c r="D97" s="371" t="s">
        <v>410</v>
      </c>
      <c r="E97" s="92" t="s">
        <v>151</v>
      </c>
      <c r="F97" s="46"/>
      <c r="G97" s="46"/>
      <c r="H97" s="46"/>
      <c r="I97" s="46"/>
      <c r="N97" s="48"/>
      <c r="O97" s="48"/>
      <c r="P97" s="48"/>
      <c r="Q97" s="147"/>
      <c r="R97" s="147"/>
      <c r="S97" s="147"/>
      <c r="T97" s="147"/>
      <c r="U97" s="106"/>
    </row>
    <row r="98" spans="1:21" x14ac:dyDescent="0.25">
      <c r="B98" s="72"/>
      <c r="C98" s="362" t="s">
        <v>2</v>
      </c>
      <c r="D98" s="362" t="s">
        <v>2</v>
      </c>
      <c r="E98" s="362" t="s">
        <v>2</v>
      </c>
      <c r="F98" s="46"/>
      <c r="G98" s="46"/>
      <c r="H98" s="46"/>
      <c r="I98" s="46"/>
      <c r="N98" s="48"/>
      <c r="O98" s="48"/>
      <c r="P98" s="48"/>
      <c r="Q98" s="147"/>
      <c r="R98" s="147"/>
      <c r="S98" s="147"/>
      <c r="T98" s="147"/>
      <c r="U98" s="106"/>
    </row>
    <row r="99" spans="1:21" x14ac:dyDescent="0.25">
      <c r="A99" s="536" t="s">
        <v>470</v>
      </c>
      <c r="B99" s="461"/>
      <c r="C99" s="165">
        <v>0</v>
      </c>
      <c r="D99" s="165">
        <v>0</v>
      </c>
      <c r="E99" s="125">
        <f>C99</f>
        <v>0</v>
      </c>
      <c r="F99" s="148" t="s">
        <v>39</v>
      </c>
      <c r="G99" s="339">
        <f>'0664'!G99</f>
        <v>558</v>
      </c>
      <c r="I99" s="104">
        <f>ROUND(G99*E99,2)</f>
        <v>0</v>
      </c>
      <c r="N99" s="488" t="s">
        <v>65</v>
      </c>
      <c r="O99" s="488"/>
      <c r="P99" s="489">
        <f>IF(H120=1,E99,0)</f>
        <v>0</v>
      </c>
      <c r="Q99" s="489"/>
      <c r="R99" s="489"/>
      <c r="S99" s="86" t="s">
        <v>39</v>
      </c>
      <c r="T99" s="61">
        <f>G99</f>
        <v>558</v>
      </c>
      <c r="U99" s="99">
        <f>ROUND(T99*P99,0)</f>
        <v>0</v>
      </c>
    </row>
    <row r="100" spans="1:21" x14ac:dyDescent="0.25">
      <c r="A100" s="536" t="s">
        <v>471</v>
      </c>
      <c r="B100" s="461"/>
      <c r="C100" s="165">
        <v>0</v>
      </c>
      <c r="D100" s="165">
        <v>0</v>
      </c>
      <c r="E100" s="125">
        <f>C100</f>
        <v>0</v>
      </c>
      <c r="F100" s="148" t="s">
        <v>39</v>
      </c>
      <c r="G100" s="339">
        <f>'0664'!G100</f>
        <v>1707</v>
      </c>
      <c r="I100" s="104">
        <f>ROUND(G100*E100,2)</f>
        <v>0</v>
      </c>
      <c r="N100" s="488" t="s">
        <v>81</v>
      </c>
      <c r="O100" s="488"/>
      <c r="P100" s="483"/>
      <c r="Q100" s="483"/>
      <c r="R100" s="483"/>
      <c r="S100" s="86" t="s">
        <v>39</v>
      </c>
      <c r="T100" s="61">
        <f>G100</f>
        <v>1707</v>
      </c>
      <c r="U100" s="99">
        <f>ROUND(T100*P100,0)</f>
        <v>0</v>
      </c>
    </row>
    <row r="101" spans="1:21" x14ac:dyDescent="0.25">
      <c r="A101" s="149"/>
      <c r="B101" s="149"/>
      <c r="C101" s="68"/>
      <c r="D101" s="68"/>
      <c r="E101" s="68"/>
      <c r="F101" s="68"/>
      <c r="G101" s="150"/>
      <c r="H101" s="151"/>
      <c r="I101" s="104"/>
      <c r="N101" s="152"/>
      <c r="O101" s="152"/>
      <c r="P101" s="153"/>
      <c r="Q101" s="153"/>
      <c r="R101" s="153"/>
      <c r="S101" s="86"/>
      <c r="T101" s="61"/>
      <c r="U101" s="106"/>
    </row>
    <row r="102" spans="1:21" x14ac:dyDescent="0.25">
      <c r="A102" s="149"/>
      <c r="B102" s="149"/>
      <c r="C102" s="68"/>
      <c r="D102" s="68"/>
      <c r="E102" s="68"/>
      <c r="F102" s="68"/>
      <c r="G102" s="150"/>
      <c r="H102" s="151"/>
      <c r="I102" s="104"/>
      <c r="N102" s="152"/>
      <c r="O102" s="152"/>
      <c r="P102" s="153"/>
      <c r="Q102" s="153"/>
      <c r="R102" s="153"/>
      <c r="S102" s="86"/>
      <c r="T102" s="61"/>
      <c r="U102" s="106"/>
    </row>
    <row r="103" spans="1:21" hidden="1" x14ac:dyDescent="0.25">
      <c r="A103" s="463" t="s">
        <v>447</v>
      </c>
      <c r="B103" s="453"/>
      <c r="C103" s="453"/>
      <c r="D103" s="72"/>
      <c r="E103" s="41" t="s">
        <v>41</v>
      </c>
      <c r="F103" s="466"/>
      <c r="G103" s="466"/>
      <c r="H103" s="466"/>
      <c r="I103" s="466"/>
      <c r="N103" s="478" t="s">
        <v>362</v>
      </c>
      <c r="O103" s="479"/>
      <c r="P103" s="479"/>
      <c r="Q103" s="479"/>
      <c r="R103" s="479"/>
      <c r="S103" s="479"/>
      <c r="T103" s="479"/>
      <c r="U103" s="479"/>
    </row>
    <row r="104" spans="1:21" hidden="1" x14ac:dyDescent="0.25">
      <c r="B104" s="72"/>
      <c r="C104" s="462" t="s">
        <v>91</v>
      </c>
      <c r="D104" s="462"/>
      <c r="E104" s="462"/>
      <c r="F104" s="39"/>
      <c r="G104" s="39"/>
      <c r="H104" s="41" t="s">
        <v>152</v>
      </c>
      <c r="I104" s="39"/>
      <c r="N104" s="48"/>
      <c r="O104" s="48"/>
      <c r="P104" s="48"/>
      <c r="Q104" s="48"/>
      <c r="R104" s="48"/>
      <c r="S104" s="48"/>
      <c r="T104" s="48"/>
      <c r="U104" s="48"/>
    </row>
    <row r="105" spans="1:21" hidden="1" x14ac:dyDescent="0.25">
      <c r="B105" s="72"/>
      <c r="C105" s="91" t="s">
        <v>371</v>
      </c>
      <c r="D105" s="91" t="s">
        <v>351</v>
      </c>
      <c r="E105" s="159" t="s">
        <v>8</v>
      </c>
      <c r="F105" s="464" t="s">
        <v>153</v>
      </c>
      <c r="G105" s="466"/>
      <c r="H105" s="39" t="s">
        <v>38</v>
      </c>
      <c r="I105" s="39"/>
      <c r="N105" s="48"/>
      <c r="O105" s="48"/>
      <c r="P105" s="48"/>
      <c r="Q105" s="48"/>
      <c r="R105" s="48"/>
      <c r="S105" s="48"/>
      <c r="T105" s="48"/>
      <c r="U105" s="48"/>
    </row>
    <row r="106" spans="1:21" hidden="1" x14ac:dyDescent="0.25">
      <c r="A106" s="462" t="s">
        <v>94</v>
      </c>
      <c r="B106" s="462"/>
      <c r="C106" s="93" t="s">
        <v>2</v>
      </c>
      <c r="D106" s="93" t="s">
        <v>2</v>
      </c>
      <c r="E106" s="62" t="s">
        <v>2</v>
      </c>
      <c r="F106" s="462" t="s">
        <v>37</v>
      </c>
      <c r="G106" s="462"/>
      <c r="H106" s="62" t="s">
        <v>37</v>
      </c>
      <c r="I106" s="62" t="s">
        <v>8</v>
      </c>
      <c r="N106" s="484" t="s">
        <v>66</v>
      </c>
      <c r="O106" s="484"/>
      <c r="P106" s="489" t="s">
        <v>91</v>
      </c>
      <c r="Q106" s="489"/>
      <c r="R106" s="484" t="s">
        <v>67</v>
      </c>
      <c r="S106" s="484"/>
      <c r="T106" s="63" t="s">
        <v>68</v>
      </c>
      <c r="U106" s="63" t="s">
        <v>8</v>
      </c>
    </row>
    <row r="107" spans="1:21" hidden="1" x14ac:dyDescent="0.25">
      <c r="A107" s="473" t="s">
        <v>69</v>
      </c>
      <c r="B107" s="473"/>
      <c r="C107" s="163">
        <v>0</v>
      </c>
      <c r="D107" s="163">
        <v>0</v>
      </c>
      <c r="E107" s="210">
        <f>IF(D$59=0,C107*2,C107+D107)</f>
        <v>0</v>
      </c>
      <c r="F107" s="474">
        <v>0</v>
      </c>
      <c r="G107" s="474"/>
      <c r="H107" s="250">
        <f>IF(C107=0,0,125)</f>
        <v>0</v>
      </c>
      <c r="I107" s="104">
        <f>ROUND((H107+F107)*E107,2)</f>
        <v>0</v>
      </c>
      <c r="N107" s="479" t="s">
        <v>69</v>
      </c>
      <c r="O107" s="479"/>
      <c r="P107" s="483">
        <f>IF(H$120=1,C107,0)</f>
        <v>0</v>
      </c>
      <c r="Q107" s="483"/>
      <c r="R107" s="486">
        <f>F107</f>
        <v>0</v>
      </c>
      <c r="S107" s="486"/>
      <c r="T107" s="65">
        <f>H107</f>
        <v>0</v>
      </c>
      <c r="U107" s="99">
        <f>ROUND((T107+R107)*P107,0)</f>
        <v>0</v>
      </c>
    </row>
    <row r="108" spans="1:21" hidden="1" x14ac:dyDescent="0.25">
      <c r="A108" s="456" t="s">
        <v>70</v>
      </c>
      <c r="B108" s="456"/>
      <c r="C108" s="165">
        <v>0</v>
      </c>
      <c r="D108" s="165">
        <v>0</v>
      </c>
      <c r="E108" s="125">
        <f>IF(D$59=0,C108*2,C108+D108)</f>
        <v>0</v>
      </c>
      <c r="F108" s="468">
        <f>ROUND(F107/2,2)</f>
        <v>0</v>
      </c>
      <c r="G108" s="468"/>
      <c r="H108" s="250">
        <f>IF(C108=0,0,62.5)</f>
        <v>0</v>
      </c>
      <c r="I108" s="104">
        <f>ROUND((H108+F108)*E108,2)</f>
        <v>0</v>
      </c>
      <c r="N108" s="479" t="s">
        <v>70</v>
      </c>
      <c r="O108" s="479"/>
      <c r="P108" s="483">
        <f>IF(H$120=1,C108,0)</f>
        <v>0</v>
      </c>
      <c r="Q108" s="483"/>
      <c r="R108" s="487">
        <f>ROUND(R107/2,2)</f>
        <v>0</v>
      </c>
      <c r="S108" s="487"/>
      <c r="T108" s="65">
        <f>H108</f>
        <v>0</v>
      </c>
      <c r="U108" s="99">
        <f>ROUND((T108+R108)*P108,0)</f>
        <v>0</v>
      </c>
    </row>
    <row r="109" spans="1:21" ht="16.5" hidden="1" thickBot="1" x14ac:dyDescent="0.3">
      <c r="A109" s="456" t="s">
        <v>71</v>
      </c>
      <c r="B109" s="456"/>
      <c r="C109" s="165">
        <v>0</v>
      </c>
      <c r="D109" s="165">
        <v>0</v>
      </c>
      <c r="E109" s="125">
        <f>IF(D$59=0,C109*2,C109+D109)</f>
        <v>0</v>
      </c>
      <c r="F109" s="475"/>
      <c r="G109" s="475"/>
      <c r="H109" s="251">
        <f>IF(H107&gt;0,436,0)</f>
        <v>0</v>
      </c>
      <c r="I109" s="104">
        <f>ROUND(H109*E109,2)</f>
        <v>0</v>
      </c>
      <c r="N109" s="482" t="s">
        <v>71</v>
      </c>
      <c r="O109" s="482"/>
      <c r="P109" s="483">
        <f>IF(H$120=1,C109,0)</f>
        <v>0</v>
      </c>
      <c r="Q109" s="483"/>
      <c r="R109" s="484"/>
      <c r="S109" s="484"/>
      <c r="T109" s="67">
        <f>H109</f>
        <v>0</v>
      </c>
      <c r="U109" s="106">
        <f>ROUND(T109*P109,0)</f>
        <v>0</v>
      </c>
    </row>
    <row r="110" spans="1:21" ht="16.5" hidden="1" thickBot="1" x14ac:dyDescent="0.3">
      <c r="A110" s="466" t="s">
        <v>8</v>
      </c>
      <c r="B110" s="466"/>
      <c r="C110" s="68"/>
      <c r="D110" s="68"/>
      <c r="E110" s="68"/>
      <c r="F110" s="68"/>
      <c r="G110" s="68"/>
      <c r="H110" s="68"/>
      <c r="I110" s="100">
        <f>SUM(I107:I109)</f>
        <v>0</v>
      </c>
      <c r="N110" s="485" t="s">
        <v>8</v>
      </c>
      <c r="O110" s="485"/>
      <c r="P110" s="69"/>
      <c r="Q110" s="69"/>
      <c r="R110" s="69"/>
      <c r="S110" s="69"/>
      <c r="T110" s="69"/>
      <c r="U110" s="70">
        <f>SUM(U107:U109)</f>
        <v>0</v>
      </c>
    </row>
    <row r="111" spans="1:21" hidden="1" x14ac:dyDescent="0.25">
      <c r="A111" s="39"/>
      <c r="B111" s="39"/>
      <c r="C111" s="68"/>
      <c r="D111" s="68"/>
      <c r="E111" s="68"/>
      <c r="F111" s="68"/>
      <c r="G111" s="68"/>
      <c r="H111" s="68"/>
      <c r="I111" s="104"/>
      <c r="N111" s="40"/>
      <c r="O111" s="40"/>
      <c r="P111" s="69"/>
      <c r="Q111" s="69"/>
      <c r="R111" s="69"/>
      <c r="S111" s="69"/>
      <c r="T111" s="69"/>
      <c r="U111" s="160"/>
    </row>
    <row r="112" spans="1:21" x14ac:dyDescent="0.25">
      <c r="A112" s="463" t="s">
        <v>448</v>
      </c>
      <c r="B112" s="453"/>
      <c r="C112" s="453"/>
      <c r="D112" s="72"/>
      <c r="E112" s="71" t="s">
        <v>354</v>
      </c>
      <c r="F112" s="472"/>
      <c r="G112" s="472"/>
      <c r="H112" s="472"/>
      <c r="I112" s="125">
        <v>0</v>
      </c>
      <c r="N112" s="478" t="s">
        <v>427</v>
      </c>
      <c r="O112" s="479"/>
      <c r="P112" s="479"/>
      <c r="Q112" s="341"/>
      <c r="R112" s="341"/>
      <c r="S112" s="341"/>
      <c r="T112" s="341"/>
      <c r="U112" s="99">
        <f>IF($H$120=1,I112,0)</f>
        <v>0</v>
      </c>
    </row>
    <row r="113" spans="1:21" x14ac:dyDescent="0.25">
      <c r="A113" s="463" t="s">
        <v>449</v>
      </c>
      <c r="B113" s="453"/>
      <c r="C113" s="453"/>
      <c r="D113" s="72"/>
      <c r="E113" s="71" t="s">
        <v>45</v>
      </c>
      <c r="F113" s="472"/>
      <c r="G113" s="472"/>
      <c r="H113" s="472"/>
      <c r="I113" s="177">
        <v>0</v>
      </c>
      <c r="N113" s="478" t="s">
        <v>428</v>
      </c>
      <c r="O113" s="479"/>
      <c r="P113" s="479"/>
      <c r="Q113" s="341"/>
      <c r="R113" s="341"/>
      <c r="S113" s="341"/>
      <c r="T113" s="341"/>
      <c r="U113" s="99">
        <f>IF($H$120=1,I113,0)</f>
        <v>0</v>
      </c>
    </row>
    <row r="114" spans="1:21" ht="16.5" thickBot="1" x14ac:dyDescent="0.3">
      <c r="B114" s="72"/>
      <c r="C114" s="72"/>
      <c r="D114" s="72"/>
      <c r="E114" s="71"/>
      <c r="F114" s="71"/>
      <c r="G114" s="71"/>
      <c r="H114" s="71"/>
      <c r="I114" s="125"/>
      <c r="N114" s="480" t="s">
        <v>42</v>
      </c>
      <c r="O114" s="480"/>
      <c r="P114" s="480"/>
      <c r="Q114" s="480"/>
      <c r="R114" s="480"/>
      <c r="S114" s="480"/>
      <c r="T114" s="480"/>
      <c r="U114" s="154">
        <f>SUM(U112,U110,U100,U99,U93,U77,U76,U74,U73,U72,U71,U70,U68,U59,U45,U78,U79,U80,U85,U113)</f>
        <v>2771719</v>
      </c>
    </row>
    <row r="115" spans="1:21" ht="16.5" thickTop="1" x14ac:dyDescent="0.25">
      <c r="A115" s="461" t="s">
        <v>8</v>
      </c>
      <c r="B115" s="461"/>
      <c r="C115" s="461"/>
      <c r="D115" s="461"/>
      <c r="E115" s="461"/>
      <c r="F115" s="461"/>
      <c r="G115" s="461"/>
      <c r="H115" s="461"/>
      <c r="I115" s="97">
        <f>SUM(I113,I112,I110,I100,I99,I93,I85,I84,I80,I79,I78,I77,I76,I74,I73,I72,I71,I70,I68,I59,I45)</f>
        <v>10113575.599999998</v>
      </c>
      <c r="N115" s="29"/>
      <c r="O115" s="29"/>
      <c r="P115" s="29"/>
      <c r="Q115" s="29"/>
      <c r="R115" s="29"/>
      <c r="S115" s="29"/>
      <c r="T115" s="29"/>
      <c r="U115" s="160"/>
    </row>
    <row r="116" spans="1:21" x14ac:dyDescent="0.25">
      <c r="A116" s="27"/>
      <c r="B116" s="27"/>
      <c r="C116" s="27"/>
      <c r="D116" s="27"/>
      <c r="E116" s="27"/>
      <c r="F116" s="27"/>
      <c r="G116" s="27"/>
      <c r="H116" s="27"/>
      <c r="I116" s="104"/>
      <c r="N116" s="29"/>
      <c r="O116" s="29"/>
      <c r="P116" s="29"/>
      <c r="Q116" s="29"/>
      <c r="R116" s="29"/>
      <c r="S116" s="29"/>
      <c r="T116" s="29"/>
      <c r="U116" s="160"/>
    </row>
    <row r="117" spans="1:21" x14ac:dyDescent="0.25">
      <c r="A117" s="432" t="s">
        <v>467</v>
      </c>
      <c r="B117" s="27"/>
      <c r="C117" s="27"/>
      <c r="D117" s="27"/>
      <c r="E117" s="27"/>
      <c r="F117" s="27"/>
      <c r="G117" s="27"/>
      <c r="H117" s="27"/>
      <c r="I117" s="104">
        <f>I115-I84</f>
        <v>9778429.7699999977</v>
      </c>
      <c r="N117" s="29"/>
      <c r="O117" s="29"/>
      <c r="P117" s="29"/>
      <c r="Q117" s="29"/>
      <c r="R117" s="29"/>
      <c r="S117" s="29"/>
      <c r="T117" s="29"/>
      <c r="U117" s="160"/>
    </row>
    <row r="118" spans="1:21" x14ac:dyDescent="0.25">
      <c r="A118" s="27"/>
      <c r="B118" s="27"/>
      <c r="C118" s="27"/>
      <c r="D118" s="27"/>
      <c r="E118" s="27"/>
      <c r="F118" s="27"/>
      <c r="G118" s="27"/>
      <c r="H118" s="27"/>
      <c r="I118" s="104"/>
      <c r="N118" s="29"/>
      <c r="O118" s="29"/>
      <c r="P118" s="29"/>
      <c r="Q118" s="29"/>
      <c r="R118" s="29"/>
      <c r="S118" s="29"/>
      <c r="T118" s="29"/>
      <c r="U118" s="160"/>
    </row>
    <row r="119" spans="1:21" x14ac:dyDescent="0.25">
      <c r="A119" s="463" t="s">
        <v>468</v>
      </c>
      <c r="B119" s="453"/>
      <c r="C119" s="453"/>
      <c r="D119" s="453"/>
      <c r="E119" s="453"/>
      <c r="F119" s="453"/>
      <c r="G119" s="453"/>
      <c r="H119" s="84" t="s">
        <v>394</v>
      </c>
      <c r="I119" s="156"/>
      <c r="N119" s="481"/>
      <c r="O119" s="481"/>
      <c r="P119" s="481"/>
      <c r="Q119" s="481"/>
      <c r="R119" s="481"/>
      <c r="S119" s="481"/>
      <c r="T119" s="481"/>
      <c r="U119" s="481"/>
    </row>
    <row r="120" spans="1:21" x14ac:dyDescent="0.25">
      <c r="A120" s="453" t="s">
        <v>95</v>
      </c>
      <c r="B120" s="453"/>
      <c r="C120" s="453"/>
      <c r="D120" s="453"/>
      <c r="E120" s="453"/>
      <c r="F120" s="453"/>
      <c r="G120" s="453"/>
      <c r="H120" s="73">
        <f>IF(E29=0,"",IF((E14+E16+SUM(E18:E24))/E29&gt;0.75,1,""))</f>
        <v>1</v>
      </c>
      <c r="I120" s="125">
        <f>U114</f>
        <v>2771719</v>
      </c>
      <c r="N120" s="476" t="s">
        <v>7</v>
      </c>
      <c r="O120" s="476"/>
      <c r="P120" s="476"/>
      <c r="Q120" s="476"/>
      <c r="R120" s="476"/>
      <c r="S120" s="476"/>
      <c r="T120" s="476"/>
      <c r="U120" s="476"/>
    </row>
    <row r="121" spans="1:21" x14ac:dyDescent="0.25">
      <c r="B121" s="72"/>
      <c r="C121" s="72"/>
      <c r="D121" s="72"/>
      <c r="E121" s="72"/>
      <c r="F121" s="72"/>
      <c r="G121" s="72"/>
      <c r="H121" s="68"/>
      <c r="I121" s="104"/>
      <c r="N121" s="74" t="s">
        <v>106</v>
      </c>
      <c r="O121" s="74"/>
      <c r="P121" s="74"/>
      <c r="Q121" s="74"/>
      <c r="R121" s="74"/>
      <c r="S121" s="74"/>
      <c r="T121" s="74"/>
      <c r="U121" s="74"/>
    </row>
    <row r="122" spans="1:21" x14ac:dyDescent="0.25">
      <c r="A122" s="3" t="s">
        <v>102</v>
      </c>
      <c r="B122" s="72"/>
      <c r="C122" s="72"/>
      <c r="D122" s="72"/>
      <c r="E122" s="72"/>
      <c r="F122" s="72"/>
      <c r="G122" s="286"/>
      <c r="H122" s="161">
        <f>IF(H120=1,I120,I117)</f>
        <v>2771719</v>
      </c>
      <c r="I122" s="97">
        <f>ROUND(IF(E29=0,0,IF(E29&gt;250,-(((250/E29)*H122)*IF(G122="H",0.02,0.05)),IF(G122="H",-0.02*H122,-0.05*H122))),2)</f>
        <v>-89650.9</v>
      </c>
      <c r="N122" s="75" t="s">
        <v>107</v>
      </c>
      <c r="O122" s="74"/>
      <c r="P122" s="74"/>
      <c r="Q122" s="74"/>
      <c r="R122" s="74"/>
      <c r="S122" s="74"/>
      <c r="T122" s="74"/>
      <c r="U122" s="74"/>
    </row>
    <row r="123" spans="1:21" x14ac:dyDescent="0.25">
      <c r="B123" s="72"/>
      <c r="C123" s="72"/>
      <c r="D123" s="72"/>
      <c r="E123" s="72"/>
      <c r="F123" s="72"/>
      <c r="G123" s="72"/>
      <c r="H123" s="68"/>
      <c r="I123" s="104"/>
      <c r="N123" s="76"/>
      <c r="O123" s="76"/>
      <c r="P123" s="76"/>
      <c r="Q123" s="76"/>
      <c r="R123" s="76"/>
      <c r="S123" s="76"/>
      <c r="T123" s="76"/>
      <c r="U123" s="76"/>
    </row>
    <row r="124" spans="1:21" x14ac:dyDescent="0.25">
      <c r="A124" s="345" t="s">
        <v>103</v>
      </c>
      <c r="B124" s="346"/>
      <c r="C124" s="346"/>
      <c r="D124" s="346"/>
      <c r="E124" s="346"/>
      <c r="F124" s="346"/>
      <c r="G124" s="346"/>
      <c r="H124" s="347"/>
      <c r="I124" s="348">
        <f>I115+I122</f>
        <v>10023924.699999997</v>
      </c>
      <c r="N124" s="76"/>
      <c r="O124" s="76"/>
      <c r="P124" s="76"/>
      <c r="Q124" s="76"/>
      <c r="R124" s="76"/>
      <c r="S124" s="76"/>
      <c r="T124" s="76"/>
      <c r="U124" s="76"/>
    </row>
    <row r="125" spans="1:21" x14ac:dyDescent="0.25">
      <c r="B125" s="72"/>
      <c r="C125" s="72"/>
      <c r="D125" s="72"/>
      <c r="E125" s="72"/>
      <c r="F125" s="72"/>
      <c r="G125" s="72"/>
      <c r="H125" s="68"/>
      <c r="I125" s="104"/>
      <c r="N125" s="76"/>
      <c r="O125" s="76"/>
      <c r="P125" s="76"/>
      <c r="Q125" s="76"/>
      <c r="R125" s="76"/>
      <c r="S125" s="76"/>
      <c r="T125" s="76"/>
      <c r="U125" s="76"/>
    </row>
    <row r="126" spans="1:21" x14ac:dyDescent="0.25">
      <c r="A126" s="3" t="s">
        <v>104</v>
      </c>
      <c r="B126" s="72"/>
      <c r="C126" s="162"/>
      <c r="D126" s="72"/>
      <c r="F126" s="72"/>
      <c r="G126" s="72"/>
      <c r="H126" s="68"/>
      <c r="I126" s="302">
        <v>-7466343.4000000004</v>
      </c>
      <c r="N126" s="76"/>
      <c r="O126" s="76"/>
      <c r="P126" s="76"/>
      <c r="Q126" s="76"/>
      <c r="R126" s="76"/>
      <c r="S126" s="76"/>
      <c r="T126" s="76"/>
      <c r="U126" s="76"/>
    </row>
    <row r="127" spans="1:21" x14ac:dyDescent="0.25">
      <c r="B127" s="72"/>
      <c r="C127" s="72"/>
      <c r="D127" s="72"/>
      <c r="E127" s="72"/>
      <c r="F127" s="72"/>
      <c r="G127" s="72"/>
      <c r="H127" s="68"/>
      <c r="I127" s="104"/>
      <c r="N127" s="76"/>
      <c r="O127" s="76"/>
      <c r="P127" s="76"/>
      <c r="Q127" s="76"/>
      <c r="R127" s="76"/>
      <c r="S127" s="76"/>
      <c r="T127" s="76"/>
      <c r="U127" s="76"/>
    </row>
    <row r="128" spans="1:21" x14ac:dyDescent="0.25">
      <c r="A128" s="84" t="s">
        <v>297</v>
      </c>
      <c r="B128" s="72"/>
      <c r="C128" s="72"/>
      <c r="D128" s="72"/>
      <c r="E128" s="72"/>
      <c r="F128" s="72"/>
      <c r="G128" s="72"/>
      <c r="H128" s="68"/>
      <c r="I128" s="104">
        <f>I124+I126</f>
        <v>2557581.299999997</v>
      </c>
      <c r="N128" s="76"/>
      <c r="O128" s="76"/>
      <c r="P128" s="76"/>
      <c r="Q128" s="76"/>
      <c r="R128" s="76"/>
      <c r="S128" s="76"/>
      <c r="T128" s="76"/>
      <c r="U128" s="76"/>
    </row>
    <row r="129" spans="1:21" x14ac:dyDescent="0.25">
      <c r="A129" s="84"/>
      <c r="B129" s="72"/>
      <c r="C129" s="72"/>
      <c r="D129" s="72"/>
      <c r="E129" s="72"/>
      <c r="F129" s="72"/>
      <c r="G129" s="72"/>
      <c r="H129" s="68"/>
      <c r="I129" s="104"/>
      <c r="N129" s="76"/>
      <c r="O129" s="76"/>
      <c r="P129" s="76"/>
      <c r="Q129" s="76"/>
      <c r="R129" s="76"/>
      <c r="S129" s="76"/>
      <c r="T129" s="76"/>
      <c r="U129" s="76"/>
    </row>
    <row r="130" spans="1:21" x14ac:dyDescent="0.25">
      <c r="A130" s="84" t="s">
        <v>298</v>
      </c>
      <c r="B130" s="72"/>
      <c r="C130" s="72"/>
      <c r="D130" s="72"/>
      <c r="E130" s="72"/>
      <c r="F130" s="72"/>
      <c r="G130" s="72"/>
      <c r="H130" s="68"/>
      <c r="I130" s="303">
        <f>'0664'!I130</f>
        <v>3</v>
      </c>
      <c r="N130" s="76"/>
      <c r="O130" s="76"/>
      <c r="P130" s="76"/>
      <c r="Q130" s="76"/>
      <c r="R130" s="76"/>
      <c r="S130" s="76"/>
      <c r="T130" s="76"/>
      <c r="U130" s="76"/>
    </row>
    <row r="131" spans="1:21" x14ac:dyDescent="0.25">
      <c r="B131" s="72"/>
      <c r="C131" s="72"/>
      <c r="D131" s="72"/>
      <c r="E131" s="72"/>
      <c r="F131" s="72"/>
      <c r="G131" s="72"/>
      <c r="H131" s="68"/>
      <c r="I131" s="104"/>
      <c r="N131" s="76"/>
      <c r="O131" s="76"/>
      <c r="P131" s="76"/>
      <c r="Q131" s="76"/>
      <c r="R131" s="76"/>
      <c r="S131" s="76"/>
      <c r="T131" s="76"/>
      <c r="U131" s="76"/>
    </row>
    <row r="132" spans="1:21" ht="16.5" thickBot="1" x14ac:dyDescent="0.3">
      <c r="A132" s="3" t="s">
        <v>105</v>
      </c>
      <c r="B132" s="72"/>
      <c r="C132" s="72"/>
      <c r="D132" s="72"/>
      <c r="E132" s="72"/>
      <c r="F132" s="72"/>
      <c r="G132" s="72"/>
      <c r="H132" s="68"/>
      <c r="I132" s="178">
        <f>ROUND(I128/I130,2)</f>
        <v>852527.1</v>
      </c>
      <c r="N132" s="76"/>
      <c r="O132" s="76"/>
      <c r="P132" s="76"/>
      <c r="Q132" s="76"/>
      <c r="R132" s="76"/>
      <c r="S132" s="76"/>
      <c r="T132" s="76"/>
      <c r="U132" s="76"/>
    </row>
    <row r="133" spans="1:21" ht="16.5" thickTop="1" x14ac:dyDescent="0.25">
      <c r="B133" s="72"/>
      <c r="C133" s="72"/>
      <c r="D133" s="72"/>
      <c r="E133" s="72"/>
      <c r="F133" s="72"/>
      <c r="G133" s="72"/>
      <c r="H133" s="68"/>
      <c r="I133" s="104"/>
      <c r="N133" s="76"/>
      <c r="O133" s="76"/>
      <c r="P133" s="76"/>
      <c r="Q133" s="76"/>
      <c r="R133" s="76"/>
      <c r="S133" s="76"/>
      <c r="T133" s="76"/>
      <c r="U133" s="76"/>
    </row>
    <row r="134" spans="1:21" ht="16.5" thickBot="1" x14ac:dyDescent="0.3">
      <c r="A134" s="3" t="s">
        <v>121</v>
      </c>
      <c r="B134" s="72"/>
      <c r="C134" s="72"/>
      <c r="D134" s="72"/>
      <c r="E134" s="72"/>
      <c r="F134" s="72"/>
      <c r="G134" s="72"/>
      <c r="H134" s="68"/>
      <c r="I134" s="155">
        <f>IF(G122="H",(H122*0.02)+I122,(H122*0.05)+I122)</f>
        <v>48935.050000000017</v>
      </c>
      <c r="N134" s="76"/>
      <c r="O134" s="76"/>
      <c r="P134" s="76"/>
      <c r="Q134" s="76"/>
      <c r="R134" s="76"/>
      <c r="S134" s="76"/>
      <c r="T134" s="76"/>
      <c r="U134" s="76"/>
    </row>
    <row r="135" spans="1:21" ht="16.5" thickTop="1" x14ac:dyDescent="0.25">
      <c r="B135" s="72"/>
      <c r="C135" s="72"/>
      <c r="D135" s="72"/>
      <c r="E135" s="72"/>
      <c r="F135" s="72"/>
      <c r="G135" s="72"/>
      <c r="H135" s="68"/>
      <c r="I135" s="156"/>
      <c r="N135" s="76"/>
      <c r="O135" s="76"/>
      <c r="P135" s="76"/>
      <c r="Q135" s="76"/>
      <c r="R135" s="76"/>
      <c r="S135" s="76"/>
      <c r="T135" s="76"/>
      <c r="U135" s="76"/>
    </row>
    <row r="136" spans="1:21" x14ac:dyDescent="0.25">
      <c r="B136" s="72"/>
      <c r="C136" s="72"/>
      <c r="D136" s="72"/>
      <c r="E136" s="72"/>
      <c r="F136" s="72"/>
      <c r="G136" s="72"/>
      <c r="H136" s="68"/>
      <c r="I136" s="104"/>
      <c r="N136" s="76"/>
      <c r="O136" s="76"/>
      <c r="P136" s="76"/>
      <c r="Q136" s="76"/>
      <c r="R136" s="76"/>
      <c r="S136" s="76"/>
      <c r="T136" s="76"/>
      <c r="U136" s="76"/>
    </row>
    <row r="137" spans="1:21" x14ac:dyDescent="0.25">
      <c r="B137" s="72"/>
      <c r="C137" s="72"/>
      <c r="D137" s="72"/>
      <c r="E137" s="72"/>
      <c r="F137" s="72"/>
      <c r="G137" s="72"/>
      <c r="H137" s="68"/>
      <c r="I137" s="156"/>
      <c r="N137" s="76"/>
      <c r="O137" s="76"/>
      <c r="P137" s="76"/>
      <c r="Q137" s="76"/>
      <c r="R137" s="76"/>
      <c r="S137" s="76"/>
      <c r="T137" s="76"/>
      <c r="U137" s="76"/>
    </row>
    <row r="138" spans="1:21" x14ac:dyDescent="0.25">
      <c r="A138" s="281" t="s">
        <v>7</v>
      </c>
      <c r="B138" s="281"/>
      <c r="C138" s="281"/>
      <c r="D138" s="281"/>
      <c r="E138" s="281"/>
      <c r="F138" s="281"/>
      <c r="G138" s="281"/>
      <c r="H138" s="281"/>
      <c r="I138" s="281"/>
      <c r="J138" s="156"/>
      <c r="N138" s="76"/>
      <c r="O138" s="76"/>
      <c r="P138" s="76"/>
      <c r="Q138" s="76"/>
      <c r="R138" s="76"/>
      <c r="S138" s="76"/>
      <c r="T138" s="76"/>
      <c r="U138" s="76"/>
    </row>
    <row r="139" spans="1:21" ht="15.75" customHeight="1" x14ac:dyDescent="0.25">
      <c r="A139" s="356" t="str">
        <f>'0664'!A139</f>
        <v>(a) Additional FTE includes FTE earned through Advanced Placement, International Baccalaureate, Advanced International Certificate of Education, Industry Certified Career</v>
      </c>
      <c r="B139" s="357"/>
      <c r="C139" s="357"/>
      <c r="D139" s="357"/>
      <c r="E139" s="357"/>
      <c r="F139" s="357"/>
      <c r="G139" s="357"/>
      <c r="H139" s="357"/>
      <c r="I139" s="357"/>
      <c r="J139" s="80"/>
      <c r="K139" s="79"/>
      <c r="L139" s="79"/>
      <c r="M139" s="79"/>
      <c r="N139" s="477"/>
      <c r="O139" s="477"/>
      <c r="P139" s="477"/>
      <c r="Q139" s="477"/>
      <c r="R139" s="477"/>
      <c r="S139" s="477"/>
      <c r="T139" s="477"/>
      <c r="U139" s="477"/>
    </row>
    <row r="140" spans="1:21" ht="15.75" customHeight="1" x14ac:dyDescent="0.25">
      <c r="A140" s="390" t="str">
        <f>'0664'!A140</f>
        <v xml:space="preserve">Education (CAPE), Early High School Graduation and the small district ESE Supplement, pursuant to s. 1011.62(1)(l-p), F.S. </v>
      </c>
      <c r="B140" s="357"/>
      <c r="C140" s="357"/>
      <c r="D140" s="357"/>
      <c r="E140" s="357"/>
      <c r="F140" s="357"/>
      <c r="G140" s="357"/>
      <c r="H140" s="357"/>
      <c r="I140" s="357"/>
      <c r="J140" s="80"/>
      <c r="K140" s="79"/>
      <c r="L140" s="79"/>
      <c r="M140" s="79"/>
      <c r="N140" s="76"/>
      <c r="O140" s="76"/>
      <c r="P140" s="76"/>
      <c r="Q140" s="76"/>
      <c r="R140" s="76"/>
      <c r="S140" s="76"/>
      <c r="T140" s="76"/>
      <c r="U140" s="76"/>
    </row>
    <row r="141" spans="1:21" x14ac:dyDescent="0.25">
      <c r="A141" s="356" t="str">
        <f>'0664'!A141</f>
        <v>(b) District allocations multiplied by percentage from item 3A.</v>
      </c>
      <c r="B141" s="281"/>
      <c r="C141" s="281"/>
      <c r="D141" s="281"/>
      <c r="E141" s="281"/>
      <c r="F141" s="281"/>
      <c r="G141" s="281"/>
      <c r="H141" s="281"/>
      <c r="I141" s="281"/>
      <c r="J141" s="79"/>
      <c r="K141" s="79"/>
      <c r="L141" s="79"/>
      <c r="M141" s="79"/>
      <c r="N141" s="81"/>
      <c r="O141" s="82"/>
      <c r="P141" s="82"/>
      <c r="Q141" s="82"/>
      <c r="R141" s="82"/>
      <c r="S141" s="82"/>
      <c r="T141" s="82"/>
      <c r="U141" s="82"/>
    </row>
    <row r="142" spans="1:21" s="79" customFormat="1" x14ac:dyDescent="0.2">
      <c r="A142" s="356" t="str">
        <f>'0664'!A142</f>
        <v>(c) District allocations multiplied by percentage from item 3B.</v>
      </c>
      <c r="B142" s="281"/>
      <c r="C142" s="281"/>
      <c r="D142" s="281"/>
      <c r="E142" s="281"/>
      <c r="F142" s="281"/>
      <c r="G142" s="281"/>
      <c r="H142" s="281"/>
      <c r="I142" s="281"/>
      <c r="N142" s="81"/>
    </row>
    <row r="143" spans="1:21" s="79" customFormat="1" ht="15.75" customHeight="1" x14ac:dyDescent="0.2">
      <c r="A143" s="356" t="str">
        <f>'0664'!A143</f>
        <v>(d) The Digital Classroom Allocation is provided pursuant to s. 1011.62(12), F.S.</v>
      </c>
      <c r="B143" s="281"/>
      <c r="C143" s="281"/>
      <c r="D143" s="281"/>
      <c r="E143" s="281"/>
      <c r="F143" s="281"/>
      <c r="G143" s="281"/>
      <c r="H143" s="281"/>
      <c r="I143" s="281"/>
      <c r="N143" s="81"/>
    </row>
    <row r="144" spans="1:21" s="79" customFormat="1" ht="15.75" customHeight="1" x14ac:dyDescent="0.2">
      <c r="A144" s="356" t="str">
        <f>'0664'!A144</f>
        <v>(e) School districts are required to pay for instructional materials used for the instruction of public high school students who are earning credit toward high school</v>
      </c>
      <c r="B144" s="281"/>
      <c r="C144" s="281"/>
      <c r="D144" s="281"/>
      <c r="E144" s="281"/>
      <c r="F144" s="281"/>
      <c r="G144" s="281"/>
      <c r="H144" s="281"/>
      <c r="I144" s="281"/>
      <c r="N144" s="81"/>
    </row>
    <row r="145" spans="1:14" s="79" customFormat="1" ht="15.75" customHeight="1" x14ac:dyDescent="0.2">
      <c r="A145" s="390" t="str">
        <f>'0664'!A145</f>
        <v xml:space="preserve">graduation under the dual enrollment program as provided in s. 1011.62(l)(i), F.S.  </v>
      </c>
      <c r="B145" s="281"/>
      <c r="C145" s="281"/>
      <c r="D145" s="281"/>
      <c r="E145" s="281"/>
      <c r="F145" s="281"/>
      <c r="G145" s="281"/>
      <c r="H145" s="281"/>
      <c r="I145" s="281"/>
      <c r="N145" s="81"/>
    </row>
    <row r="146" spans="1:14" s="79" customFormat="1" x14ac:dyDescent="0.2">
      <c r="A146" s="356" t="str">
        <f>'0664'!A146</f>
        <v>(f) This allocation will be frozen as of the 2021-22 FEFP Second Calculation and will not be recalculated throughout the year. Charter school allocations should be</v>
      </c>
      <c r="B146" s="281"/>
      <c r="C146" s="281"/>
      <c r="D146" s="281"/>
      <c r="E146" s="281"/>
      <c r="F146" s="281"/>
      <c r="G146" s="281"/>
      <c r="H146" s="281"/>
      <c r="I146" s="281"/>
      <c r="N146" s="81"/>
    </row>
    <row r="147" spans="1:14" s="79" customFormat="1" x14ac:dyDescent="0.2">
      <c r="A147" s="358" t="str">
        <f>'0664'!A147</f>
        <v xml:space="preserve">distributed on weighted FTE (or base funding as is done in the FEFP) and should not be recalculated with fluctuations in student enrollment later in the year. </v>
      </c>
      <c r="B147" s="281"/>
      <c r="C147" s="281"/>
      <c r="D147" s="281"/>
      <c r="E147" s="281"/>
      <c r="F147" s="281"/>
      <c r="G147" s="281"/>
      <c r="H147" s="281"/>
      <c r="I147" s="281"/>
      <c r="N147" s="81"/>
    </row>
    <row r="148" spans="1:14" s="79" customFormat="1" x14ac:dyDescent="0.2">
      <c r="A148" s="356" t="str">
        <f>'0664'!A148</f>
        <v>(g) Numbers entered here will be multiplied by the district level transportation funding per rider. "All Adjusted Fundable Riders" should include both basic and ESE Riders.</v>
      </c>
      <c r="B148" s="281"/>
      <c r="C148" s="281"/>
      <c r="D148" s="281"/>
      <c r="E148" s="281"/>
      <c r="F148" s="281"/>
      <c r="G148" s="281"/>
      <c r="H148" s="281"/>
      <c r="I148" s="281"/>
      <c r="N148" s="81"/>
    </row>
    <row r="149" spans="1:14" s="79" customFormat="1" x14ac:dyDescent="0.2">
      <c r="A149" s="390" t="str">
        <f>'0664'!A149</f>
        <v>"All Adjusted ESE Riders" should include only ESE Riders.</v>
      </c>
      <c r="B149" s="281"/>
      <c r="C149" s="281"/>
      <c r="D149" s="281"/>
      <c r="E149" s="281"/>
      <c r="F149" s="281"/>
      <c r="G149" s="281"/>
      <c r="H149" s="281"/>
      <c r="I149" s="281"/>
      <c r="N149" s="81"/>
    </row>
    <row r="150" spans="1:14" s="79" customFormat="1" x14ac:dyDescent="0.2">
      <c r="A150" s="356" t="str">
        <f>'0664'!A150</f>
        <v xml:space="preserve">(h) The Federally Connected Student Supplement provides additional funding for students on federal lands that receive Section 8003 impact aide pursuant to s. 1011.62(13), F.S. </v>
      </c>
      <c r="B150" s="281"/>
      <c r="C150" s="281"/>
      <c r="D150" s="281"/>
      <c r="E150" s="281"/>
      <c r="F150" s="281"/>
      <c r="G150" s="281"/>
      <c r="H150" s="281"/>
      <c r="I150" s="281"/>
      <c r="N150" s="81"/>
    </row>
    <row r="151" spans="1:14" s="79" customFormat="1" x14ac:dyDescent="0.2">
      <c r="A151" s="356" t="str">
        <f>'0664'!A151</f>
        <v>(i) Teacher Classroom Supply Assistance Program allocation pursuant to s. 1012.71, F.S., for certified teachers employed by a public school district or public charter school</v>
      </c>
      <c r="B151" s="281"/>
      <c r="C151" s="281"/>
      <c r="D151" s="281"/>
      <c r="E151" s="281"/>
      <c r="F151" s="281"/>
      <c r="G151" s="281"/>
      <c r="H151" s="281"/>
      <c r="I151" s="281"/>
      <c r="N151" s="81"/>
    </row>
    <row r="152" spans="1:14" s="79" customFormat="1" x14ac:dyDescent="0.2">
      <c r="A152" s="358" t="str">
        <f>'0664'!A152</f>
        <v xml:space="preserve">before September 1 of each year whose full-time or job-share responsibility is the classroom instruction of students in prekindergarten through grade 12, including </v>
      </c>
      <c r="B152" s="281"/>
      <c r="C152" s="281"/>
      <c r="D152" s="281"/>
      <c r="E152" s="281"/>
      <c r="F152" s="281"/>
      <c r="G152" s="281"/>
      <c r="H152" s="281"/>
      <c r="I152" s="281"/>
      <c r="N152" s="81"/>
    </row>
    <row r="153" spans="1:14" s="79" customFormat="1" ht="15.75" customHeight="1" x14ac:dyDescent="0.2">
      <c r="A153" s="358" t="str">
        <f>'0664'!A153</f>
        <v>full-time media specialists and certified school counselors serving students in prekindergarten through grade 12, who are funded through the FEFP.</v>
      </c>
      <c r="B153" s="281"/>
      <c r="C153" s="281"/>
      <c r="D153" s="281"/>
      <c r="E153" s="281"/>
      <c r="F153" s="281"/>
      <c r="G153" s="281"/>
      <c r="H153" s="281"/>
      <c r="I153" s="281"/>
      <c r="N153" s="81"/>
    </row>
    <row r="154" spans="1:14" s="79" customFormat="1" ht="15.75" customHeight="1" x14ac:dyDescent="0.2">
      <c r="A154" s="356" t="str">
        <f>'0664'!A154</f>
        <v xml:space="preserve">(j) Funding based on student eligibility and meals provided, if participating in the National School Lunch Program. </v>
      </c>
      <c r="B154" s="328"/>
      <c r="C154" s="328"/>
      <c r="D154" s="328"/>
      <c r="E154" s="328"/>
      <c r="F154" s="328"/>
      <c r="G154" s="328"/>
      <c r="H154" s="328"/>
      <c r="I154" s="328"/>
      <c r="N154" s="81"/>
    </row>
    <row r="155" spans="1:14" s="79" customFormat="1" ht="15.75" customHeight="1" x14ac:dyDescent="0.2">
      <c r="A155" s="356" t="str">
        <f>'0664'!A155</f>
        <v>(k) Consistent with s. 1002.33(20)(a), F.S., for charter schools with a population of 75% or more ESE students, the administrative fee shall be calculated based on</v>
      </c>
      <c r="B155" s="381"/>
      <c r="C155" s="381"/>
      <c r="D155" s="381"/>
      <c r="E155" s="381"/>
      <c r="F155" s="381"/>
      <c r="G155" s="381"/>
      <c r="H155" s="381"/>
      <c r="I155" s="381"/>
      <c r="N155" s="81"/>
    </row>
    <row r="156" spans="1:14" s="79" customFormat="1" ht="15.75" customHeight="1" x14ac:dyDescent="0.2">
      <c r="A156" s="390" t="str">
        <f>'0664'!A156</f>
        <v xml:space="preserve">unweighted full-time equivalent students. </v>
      </c>
      <c r="B156" s="381"/>
      <c r="C156" s="381"/>
      <c r="D156" s="381"/>
      <c r="E156" s="381"/>
      <c r="F156" s="381"/>
      <c r="G156" s="381"/>
      <c r="H156" s="381"/>
      <c r="I156" s="381"/>
      <c r="N156" s="81"/>
    </row>
    <row r="157" spans="1:14" s="79" customFormat="1" ht="15.75" customHeight="1" x14ac:dyDescent="0.2">
      <c r="A157" s="356"/>
      <c r="B157" s="381"/>
      <c r="C157" s="381"/>
      <c r="D157" s="381"/>
      <c r="E157" s="381"/>
      <c r="F157" s="381"/>
      <c r="G157" s="381"/>
      <c r="H157" s="381"/>
      <c r="I157" s="381"/>
      <c r="N157" s="81"/>
    </row>
    <row r="158" spans="1:14" s="79" customFormat="1" ht="15.75" customHeight="1" x14ac:dyDescent="0.25">
      <c r="A158" s="398" t="str">
        <f>'0664'!A158</f>
        <v>Administrative fees:</v>
      </c>
      <c r="B158" s="328"/>
      <c r="C158" s="328"/>
      <c r="D158" s="328"/>
      <c r="E158" s="328"/>
      <c r="F158" s="328"/>
      <c r="G158" s="328"/>
      <c r="H158" s="328"/>
      <c r="I158" s="328"/>
      <c r="J158" s="3"/>
      <c r="K158" s="3"/>
      <c r="L158" s="3"/>
      <c r="M158" s="3"/>
      <c r="N158" s="81"/>
    </row>
    <row r="159" spans="1:14" s="79" customFormat="1" ht="15.75" customHeight="1" x14ac:dyDescent="0.25">
      <c r="A159" s="399" t="str">
        <f>'0664'!A159</f>
        <v xml:space="preserve">Administrative fees charged by the school district pursuant to s. 1002.33(20)(a), F.S., shall be calculated based upon 5% of available funds from the FEFP and categorical </v>
      </c>
      <c r="B159" s="328"/>
      <c r="C159" s="328"/>
      <c r="D159" s="328"/>
      <c r="E159" s="328"/>
      <c r="F159" s="328"/>
      <c r="G159" s="328"/>
      <c r="H159" s="328"/>
      <c r="I159" s="328"/>
      <c r="J159" s="3"/>
      <c r="K159" s="3"/>
      <c r="L159" s="3"/>
      <c r="M159" s="3"/>
      <c r="N159" s="81"/>
    </row>
    <row r="160" spans="1:14" s="79" customFormat="1" ht="15.75" customHeight="1" x14ac:dyDescent="0.25">
      <c r="A160" s="400" t="str">
        <f>'0664'!A160</f>
        <v>funding for which charter students may be eligible.  To calculate the administrative fee to be withheld for schools with more than 250 students, divide the school</v>
      </c>
      <c r="B160" s="328"/>
      <c r="C160" s="328"/>
      <c r="D160" s="328"/>
      <c r="E160" s="328"/>
      <c r="F160" s="328"/>
      <c r="G160" s="328"/>
      <c r="H160" s="328"/>
      <c r="I160" s="328"/>
      <c r="J160" s="3"/>
      <c r="K160" s="3"/>
      <c r="L160" s="3"/>
      <c r="M160" s="3"/>
      <c r="N160" s="81"/>
    </row>
    <row r="161" spans="1:21" s="79" customFormat="1" ht="15.75" customHeight="1" x14ac:dyDescent="0.25">
      <c r="A161" s="400" t="str">
        <f>'0664'!A161</f>
        <v xml:space="preserve">population into 250. Multiply that fraction times the funds available, then times 5%.  </v>
      </c>
      <c r="B161" s="328"/>
      <c r="C161" s="328"/>
      <c r="D161" s="328"/>
      <c r="E161" s="328"/>
      <c r="F161" s="328"/>
      <c r="G161" s="328"/>
      <c r="H161" s="328"/>
      <c r="I161" s="328"/>
      <c r="J161" s="3"/>
      <c r="K161" s="3"/>
      <c r="L161" s="3"/>
      <c r="M161" s="3"/>
      <c r="N161" s="81"/>
    </row>
    <row r="162" spans="1:21" s="79" customFormat="1" ht="15.75" customHeight="1" x14ac:dyDescent="0.25">
      <c r="A162" s="399"/>
      <c r="B162" s="394"/>
      <c r="C162" s="394"/>
      <c r="D162" s="394"/>
      <c r="E162" s="394"/>
      <c r="F162" s="394"/>
      <c r="G162" s="394"/>
      <c r="H162" s="394"/>
      <c r="I162" s="394"/>
      <c r="N162" s="77"/>
      <c r="O162" s="3"/>
      <c r="P162" s="3"/>
      <c r="Q162" s="3"/>
      <c r="R162" s="3"/>
      <c r="S162" s="3"/>
      <c r="T162" s="3"/>
      <c r="U162" s="3"/>
    </row>
    <row r="163" spans="1:21" ht="15.75" customHeight="1" x14ac:dyDescent="0.25">
      <c r="A163" s="399" t="str">
        <f>'0664'!A163</f>
        <v xml:space="preserve">For high performing charter schools, administrative fees charged by the school district shall be calculated based upon 2% of available funds from the FEFP and categorical </v>
      </c>
      <c r="B163" s="328"/>
      <c r="C163" s="328"/>
      <c r="D163" s="328"/>
      <c r="E163" s="328"/>
      <c r="F163" s="328"/>
      <c r="G163" s="328"/>
      <c r="H163" s="328"/>
      <c r="I163" s="328"/>
      <c r="J163" s="79"/>
      <c r="K163" s="79"/>
      <c r="L163" s="79"/>
      <c r="M163" s="79"/>
      <c r="N163" s="81"/>
      <c r="O163" s="79"/>
      <c r="P163" s="79"/>
      <c r="Q163" s="79"/>
      <c r="R163" s="79"/>
      <c r="S163" s="79"/>
      <c r="T163" s="79"/>
      <c r="U163" s="79"/>
    </row>
    <row r="164" spans="1:21" ht="15.75" customHeight="1" x14ac:dyDescent="0.25">
      <c r="A164" s="400" t="str">
        <f>'0664'!A164</f>
        <v>funding for which charter students may be eligible.  To calculate the administrative fee to be withheld for schools with more than 250 students, divide the school</v>
      </c>
      <c r="B164" s="381"/>
      <c r="C164" s="381"/>
      <c r="D164" s="381"/>
      <c r="E164" s="381"/>
      <c r="F164" s="381"/>
      <c r="G164" s="381"/>
      <c r="H164" s="381"/>
      <c r="I164" s="381"/>
      <c r="J164" s="79"/>
      <c r="K164" s="79"/>
      <c r="L164" s="79"/>
      <c r="M164" s="79"/>
      <c r="N164" s="81"/>
      <c r="O164" s="79"/>
      <c r="P164" s="79"/>
      <c r="Q164" s="79"/>
      <c r="R164" s="79"/>
      <c r="S164" s="79"/>
      <c r="T164" s="79"/>
      <c r="U164" s="79"/>
    </row>
    <row r="165" spans="1:21" s="79" customFormat="1" ht="15.75" customHeight="1" x14ac:dyDescent="0.2">
      <c r="A165" s="400" t="str">
        <f>'0664'!A165</f>
        <v xml:space="preserve">population into 250. Multiply that fraction times the funds available, then times 2%.  </v>
      </c>
      <c r="B165" s="328"/>
      <c r="C165" s="328"/>
      <c r="D165" s="328"/>
      <c r="E165" s="328"/>
      <c r="F165" s="328"/>
      <c r="G165" s="328"/>
      <c r="H165" s="328"/>
      <c r="I165" s="328"/>
      <c r="N165" s="81"/>
    </row>
    <row r="166" spans="1:21" x14ac:dyDescent="0.25">
      <c r="A166" s="356"/>
      <c r="N166" s="77"/>
    </row>
    <row r="167" spans="1:21" x14ac:dyDescent="0.25">
      <c r="A167" s="398" t="str">
        <f>'0664'!A167</f>
        <v>Other:</v>
      </c>
      <c r="N167" s="77"/>
    </row>
    <row r="168" spans="1:21" x14ac:dyDescent="0.25">
      <c r="A168" s="399" t="str">
        <f>'0664'!A168</f>
        <v>FEFP and categorical funding are recalculated during the year to reflect the revised number of full-time equivalent students reported during the survey periods designated</v>
      </c>
      <c r="N168" s="77"/>
    </row>
    <row r="169" spans="1:21" x14ac:dyDescent="0.25">
      <c r="A169" s="402" t="str">
        <f>'0664'!A169</f>
        <v>by the Commissioner of Education.</v>
      </c>
      <c r="N169" s="77"/>
    </row>
    <row r="170" spans="1:21" x14ac:dyDescent="0.25">
      <c r="A170" s="399" t="str">
        <f>'0664'!A170</f>
        <v>Revenues flow to districts from state sources and from county tax collectors on various distribution schedules.</v>
      </c>
      <c r="N170" s="77"/>
    </row>
    <row r="171" spans="1:21" x14ac:dyDescent="0.25">
      <c r="A171" s="77"/>
      <c r="N171" s="77"/>
    </row>
    <row r="172" spans="1:21" x14ac:dyDescent="0.25">
      <c r="A172" s="77"/>
      <c r="N172" s="77"/>
    </row>
    <row r="173" spans="1:21" x14ac:dyDescent="0.25">
      <c r="A173" s="77"/>
      <c r="N173" s="77"/>
    </row>
    <row r="174" spans="1:21" x14ac:dyDescent="0.25">
      <c r="A174" s="77"/>
      <c r="N174" s="77"/>
    </row>
    <row r="175" spans="1:21" x14ac:dyDescent="0.25">
      <c r="A175" s="77"/>
      <c r="N175" s="77"/>
    </row>
    <row r="176" spans="1:21" x14ac:dyDescent="0.25">
      <c r="A176" s="77"/>
      <c r="N176" s="77"/>
    </row>
    <row r="177" spans="1:14" x14ac:dyDescent="0.25">
      <c r="A177" s="77"/>
      <c r="N177" s="77"/>
    </row>
    <row r="178" spans="1:14" x14ac:dyDescent="0.25">
      <c r="A178" s="77"/>
      <c r="N178" s="77"/>
    </row>
    <row r="179" spans="1:14" x14ac:dyDescent="0.25">
      <c r="A179" s="77"/>
      <c r="N179" s="77"/>
    </row>
    <row r="180" spans="1:14" x14ac:dyDescent="0.25">
      <c r="A180" s="77"/>
      <c r="N180" s="77"/>
    </row>
    <row r="181" spans="1:14" x14ac:dyDescent="0.25">
      <c r="A181" s="77"/>
      <c r="N181" s="77"/>
    </row>
    <row r="182" spans="1:14" x14ac:dyDescent="0.25">
      <c r="A182" s="77"/>
      <c r="N182" s="77"/>
    </row>
    <row r="183" spans="1:14" x14ac:dyDescent="0.25">
      <c r="A183" s="77"/>
      <c r="N183" s="77"/>
    </row>
    <row r="184" spans="1:14" x14ac:dyDescent="0.25">
      <c r="A184" s="77"/>
      <c r="N184" s="77"/>
    </row>
    <row r="185" spans="1:14" x14ac:dyDescent="0.25">
      <c r="A185" s="77"/>
      <c r="N185" s="77"/>
    </row>
    <row r="186" spans="1:14" x14ac:dyDescent="0.25">
      <c r="A186" s="77"/>
      <c r="N186" s="77"/>
    </row>
    <row r="187" spans="1:14" x14ac:dyDescent="0.25">
      <c r="A187" s="77"/>
      <c r="N187" s="77"/>
    </row>
    <row r="188" spans="1:14" x14ac:dyDescent="0.25">
      <c r="A188" s="77"/>
    </row>
    <row r="189" spans="1:14" x14ac:dyDescent="0.25">
      <c r="A189" s="77"/>
    </row>
    <row r="190" spans="1:14" x14ac:dyDescent="0.25">
      <c r="A190" s="77"/>
    </row>
    <row r="191" spans="1:14" x14ac:dyDescent="0.25">
      <c r="A191" s="77"/>
    </row>
    <row r="192" spans="1:14" x14ac:dyDescent="0.25">
      <c r="A192" s="77"/>
    </row>
    <row r="193" spans="1:1" x14ac:dyDescent="0.25">
      <c r="A193" s="77"/>
    </row>
    <row r="194" spans="1:1" x14ac:dyDescent="0.25">
      <c r="A194" s="77"/>
    </row>
    <row r="195" spans="1:1" x14ac:dyDescent="0.25">
      <c r="A195" s="77"/>
    </row>
    <row r="196" spans="1:1" x14ac:dyDescent="0.25">
      <c r="A196" s="77"/>
    </row>
    <row r="197" spans="1:1" x14ac:dyDescent="0.25">
      <c r="A197" s="77"/>
    </row>
    <row r="198" spans="1:1" x14ac:dyDescent="0.25">
      <c r="A198" s="77"/>
    </row>
    <row r="199" spans="1:1" x14ac:dyDescent="0.25">
      <c r="A199" s="77"/>
    </row>
    <row r="200" spans="1:1" x14ac:dyDescent="0.25">
      <c r="A200" s="77"/>
    </row>
    <row r="201" spans="1:1" x14ac:dyDescent="0.25">
      <c r="A201" s="77"/>
    </row>
    <row r="202" spans="1:1" x14ac:dyDescent="0.25">
      <c r="A202" s="77"/>
    </row>
    <row r="203" spans="1:1" x14ac:dyDescent="0.25">
      <c r="A203" s="77"/>
    </row>
    <row r="204" spans="1:1" x14ac:dyDescent="0.25">
      <c r="A204" s="77"/>
    </row>
    <row r="205" spans="1:1" x14ac:dyDescent="0.25">
      <c r="A205" s="77"/>
    </row>
    <row r="206" spans="1:1" x14ac:dyDescent="0.25">
      <c r="A206" s="77"/>
    </row>
  </sheetData>
  <mergeCells count="266">
    <mergeCell ref="N139:U139"/>
    <mergeCell ref="N119:U119"/>
    <mergeCell ref="A112:C112"/>
    <mergeCell ref="F112:H112"/>
    <mergeCell ref="N112:P112"/>
    <mergeCell ref="N113:P113"/>
    <mergeCell ref="A113:C113"/>
    <mergeCell ref="N114:T114"/>
    <mergeCell ref="A115:H115"/>
    <mergeCell ref="A119:G119"/>
    <mergeCell ref="A109:B109"/>
    <mergeCell ref="F109:G109"/>
    <mergeCell ref="N109:O109"/>
    <mergeCell ref="P109:Q109"/>
    <mergeCell ref="F113:H113"/>
    <mergeCell ref="N120:U120"/>
    <mergeCell ref="A120:G120"/>
    <mergeCell ref="R109:S109"/>
    <mergeCell ref="A110:B110"/>
    <mergeCell ref="N110:O110"/>
    <mergeCell ref="A107:B107"/>
    <mergeCell ref="F107:G107"/>
    <mergeCell ref="N107:O107"/>
    <mergeCell ref="P107:Q107"/>
    <mergeCell ref="R107:S107"/>
    <mergeCell ref="A108:B108"/>
    <mergeCell ref="F108:G108"/>
    <mergeCell ref="N108:O108"/>
    <mergeCell ref="P108:Q108"/>
    <mergeCell ref="R108:S108"/>
    <mergeCell ref="A103:C103"/>
    <mergeCell ref="F103:I103"/>
    <mergeCell ref="N103:U103"/>
    <mergeCell ref="C104:E104"/>
    <mergeCell ref="F105:G105"/>
    <mergeCell ref="A106:B106"/>
    <mergeCell ref="F106:G106"/>
    <mergeCell ref="N106:O106"/>
    <mergeCell ref="P106:Q106"/>
    <mergeCell ref="R106:S106"/>
    <mergeCell ref="A99:B99"/>
    <mergeCell ref="N99:O99"/>
    <mergeCell ref="P99:R99"/>
    <mergeCell ref="A100:B100"/>
    <mergeCell ref="N100:O100"/>
    <mergeCell ref="P100:R100"/>
    <mergeCell ref="C91:D91"/>
    <mergeCell ref="P91:Q91"/>
    <mergeCell ref="C92:D92"/>
    <mergeCell ref="P92:Q92"/>
    <mergeCell ref="C93:D93"/>
    <mergeCell ref="P93:T93"/>
    <mergeCell ref="A94:I94"/>
    <mergeCell ref="N94:U94"/>
    <mergeCell ref="F96:I96"/>
    <mergeCell ref="N96:P96"/>
    <mergeCell ref="Q96:T96"/>
    <mergeCell ref="A87:I87"/>
    <mergeCell ref="N87:U87"/>
    <mergeCell ref="C88:D88"/>
    <mergeCell ref="C89:D89"/>
    <mergeCell ref="N89:O89"/>
    <mergeCell ref="P89:Q89"/>
    <mergeCell ref="R89:U89"/>
    <mergeCell ref="C90:D90"/>
    <mergeCell ref="P90:Q90"/>
    <mergeCell ref="A80:C80"/>
    <mergeCell ref="N80:P80"/>
    <mergeCell ref="A85:C85"/>
    <mergeCell ref="N85:P85"/>
    <mergeCell ref="F73:H73"/>
    <mergeCell ref="N73:T73"/>
    <mergeCell ref="N74:T74"/>
    <mergeCell ref="A78:C78"/>
    <mergeCell ref="N78:P78"/>
    <mergeCell ref="A79:C79"/>
    <mergeCell ref="A69:C69"/>
    <mergeCell ref="N69:P69"/>
    <mergeCell ref="N79:P79"/>
    <mergeCell ref="A76:C76"/>
    <mergeCell ref="N76:P76"/>
    <mergeCell ref="A77:C77"/>
    <mergeCell ref="A70:C70"/>
    <mergeCell ref="A71:C71"/>
    <mergeCell ref="N71:P71"/>
    <mergeCell ref="A72:C72"/>
    <mergeCell ref="N77:P77"/>
    <mergeCell ref="N72:P72"/>
    <mergeCell ref="A65:B65"/>
    <mergeCell ref="D65:G65"/>
    <mergeCell ref="N65:O65"/>
    <mergeCell ref="Q65:S65"/>
    <mergeCell ref="T65:U65"/>
    <mergeCell ref="N66:S66"/>
    <mergeCell ref="T66:U66"/>
    <mergeCell ref="A68:C68"/>
    <mergeCell ref="N68:P68"/>
    <mergeCell ref="A62:B62"/>
    <mergeCell ref="D62:G62"/>
    <mergeCell ref="N62:O62"/>
    <mergeCell ref="Q62:S62"/>
    <mergeCell ref="T62:U62"/>
    <mergeCell ref="N63:S63"/>
    <mergeCell ref="T63:U63"/>
    <mergeCell ref="A64:I64"/>
    <mergeCell ref="N64:U64"/>
    <mergeCell ref="A59:B59"/>
    <mergeCell ref="F59:H59"/>
    <mergeCell ref="N59:O59"/>
    <mergeCell ref="P59:Q59"/>
    <mergeCell ref="R59:T59"/>
    <mergeCell ref="A60:I60"/>
    <mergeCell ref="N60:U60"/>
    <mergeCell ref="A61:I61"/>
    <mergeCell ref="N61:U61"/>
    <mergeCell ref="A50:B58"/>
    <mergeCell ref="N50:O58"/>
    <mergeCell ref="P50:Q50"/>
    <mergeCell ref="P51:Q51"/>
    <mergeCell ref="P52:Q52"/>
    <mergeCell ref="P53:Q53"/>
    <mergeCell ref="P54:Q54"/>
    <mergeCell ref="P55:Q55"/>
    <mergeCell ref="P56:Q56"/>
    <mergeCell ref="P57:Q57"/>
    <mergeCell ref="P58:Q58"/>
    <mergeCell ref="A42:B42"/>
    <mergeCell ref="N42:O42"/>
    <mergeCell ref="P42:T42"/>
    <mergeCell ref="N43:Q43"/>
    <mergeCell ref="S43:T43"/>
    <mergeCell ref="N45:Q45"/>
    <mergeCell ref="S45:T45"/>
    <mergeCell ref="N49:O49"/>
    <mergeCell ref="P49:Q49"/>
    <mergeCell ref="A39:B39"/>
    <mergeCell ref="N39:O39"/>
    <mergeCell ref="P39:T39"/>
    <mergeCell ref="A40:B40"/>
    <mergeCell ref="N40:O40"/>
    <mergeCell ref="P40:T40"/>
    <mergeCell ref="A41:B41"/>
    <mergeCell ref="N41:O41"/>
    <mergeCell ref="P41:T41"/>
    <mergeCell ref="N34:T34"/>
    <mergeCell ref="A36:B36"/>
    <mergeCell ref="N36:O36"/>
    <mergeCell ref="P36:T36"/>
    <mergeCell ref="A37:B37"/>
    <mergeCell ref="N37:O37"/>
    <mergeCell ref="P37:T37"/>
    <mergeCell ref="F33:H36"/>
    <mergeCell ref="A38:B38"/>
    <mergeCell ref="N38:O38"/>
    <mergeCell ref="P38:T38"/>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A20:B20"/>
    <mergeCell ref="F20:G20"/>
    <mergeCell ref="N20:O20"/>
    <mergeCell ref="P20:Q20"/>
    <mergeCell ref="R20:S20"/>
    <mergeCell ref="A19:B19"/>
    <mergeCell ref="A21:B21"/>
    <mergeCell ref="F21:G21"/>
    <mergeCell ref="N21:O21"/>
    <mergeCell ref="P21:Q21"/>
    <mergeCell ref="R21:S21"/>
    <mergeCell ref="A18:B18"/>
    <mergeCell ref="F18:G18"/>
    <mergeCell ref="N18:O18"/>
    <mergeCell ref="P18:Q18"/>
    <mergeCell ref="R18:S18"/>
    <mergeCell ref="A17:B17"/>
    <mergeCell ref="F17:G17"/>
    <mergeCell ref="F19:G19"/>
    <mergeCell ref="N19:O19"/>
    <mergeCell ref="P19:Q19"/>
    <mergeCell ref="R19:S19"/>
    <mergeCell ref="A16:B16"/>
    <mergeCell ref="F16:G16"/>
    <mergeCell ref="N16:O16"/>
    <mergeCell ref="P16:Q16"/>
    <mergeCell ref="R16:S16"/>
    <mergeCell ref="A15:B15"/>
    <mergeCell ref="F15:G15"/>
    <mergeCell ref="N17:O17"/>
    <mergeCell ref="P17:Q17"/>
    <mergeCell ref="R17:S17"/>
    <mergeCell ref="A14:B14"/>
    <mergeCell ref="F14:G14"/>
    <mergeCell ref="N14:O14"/>
    <mergeCell ref="P14:Q14"/>
    <mergeCell ref="R14:S14"/>
    <mergeCell ref="A13:B13"/>
    <mergeCell ref="F13:G13"/>
    <mergeCell ref="N15:O15"/>
    <mergeCell ref="P15:Q15"/>
    <mergeCell ref="R15:S15"/>
    <mergeCell ref="A12:B12"/>
    <mergeCell ref="F12:G12"/>
    <mergeCell ref="N12:O12"/>
    <mergeCell ref="P12:Q12"/>
    <mergeCell ref="R12:S12"/>
    <mergeCell ref="A11:B11"/>
    <mergeCell ref="F11:G11"/>
    <mergeCell ref="N13:O13"/>
    <mergeCell ref="P13:Q13"/>
    <mergeCell ref="R13:S13"/>
    <mergeCell ref="N8:O8"/>
    <mergeCell ref="P8:Q8"/>
    <mergeCell ref="R8:S8"/>
    <mergeCell ref="T8:U8"/>
    <mergeCell ref="F10:G10"/>
    <mergeCell ref="R10:S10"/>
    <mergeCell ref="A7:I7"/>
    <mergeCell ref="N11:O11"/>
    <mergeCell ref="P11:Q11"/>
    <mergeCell ref="R11:S11"/>
    <mergeCell ref="B1:I1"/>
    <mergeCell ref="O1:U1"/>
    <mergeCell ref="N2:U2"/>
    <mergeCell ref="N3:U3"/>
    <mergeCell ref="A4:B4"/>
    <mergeCell ref="C4:E4"/>
    <mergeCell ref="N4:O4"/>
    <mergeCell ref="P4:Q4"/>
    <mergeCell ref="N7:U7"/>
  </mergeCells>
  <pageMargins left="0.1" right="0.1" top="0.5" bottom="0.5" header="0" footer="0.1"/>
  <pageSetup scale="70" fitToHeight="3" orientation="portrait" r:id="rId1"/>
  <headerFooter alignWithMargins="0">
    <oddFooter>&amp;L&amp;8&amp;Z&amp;F&amp;R&amp;P of &amp;N</oddFooter>
  </headerFooter>
  <rowBreaks count="1" manualBreakCount="1">
    <brk id="138" max="16383" man="1"/>
  </rowBreaks>
  <colBreaks count="1" manualBreakCount="1">
    <brk id="9" max="1048575" man="1"/>
  </colBreaks>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CCFFCC"/>
  </sheetPr>
  <dimension ref="A1:U206"/>
  <sheetViews>
    <sheetView showGridLines="0" zoomScaleNormal="100" workbookViewId="0">
      <pane ySplit="1" topLeftCell="A11" activePane="bottomLeft" state="frozen"/>
      <selection activeCell="I9" sqref="I9"/>
      <selection pane="bottomLeft" activeCell="D58" sqref="D58"/>
    </sheetView>
  </sheetViews>
  <sheetFormatPr defaultRowHeight="15.75" x14ac:dyDescent="0.25"/>
  <cols>
    <col min="1" max="1" width="10.28515625" style="72"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72"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5">
        <v>50</v>
      </c>
      <c r="B1" s="441" t="s">
        <v>17</v>
      </c>
      <c r="C1" s="442"/>
      <c r="D1" s="442"/>
      <c r="E1" s="442"/>
      <c r="F1" s="442"/>
      <c r="G1" s="442"/>
      <c r="H1" s="442"/>
      <c r="I1" s="442"/>
      <c r="J1" s="157"/>
      <c r="K1" s="157"/>
      <c r="L1" s="157"/>
      <c r="N1" s="85">
        <f>A1</f>
        <v>50</v>
      </c>
      <c r="O1" s="527" t="s">
        <v>17</v>
      </c>
      <c r="P1" s="528"/>
      <c r="Q1" s="528"/>
      <c r="R1" s="528"/>
      <c r="S1" s="528"/>
      <c r="T1" s="528"/>
      <c r="U1" s="528"/>
    </row>
    <row r="2" spans="1:21" ht="21" x14ac:dyDescent="0.35">
      <c r="A2" s="1" t="s">
        <v>387</v>
      </c>
      <c r="B2" s="2"/>
      <c r="C2" s="2"/>
      <c r="D2" s="2"/>
      <c r="E2" s="2"/>
      <c r="F2" s="2"/>
      <c r="G2" s="2"/>
      <c r="H2" s="2"/>
      <c r="I2" s="2"/>
      <c r="N2" s="529" t="s">
        <v>23</v>
      </c>
      <c r="O2" s="529"/>
      <c r="P2" s="529"/>
      <c r="Q2" s="529"/>
      <c r="R2" s="529"/>
      <c r="S2" s="529"/>
      <c r="T2" s="529"/>
      <c r="U2" s="529"/>
    </row>
    <row r="3" spans="1:21" x14ac:dyDescent="0.25">
      <c r="A3" s="84" t="str">
        <f>'0664'!A3</f>
        <v>Based on the FLDOE 2022-23 FEFP Third Calculation</v>
      </c>
      <c r="N3" s="485" t="str">
        <f>A3</f>
        <v>Based on the FLDOE 2022-23 FEFP Third Calculation</v>
      </c>
      <c r="O3" s="485"/>
      <c r="P3" s="485"/>
      <c r="Q3" s="485"/>
      <c r="R3" s="485"/>
      <c r="S3" s="485"/>
      <c r="T3" s="485"/>
      <c r="U3" s="485"/>
    </row>
    <row r="4" spans="1:21" x14ac:dyDescent="0.25">
      <c r="A4" s="443" t="s">
        <v>0</v>
      </c>
      <c r="B4" s="443"/>
      <c r="C4" s="444" t="s">
        <v>9</v>
      </c>
      <c r="D4" s="444"/>
      <c r="E4" s="444"/>
      <c r="F4" s="4" t="str">
        <f>'0664'!F4</f>
        <v>Apr 2023</v>
      </c>
      <c r="G4" s="4"/>
      <c r="H4" s="4"/>
      <c r="I4" s="4"/>
      <c r="N4" s="530" t="s">
        <v>0</v>
      </c>
      <c r="O4" s="530"/>
      <c r="P4" s="531" t="str">
        <f>C4</f>
        <v>Palm Beach</v>
      </c>
      <c r="Q4" s="531"/>
      <c r="R4" s="5"/>
      <c r="S4" s="5"/>
      <c r="T4" s="5"/>
      <c r="U4" s="5"/>
    </row>
    <row r="5" spans="1:21" ht="12" customHeight="1" thickBot="1" x14ac:dyDescent="0.3">
      <c r="A5" s="262"/>
      <c r="B5" s="262"/>
      <c r="C5" s="253"/>
      <c r="D5" s="253"/>
      <c r="E5" s="253"/>
      <c r="F5" s="254"/>
      <c r="G5" s="254"/>
      <c r="H5" s="254"/>
      <c r="I5" s="254"/>
      <c r="N5" s="86"/>
      <c r="O5" s="86"/>
      <c r="P5" s="6"/>
      <c r="Q5" s="6"/>
      <c r="R5" s="5"/>
      <c r="S5" s="5"/>
      <c r="T5" s="5"/>
      <c r="U5" s="5"/>
    </row>
    <row r="6" spans="1:21" ht="12" customHeight="1" x14ac:dyDescent="0.25">
      <c r="A6" s="150"/>
      <c r="B6" s="150"/>
      <c r="C6" s="261"/>
      <c r="D6" s="261"/>
      <c r="E6" s="261"/>
      <c r="F6" s="4"/>
      <c r="G6" s="4"/>
      <c r="H6" s="4"/>
      <c r="I6" s="4"/>
      <c r="N6" s="86"/>
      <c r="O6" s="86"/>
      <c r="P6" s="6"/>
      <c r="Q6" s="6"/>
      <c r="R6" s="5"/>
      <c r="S6" s="5"/>
      <c r="T6" s="5"/>
      <c r="U6" s="5"/>
    </row>
    <row r="7" spans="1:21" x14ac:dyDescent="0.25">
      <c r="A7" s="445" t="str">
        <f>'0664'!A7:I7</f>
        <v>1.   2022-23 FEFP State and Local Funding</v>
      </c>
      <c r="B7" s="533"/>
      <c r="C7" s="533"/>
      <c r="D7" s="533"/>
      <c r="E7" s="533"/>
      <c r="F7" s="533"/>
      <c r="G7" s="533"/>
      <c r="H7" s="533"/>
      <c r="I7" s="533"/>
      <c r="N7" s="530" t="s">
        <v>86</v>
      </c>
      <c r="O7" s="530"/>
      <c r="P7" s="530"/>
      <c r="Q7" s="530"/>
      <c r="R7" s="530"/>
      <c r="S7" s="530"/>
      <c r="T7" s="530"/>
      <c r="U7" s="530"/>
    </row>
    <row r="8" spans="1:21" x14ac:dyDescent="0.25">
      <c r="A8" s="87"/>
      <c r="B8" s="88" t="s">
        <v>123</v>
      </c>
      <c r="C8" s="334">
        <f>'0664'!C8</f>
        <v>4587.3999999999996</v>
      </c>
      <c r="D8" s="89"/>
      <c r="E8" s="90"/>
      <c r="F8" s="87"/>
      <c r="G8" s="88" t="s">
        <v>122</v>
      </c>
      <c r="H8" s="320">
        <f>'0664'!H8</f>
        <v>1.0438000000000001</v>
      </c>
      <c r="I8" s="78"/>
      <c r="N8" s="534" t="s">
        <v>10</v>
      </c>
      <c r="O8" s="534"/>
      <c r="P8" s="535">
        <v>4154.45</v>
      </c>
      <c r="Q8" s="535"/>
      <c r="R8" s="518" t="s">
        <v>11</v>
      </c>
      <c r="S8" s="518"/>
      <c r="T8" s="519">
        <f>H8</f>
        <v>1.0438000000000001</v>
      </c>
      <c r="U8" s="519"/>
    </row>
    <row r="9" spans="1:21" x14ac:dyDescent="0.25">
      <c r="A9" s="7"/>
      <c r="B9" s="44" t="s">
        <v>370</v>
      </c>
      <c r="C9" s="372" t="s">
        <v>370</v>
      </c>
      <c r="D9" s="372" t="s">
        <v>370</v>
      </c>
      <c r="E9" s="8"/>
      <c r="F9" s="9"/>
      <c r="G9" s="9"/>
      <c r="H9" s="10"/>
      <c r="I9" s="340" t="str">
        <f>'0664'!I9</f>
        <v>2022-23</v>
      </c>
      <c r="N9" s="12"/>
      <c r="O9" s="12"/>
      <c r="P9" s="13"/>
      <c r="Q9" s="13"/>
      <c r="R9" s="14"/>
      <c r="S9" s="14"/>
      <c r="T9" s="15"/>
      <c r="U9" s="405" t="s">
        <v>405</v>
      </c>
    </row>
    <row r="10" spans="1:21" x14ac:dyDescent="0.25">
      <c r="A10" s="7"/>
      <c r="B10" s="7"/>
      <c r="C10" s="91" t="s">
        <v>463</v>
      </c>
      <c r="D10" s="371" t="s">
        <v>464</v>
      </c>
      <c r="E10" s="92" t="s">
        <v>8</v>
      </c>
      <c r="F10" s="446" t="s">
        <v>1</v>
      </c>
      <c r="G10" s="446"/>
      <c r="H10" s="10" t="s">
        <v>73</v>
      </c>
      <c r="I10" s="11" t="s">
        <v>36</v>
      </c>
      <c r="N10" s="12"/>
      <c r="O10" s="12"/>
      <c r="P10" s="13"/>
      <c r="Q10" s="13"/>
      <c r="R10" s="520" t="s">
        <v>1</v>
      </c>
      <c r="S10" s="520"/>
      <c r="T10" s="15" t="s">
        <v>73</v>
      </c>
      <c r="U10" s="16" t="s">
        <v>36</v>
      </c>
    </row>
    <row r="11" spans="1:21" x14ac:dyDescent="0.25">
      <c r="A11" s="447" t="s">
        <v>1</v>
      </c>
      <c r="B11" s="447"/>
      <c r="C11" s="362" t="s">
        <v>2</v>
      </c>
      <c r="D11" s="362" t="s">
        <v>2</v>
      </c>
      <c r="E11" s="362" t="s">
        <v>2</v>
      </c>
      <c r="F11" s="448" t="s">
        <v>76</v>
      </c>
      <c r="G11" s="448"/>
      <c r="H11" s="17" t="s">
        <v>72</v>
      </c>
      <c r="I11" s="18" t="s">
        <v>75</v>
      </c>
      <c r="N11" s="510" t="s">
        <v>1</v>
      </c>
      <c r="O11" s="510"/>
      <c r="P11" s="521" t="s">
        <v>24</v>
      </c>
      <c r="Q11" s="521"/>
      <c r="R11" s="522" t="s">
        <v>76</v>
      </c>
      <c r="S11" s="522"/>
      <c r="T11" s="19" t="s">
        <v>72</v>
      </c>
      <c r="U11" s="20" t="s">
        <v>75</v>
      </c>
    </row>
    <row r="12" spans="1:21" x14ac:dyDescent="0.25">
      <c r="A12" s="449" t="s">
        <v>47</v>
      </c>
      <c r="B12" s="449"/>
      <c r="C12" s="94"/>
      <c r="D12" s="94"/>
      <c r="E12" s="95" t="s">
        <v>48</v>
      </c>
      <c r="F12" s="450" t="s">
        <v>49</v>
      </c>
      <c r="G12" s="450"/>
      <c r="H12" s="21" t="s">
        <v>50</v>
      </c>
      <c r="I12" s="22" t="s">
        <v>51</v>
      </c>
      <c r="N12" s="523" t="s">
        <v>47</v>
      </c>
      <c r="O12" s="523"/>
      <c r="P12" s="524" t="s">
        <v>48</v>
      </c>
      <c r="Q12" s="524"/>
      <c r="R12" s="525" t="s">
        <v>49</v>
      </c>
      <c r="S12" s="525"/>
      <c r="T12" s="23" t="s">
        <v>50</v>
      </c>
      <c r="U12" s="24" t="s">
        <v>51</v>
      </c>
    </row>
    <row r="13" spans="1:21" x14ac:dyDescent="0.25">
      <c r="A13" s="451" t="s">
        <v>29</v>
      </c>
      <c r="B13" s="451"/>
      <c r="C13" s="165">
        <v>0</v>
      </c>
      <c r="D13" s="163">
        <v>0</v>
      </c>
      <c r="E13" s="210">
        <f>IF(D$29=0,C13*2,C13+D13)</f>
        <v>0</v>
      </c>
      <c r="F13" s="537">
        <f>'0664'!F13:G13</f>
        <v>1.1259999999999999</v>
      </c>
      <c r="G13" s="537"/>
      <c r="H13" s="167">
        <f>ROUND(E13*F13,4)</f>
        <v>0</v>
      </c>
      <c r="I13" s="119">
        <f t="shared" ref="I13:I28" si="0">ROUND(ROUND(H13*$C$8,4)*($H$8),2)</f>
        <v>0</v>
      </c>
      <c r="N13" s="512" t="s">
        <v>29</v>
      </c>
      <c r="O13" s="512"/>
      <c r="P13" s="513">
        <f t="shared" ref="P13:P28" si="1">IF($H$120=1,E13,0)</f>
        <v>0</v>
      </c>
      <c r="Q13" s="513"/>
      <c r="R13" s="526">
        <v>1</v>
      </c>
      <c r="S13" s="526"/>
      <c r="T13" s="98">
        <f>ROUND(P13*R13,4)</f>
        <v>0</v>
      </c>
      <c r="U13" s="99">
        <f t="shared" ref="U13:U28" si="2">ROUND(ROUND(T13*$C$8,4)*($H$8),0)</f>
        <v>0</v>
      </c>
    </row>
    <row r="14" spans="1:21" x14ac:dyDescent="0.25">
      <c r="A14" s="453" t="s">
        <v>30</v>
      </c>
      <c r="B14" s="453"/>
      <c r="C14" s="165">
        <v>0</v>
      </c>
      <c r="D14" s="165">
        <v>0</v>
      </c>
      <c r="E14" s="125">
        <f t="shared" ref="E14:E28" si="3">IF(D$29=0,C14*2,C14+D14)</f>
        <v>0</v>
      </c>
      <c r="F14" s="532">
        <f>'0664'!F14:G14</f>
        <v>1.1259999999999999</v>
      </c>
      <c r="G14" s="532"/>
      <c r="H14" s="83">
        <f t="shared" ref="H14:H28" si="4">ROUND(E14*F14,4)</f>
        <v>0</v>
      </c>
      <c r="I14" s="104">
        <f t="shared" si="0"/>
        <v>0</v>
      </c>
      <c r="J14" s="68" t="str">
        <f>IF(ROUND(E14,2)=ROUND(SUM(E50:E52),2)," ","CHECK PK-3 LINES BELOW")</f>
        <v xml:space="preserve"> </v>
      </c>
      <c r="N14" s="479" t="s">
        <v>30</v>
      </c>
      <c r="O14" s="479"/>
      <c r="P14" s="513">
        <f t="shared" si="1"/>
        <v>0</v>
      </c>
      <c r="Q14" s="513"/>
      <c r="R14" s="517">
        <v>1</v>
      </c>
      <c r="S14" s="517"/>
      <c r="T14" s="98">
        <f t="shared" ref="T14:T28" si="5">ROUND(P14*R14,4)</f>
        <v>0</v>
      </c>
      <c r="U14" s="99">
        <f t="shared" si="2"/>
        <v>0</v>
      </c>
    </row>
    <row r="15" spans="1:21" x14ac:dyDescent="0.25">
      <c r="A15" s="453" t="s">
        <v>31</v>
      </c>
      <c r="B15" s="453"/>
      <c r="C15" s="165">
        <v>0</v>
      </c>
      <c r="D15" s="165">
        <v>0</v>
      </c>
      <c r="E15" s="125">
        <f t="shared" si="3"/>
        <v>0</v>
      </c>
      <c r="F15" s="532">
        <f>'0664'!F15:G15</f>
        <v>1</v>
      </c>
      <c r="G15" s="532"/>
      <c r="H15" s="83">
        <f t="shared" si="4"/>
        <v>0</v>
      </c>
      <c r="I15" s="104">
        <f t="shared" si="0"/>
        <v>0</v>
      </c>
      <c r="N15" s="479" t="s">
        <v>31</v>
      </c>
      <c r="O15" s="479"/>
      <c r="P15" s="513">
        <f t="shared" si="1"/>
        <v>0</v>
      </c>
      <c r="Q15" s="513"/>
      <c r="R15" s="517">
        <v>1</v>
      </c>
      <c r="S15" s="517"/>
      <c r="T15" s="98">
        <f t="shared" si="5"/>
        <v>0</v>
      </c>
      <c r="U15" s="99">
        <f t="shared" si="2"/>
        <v>0</v>
      </c>
    </row>
    <row r="16" spans="1:21" x14ac:dyDescent="0.25">
      <c r="A16" s="453" t="s">
        <v>32</v>
      </c>
      <c r="B16" s="453"/>
      <c r="C16" s="165">
        <v>0</v>
      </c>
      <c r="D16" s="165">
        <v>0</v>
      </c>
      <c r="E16" s="125">
        <f t="shared" si="3"/>
        <v>0</v>
      </c>
      <c r="F16" s="532">
        <f>'0664'!F16:G16</f>
        <v>1</v>
      </c>
      <c r="G16" s="532"/>
      <c r="H16" s="83">
        <f t="shared" si="4"/>
        <v>0</v>
      </c>
      <c r="I16" s="104">
        <f t="shared" si="0"/>
        <v>0</v>
      </c>
      <c r="J16" s="68" t="str">
        <f>IF(ROUND(E16,2)=ROUND(SUM(E53:E55),2)," ","CHECK 4-8 LINES BELOW")</f>
        <v xml:space="preserve"> </v>
      </c>
      <c r="N16" s="479" t="s">
        <v>32</v>
      </c>
      <c r="O16" s="479"/>
      <c r="P16" s="513">
        <f t="shared" si="1"/>
        <v>0</v>
      </c>
      <c r="Q16" s="513"/>
      <c r="R16" s="517">
        <v>1</v>
      </c>
      <c r="S16" s="517"/>
      <c r="T16" s="98">
        <f t="shared" si="5"/>
        <v>0</v>
      </c>
      <c r="U16" s="99">
        <f t="shared" si="2"/>
        <v>0</v>
      </c>
    </row>
    <row r="17" spans="1:21" x14ac:dyDescent="0.25">
      <c r="A17" s="453" t="s">
        <v>33</v>
      </c>
      <c r="B17" s="453"/>
      <c r="C17" s="165">
        <v>0</v>
      </c>
      <c r="D17" s="165">
        <v>0</v>
      </c>
      <c r="E17" s="125">
        <f t="shared" si="3"/>
        <v>0</v>
      </c>
      <c r="F17" s="532">
        <f>'0664'!F17:G17</f>
        <v>0.999</v>
      </c>
      <c r="G17" s="532"/>
      <c r="H17" s="83">
        <f t="shared" si="4"/>
        <v>0</v>
      </c>
      <c r="I17" s="104">
        <f t="shared" si="0"/>
        <v>0</v>
      </c>
      <c r="N17" s="479" t="s">
        <v>33</v>
      </c>
      <c r="O17" s="479"/>
      <c r="P17" s="513">
        <f t="shared" si="1"/>
        <v>0</v>
      </c>
      <c r="Q17" s="513"/>
      <c r="R17" s="517">
        <v>1</v>
      </c>
      <c r="S17" s="517"/>
      <c r="T17" s="98">
        <f t="shared" si="5"/>
        <v>0</v>
      </c>
      <c r="U17" s="99">
        <f t="shared" si="2"/>
        <v>0</v>
      </c>
    </row>
    <row r="18" spans="1:21" x14ac:dyDescent="0.25">
      <c r="A18" s="453" t="s">
        <v>34</v>
      </c>
      <c r="B18" s="453"/>
      <c r="C18" s="165">
        <v>5.5</v>
      </c>
      <c r="D18" s="165">
        <v>5</v>
      </c>
      <c r="E18" s="125">
        <f t="shared" si="3"/>
        <v>10.5</v>
      </c>
      <c r="F18" s="532">
        <f>'0664'!F18:G18</f>
        <v>0.999</v>
      </c>
      <c r="G18" s="532"/>
      <c r="H18" s="83">
        <f t="shared" si="4"/>
        <v>10.4895</v>
      </c>
      <c r="I18" s="104">
        <f t="shared" si="0"/>
        <v>50227.17</v>
      </c>
      <c r="J18" s="68" t="str">
        <f>IF(ROUND(E18,2)=ROUND(SUM(E56:E58),2)," ","CHECK 4-8 LINES BELOW")</f>
        <v xml:space="preserve"> </v>
      </c>
      <c r="N18" s="479" t="s">
        <v>34</v>
      </c>
      <c r="O18" s="479"/>
      <c r="P18" s="513">
        <f t="shared" si="1"/>
        <v>10.5</v>
      </c>
      <c r="Q18" s="513"/>
      <c r="R18" s="517">
        <v>1</v>
      </c>
      <c r="S18" s="517"/>
      <c r="T18" s="98">
        <f t="shared" si="5"/>
        <v>10.5</v>
      </c>
      <c r="U18" s="101">
        <f t="shared" si="2"/>
        <v>50277</v>
      </c>
    </row>
    <row r="19" spans="1:21" x14ac:dyDescent="0.25">
      <c r="A19" s="453" t="s">
        <v>108</v>
      </c>
      <c r="B19" s="453"/>
      <c r="C19" s="165">
        <v>0</v>
      </c>
      <c r="D19" s="165">
        <v>0</v>
      </c>
      <c r="E19" s="125">
        <f t="shared" si="3"/>
        <v>0</v>
      </c>
      <c r="F19" s="532">
        <f>'0664'!F19:G19</f>
        <v>3.6739999999999999</v>
      </c>
      <c r="G19" s="532"/>
      <c r="H19" s="83">
        <f t="shared" si="4"/>
        <v>0</v>
      </c>
      <c r="I19" s="104">
        <f t="shared" si="0"/>
        <v>0</v>
      </c>
      <c r="N19" s="479" t="s">
        <v>108</v>
      </c>
      <c r="O19" s="479"/>
      <c r="P19" s="513">
        <f t="shared" si="1"/>
        <v>0</v>
      </c>
      <c r="Q19" s="513"/>
      <c r="R19" s="517">
        <v>1</v>
      </c>
      <c r="S19" s="517"/>
      <c r="T19" s="98">
        <f t="shared" si="5"/>
        <v>0</v>
      </c>
      <c r="U19" s="99">
        <f t="shared" si="2"/>
        <v>0</v>
      </c>
    </row>
    <row r="20" spans="1:21" x14ac:dyDescent="0.25">
      <c r="A20" s="453" t="s">
        <v>109</v>
      </c>
      <c r="B20" s="453"/>
      <c r="C20" s="165">
        <v>0</v>
      </c>
      <c r="D20" s="165">
        <v>0</v>
      </c>
      <c r="E20" s="125">
        <f t="shared" si="3"/>
        <v>0</v>
      </c>
      <c r="F20" s="532">
        <f>'0664'!F20:G20</f>
        <v>3.6739999999999999</v>
      </c>
      <c r="G20" s="532"/>
      <c r="H20" s="83">
        <f t="shared" si="4"/>
        <v>0</v>
      </c>
      <c r="I20" s="104">
        <f t="shared" si="0"/>
        <v>0</v>
      </c>
      <c r="N20" s="479" t="s">
        <v>109</v>
      </c>
      <c r="O20" s="479"/>
      <c r="P20" s="513">
        <f t="shared" si="1"/>
        <v>0</v>
      </c>
      <c r="Q20" s="513"/>
      <c r="R20" s="517">
        <v>1</v>
      </c>
      <c r="S20" s="517"/>
      <c r="T20" s="98">
        <f t="shared" si="5"/>
        <v>0</v>
      </c>
      <c r="U20" s="99">
        <f t="shared" si="2"/>
        <v>0</v>
      </c>
    </row>
    <row r="21" spans="1:21" x14ac:dyDescent="0.25">
      <c r="A21" s="453" t="s">
        <v>110</v>
      </c>
      <c r="B21" s="453"/>
      <c r="C21" s="165">
        <v>24</v>
      </c>
      <c r="D21" s="165">
        <v>23.5</v>
      </c>
      <c r="E21" s="125">
        <f t="shared" si="3"/>
        <v>47.5</v>
      </c>
      <c r="F21" s="532">
        <f>'0664'!F21:G21</f>
        <v>3.6739999999999999</v>
      </c>
      <c r="G21" s="532"/>
      <c r="H21" s="83">
        <f t="shared" si="4"/>
        <v>174.51499999999999</v>
      </c>
      <c r="I21" s="104">
        <f t="shared" si="0"/>
        <v>835635.08</v>
      </c>
      <c r="N21" s="479" t="s">
        <v>110</v>
      </c>
      <c r="O21" s="479"/>
      <c r="P21" s="513">
        <f t="shared" si="1"/>
        <v>47.5</v>
      </c>
      <c r="Q21" s="513"/>
      <c r="R21" s="517">
        <v>1</v>
      </c>
      <c r="S21" s="517"/>
      <c r="T21" s="98">
        <f t="shared" si="5"/>
        <v>47.5</v>
      </c>
      <c r="U21" s="99">
        <f t="shared" si="2"/>
        <v>227446</v>
      </c>
    </row>
    <row r="22" spans="1:21" x14ac:dyDescent="0.25">
      <c r="A22" s="453" t="s">
        <v>111</v>
      </c>
      <c r="B22" s="453"/>
      <c r="C22" s="165">
        <v>0</v>
      </c>
      <c r="D22" s="165">
        <v>0</v>
      </c>
      <c r="E22" s="125">
        <f t="shared" si="3"/>
        <v>0</v>
      </c>
      <c r="F22" s="532">
        <f>'0664'!F22:G22</f>
        <v>5.4009999999999998</v>
      </c>
      <c r="G22" s="532"/>
      <c r="H22" s="83">
        <f t="shared" si="4"/>
        <v>0</v>
      </c>
      <c r="I22" s="104">
        <f t="shared" si="0"/>
        <v>0</v>
      </c>
      <c r="N22" s="479" t="s">
        <v>111</v>
      </c>
      <c r="O22" s="479"/>
      <c r="P22" s="513">
        <f t="shared" si="1"/>
        <v>0</v>
      </c>
      <c r="Q22" s="513"/>
      <c r="R22" s="517">
        <v>1</v>
      </c>
      <c r="S22" s="517"/>
      <c r="T22" s="98">
        <f t="shared" si="5"/>
        <v>0</v>
      </c>
      <c r="U22" s="99">
        <f t="shared" si="2"/>
        <v>0</v>
      </c>
    </row>
    <row r="23" spans="1:21" x14ac:dyDescent="0.25">
      <c r="A23" s="453" t="s">
        <v>112</v>
      </c>
      <c r="B23" s="453"/>
      <c r="C23" s="165">
        <v>0</v>
      </c>
      <c r="D23" s="165">
        <v>0</v>
      </c>
      <c r="E23" s="125">
        <f t="shared" si="3"/>
        <v>0</v>
      </c>
      <c r="F23" s="532">
        <f>'0664'!F23:G23</f>
        <v>5.4009999999999998</v>
      </c>
      <c r="G23" s="532"/>
      <c r="H23" s="83">
        <f t="shared" si="4"/>
        <v>0</v>
      </c>
      <c r="I23" s="104">
        <f t="shared" si="0"/>
        <v>0</v>
      </c>
      <c r="N23" s="479" t="s">
        <v>112</v>
      </c>
      <c r="O23" s="479"/>
      <c r="P23" s="513">
        <f t="shared" si="1"/>
        <v>0</v>
      </c>
      <c r="Q23" s="513"/>
      <c r="R23" s="517">
        <v>1</v>
      </c>
      <c r="S23" s="517"/>
      <c r="T23" s="98">
        <f t="shared" si="5"/>
        <v>0</v>
      </c>
      <c r="U23" s="99">
        <f t="shared" si="2"/>
        <v>0</v>
      </c>
    </row>
    <row r="24" spans="1:21" x14ac:dyDescent="0.25">
      <c r="A24" s="453" t="s">
        <v>113</v>
      </c>
      <c r="B24" s="453"/>
      <c r="C24" s="165">
        <v>32.5</v>
      </c>
      <c r="D24" s="165">
        <v>33.5</v>
      </c>
      <c r="E24" s="125">
        <f t="shared" si="3"/>
        <v>66</v>
      </c>
      <c r="F24" s="532">
        <f>'0664'!F24:G24</f>
        <v>5.4009999999999998</v>
      </c>
      <c r="G24" s="532"/>
      <c r="H24" s="83">
        <f t="shared" si="4"/>
        <v>356.46600000000001</v>
      </c>
      <c r="I24" s="104">
        <f t="shared" si="0"/>
        <v>1706876.17</v>
      </c>
      <c r="N24" s="479" t="s">
        <v>113</v>
      </c>
      <c r="O24" s="479"/>
      <c r="P24" s="513">
        <f t="shared" si="1"/>
        <v>66</v>
      </c>
      <c r="Q24" s="513"/>
      <c r="R24" s="517">
        <v>1</v>
      </c>
      <c r="S24" s="517"/>
      <c r="T24" s="98">
        <f t="shared" si="5"/>
        <v>66</v>
      </c>
      <c r="U24" s="99">
        <f t="shared" si="2"/>
        <v>316030</v>
      </c>
    </row>
    <row r="25" spans="1:21" x14ac:dyDescent="0.25">
      <c r="A25" s="453" t="s">
        <v>114</v>
      </c>
      <c r="B25" s="453"/>
      <c r="C25" s="165">
        <v>0</v>
      </c>
      <c r="D25" s="165">
        <v>0</v>
      </c>
      <c r="E25" s="125">
        <f t="shared" si="3"/>
        <v>0</v>
      </c>
      <c r="F25" s="532">
        <f>'0664'!F25:G25</f>
        <v>1.206</v>
      </c>
      <c r="G25" s="532"/>
      <c r="H25" s="83">
        <f t="shared" si="4"/>
        <v>0</v>
      </c>
      <c r="I25" s="104">
        <f t="shared" si="0"/>
        <v>0</v>
      </c>
      <c r="N25" s="479" t="s">
        <v>114</v>
      </c>
      <c r="O25" s="479"/>
      <c r="P25" s="513">
        <f t="shared" si="1"/>
        <v>0</v>
      </c>
      <c r="Q25" s="513"/>
      <c r="R25" s="517">
        <v>1</v>
      </c>
      <c r="S25" s="517"/>
      <c r="T25" s="98">
        <f t="shared" si="5"/>
        <v>0</v>
      </c>
      <c r="U25" s="99">
        <f t="shared" si="2"/>
        <v>0</v>
      </c>
    </row>
    <row r="26" spans="1:21" x14ac:dyDescent="0.25">
      <c r="A26" s="453" t="s">
        <v>115</v>
      </c>
      <c r="B26" s="453"/>
      <c r="C26" s="165">
        <v>0</v>
      </c>
      <c r="D26" s="165">
        <v>0</v>
      </c>
      <c r="E26" s="125">
        <f t="shared" si="3"/>
        <v>0</v>
      </c>
      <c r="F26" s="532">
        <f>'0664'!F26:G26</f>
        <v>1.206</v>
      </c>
      <c r="G26" s="532"/>
      <c r="H26" s="83">
        <f t="shared" si="4"/>
        <v>0</v>
      </c>
      <c r="I26" s="104">
        <f t="shared" si="0"/>
        <v>0</v>
      </c>
      <c r="N26" s="479" t="s">
        <v>115</v>
      </c>
      <c r="O26" s="479"/>
      <c r="P26" s="513">
        <f t="shared" si="1"/>
        <v>0</v>
      </c>
      <c r="Q26" s="513"/>
      <c r="R26" s="517">
        <v>1</v>
      </c>
      <c r="S26" s="517"/>
      <c r="T26" s="98">
        <f t="shared" si="5"/>
        <v>0</v>
      </c>
      <c r="U26" s="99">
        <f t="shared" si="2"/>
        <v>0</v>
      </c>
    </row>
    <row r="27" spans="1:21" x14ac:dyDescent="0.25">
      <c r="A27" s="453" t="s">
        <v>116</v>
      </c>
      <c r="B27" s="453"/>
      <c r="C27" s="165">
        <v>0</v>
      </c>
      <c r="D27" s="165">
        <v>0</v>
      </c>
      <c r="E27" s="125">
        <f t="shared" si="3"/>
        <v>0</v>
      </c>
      <c r="F27" s="532">
        <f>'0664'!F27:G27</f>
        <v>1.206</v>
      </c>
      <c r="G27" s="532"/>
      <c r="H27" s="83">
        <f t="shared" si="4"/>
        <v>0</v>
      </c>
      <c r="I27" s="104">
        <f t="shared" si="0"/>
        <v>0</v>
      </c>
      <c r="N27" s="479" t="s">
        <v>116</v>
      </c>
      <c r="O27" s="479"/>
      <c r="P27" s="513">
        <f t="shared" si="1"/>
        <v>0</v>
      </c>
      <c r="Q27" s="513"/>
      <c r="R27" s="517">
        <v>1</v>
      </c>
      <c r="S27" s="517"/>
      <c r="T27" s="98">
        <f t="shared" si="5"/>
        <v>0</v>
      </c>
      <c r="U27" s="99">
        <f t="shared" si="2"/>
        <v>0</v>
      </c>
    </row>
    <row r="28" spans="1:21" x14ac:dyDescent="0.25">
      <c r="A28" s="453" t="s">
        <v>117</v>
      </c>
      <c r="B28" s="453"/>
      <c r="C28" s="116">
        <v>0</v>
      </c>
      <c r="D28" s="116">
        <v>0</v>
      </c>
      <c r="E28" s="177">
        <f t="shared" si="3"/>
        <v>0</v>
      </c>
      <c r="F28" s="532">
        <f>'0664'!F28:G28</f>
        <v>0.999</v>
      </c>
      <c r="G28" s="532"/>
      <c r="H28" s="96">
        <f t="shared" si="4"/>
        <v>0</v>
      </c>
      <c r="I28" s="97">
        <f t="shared" si="0"/>
        <v>0</v>
      </c>
      <c r="N28" s="482" t="s">
        <v>117</v>
      </c>
      <c r="O28" s="482"/>
      <c r="P28" s="513">
        <f t="shared" si="1"/>
        <v>0</v>
      </c>
      <c r="Q28" s="513"/>
      <c r="R28" s="514">
        <v>1</v>
      </c>
      <c r="S28" s="514"/>
      <c r="T28" s="98">
        <f t="shared" si="5"/>
        <v>0</v>
      </c>
      <c r="U28" s="99">
        <f t="shared" si="2"/>
        <v>0</v>
      </c>
    </row>
    <row r="29" spans="1:21" x14ac:dyDescent="0.25">
      <c r="A29" s="461" t="s">
        <v>5</v>
      </c>
      <c r="B29" s="461"/>
      <c r="C29" s="97">
        <f>SUM(C13:C28)</f>
        <v>62</v>
      </c>
      <c r="D29" s="97">
        <f>SUM(D13:D28)</f>
        <v>62</v>
      </c>
      <c r="E29" s="97">
        <f>SUM(E13:E28)</f>
        <v>124</v>
      </c>
      <c r="F29" s="457"/>
      <c r="G29" s="457"/>
      <c r="H29" s="102">
        <f>SUM(H13:H28)</f>
        <v>541.47050000000002</v>
      </c>
      <c r="I29" s="97">
        <f>SUM(I13:I28)</f>
        <v>2592738.42</v>
      </c>
      <c r="N29" s="515" t="s">
        <v>5</v>
      </c>
      <c r="O29" s="515"/>
      <c r="P29" s="516">
        <f>SUM(P13:P28)</f>
        <v>124</v>
      </c>
      <c r="Q29" s="516"/>
      <c r="R29" s="508"/>
      <c r="S29" s="508"/>
      <c r="T29" s="103">
        <f>SUM(T13:T28)</f>
        <v>124</v>
      </c>
      <c r="U29" s="99">
        <f>SUM(U13:U28)</f>
        <v>593753</v>
      </c>
    </row>
    <row r="30" spans="1:21" x14ac:dyDescent="0.25">
      <c r="A30" s="27"/>
      <c r="B30" s="27"/>
      <c r="C30" s="104"/>
      <c r="D30" s="104"/>
      <c r="E30" s="104"/>
      <c r="F30" s="28"/>
      <c r="G30" s="28"/>
      <c r="H30" s="83"/>
      <c r="I30" s="104"/>
      <c r="N30" s="29"/>
      <c r="O30" s="29"/>
      <c r="P30" s="30"/>
      <c r="Q30" s="30"/>
      <c r="R30" s="31"/>
      <c r="S30" s="31"/>
      <c r="T30" s="105"/>
      <c r="U30" s="106"/>
    </row>
    <row r="31" spans="1:21" x14ac:dyDescent="0.25">
      <c r="A31" s="168" t="s">
        <v>97</v>
      </c>
      <c r="B31" s="27"/>
      <c r="C31" s="104"/>
      <c r="D31" s="104"/>
      <c r="E31" s="104"/>
      <c r="F31" s="28"/>
      <c r="G31" s="28"/>
      <c r="H31" s="83"/>
      <c r="I31" s="104"/>
      <c r="N31" s="29"/>
      <c r="O31" s="29"/>
      <c r="P31" s="30"/>
      <c r="Q31" s="30"/>
      <c r="R31" s="31"/>
      <c r="S31" s="31"/>
      <c r="T31" s="105"/>
      <c r="U31" s="106"/>
    </row>
    <row r="32" spans="1:21" hidden="1" x14ac:dyDescent="0.25">
      <c r="A32" s="168"/>
      <c r="B32" s="27"/>
      <c r="C32" s="104"/>
      <c r="D32" s="104"/>
      <c r="E32" s="104"/>
      <c r="F32" s="28"/>
      <c r="G32" s="28"/>
      <c r="H32" s="83"/>
      <c r="I32" s="104"/>
      <c r="N32" s="29"/>
      <c r="O32" s="29"/>
      <c r="P32" s="30"/>
      <c r="Q32" s="30"/>
      <c r="R32" s="31"/>
      <c r="S32" s="31"/>
      <c r="T32" s="105"/>
      <c r="U32" s="106"/>
    </row>
    <row r="33" spans="1:21" hidden="1" x14ac:dyDescent="0.25">
      <c r="A33" s="168"/>
      <c r="B33" s="27"/>
      <c r="C33" s="104"/>
      <c r="D33" s="104"/>
      <c r="E33" s="104"/>
      <c r="F33" s="541" t="s">
        <v>282</v>
      </c>
      <c r="G33" s="541"/>
      <c r="H33" s="541"/>
      <c r="I33" s="104"/>
      <c r="N33" s="29"/>
      <c r="O33" s="29"/>
      <c r="P33" s="30"/>
      <c r="Q33" s="30"/>
      <c r="R33" s="31"/>
      <c r="S33" s="31"/>
      <c r="T33" s="105"/>
      <c r="U33" s="106"/>
    </row>
    <row r="34" spans="1:21" hidden="1" x14ac:dyDescent="0.25">
      <c r="A34" s="3"/>
      <c r="B34" s="72"/>
      <c r="C34" s="72"/>
      <c r="D34" s="72"/>
      <c r="E34" s="72"/>
      <c r="F34" s="541"/>
      <c r="G34" s="541"/>
      <c r="H34" s="541"/>
      <c r="I34" s="25" t="s">
        <v>74</v>
      </c>
      <c r="N34" s="485" t="s">
        <v>35</v>
      </c>
      <c r="O34" s="485"/>
      <c r="P34" s="485"/>
      <c r="Q34" s="485"/>
      <c r="R34" s="485"/>
      <c r="S34" s="485"/>
      <c r="T34" s="485"/>
      <c r="U34" s="26" t="s">
        <v>74</v>
      </c>
    </row>
    <row r="35" spans="1:21" hidden="1" x14ac:dyDescent="0.25">
      <c r="A35" s="27"/>
      <c r="B35" s="27"/>
      <c r="C35" s="91" t="s">
        <v>124</v>
      </c>
      <c r="D35" s="91" t="s">
        <v>125</v>
      </c>
      <c r="E35" s="92" t="s">
        <v>8</v>
      </c>
      <c r="F35" s="541"/>
      <c r="G35" s="541"/>
      <c r="H35" s="541"/>
      <c r="I35" s="25" t="s">
        <v>36</v>
      </c>
      <c r="N35" s="29"/>
      <c r="O35" s="29"/>
      <c r="P35" s="30"/>
      <c r="Q35" s="30"/>
      <c r="R35" s="31"/>
      <c r="S35" s="31"/>
      <c r="T35" s="105"/>
      <c r="U35" s="26" t="s">
        <v>36</v>
      </c>
    </row>
    <row r="36" spans="1:21" hidden="1" x14ac:dyDescent="0.25">
      <c r="A36" s="447" t="s">
        <v>63</v>
      </c>
      <c r="B36" s="447"/>
      <c r="C36" s="93" t="s">
        <v>2</v>
      </c>
      <c r="D36" s="93" t="s">
        <v>2</v>
      </c>
      <c r="E36" s="93" t="s">
        <v>2</v>
      </c>
      <c r="F36" s="542"/>
      <c r="G36" s="542"/>
      <c r="H36" s="542"/>
      <c r="I36" s="32" t="s">
        <v>75</v>
      </c>
      <c r="N36" s="510" t="s">
        <v>63</v>
      </c>
      <c r="O36" s="510"/>
      <c r="P36" s="511" t="s">
        <v>24</v>
      </c>
      <c r="Q36" s="511"/>
      <c r="R36" s="511"/>
      <c r="S36" s="511"/>
      <c r="T36" s="511"/>
      <c r="U36" s="20" t="s">
        <v>75</v>
      </c>
    </row>
    <row r="37" spans="1:21" hidden="1" x14ac:dyDescent="0.25">
      <c r="A37" s="451" t="s">
        <v>56</v>
      </c>
      <c r="B37" s="451"/>
      <c r="C37" s="169">
        <v>0</v>
      </c>
      <c r="D37" s="169">
        <v>0</v>
      </c>
      <c r="E37" s="210">
        <f t="shared" ref="E37:E42" si="6">IF(D$43=0,C37*2,C37+D37)</f>
        <v>0</v>
      </c>
      <c r="F37" s="170"/>
      <c r="G37" s="170"/>
      <c r="H37" s="170"/>
      <c r="I37" s="119">
        <f t="shared" ref="I37:I42" si="7">ROUND(ROUND(E37*$C$8,4)*($H$8),2)</f>
        <v>0</v>
      </c>
      <c r="N37" s="512" t="s">
        <v>56</v>
      </c>
      <c r="O37" s="512"/>
      <c r="P37" s="483">
        <f t="shared" ref="P37:P42" si="8">IF($H$120=1,E37,0)</f>
        <v>0</v>
      </c>
      <c r="Q37" s="483"/>
      <c r="R37" s="483"/>
      <c r="S37" s="483"/>
      <c r="T37" s="483"/>
      <c r="U37" s="101">
        <f t="shared" ref="U37:U42" si="9">ROUND(ROUND(P37*$C$8,4)*($H$8),0)</f>
        <v>0</v>
      </c>
    </row>
    <row r="38" spans="1:21" hidden="1" x14ac:dyDescent="0.25">
      <c r="A38" s="453" t="s">
        <v>57</v>
      </c>
      <c r="B38" s="453"/>
      <c r="C38" s="172">
        <v>0</v>
      </c>
      <c r="D38" s="172">
        <v>0</v>
      </c>
      <c r="E38" s="125">
        <f t="shared" si="6"/>
        <v>0</v>
      </c>
      <c r="F38" s="173"/>
      <c r="G38" s="173"/>
      <c r="H38" s="173"/>
      <c r="I38" s="104">
        <f t="shared" si="7"/>
        <v>0</v>
      </c>
      <c r="N38" s="479" t="s">
        <v>57</v>
      </c>
      <c r="O38" s="479"/>
      <c r="P38" s="483">
        <f t="shared" si="8"/>
        <v>0</v>
      </c>
      <c r="Q38" s="483"/>
      <c r="R38" s="483"/>
      <c r="S38" s="483"/>
      <c r="T38" s="483"/>
      <c r="U38" s="101">
        <f t="shared" si="9"/>
        <v>0</v>
      </c>
    </row>
    <row r="39" spans="1:21" hidden="1" x14ac:dyDescent="0.25">
      <c r="A39" s="458" t="s">
        <v>58</v>
      </c>
      <c r="B39" s="458"/>
      <c r="C39" s="172">
        <v>0</v>
      </c>
      <c r="D39" s="172">
        <v>0</v>
      </c>
      <c r="E39" s="125">
        <f t="shared" si="6"/>
        <v>0</v>
      </c>
      <c r="F39" s="173"/>
      <c r="G39" s="173"/>
      <c r="H39" s="173"/>
      <c r="I39" s="104">
        <f t="shared" si="7"/>
        <v>0</v>
      </c>
      <c r="N39" s="509" t="s">
        <v>58</v>
      </c>
      <c r="O39" s="509"/>
      <c r="P39" s="483">
        <f t="shared" si="8"/>
        <v>0</v>
      </c>
      <c r="Q39" s="483"/>
      <c r="R39" s="483"/>
      <c r="S39" s="483"/>
      <c r="T39" s="483"/>
      <c r="U39" s="101">
        <f t="shared" si="9"/>
        <v>0</v>
      </c>
    </row>
    <row r="40" spans="1:21" hidden="1" x14ac:dyDescent="0.25">
      <c r="A40" s="453" t="s">
        <v>59</v>
      </c>
      <c r="B40" s="453"/>
      <c r="C40" s="172">
        <v>0</v>
      </c>
      <c r="D40" s="172">
        <v>0</v>
      </c>
      <c r="E40" s="125">
        <f t="shared" si="6"/>
        <v>0</v>
      </c>
      <c r="F40" s="173"/>
      <c r="G40" s="173"/>
      <c r="H40" s="173"/>
      <c r="I40" s="104">
        <f t="shared" si="7"/>
        <v>0</v>
      </c>
      <c r="N40" s="479" t="s">
        <v>59</v>
      </c>
      <c r="O40" s="479"/>
      <c r="P40" s="483">
        <f t="shared" si="8"/>
        <v>0</v>
      </c>
      <c r="Q40" s="483"/>
      <c r="R40" s="483"/>
      <c r="S40" s="483"/>
      <c r="T40" s="483"/>
      <c r="U40" s="101">
        <f t="shared" si="9"/>
        <v>0</v>
      </c>
    </row>
    <row r="41" spans="1:21" hidden="1" x14ac:dyDescent="0.25">
      <c r="A41" s="453" t="s">
        <v>60</v>
      </c>
      <c r="B41" s="453"/>
      <c r="C41" s="172">
        <v>0</v>
      </c>
      <c r="D41" s="172">
        <v>0</v>
      </c>
      <c r="E41" s="125">
        <f t="shared" si="6"/>
        <v>0</v>
      </c>
      <c r="F41" s="173"/>
      <c r="G41" s="173"/>
      <c r="H41" s="173"/>
      <c r="I41" s="104">
        <f t="shared" si="7"/>
        <v>0</v>
      </c>
      <c r="N41" s="479" t="s">
        <v>60</v>
      </c>
      <c r="O41" s="479"/>
      <c r="P41" s="483">
        <f t="shared" si="8"/>
        <v>0</v>
      </c>
      <c r="Q41" s="483"/>
      <c r="R41" s="483"/>
      <c r="S41" s="483"/>
      <c r="T41" s="483"/>
      <c r="U41" s="101">
        <f t="shared" si="9"/>
        <v>0</v>
      </c>
    </row>
    <row r="42" spans="1:21" hidden="1" x14ac:dyDescent="0.25">
      <c r="A42" s="453" t="s">
        <v>52</v>
      </c>
      <c r="B42" s="453"/>
      <c r="C42" s="171">
        <v>0</v>
      </c>
      <c r="D42" s="171">
        <v>0</v>
      </c>
      <c r="E42" s="177">
        <f t="shared" si="6"/>
        <v>0</v>
      </c>
      <c r="F42" s="173"/>
      <c r="G42" s="173"/>
      <c r="H42" s="173"/>
      <c r="I42" s="97">
        <f t="shared" si="7"/>
        <v>0</v>
      </c>
      <c r="N42" s="482" t="s">
        <v>52</v>
      </c>
      <c r="O42" s="482"/>
      <c r="P42" s="483">
        <f t="shared" si="8"/>
        <v>0</v>
      </c>
      <c r="Q42" s="483"/>
      <c r="R42" s="483"/>
      <c r="S42" s="483"/>
      <c r="T42" s="483"/>
      <c r="U42" s="101">
        <f t="shared" si="9"/>
        <v>0</v>
      </c>
    </row>
    <row r="43" spans="1:21" hidden="1" x14ac:dyDescent="0.25">
      <c r="A43" s="3"/>
      <c r="B43" s="55" t="s">
        <v>126</v>
      </c>
      <c r="C43" s="100">
        <f>SUM(C37:C42)</f>
        <v>0</v>
      </c>
      <c r="D43" s="100">
        <f>SUM(D37:D42)</f>
        <v>0</v>
      </c>
      <c r="E43" s="100">
        <f>SUM(E37:E42)</f>
        <v>0</v>
      </c>
      <c r="F43" s="33"/>
      <c r="G43" s="109"/>
      <c r="H43" s="110" t="s">
        <v>128</v>
      </c>
      <c r="I43" s="100">
        <f>SUM(I37:I42)</f>
        <v>0</v>
      </c>
      <c r="N43" s="480" t="s">
        <v>54</v>
      </c>
      <c r="O43" s="480"/>
      <c r="P43" s="480"/>
      <c r="Q43" s="480"/>
      <c r="R43" s="34">
        <f>SUM(P37:R42)</f>
        <v>0</v>
      </c>
      <c r="S43" s="508" t="s">
        <v>64</v>
      </c>
      <c r="T43" s="508"/>
      <c r="U43" s="106">
        <f>SUM(U37:U42)</f>
        <v>0</v>
      </c>
    </row>
    <row r="44" spans="1:21" ht="16.5" hidden="1" thickBot="1" x14ac:dyDescent="0.3">
      <c r="A44" s="3"/>
      <c r="B44" s="55"/>
      <c r="C44" s="104"/>
      <c r="D44" s="104"/>
      <c r="E44" s="119"/>
      <c r="F44" s="33"/>
      <c r="G44" s="109"/>
      <c r="H44" s="110"/>
      <c r="I44" s="104"/>
      <c r="N44" s="29"/>
      <c r="O44" s="29"/>
      <c r="P44" s="29"/>
      <c r="Q44" s="29"/>
      <c r="R44" s="34"/>
      <c r="S44" s="31"/>
      <c r="T44" s="31"/>
      <c r="U44" s="106"/>
    </row>
    <row r="45" spans="1:21" ht="16.5" hidden="1" thickBot="1" x14ac:dyDescent="0.3">
      <c r="A45" s="3"/>
      <c r="B45" s="55" t="s">
        <v>127</v>
      </c>
      <c r="E45" s="174">
        <f>H29+E43</f>
        <v>541.47050000000002</v>
      </c>
      <c r="F45" s="35"/>
      <c r="G45" s="109"/>
      <c r="H45" s="110" t="s">
        <v>129</v>
      </c>
      <c r="I45" s="97">
        <f>SUM(I43,I29)</f>
        <v>2592738.42</v>
      </c>
      <c r="N45" s="480" t="s">
        <v>55</v>
      </c>
      <c r="O45" s="480"/>
      <c r="P45" s="480"/>
      <c r="Q45" s="480"/>
      <c r="R45" s="36">
        <f>R43+T29</f>
        <v>124</v>
      </c>
      <c r="S45" s="508" t="s">
        <v>53</v>
      </c>
      <c r="T45" s="508"/>
      <c r="U45" s="111">
        <f>SUM(U43,U29)</f>
        <v>593753</v>
      </c>
    </row>
    <row r="46" spans="1:21" hidden="1" x14ac:dyDescent="0.25">
      <c r="A46" s="27"/>
      <c r="B46" s="27"/>
      <c r="C46" s="27"/>
      <c r="D46" s="27"/>
      <c r="E46" s="27"/>
      <c r="F46" s="35"/>
      <c r="G46" s="28"/>
      <c r="H46" s="28"/>
      <c r="I46" s="104"/>
      <c r="N46" s="29"/>
      <c r="O46" s="29"/>
      <c r="P46" s="29"/>
      <c r="Q46" s="29"/>
      <c r="R46" s="36"/>
      <c r="S46" s="31"/>
      <c r="T46" s="31"/>
      <c r="U46" s="106"/>
    </row>
    <row r="47" spans="1:21" x14ac:dyDescent="0.25">
      <c r="A47" s="27"/>
      <c r="B47" s="55" t="s">
        <v>370</v>
      </c>
      <c r="C47" s="372" t="s">
        <v>370</v>
      </c>
      <c r="D47" s="372" t="s">
        <v>370</v>
      </c>
      <c r="E47" s="27"/>
      <c r="F47" s="35"/>
      <c r="G47" s="28"/>
      <c r="H47" s="28"/>
      <c r="I47" s="104"/>
      <c r="N47" s="29"/>
      <c r="O47" s="29"/>
      <c r="P47" s="29"/>
      <c r="Q47" s="29"/>
      <c r="R47" s="36"/>
      <c r="S47" s="31"/>
      <c r="T47" s="31"/>
      <c r="U47" s="106"/>
    </row>
    <row r="48" spans="1:21" x14ac:dyDescent="0.25">
      <c r="A48" s="27"/>
      <c r="B48" s="27"/>
      <c r="C48" s="91" t="s">
        <v>463</v>
      </c>
      <c r="D48" s="371" t="s">
        <v>464</v>
      </c>
      <c r="E48" s="92" t="s">
        <v>8</v>
      </c>
      <c r="F48" s="49" t="s">
        <v>130</v>
      </c>
      <c r="G48" s="112" t="s">
        <v>132</v>
      </c>
      <c r="H48" s="113" t="s">
        <v>133</v>
      </c>
      <c r="I48" s="104"/>
      <c r="N48" s="29"/>
      <c r="O48" s="29"/>
      <c r="P48" s="29"/>
      <c r="Q48" s="29"/>
      <c r="R48" s="36"/>
      <c r="S48" s="31"/>
      <c r="T48" s="31"/>
      <c r="U48" s="106"/>
    </row>
    <row r="49" spans="1:21" x14ac:dyDescent="0.25">
      <c r="A49" s="37" t="s">
        <v>87</v>
      </c>
      <c r="B49" s="37"/>
      <c r="C49" s="362" t="s">
        <v>2</v>
      </c>
      <c r="D49" s="362" t="s">
        <v>2</v>
      </c>
      <c r="E49" s="362" t="s">
        <v>2</v>
      </c>
      <c r="F49" s="95" t="s">
        <v>131</v>
      </c>
      <c r="G49" s="62" t="s">
        <v>131</v>
      </c>
      <c r="H49" s="114" t="s">
        <v>134</v>
      </c>
      <c r="I49" s="37"/>
      <c r="N49" s="482" t="s">
        <v>87</v>
      </c>
      <c r="O49" s="482"/>
      <c r="P49" s="503" t="s">
        <v>2</v>
      </c>
      <c r="Q49" s="503"/>
      <c r="R49" s="38" t="s">
        <v>25</v>
      </c>
      <c r="S49" s="63" t="s">
        <v>26</v>
      </c>
      <c r="T49" s="115" t="s">
        <v>27</v>
      </c>
      <c r="U49" s="38"/>
    </row>
    <row r="50" spans="1:21" x14ac:dyDescent="0.25">
      <c r="A50" s="459" t="s">
        <v>98</v>
      </c>
      <c r="B50" s="459"/>
      <c r="C50" s="165">
        <v>0</v>
      </c>
      <c r="D50" s="165">
        <v>0</v>
      </c>
      <c r="E50" s="125">
        <f>IF(D$59=0,C50*2,C50+D50)</f>
        <v>0</v>
      </c>
      <c r="F50" s="39" t="s">
        <v>21</v>
      </c>
      <c r="G50" s="39">
        <v>251</v>
      </c>
      <c r="H50" s="321">
        <f>'0664'!H50</f>
        <v>1047</v>
      </c>
      <c r="I50" s="104">
        <f>ROUND(E50*H50,2)</f>
        <v>0</v>
      </c>
      <c r="N50" s="504" t="s">
        <v>28</v>
      </c>
      <c r="O50" s="504"/>
      <c r="P50" s="505"/>
      <c r="Q50" s="505"/>
      <c r="R50" s="40" t="s">
        <v>21</v>
      </c>
      <c r="S50" s="40">
        <v>251</v>
      </c>
      <c r="T50" s="117">
        <f>H50</f>
        <v>1047</v>
      </c>
      <c r="U50" s="118">
        <f>ROUND(P50*T50,0)</f>
        <v>0</v>
      </c>
    </row>
    <row r="51" spans="1:21" x14ac:dyDescent="0.25">
      <c r="A51" s="460"/>
      <c r="B51" s="460"/>
      <c r="C51" s="165">
        <v>0</v>
      </c>
      <c r="D51" s="165">
        <v>0</v>
      </c>
      <c r="E51" s="125">
        <f t="shared" ref="E51:E57" si="10">IF(D$59=0,C51*2,C51+D51)</f>
        <v>0</v>
      </c>
      <c r="F51" s="39" t="s">
        <v>21</v>
      </c>
      <c r="G51" s="39">
        <v>252</v>
      </c>
      <c r="H51" s="321">
        <f>'0664'!H51</f>
        <v>3380</v>
      </c>
      <c r="I51" s="104">
        <f t="shared" ref="I51:I58" si="11">ROUND(E51*H51,2)</f>
        <v>0</v>
      </c>
      <c r="N51" s="504"/>
      <c r="O51" s="504"/>
      <c r="P51" s="506"/>
      <c r="Q51" s="506"/>
      <c r="R51" s="40" t="s">
        <v>21</v>
      </c>
      <c r="S51" s="40">
        <v>252</v>
      </c>
      <c r="T51" s="117">
        <f t="shared" ref="T51:T58" si="12">H51</f>
        <v>3380</v>
      </c>
      <c r="U51" s="118">
        <f t="shared" ref="U51:U58" si="13">ROUND(P51*T51,0)</f>
        <v>0</v>
      </c>
    </row>
    <row r="52" spans="1:21" x14ac:dyDescent="0.25">
      <c r="A52" s="460"/>
      <c r="B52" s="460"/>
      <c r="C52" s="165">
        <v>0</v>
      </c>
      <c r="D52" s="165">
        <v>0</v>
      </c>
      <c r="E52" s="125">
        <f t="shared" si="10"/>
        <v>0</v>
      </c>
      <c r="F52" s="39" t="s">
        <v>21</v>
      </c>
      <c r="G52" s="39">
        <v>253</v>
      </c>
      <c r="H52" s="321">
        <f>'0664'!H52</f>
        <v>6896</v>
      </c>
      <c r="I52" s="104">
        <f t="shared" si="11"/>
        <v>0</v>
      </c>
      <c r="N52" s="504"/>
      <c r="O52" s="504"/>
      <c r="P52" s="506"/>
      <c r="Q52" s="506"/>
      <c r="R52" s="40" t="s">
        <v>21</v>
      </c>
      <c r="S52" s="40">
        <v>253</v>
      </c>
      <c r="T52" s="117">
        <f t="shared" si="12"/>
        <v>6896</v>
      </c>
      <c r="U52" s="118">
        <f t="shared" si="13"/>
        <v>0</v>
      </c>
    </row>
    <row r="53" spans="1:21" x14ac:dyDescent="0.25">
      <c r="A53" s="460"/>
      <c r="B53" s="460"/>
      <c r="C53" s="165">
        <v>0</v>
      </c>
      <c r="D53" s="165">
        <v>0</v>
      </c>
      <c r="E53" s="125">
        <f t="shared" si="10"/>
        <v>0</v>
      </c>
      <c r="F53" s="41" t="s">
        <v>14</v>
      </c>
      <c r="G53" s="39">
        <v>251</v>
      </c>
      <c r="H53" s="321">
        <f>'0664'!H53</f>
        <v>1173</v>
      </c>
      <c r="I53" s="104">
        <f t="shared" si="11"/>
        <v>0</v>
      </c>
      <c r="N53" s="504"/>
      <c r="O53" s="504"/>
      <c r="P53" s="506"/>
      <c r="Q53" s="506"/>
      <c r="R53" s="42" t="s">
        <v>14</v>
      </c>
      <c r="S53" s="40">
        <v>251</v>
      </c>
      <c r="T53" s="117">
        <f t="shared" si="12"/>
        <v>1173</v>
      </c>
      <c r="U53" s="118">
        <f t="shared" si="13"/>
        <v>0</v>
      </c>
    </row>
    <row r="54" spans="1:21" x14ac:dyDescent="0.25">
      <c r="A54" s="460"/>
      <c r="B54" s="460"/>
      <c r="C54" s="165">
        <v>0</v>
      </c>
      <c r="D54" s="165">
        <v>0</v>
      </c>
      <c r="E54" s="125">
        <f t="shared" si="10"/>
        <v>0</v>
      </c>
      <c r="F54" s="41" t="s">
        <v>14</v>
      </c>
      <c r="G54" s="39">
        <v>252</v>
      </c>
      <c r="H54" s="321">
        <f>'0664'!H54</f>
        <v>3506</v>
      </c>
      <c r="I54" s="104">
        <f t="shared" si="11"/>
        <v>0</v>
      </c>
      <c r="N54" s="504"/>
      <c r="O54" s="504"/>
      <c r="P54" s="506"/>
      <c r="Q54" s="506"/>
      <c r="R54" s="42" t="s">
        <v>14</v>
      </c>
      <c r="S54" s="40">
        <v>252</v>
      </c>
      <c r="T54" s="117">
        <f t="shared" si="12"/>
        <v>3506</v>
      </c>
      <c r="U54" s="118">
        <f t="shared" si="13"/>
        <v>0</v>
      </c>
    </row>
    <row r="55" spans="1:21" x14ac:dyDescent="0.25">
      <c r="A55" s="460"/>
      <c r="B55" s="460"/>
      <c r="C55" s="165">
        <v>0</v>
      </c>
      <c r="D55" s="165">
        <v>0</v>
      </c>
      <c r="E55" s="125">
        <f t="shared" si="10"/>
        <v>0</v>
      </c>
      <c r="F55" s="41" t="s">
        <v>14</v>
      </c>
      <c r="G55" s="39">
        <v>253</v>
      </c>
      <c r="H55" s="321">
        <f>'0664'!H55</f>
        <v>7023</v>
      </c>
      <c r="I55" s="104">
        <f t="shared" si="11"/>
        <v>0</v>
      </c>
      <c r="N55" s="504"/>
      <c r="O55" s="504"/>
      <c r="P55" s="506"/>
      <c r="Q55" s="506"/>
      <c r="R55" s="42" t="s">
        <v>14</v>
      </c>
      <c r="S55" s="40">
        <v>253</v>
      </c>
      <c r="T55" s="117">
        <f t="shared" si="12"/>
        <v>7023</v>
      </c>
      <c r="U55" s="118">
        <f t="shared" si="13"/>
        <v>0</v>
      </c>
    </row>
    <row r="56" spans="1:21" x14ac:dyDescent="0.25">
      <c r="A56" s="460"/>
      <c r="B56" s="460"/>
      <c r="C56" s="165">
        <v>0</v>
      </c>
      <c r="D56" s="165">
        <v>0</v>
      </c>
      <c r="E56" s="125">
        <f t="shared" si="10"/>
        <v>0</v>
      </c>
      <c r="F56" s="41" t="s">
        <v>15</v>
      </c>
      <c r="G56" s="39">
        <v>251</v>
      </c>
      <c r="H56" s="321">
        <f>'0664'!H56</f>
        <v>835</v>
      </c>
      <c r="I56" s="104">
        <f t="shared" si="11"/>
        <v>0</v>
      </c>
      <c r="N56" s="504"/>
      <c r="O56" s="504"/>
      <c r="P56" s="506"/>
      <c r="Q56" s="506"/>
      <c r="R56" s="42" t="s">
        <v>15</v>
      </c>
      <c r="S56" s="40">
        <v>251</v>
      </c>
      <c r="T56" s="117">
        <f t="shared" si="12"/>
        <v>835</v>
      </c>
      <c r="U56" s="118">
        <f t="shared" si="13"/>
        <v>0</v>
      </c>
    </row>
    <row r="57" spans="1:21" x14ac:dyDescent="0.25">
      <c r="A57" s="460"/>
      <c r="B57" s="460"/>
      <c r="C57" s="165">
        <v>0</v>
      </c>
      <c r="D57" s="165">
        <v>0</v>
      </c>
      <c r="E57" s="125">
        <f t="shared" si="10"/>
        <v>0</v>
      </c>
      <c r="F57" s="41" t="s">
        <v>15</v>
      </c>
      <c r="G57" s="39">
        <v>252</v>
      </c>
      <c r="H57" s="321">
        <f>'0664'!H57</f>
        <v>3168</v>
      </c>
      <c r="I57" s="104">
        <f t="shared" si="11"/>
        <v>0</v>
      </c>
      <c r="N57" s="504"/>
      <c r="O57" s="504"/>
      <c r="P57" s="506"/>
      <c r="Q57" s="506"/>
      <c r="R57" s="42" t="s">
        <v>15</v>
      </c>
      <c r="S57" s="40">
        <v>252</v>
      </c>
      <c r="T57" s="117">
        <f t="shared" si="12"/>
        <v>3168</v>
      </c>
      <c r="U57" s="118">
        <f t="shared" si="13"/>
        <v>0</v>
      </c>
    </row>
    <row r="58" spans="1:21" ht="16.5" thickBot="1" x14ac:dyDescent="0.3">
      <c r="A58" s="460"/>
      <c r="B58" s="460"/>
      <c r="C58" s="165">
        <v>5.5</v>
      </c>
      <c r="D58" s="165">
        <v>5</v>
      </c>
      <c r="E58" s="125">
        <f>IF(D$59=0,C58*2,C58+D58)</f>
        <v>10.5</v>
      </c>
      <c r="F58" s="41" t="s">
        <v>15</v>
      </c>
      <c r="G58" s="39">
        <v>253</v>
      </c>
      <c r="H58" s="321">
        <f>'0664'!H58</f>
        <v>6685</v>
      </c>
      <c r="I58" s="104">
        <f t="shared" si="11"/>
        <v>70192.5</v>
      </c>
      <c r="N58" s="504"/>
      <c r="O58" s="504"/>
      <c r="P58" s="507"/>
      <c r="Q58" s="507"/>
      <c r="R58" s="42" t="s">
        <v>15</v>
      </c>
      <c r="S58" s="40">
        <v>253</v>
      </c>
      <c r="T58" s="117">
        <f t="shared" si="12"/>
        <v>6685</v>
      </c>
      <c r="U58" s="120">
        <f t="shared" si="13"/>
        <v>0</v>
      </c>
    </row>
    <row r="59" spans="1:21" ht="16.5" thickBot="1" x14ac:dyDescent="0.3">
      <c r="A59" s="461" t="s">
        <v>16</v>
      </c>
      <c r="B59" s="461"/>
      <c r="C59" s="100">
        <f>SUM(C50:C58)</f>
        <v>5.5</v>
      </c>
      <c r="D59" s="100">
        <f>SUM(D50:D58)</f>
        <v>5</v>
      </c>
      <c r="E59" s="100">
        <f>SUM(E50:E58)</f>
        <v>10.5</v>
      </c>
      <c r="F59" s="461" t="s">
        <v>77</v>
      </c>
      <c r="G59" s="461"/>
      <c r="H59" s="461"/>
      <c r="I59" s="100">
        <f>SUM(I50:I58)</f>
        <v>70192.5</v>
      </c>
      <c r="N59" s="480" t="s">
        <v>16</v>
      </c>
      <c r="O59" s="480"/>
      <c r="P59" s="502">
        <f>SUM(P50:P58)</f>
        <v>0</v>
      </c>
      <c r="Q59" s="502"/>
      <c r="R59" s="480" t="s">
        <v>77</v>
      </c>
      <c r="S59" s="480"/>
      <c r="T59" s="480"/>
      <c r="U59" s="111">
        <f>SUM(U50:U58)</f>
        <v>0</v>
      </c>
    </row>
    <row r="60" spans="1:21" x14ac:dyDescent="0.25">
      <c r="A60" s="462"/>
      <c r="B60" s="462"/>
      <c r="C60" s="462"/>
      <c r="D60" s="462"/>
      <c r="E60" s="462"/>
      <c r="F60" s="462"/>
      <c r="G60" s="462"/>
      <c r="H60" s="462"/>
      <c r="I60" s="462"/>
      <c r="N60" s="484"/>
      <c r="O60" s="484"/>
      <c r="P60" s="484"/>
      <c r="Q60" s="484"/>
      <c r="R60" s="484"/>
      <c r="S60" s="484"/>
      <c r="T60" s="484"/>
      <c r="U60" s="484"/>
    </row>
    <row r="61" spans="1:21" x14ac:dyDescent="0.25">
      <c r="A61" s="463" t="s">
        <v>136</v>
      </c>
      <c r="B61" s="453"/>
      <c r="C61" s="453"/>
      <c r="D61" s="453"/>
      <c r="E61" s="453"/>
      <c r="F61" s="453"/>
      <c r="G61" s="453"/>
      <c r="H61" s="453"/>
      <c r="I61" s="453"/>
      <c r="N61" s="479" t="s">
        <v>88</v>
      </c>
      <c r="O61" s="479"/>
      <c r="P61" s="479"/>
      <c r="Q61" s="479"/>
      <c r="R61" s="479"/>
      <c r="S61" s="479"/>
      <c r="T61" s="479"/>
      <c r="U61" s="479"/>
    </row>
    <row r="62" spans="1:21" x14ac:dyDescent="0.25">
      <c r="A62" s="463" t="s">
        <v>138</v>
      </c>
      <c r="B62" s="453"/>
      <c r="C62" s="121">
        <f>E29</f>
        <v>124</v>
      </c>
      <c r="D62" s="464" t="s">
        <v>135</v>
      </c>
      <c r="E62" s="464"/>
      <c r="F62" s="464"/>
      <c r="G62" s="464"/>
      <c r="H62" s="335">
        <f>'0664'!H62</f>
        <v>193340.76</v>
      </c>
      <c r="I62" s="122"/>
      <c r="N62" s="478" t="s">
        <v>312</v>
      </c>
      <c r="O62" s="479"/>
      <c r="P62" s="43">
        <f>P29</f>
        <v>124</v>
      </c>
      <c r="Q62" s="498" t="s">
        <v>78</v>
      </c>
      <c r="R62" s="498"/>
      <c r="S62" s="498"/>
      <c r="T62" s="497">
        <f>H62</f>
        <v>193340.76</v>
      </c>
      <c r="U62" s="497"/>
    </row>
    <row r="63" spans="1:21" x14ac:dyDescent="0.25">
      <c r="B63" s="72"/>
      <c r="G63" s="44" t="s">
        <v>13</v>
      </c>
      <c r="H63" s="123">
        <f>ROUND(C62/H62,6)</f>
        <v>6.4099999999999997E-4</v>
      </c>
      <c r="I63" s="124"/>
      <c r="N63" s="479" t="s">
        <v>19</v>
      </c>
      <c r="O63" s="479"/>
      <c r="P63" s="479"/>
      <c r="Q63" s="479"/>
      <c r="R63" s="479"/>
      <c r="S63" s="479"/>
      <c r="T63" s="501">
        <f>ROUND(P62/T62,6)</f>
        <v>6.4099999999999997E-4</v>
      </c>
      <c r="U63" s="501"/>
    </row>
    <row r="64" spans="1:21" x14ac:dyDescent="0.25">
      <c r="A64" s="463" t="s">
        <v>137</v>
      </c>
      <c r="B64" s="453"/>
      <c r="C64" s="453"/>
      <c r="D64" s="453"/>
      <c r="E64" s="453"/>
      <c r="F64" s="453"/>
      <c r="G64" s="453"/>
      <c r="H64" s="453"/>
      <c r="I64" s="453"/>
      <c r="N64" s="479" t="s">
        <v>89</v>
      </c>
      <c r="O64" s="479"/>
      <c r="P64" s="479"/>
      <c r="Q64" s="479"/>
      <c r="R64" s="479"/>
      <c r="S64" s="479"/>
      <c r="T64" s="479"/>
      <c r="U64" s="479"/>
    </row>
    <row r="65" spans="1:21" x14ac:dyDescent="0.25">
      <c r="A65" s="463" t="s">
        <v>139</v>
      </c>
      <c r="B65" s="453"/>
      <c r="C65" s="121">
        <f>E45</f>
        <v>541.47050000000002</v>
      </c>
      <c r="D65" s="464" t="s">
        <v>140</v>
      </c>
      <c r="E65" s="464"/>
      <c r="F65" s="464"/>
      <c r="G65" s="464"/>
      <c r="H65" s="336">
        <f>'0664'!H65</f>
        <v>216845.88</v>
      </c>
      <c r="I65" s="125"/>
      <c r="N65" s="479" t="s">
        <v>80</v>
      </c>
      <c r="O65" s="479"/>
      <c r="P65" s="43">
        <f>R45</f>
        <v>124</v>
      </c>
      <c r="Q65" s="498" t="s">
        <v>79</v>
      </c>
      <c r="R65" s="498"/>
      <c r="S65" s="498"/>
      <c r="T65" s="497">
        <f>H65</f>
        <v>216845.88</v>
      </c>
      <c r="U65" s="497"/>
    </row>
    <row r="66" spans="1:21" s="37" customFormat="1" x14ac:dyDescent="0.25">
      <c r="A66" s="126"/>
      <c r="G66" s="45" t="s">
        <v>13</v>
      </c>
      <c r="H66" s="127">
        <f>ROUND(C65/H65,6)</f>
        <v>2.4970000000000001E-3</v>
      </c>
      <c r="I66" s="127"/>
      <c r="N66" s="482" t="s">
        <v>20</v>
      </c>
      <c r="O66" s="482"/>
      <c r="P66" s="482"/>
      <c r="Q66" s="482"/>
      <c r="R66" s="482"/>
      <c r="S66" s="482"/>
      <c r="T66" s="500">
        <f>ROUND(P65/T65,6)</f>
        <v>5.7200000000000003E-4</v>
      </c>
      <c r="U66" s="500"/>
    </row>
    <row r="67" spans="1:21" x14ac:dyDescent="0.25">
      <c r="G67" s="44"/>
      <c r="H67" s="123"/>
      <c r="I67" s="123"/>
      <c r="N67" s="48"/>
      <c r="O67" s="48"/>
      <c r="P67" s="48"/>
      <c r="Q67" s="48"/>
      <c r="R67" s="128"/>
      <c r="S67" s="48"/>
      <c r="T67" s="129"/>
      <c r="U67" s="130"/>
    </row>
    <row r="68" spans="1:21" x14ac:dyDescent="0.25">
      <c r="A68" s="453" t="s">
        <v>85</v>
      </c>
      <c r="B68" s="453"/>
      <c r="C68" s="453"/>
      <c r="D68" s="72"/>
      <c r="E68" s="46" t="s">
        <v>3</v>
      </c>
      <c r="F68" s="337">
        <f>'0664'!F68</f>
        <v>42465042</v>
      </c>
      <c r="G68" s="39" t="s">
        <v>6</v>
      </c>
      <c r="H68" s="131">
        <f>H63</f>
        <v>6.4099999999999997E-4</v>
      </c>
      <c r="I68" s="104">
        <f>ROUND(F68*H68,2)</f>
        <v>27220.09</v>
      </c>
      <c r="N68" s="479" t="s">
        <v>85</v>
      </c>
      <c r="O68" s="479"/>
      <c r="P68" s="479"/>
      <c r="Q68" s="47"/>
      <c r="R68" s="132">
        <f>F68</f>
        <v>42465042</v>
      </c>
      <c r="S68" s="40" t="s">
        <v>6</v>
      </c>
      <c r="T68" s="133">
        <f>T63</f>
        <v>6.4099999999999997E-4</v>
      </c>
      <c r="U68" s="99">
        <f>ROUND(R68*T68,0)</f>
        <v>27220</v>
      </c>
    </row>
    <row r="69" spans="1:21" x14ac:dyDescent="0.25">
      <c r="A69" s="458" t="s">
        <v>96</v>
      </c>
      <c r="B69" s="453"/>
      <c r="C69" s="453"/>
      <c r="D69" s="72"/>
      <c r="E69" s="46"/>
      <c r="F69" s="136"/>
      <c r="G69" s="39"/>
      <c r="H69" s="131"/>
      <c r="I69" s="104"/>
      <c r="N69" s="479" t="s">
        <v>84</v>
      </c>
      <c r="O69" s="479"/>
      <c r="P69" s="479"/>
      <c r="Q69" s="54"/>
      <c r="R69" s="54"/>
      <c r="S69" s="54"/>
      <c r="T69" s="54"/>
      <c r="U69" s="54"/>
    </row>
    <row r="70" spans="1:21" x14ac:dyDescent="0.25">
      <c r="A70" s="465" t="s">
        <v>141</v>
      </c>
      <c r="B70" s="453"/>
      <c r="C70" s="453"/>
      <c r="D70" s="72"/>
      <c r="E70" s="46" t="s">
        <v>3</v>
      </c>
      <c r="F70" s="337">
        <f>'0664'!F70</f>
        <v>0</v>
      </c>
      <c r="G70" s="39" t="s">
        <v>6</v>
      </c>
      <c r="H70" s="131">
        <f>H63</f>
        <v>6.4099999999999997E-4</v>
      </c>
      <c r="I70" s="104">
        <f>ROUND(F70*H70,2)</f>
        <v>0</v>
      </c>
      <c r="N70" s="48"/>
      <c r="O70" s="48"/>
      <c r="P70" s="48"/>
      <c r="Q70" s="47"/>
      <c r="R70" s="132">
        <f>F70</f>
        <v>0</v>
      </c>
      <c r="S70" s="40" t="s">
        <v>6</v>
      </c>
      <c r="T70" s="133">
        <f>T63</f>
        <v>6.4099999999999997E-4</v>
      </c>
      <c r="U70" s="99">
        <f>ROUND(R70*T70,0)</f>
        <v>0</v>
      </c>
    </row>
    <row r="71" spans="1:21" x14ac:dyDescent="0.25">
      <c r="A71" s="463" t="s">
        <v>433</v>
      </c>
      <c r="B71" s="453"/>
      <c r="C71" s="453"/>
      <c r="D71" s="72"/>
      <c r="E71" s="46" t="s">
        <v>3</v>
      </c>
      <c r="F71" s="337">
        <f>'0664'!F71</f>
        <v>13414654</v>
      </c>
      <c r="G71" s="39" t="s">
        <v>6</v>
      </c>
      <c r="H71" s="131">
        <f>H63</f>
        <v>6.4099999999999997E-4</v>
      </c>
      <c r="I71" s="104">
        <f>ROUND(F71*H71,2)</f>
        <v>8598.7900000000009</v>
      </c>
      <c r="N71" s="479" t="s">
        <v>83</v>
      </c>
      <c r="O71" s="479"/>
      <c r="P71" s="479"/>
      <c r="Q71" s="47"/>
      <c r="R71" s="132">
        <f>F71</f>
        <v>13414654</v>
      </c>
      <c r="S71" s="40" t="s">
        <v>6</v>
      </c>
      <c r="T71" s="133">
        <f>T63</f>
        <v>6.4099999999999997E-4</v>
      </c>
      <c r="U71" s="99">
        <f>ROUND(R71*T71,0)</f>
        <v>8599</v>
      </c>
    </row>
    <row r="72" spans="1:21" x14ac:dyDescent="0.25">
      <c r="A72" s="463" t="s">
        <v>434</v>
      </c>
      <c r="B72" s="453"/>
      <c r="C72" s="453"/>
      <c r="D72" s="72"/>
      <c r="E72" s="46" t="s">
        <v>3</v>
      </c>
      <c r="F72" s="337">
        <f>'0664'!F72</f>
        <v>14708421</v>
      </c>
      <c r="G72" s="39" t="s">
        <v>6</v>
      </c>
      <c r="H72" s="131">
        <f>H63</f>
        <v>6.4099999999999997E-4</v>
      </c>
      <c r="I72" s="104">
        <f>ROUND(F72*H72,2)</f>
        <v>9428.1</v>
      </c>
      <c r="N72" s="479" t="s">
        <v>82</v>
      </c>
      <c r="O72" s="479"/>
      <c r="P72" s="479"/>
      <c r="Q72" s="47"/>
      <c r="R72" s="134">
        <f>F72</f>
        <v>14708421</v>
      </c>
      <c r="S72" s="40" t="s">
        <v>6</v>
      </c>
      <c r="T72" s="133">
        <f>T63</f>
        <v>6.4099999999999997E-4</v>
      </c>
      <c r="U72" s="99">
        <f>ROUND(R72*T72,0)</f>
        <v>9428</v>
      </c>
    </row>
    <row r="73" spans="1:21" x14ac:dyDescent="0.25">
      <c r="A73" s="263" t="s">
        <v>99</v>
      </c>
      <c r="D73" s="72"/>
      <c r="E73" s="41" t="s">
        <v>353</v>
      </c>
      <c r="F73" s="466"/>
      <c r="G73" s="466"/>
      <c r="H73" s="466"/>
      <c r="I73" s="104">
        <v>0</v>
      </c>
      <c r="N73" s="499" t="s">
        <v>118</v>
      </c>
      <c r="O73" s="499"/>
      <c r="P73" s="499"/>
      <c r="Q73" s="499"/>
      <c r="R73" s="499"/>
      <c r="S73" s="499"/>
      <c r="T73" s="499"/>
      <c r="U73" s="99">
        <f>IF($H$120=1,I73,0)</f>
        <v>0</v>
      </c>
    </row>
    <row r="74" spans="1:21" x14ac:dyDescent="0.25">
      <c r="A74" s="264" t="s">
        <v>142</v>
      </c>
      <c r="I74" s="104"/>
      <c r="N74" s="499" t="s">
        <v>43</v>
      </c>
      <c r="O74" s="499"/>
      <c r="P74" s="499"/>
      <c r="Q74" s="499"/>
      <c r="R74" s="499"/>
      <c r="S74" s="499"/>
      <c r="T74" s="499"/>
      <c r="U74" s="99">
        <f>IF($H$120=1,I74,0)</f>
        <v>0</v>
      </c>
    </row>
    <row r="75" spans="1:21" x14ac:dyDescent="0.25">
      <c r="A75" s="324" t="s">
        <v>101</v>
      </c>
      <c r="B75" s="72"/>
      <c r="C75" s="72"/>
      <c r="D75" s="72"/>
      <c r="E75" s="72"/>
      <c r="F75" s="72"/>
      <c r="G75" s="72"/>
      <c r="H75" s="72"/>
      <c r="I75" s="135"/>
      <c r="N75" s="382" t="s">
        <v>44</v>
      </c>
      <c r="O75" s="48"/>
      <c r="P75" s="48"/>
      <c r="Q75" s="48"/>
      <c r="R75" s="48"/>
      <c r="S75" s="48"/>
      <c r="T75" s="48"/>
      <c r="U75" s="106"/>
    </row>
    <row r="76" spans="1:21" x14ac:dyDescent="0.25">
      <c r="A76" s="463" t="s">
        <v>435</v>
      </c>
      <c r="B76" s="453"/>
      <c r="C76" s="453"/>
      <c r="D76" s="72"/>
      <c r="E76" s="46" t="s">
        <v>3</v>
      </c>
      <c r="F76" s="337">
        <f>'0664'!F76</f>
        <v>8720092</v>
      </c>
      <c r="G76" s="39" t="s">
        <v>6</v>
      </c>
      <c r="H76" s="131">
        <f>H63</f>
        <v>6.4099999999999997E-4</v>
      </c>
      <c r="I76" s="104">
        <f t="shared" ref="I76:I85" si="14">ROUND(F76*H76,2)</f>
        <v>5589.58</v>
      </c>
      <c r="N76" s="478" t="s">
        <v>366</v>
      </c>
      <c r="O76" s="479"/>
      <c r="P76" s="479"/>
      <c r="Q76" s="47"/>
      <c r="R76" s="134">
        <f t="shared" ref="R76:R85" si="15">F76</f>
        <v>8720092</v>
      </c>
      <c r="S76" s="40" t="s">
        <v>6</v>
      </c>
      <c r="T76" s="133">
        <f>T63</f>
        <v>6.4099999999999997E-4</v>
      </c>
      <c r="U76" s="99">
        <f t="shared" ref="U76:U85" si="16">ROUND(R76*T76,0)</f>
        <v>5590</v>
      </c>
    </row>
    <row r="77" spans="1:21" x14ac:dyDescent="0.25">
      <c r="A77" s="463" t="s">
        <v>436</v>
      </c>
      <c r="B77" s="453"/>
      <c r="C77" s="453"/>
      <c r="D77" s="72"/>
      <c r="E77" s="46" t="s">
        <v>3</v>
      </c>
      <c r="F77" s="337">
        <f>'0664'!F77</f>
        <v>0</v>
      </c>
      <c r="G77" s="39" t="s">
        <v>6</v>
      </c>
      <c r="H77" s="131">
        <f>H63</f>
        <v>6.4099999999999997E-4</v>
      </c>
      <c r="I77" s="104">
        <f t="shared" si="14"/>
        <v>0</v>
      </c>
      <c r="N77" s="479" t="s">
        <v>367</v>
      </c>
      <c r="O77" s="479"/>
      <c r="P77" s="479"/>
      <c r="Q77" s="47"/>
      <c r="R77" s="134">
        <f t="shared" si="15"/>
        <v>0</v>
      </c>
      <c r="S77" s="40" t="s">
        <v>6</v>
      </c>
      <c r="T77" s="133">
        <f>T63</f>
        <v>6.4099999999999997E-4</v>
      </c>
      <c r="U77" s="99">
        <f t="shared" si="16"/>
        <v>0</v>
      </c>
    </row>
    <row r="78" spans="1:21" x14ac:dyDescent="0.25">
      <c r="A78" s="463" t="s">
        <v>437</v>
      </c>
      <c r="B78" s="453"/>
      <c r="C78" s="453"/>
      <c r="D78" s="72"/>
      <c r="E78" s="46" t="s">
        <v>4</v>
      </c>
      <c r="F78" s="337">
        <f>'0664'!F78</f>
        <v>0</v>
      </c>
      <c r="G78" s="39" t="s">
        <v>6</v>
      </c>
      <c r="H78" s="131">
        <f>H66</f>
        <v>2.4970000000000001E-3</v>
      </c>
      <c r="I78" s="104">
        <f t="shared" si="14"/>
        <v>0</v>
      </c>
      <c r="N78" s="478" t="s">
        <v>392</v>
      </c>
      <c r="O78" s="479"/>
      <c r="P78" s="479"/>
      <c r="Q78" s="47"/>
      <c r="R78" s="134">
        <f t="shared" si="15"/>
        <v>0</v>
      </c>
      <c r="S78" s="40" t="s">
        <v>6</v>
      </c>
      <c r="T78" s="133">
        <f>T66</f>
        <v>5.7200000000000003E-4</v>
      </c>
      <c r="U78" s="99">
        <f t="shared" si="16"/>
        <v>0</v>
      </c>
    </row>
    <row r="79" spans="1:21" x14ac:dyDescent="0.25">
      <c r="A79" s="463" t="s">
        <v>438</v>
      </c>
      <c r="B79" s="453"/>
      <c r="C79" s="453"/>
      <c r="D79" s="72"/>
      <c r="E79" s="46" t="s">
        <v>4</v>
      </c>
      <c r="F79" s="337">
        <f>'0664'!F79</f>
        <v>11278687</v>
      </c>
      <c r="G79" s="39" t="s">
        <v>6</v>
      </c>
      <c r="H79" s="131">
        <f>H66</f>
        <v>2.4970000000000001E-3</v>
      </c>
      <c r="I79" s="104">
        <f t="shared" si="14"/>
        <v>28162.880000000001</v>
      </c>
      <c r="N79" s="478" t="s">
        <v>393</v>
      </c>
      <c r="O79" s="479"/>
      <c r="P79" s="479"/>
      <c r="Q79" s="47"/>
      <c r="R79" s="134">
        <f t="shared" si="15"/>
        <v>11278687</v>
      </c>
      <c r="S79" s="40" t="s">
        <v>6</v>
      </c>
      <c r="T79" s="133">
        <f>T66</f>
        <v>5.7200000000000003E-4</v>
      </c>
      <c r="U79" s="99">
        <f t="shared" si="16"/>
        <v>6451</v>
      </c>
    </row>
    <row r="80" spans="1:21" x14ac:dyDescent="0.25">
      <c r="A80" s="463" t="s">
        <v>439</v>
      </c>
      <c r="B80" s="453"/>
      <c r="C80" s="453"/>
      <c r="D80" s="72"/>
      <c r="E80" s="46" t="s">
        <v>4</v>
      </c>
      <c r="F80" s="337">
        <f>'0664'!F80</f>
        <v>206284749</v>
      </c>
      <c r="G80" s="39" t="s">
        <v>6</v>
      </c>
      <c r="H80" s="131">
        <f>H66</f>
        <v>2.4970000000000001E-3</v>
      </c>
      <c r="I80" s="104">
        <f t="shared" si="14"/>
        <v>515093.02</v>
      </c>
      <c r="N80" s="478" t="s">
        <v>397</v>
      </c>
      <c r="O80" s="479"/>
      <c r="P80" s="479"/>
      <c r="Q80" s="47"/>
      <c r="R80" s="134">
        <f t="shared" si="15"/>
        <v>206284749</v>
      </c>
      <c r="S80" s="40" t="s">
        <v>6</v>
      </c>
      <c r="T80" s="133">
        <f>T66</f>
        <v>5.7200000000000003E-4</v>
      </c>
      <c r="U80" s="99">
        <f t="shared" si="16"/>
        <v>117995</v>
      </c>
    </row>
    <row r="81" spans="1:21" x14ac:dyDescent="0.25">
      <c r="A81" s="84" t="s">
        <v>440</v>
      </c>
      <c r="B81" s="72"/>
      <c r="C81" s="72"/>
      <c r="D81" s="72"/>
      <c r="E81" s="46"/>
      <c r="F81" s="337"/>
      <c r="G81" s="39"/>
      <c r="H81" s="131"/>
      <c r="I81" s="104"/>
      <c r="N81" s="419" t="s">
        <v>440</v>
      </c>
      <c r="O81" s="48"/>
      <c r="P81" s="48"/>
      <c r="Q81" s="47"/>
      <c r="R81" s="423"/>
      <c r="S81" s="40"/>
      <c r="T81" s="133"/>
      <c r="U81" s="120"/>
    </row>
    <row r="82" spans="1:21" x14ac:dyDescent="0.25">
      <c r="A82" s="264" t="s">
        <v>441</v>
      </c>
      <c r="B82" s="72"/>
      <c r="C82" s="72"/>
      <c r="D82" s="72"/>
      <c r="E82" s="46" t="s">
        <v>442</v>
      </c>
      <c r="F82" s="337">
        <f>'0664'!F82</f>
        <v>0</v>
      </c>
      <c r="G82" s="39" t="s">
        <v>6</v>
      </c>
      <c r="H82" s="131">
        <f>H66</f>
        <v>2.4970000000000001E-3</v>
      </c>
      <c r="I82" s="104">
        <v>88931.7</v>
      </c>
      <c r="N82" s="422" t="s">
        <v>441</v>
      </c>
      <c r="O82" s="48"/>
      <c r="P82" s="48"/>
      <c r="Q82" s="47"/>
      <c r="R82" s="134">
        <f t="shared" si="15"/>
        <v>0</v>
      </c>
      <c r="S82" s="40"/>
      <c r="T82" s="133"/>
      <c r="U82" s="99">
        <f t="shared" si="16"/>
        <v>0</v>
      </c>
    </row>
    <row r="83" spans="1:21" x14ac:dyDescent="0.25">
      <c r="A83" s="264" t="s">
        <v>443</v>
      </c>
      <c r="B83" s="72"/>
      <c r="C83" s="72"/>
      <c r="D83" s="72"/>
      <c r="E83" s="46" t="s">
        <v>442</v>
      </c>
      <c r="F83" s="337">
        <f>'0664'!F83</f>
        <v>0</v>
      </c>
      <c r="G83" s="39" t="s">
        <v>6</v>
      </c>
      <c r="H83" s="131">
        <f>H66</f>
        <v>2.4970000000000001E-3</v>
      </c>
      <c r="I83" s="104">
        <v>40423.5</v>
      </c>
      <c r="N83" s="422" t="s">
        <v>443</v>
      </c>
      <c r="O83" s="48"/>
      <c r="P83" s="48"/>
      <c r="Q83" s="47"/>
      <c r="R83" s="134">
        <f t="shared" si="15"/>
        <v>0</v>
      </c>
      <c r="S83" s="40"/>
      <c r="T83" s="133"/>
      <c r="U83" s="99">
        <f t="shared" si="16"/>
        <v>0</v>
      </c>
    </row>
    <row r="84" spans="1:21" x14ac:dyDescent="0.25">
      <c r="A84" s="420" t="s">
        <v>444</v>
      </c>
      <c r="B84" s="72"/>
      <c r="C84" s="72"/>
      <c r="D84" s="72"/>
      <c r="E84" s="46"/>
      <c r="F84" s="337"/>
      <c r="G84" s="39"/>
      <c r="H84" s="131"/>
      <c r="I84" s="104">
        <f>I82+I83</f>
        <v>129355.2</v>
      </c>
      <c r="N84" s="421" t="s">
        <v>444</v>
      </c>
      <c r="O84" s="48"/>
      <c r="P84" s="48"/>
      <c r="Q84" s="47"/>
      <c r="R84" s="423"/>
      <c r="S84" s="40"/>
      <c r="T84" s="133"/>
      <c r="U84" s="99">
        <f>U82+U83</f>
        <v>0</v>
      </c>
    </row>
    <row r="85" spans="1:21" x14ac:dyDescent="0.25">
      <c r="A85" s="463" t="s">
        <v>398</v>
      </c>
      <c r="B85" s="453"/>
      <c r="C85" s="453"/>
      <c r="D85" s="72"/>
      <c r="E85" s="46" t="s">
        <v>4</v>
      </c>
      <c r="F85" s="337">
        <f>'0664'!F85</f>
        <v>0</v>
      </c>
      <c r="G85" s="39" t="s">
        <v>6</v>
      </c>
      <c r="H85" s="131">
        <f>H66</f>
        <v>2.4970000000000001E-3</v>
      </c>
      <c r="I85" s="104">
        <f t="shared" si="14"/>
        <v>0</v>
      </c>
      <c r="N85" s="478" t="s">
        <v>398</v>
      </c>
      <c r="O85" s="479"/>
      <c r="P85" s="479"/>
      <c r="Q85" s="47"/>
      <c r="R85" s="132">
        <f t="shared" si="15"/>
        <v>0</v>
      </c>
      <c r="S85" s="40" t="s">
        <v>6</v>
      </c>
      <c r="T85" s="133">
        <f>T66</f>
        <v>5.7200000000000003E-4</v>
      </c>
      <c r="U85" s="99">
        <f t="shared" si="16"/>
        <v>0</v>
      </c>
    </row>
    <row r="86" spans="1:21" x14ac:dyDescent="0.25">
      <c r="B86" s="72"/>
      <c r="C86" s="72"/>
      <c r="D86" s="72"/>
      <c r="E86" s="46"/>
      <c r="F86" s="136"/>
      <c r="G86" s="39"/>
      <c r="H86" s="131"/>
      <c r="I86" s="104"/>
      <c r="N86" s="48"/>
      <c r="O86" s="48"/>
      <c r="P86" s="48"/>
      <c r="Q86" s="47"/>
      <c r="R86" s="137"/>
      <c r="S86" s="40"/>
      <c r="T86" s="133"/>
      <c r="U86" s="106"/>
    </row>
    <row r="87" spans="1:21" x14ac:dyDescent="0.25">
      <c r="A87" s="463" t="s">
        <v>445</v>
      </c>
      <c r="B87" s="453"/>
      <c r="C87" s="453"/>
      <c r="D87" s="453"/>
      <c r="E87" s="453"/>
      <c r="F87" s="453"/>
      <c r="G87" s="453"/>
      <c r="H87" s="453"/>
      <c r="I87" s="453"/>
      <c r="N87" s="478" t="s">
        <v>429</v>
      </c>
      <c r="O87" s="479"/>
      <c r="P87" s="479"/>
      <c r="Q87" s="479"/>
      <c r="R87" s="479"/>
      <c r="S87" s="479"/>
      <c r="T87" s="479"/>
      <c r="U87" s="479"/>
    </row>
    <row r="88" spans="1:21" x14ac:dyDescent="0.25">
      <c r="B88" s="72"/>
      <c r="C88" s="466" t="s">
        <v>73</v>
      </c>
      <c r="D88" s="466"/>
      <c r="E88" s="72"/>
      <c r="F88" s="41" t="s">
        <v>37</v>
      </c>
      <c r="G88" s="72"/>
      <c r="H88" s="72"/>
      <c r="I88" s="72"/>
      <c r="N88" s="48"/>
      <c r="O88" s="48"/>
      <c r="P88" s="48"/>
      <c r="Q88" s="48"/>
      <c r="R88" s="48"/>
      <c r="S88" s="48"/>
      <c r="T88" s="48"/>
      <c r="U88" s="48"/>
    </row>
    <row r="89" spans="1:21" x14ac:dyDescent="0.25">
      <c r="A89" s="3"/>
      <c r="B89" s="138"/>
      <c r="C89" s="462" t="s">
        <v>144</v>
      </c>
      <c r="D89" s="462"/>
      <c r="E89" s="139" t="s">
        <v>150</v>
      </c>
      <c r="F89" s="140" t="s">
        <v>149</v>
      </c>
      <c r="G89" s="141"/>
      <c r="H89" s="141"/>
      <c r="I89" s="141"/>
      <c r="N89" s="495" t="s">
        <v>46</v>
      </c>
      <c r="O89" s="495"/>
      <c r="P89" s="496" t="s">
        <v>119</v>
      </c>
      <c r="Q89" s="496"/>
      <c r="R89" s="497" t="s">
        <v>40</v>
      </c>
      <c r="S89" s="497"/>
      <c r="T89" s="497"/>
      <c r="U89" s="497"/>
    </row>
    <row r="90" spans="1:21" x14ac:dyDescent="0.25">
      <c r="A90" s="27"/>
      <c r="B90" s="55" t="s">
        <v>148</v>
      </c>
      <c r="C90" s="467">
        <f>H13+H14+H19+H22+H25</f>
        <v>0</v>
      </c>
      <c r="D90" s="467"/>
      <c r="E90" s="49">
        <f>H8</f>
        <v>1.0438000000000001</v>
      </c>
      <c r="F90" s="338">
        <f>'0664'!F90</f>
        <v>957.94</v>
      </c>
      <c r="G90" s="41" t="s">
        <v>13</v>
      </c>
      <c r="H90" s="104">
        <f>ROUND(C90*E90*F90,2)</f>
        <v>0</v>
      </c>
      <c r="I90" s="107"/>
      <c r="N90" s="29" t="s">
        <v>22</v>
      </c>
      <c r="O90" s="50">
        <f>T13+T14+T19+T22+T25</f>
        <v>0</v>
      </c>
      <c r="P90" s="490">
        <f>T8</f>
        <v>1.0438000000000001</v>
      </c>
      <c r="Q90" s="490"/>
      <c r="R90" s="51">
        <f>F90</f>
        <v>957.94</v>
      </c>
      <c r="S90" s="42" t="s">
        <v>13</v>
      </c>
      <c r="T90" s="134">
        <f>ROUND(O90*P90*R90,0)</f>
        <v>0</v>
      </c>
      <c r="U90" s="105"/>
    </row>
    <row r="91" spans="1:21" x14ac:dyDescent="0.25">
      <c r="A91" s="52"/>
      <c r="B91" s="52" t="s">
        <v>147</v>
      </c>
      <c r="C91" s="467">
        <f>H15+H16+H20+H23+H26</f>
        <v>0</v>
      </c>
      <c r="D91" s="467"/>
      <c r="E91" s="49">
        <f>H8</f>
        <v>1.0438000000000001</v>
      </c>
      <c r="F91" s="338">
        <f>'0664'!F91</f>
        <v>914.63</v>
      </c>
      <c r="G91" s="41" t="s">
        <v>13</v>
      </c>
      <c r="H91" s="104">
        <f>ROUND(C91*E91*F91,2)</f>
        <v>0</v>
      </c>
      <c r="N91" s="53" t="s">
        <v>14</v>
      </c>
      <c r="O91" s="50">
        <f>T15+T16+T20+T23+T26</f>
        <v>0</v>
      </c>
      <c r="P91" s="490">
        <f>T8</f>
        <v>1.0438000000000001</v>
      </c>
      <c r="Q91" s="490"/>
      <c r="R91" s="51">
        <f>F91</f>
        <v>914.63</v>
      </c>
      <c r="S91" s="42" t="s">
        <v>13</v>
      </c>
      <c r="T91" s="134">
        <f>ROUND(O91*P91*R91,0)</f>
        <v>0</v>
      </c>
      <c r="U91" s="54"/>
    </row>
    <row r="92" spans="1:21" ht="16.5" thickBot="1" x14ac:dyDescent="0.3">
      <c r="A92" s="55"/>
      <c r="B92" s="55" t="s">
        <v>146</v>
      </c>
      <c r="C92" s="467">
        <f>H17+H18+H21+H24+H27+H28</f>
        <v>541.47050000000002</v>
      </c>
      <c r="D92" s="467"/>
      <c r="E92" s="49">
        <f>H8</f>
        <v>1.0438000000000001</v>
      </c>
      <c r="F92" s="338">
        <f>'0664'!F92</f>
        <v>916.84</v>
      </c>
      <c r="G92" s="41" t="s">
        <v>13</v>
      </c>
      <c r="H92" s="97">
        <f>ROUND(C92*E92*F92,2)</f>
        <v>518185.96</v>
      </c>
      <c r="N92" s="56" t="s">
        <v>15</v>
      </c>
      <c r="O92" s="57">
        <f>T17+T18+T21+T24+T27+T28</f>
        <v>124</v>
      </c>
      <c r="P92" s="490">
        <f>T8</f>
        <v>1.0438000000000001</v>
      </c>
      <c r="Q92" s="490"/>
      <c r="R92" s="51">
        <f>F92</f>
        <v>916.84</v>
      </c>
      <c r="S92" s="42" t="s">
        <v>13</v>
      </c>
      <c r="T92" s="134">
        <f>ROUND(O92*P92*R92,0)</f>
        <v>118668</v>
      </c>
      <c r="U92" s="54"/>
    </row>
    <row r="93" spans="1:21" ht="16.5" thickBot="1" x14ac:dyDescent="0.3">
      <c r="A93" s="58"/>
      <c r="B93" s="142" t="s">
        <v>145</v>
      </c>
      <c r="C93" s="469">
        <f>SUM(C90:C92)</f>
        <v>541.47050000000002</v>
      </c>
      <c r="D93" s="469"/>
      <c r="E93" s="143"/>
      <c r="F93" s="143"/>
      <c r="G93" s="143"/>
      <c r="H93" s="144" t="s">
        <v>143</v>
      </c>
      <c r="I93" s="104">
        <f>IF(A1=75,0,H92+H91+H90)</f>
        <v>518185.96</v>
      </c>
      <c r="N93" s="59" t="s">
        <v>120</v>
      </c>
      <c r="O93" s="60">
        <f>SUM(O90:O92)</f>
        <v>124</v>
      </c>
      <c r="P93" s="491" t="s">
        <v>18</v>
      </c>
      <c r="Q93" s="492"/>
      <c r="R93" s="492"/>
      <c r="S93" s="492"/>
      <c r="T93" s="492"/>
      <c r="U93" s="99">
        <f>IF(N1=75,0,T92+T91+T90)</f>
        <v>118668</v>
      </c>
    </row>
    <row r="94" spans="1:21" ht="16.5" thickTop="1" x14ac:dyDescent="0.25">
      <c r="A94" s="540" t="s">
        <v>90</v>
      </c>
      <c r="B94" s="540"/>
      <c r="C94" s="540"/>
      <c r="D94" s="540"/>
      <c r="E94" s="540"/>
      <c r="F94" s="540"/>
      <c r="G94" s="540"/>
      <c r="H94" s="540"/>
      <c r="I94" s="540"/>
      <c r="N94" s="493" t="s">
        <v>90</v>
      </c>
      <c r="O94" s="493"/>
      <c r="P94" s="493"/>
      <c r="Q94" s="493"/>
      <c r="R94" s="493"/>
      <c r="S94" s="493"/>
      <c r="T94" s="493"/>
      <c r="U94" s="493"/>
    </row>
    <row r="95" spans="1:21" x14ac:dyDescent="0.25">
      <c r="A95" s="145"/>
      <c r="B95" s="145"/>
      <c r="C95" s="145"/>
      <c r="D95" s="145"/>
      <c r="E95" s="145"/>
      <c r="F95" s="145"/>
      <c r="G95" s="145"/>
      <c r="H95" s="145"/>
      <c r="I95" s="145"/>
      <c r="N95" s="146"/>
      <c r="O95" s="146"/>
      <c r="P95" s="146"/>
      <c r="Q95" s="146"/>
      <c r="R95" s="146"/>
      <c r="S95" s="146"/>
      <c r="T95" s="146"/>
      <c r="U95" s="146"/>
    </row>
    <row r="96" spans="1:21" x14ac:dyDescent="0.25">
      <c r="A96" s="84" t="s">
        <v>446</v>
      </c>
      <c r="C96" s="46"/>
      <c r="D96" s="72"/>
      <c r="E96" s="46" t="s">
        <v>100</v>
      </c>
      <c r="F96" s="471"/>
      <c r="G96" s="471"/>
      <c r="H96" s="471"/>
      <c r="I96" s="471"/>
      <c r="N96" s="478" t="s">
        <v>426</v>
      </c>
      <c r="O96" s="479"/>
      <c r="P96" s="479"/>
      <c r="Q96" s="494"/>
      <c r="R96" s="494"/>
      <c r="S96" s="494"/>
      <c r="T96" s="494"/>
      <c r="U96" s="106"/>
    </row>
    <row r="97" spans="1:21" x14ac:dyDescent="0.25">
      <c r="B97" s="72"/>
      <c r="C97" s="91" t="s">
        <v>409</v>
      </c>
      <c r="D97" s="371" t="s">
        <v>410</v>
      </c>
      <c r="E97" s="92" t="s">
        <v>151</v>
      </c>
      <c r="F97" s="46"/>
      <c r="G97" s="46"/>
      <c r="H97" s="46"/>
      <c r="I97" s="46"/>
      <c r="N97" s="48"/>
      <c r="O97" s="48"/>
      <c r="P97" s="48"/>
      <c r="Q97" s="147"/>
      <c r="R97" s="147"/>
      <c r="S97" s="147"/>
      <c r="T97" s="147"/>
      <c r="U97" s="106"/>
    </row>
    <row r="98" spans="1:21" x14ac:dyDescent="0.25">
      <c r="B98" s="72"/>
      <c r="C98" s="362" t="s">
        <v>2</v>
      </c>
      <c r="D98" s="362" t="s">
        <v>2</v>
      </c>
      <c r="E98" s="362" t="s">
        <v>2</v>
      </c>
      <c r="F98" s="46"/>
      <c r="G98" s="46"/>
      <c r="H98" s="46"/>
      <c r="I98" s="46"/>
      <c r="N98" s="48"/>
      <c r="O98" s="48"/>
      <c r="P98" s="48"/>
      <c r="Q98" s="147"/>
      <c r="R98" s="147"/>
      <c r="S98" s="147"/>
      <c r="T98" s="147"/>
      <c r="U98" s="106"/>
    </row>
    <row r="99" spans="1:21" x14ac:dyDescent="0.25">
      <c r="A99" s="536" t="s">
        <v>470</v>
      </c>
      <c r="B99" s="461"/>
      <c r="C99" s="165">
        <v>0</v>
      </c>
      <c r="D99" s="165">
        <v>0</v>
      </c>
      <c r="E99" s="125">
        <f>C99</f>
        <v>0</v>
      </c>
      <c r="F99" s="148" t="s">
        <v>39</v>
      </c>
      <c r="G99" s="339">
        <f>'0664'!G99</f>
        <v>558</v>
      </c>
      <c r="I99" s="104">
        <f>ROUND(G99*E99,2)</f>
        <v>0</v>
      </c>
      <c r="N99" s="488" t="s">
        <v>65</v>
      </c>
      <c r="O99" s="488"/>
      <c r="P99" s="489">
        <f>IF(H120=1,E99,0)</f>
        <v>0</v>
      </c>
      <c r="Q99" s="489"/>
      <c r="R99" s="489"/>
      <c r="S99" s="86" t="s">
        <v>39</v>
      </c>
      <c r="T99" s="61">
        <f>G99</f>
        <v>558</v>
      </c>
      <c r="U99" s="99">
        <f>ROUND(T99*P99,0)</f>
        <v>0</v>
      </c>
    </row>
    <row r="100" spans="1:21" x14ac:dyDescent="0.25">
      <c r="A100" s="536" t="s">
        <v>471</v>
      </c>
      <c r="B100" s="461"/>
      <c r="C100" s="165">
        <v>0</v>
      </c>
      <c r="D100" s="165">
        <v>0</v>
      </c>
      <c r="E100" s="125">
        <f>C100</f>
        <v>0</v>
      </c>
      <c r="F100" s="148" t="s">
        <v>39</v>
      </c>
      <c r="G100" s="339">
        <f>'0664'!G100</f>
        <v>1707</v>
      </c>
      <c r="I100" s="104">
        <f>ROUND(G100*E100,2)</f>
        <v>0</v>
      </c>
      <c r="N100" s="488" t="s">
        <v>81</v>
      </c>
      <c r="O100" s="488"/>
      <c r="P100" s="483"/>
      <c r="Q100" s="483"/>
      <c r="R100" s="483"/>
      <c r="S100" s="86" t="s">
        <v>39</v>
      </c>
      <c r="T100" s="61">
        <f>G100</f>
        <v>1707</v>
      </c>
      <c r="U100" s="99">
        <f>ROUND(T100*P100,0)</f>
        <v>0</v>
      </c>
    </row>
    <row r="101" spans="1:21" x14ac:dyDescent="0.25">
      <c r="A101" s="149"/>
      <c r="B101" s="149"/>
      <c r="C101" s="68"/>
      <c r="D101" s="68"/>
      <c r="E101" s="68"/>
      <c r="F101" s="68"/>
      <c r="G101" s="150"/>
      <c r="H101" s="151"/>
      <c r="I101" s="104"/>
      <c r="N101" s="152"/>
      <c r="O101" s="152"/>
      <c r="P101" s="153"/>
      <c r="Q101" s="153"/>
      <c r="R101" s="153"/>
      <c r="S101" s="86"/>
      <c r="T101" s="61"/>
      <c r="U101" s="106"/>
    </row>
    <row r="102" spans="1:21" x14ac:dyDescent="0.25">
      <c r="A102" s="149"/>
      <c r="B102" s="149"/>
      <c r="C102" s="68"/>
      <c r="D102" s="68"/>
      <c r="E102" s="68"/>
      <c r="F102" s="68"/>
      <c r="G102" s="150"/>
      <c r="H102" s="151"/>
      <c r="I102" s="104"/>
      <c r="N102" s="152"/>
      <c r="O102" s="152"/>
      <c r="P102" s="153"/>
      <c r="Q102" s="153"/>
      <c r="R102" s="153"/>
      <c r="S102" s="86"/>
      <c r="T102" s="61"/>
      <c r="U102" s="106"/>
    </row>
    <row r="103" spans="1:21" hidden="1" x14ac:dyDescent="0.25">
      <c r="A103" s="463" t="s">
        <v>447</v>
      </c>
      <c r="B103" s="453"/>
      <c r="C103" s="453"/>
      <c r="D103" s="72"/>
      <c r="E103" s="41" t="s">
        <v>41</v>
      </c>
      <c r="F103" s="466"/>
      <c r="G103" s="466"/>
      <c r="H103" s="466"/>
      <c r="I103" s="466"/>
      <c r="N103" s="478" t="s">
        <v>362</v>
      </c>
      <c r="O103" s="479"/>
      <c r="P103" s="479"/>
      <c r="Q103" s="479"/>
      <c r="R103" s="479"/>
      <c r="S103" s="479"/>
      <c r="T103" s="479"/>
      <c r="U103" s="479"/>
    </row>
    <row r="104" spans="1:21" hidden="1" x14ac:dyDescent="0.25">
      <c r="B104" s="72"/>
      <c r="C104" s="462" t="s">
        <v>91</v>
      </c>
      <c r="D104" s="462"/>
      <c r="E104" s="462"/>
      <c r="F104" s="39"/>
      <c r="G104" s="39"/>
      <c r="H104" s="41" t="s">
        <v>152</v>
      </c>
      <c r="I104" s="39"/>
      <c r="N104" s="48"/>
      <c r="O104" s="48"/>
      <c r="P104" s="48"/>
      <c r="Q104" s="48"/>
      <c r="R104" s="48"/>
      <c r="S104" s="48"/>
      <c r="T104" s="48"/>
      <c r="U104" s="48"/>
    </row>
    <row r="105" spans="1:21" hidden="1" x14ac:dyDescent="0.25">
      <c r="B105" s="72"/>
      <c r="C105" s="91" t="s">
        <v>371</v>
      </c>
      <c r="D105" s="91" t="s">
        <v>351</v>
      </c>
      <c r="E105" s="159" t="s">
        <v>8</v>
      </c>
      <c r="F105" s="464" t="s">
        <v>153</v>
      </c>
      <c r="G105" s="466"/>
      <c r="H105" s="39" t="s">
        <v>38</v>
      </c>
      <c r="I105" s="39"/>
      <c r="N105" s="48"/>
      <c r="O105" s="48"/>
      <c r="P105" s="48"/>
      <c r="Q105" s="48"/>
      <c r="R105" s="48"/>
      <c r="S105" s="48"/>
      <c r="T105" s="48"/>
      <c r="U105" s="48"/>
    </row>
    <row r="106" spans="1:21" hidden="1" x14ac:dyDescent="0.25">
      <c r="A106" s="462" t="s">
        <v>94</v>
      </c>
      <c r="B106" s="462"/>
      <c r="C106" s="93" t="s">
        <v>2</v>
      </c>
      <c r="D106" s="93" t="s">
        <v>2</v>
      </c>
      <c r="E106" s="62" t="s">
        <v>2</v>
      </c>
      <c r="F106" s="462" t="s">
        <v>37</v>
      </c>
      <c r="G106" s="462"/>
      <c r="H106" s="62" t="s">
        <v>37</v>
      </c>
      <c r="I106" s="62" t="s">
        <v>8</v>
      </c>
      <c r="N106" s="484" t="s">
        <v>66</v>
      </c>
      <c r="O106" s="484"/>
      <c r="P106" s="489" t="s">
        <v>91</v>
      </c>
      <c r="Q106" s="489"/>
      <c r="R106" s="484" t="s">
        <v>67</v>
      </c>
      <c r="S106" s="484"/>
      <c r="T106" s="63" t="s">
        <v>68</v>
      </c>
      <c r="U106" s="63" t="s">
        <v>8</v>
      </c>
    </row>
    <row r="107" spans="1:21" hidden="1" x14ac:dyDescent="0.25">
      <c r="A107" s="473" t="s">
        <v>69</v>
      </c>
      <c r="B107" s="473"/>
      <c r="C107" s="163">
        <v>0</v>
      </c>
      <c r="D107" s="163">
        <v>0</v>
      </c>
      <c r="E107" s="210">
        <f>IF(D$59=0,C107*2,C107+D107)</f>
        <v>0</v>
      </c>
      <c r="F107" s="474">
        <v>0</v>
      </c>
      <c r="G107" s="474"/>
      <c r="H107" s="250">
        <f>IF(C107=0,0,125)</f>
        <v>0</v>
      </c>
      <c r="I107" s="104">
        <f>ROUND((H107+F107)*E107,2)</f>
        <v>0</v>
      </c>
      <c r="N107" s="479" t="s">
        <v>69</v>
      </c>
      <c r="O107" s="479"/>
      <c r="P107" s="483">
        <f>IF(H$120=1,C107,0)</f>
        <v>0</v>
      </c>
      <c r="Q107" s="483"/>
      <c r="R107" s="486">
        <f>F107</f>
        <v>0</v>
      </c>
      <c r="S107" s="486"/>
      <c r="T107" s="65">
        <f>H107</f>
        <v>0</v>
      </c>
      <c r="U107" s="99">
        <f>ROUND((T107+R107)*P107,0)</f>
        <v>0</v>
      </c>
    </row>
    <row r="108" spans="1:21" hidden="1" x14ac:dyDescent="0.25">
      <c r="A108" s="456" t="s">
        <v>70</v>
      </c>
      <c r="B108" s="456"/>
      <c r="C108" s="165">
        <v>0</v>
      </c>
      <c r="D108" s="165">
        <v>0</v>
      </c>
      <c r="E108" s="125">
        <f>IF(D$59=0,C108*2,C108+D108)</f>
        <v>0</v>
      </c>
      <c r="F108" s="468">
        <f>ROUND(F107/2,2)</f>
        <v>0</v>
      </c>
      <c r="G108" s="468"/>
      <c r="H108" s="250">
        <f>IF(C108=0,0,62.5)</f>
        <v>0</v>
      </c>
      <c r="I108" s="104">
        <f>ROUND((H108+F108)*E108,2)</f>
        <v>0</v>
      </c>
      <c r="N108" s="479" t="s">
        <v>70</v>
      </c>
      <c r="O108" s="479"/>
      <c r="P108" s="483">
        <f>IF(H$120=1,C108,0)</f>
        <v>0</v>
      </c>
      <c r="Q108" s="483"/>
      <c r="R108" s="487">
        <f>ROUND(R107/2,2)</f>
        <v>0</v>
      </c>
      <c r="S108" s="487"/>
      <c r="T108" s="65">
        <f>H108</f>
        <v>0</v>
      </c>
      <c r="U108" s="99">
        <f>ROUND((T108+R108)*P108,0)</f>
        <v>0</v>
      </c>
    </row>
    <row r="109" spans="1:21" ht="16.5" hidden="1" thickBot="1" x14ac:dyDescent="0.3">
      <c r="A109" s="456" t="s">
        <v>71</v>
      </c>
      <c r="B109" s="456"/>
      <c r="C109" s="165">
        <v>0</v>
      </c>
      <c r="D109" s="165">
        <v>0</v>
      </c>
      <c r="E109" s="125">
        <f>IF(D$59=0,C109*2,C109+D109)</f>
        <v>0</v>
      </c>
      <c r="F109" s="475"/>
      <c r="G109" s="475"/>
      <c r="H109" s="251">
        <f>IF(H107&gt;0,436,0)</f>
        <v>0</v>
      </c>
      <c r="I109" s="104">
        <f>ROUND(H109*E109,2)</f>
        <v>0</v>
      </c>
      <c r="N109" s="482" t="s">
        <v>71</v>
      </c>
      <c r="O109" s="482"/>
      <c r="P109" s="483">
        <f>IF(H$120=1,C109,0)</f>
        <v>0</v>
      </c>
      <c r="Q109" s="483"/>
      <c r="R109" s="484"/>
      <c r="S109" s="484"/>
      <c r="T109" s="67">
        <f>H109</f>
        <v>0</v>
      </c>
      <c r="U109" s="106">
        <f>ROUND(T109*P109,0)</f>
        <v>0</v>
      </c>
    </row>
    <row r="110" spans="1:21" ht="16.5" hidden="1" thickBot="1" x14ac:dyDescent="0.3">
      <c r="A110" s="466" t="s">
        <v>8</v>
      </c>
      <c r="B110" s="466"/>
      <c r="C110" s="68"/>
      <c r="D110" s="68"/>
      <c r="E110" s="68"/>
      <c r="F110" s="68"/>
      <c r="G110" s="68"/>
      <c r="H110" s="68"/>
      <c r="I110" s="100">
        <f>SUM(I107:I109)</f>
        <v>0</v>
      </c>
      <c r="N110" s="485" t="s">
        <v>8</v>
      </c>
      <c r="O110" s="485"/>
      <c r="P110" s="69"/>
      <c r="Q110" s="69"/>
      <c r="R110" s="69"/>
      <c r="S110" s="69"/>
      <c r="T110" s="69"/>
      <c r="U110" s="70">
        <f>SUM(U107:U109)</f>
        <v>0</v>
      </c>
    </row>
    <row r="111" spans="1:21" hidden="1" x14ac:dyDescent="0.25">
      <c r="A111" s="39"/>
      <c r="B111" s="39"/>
      <c r="C111" s="68"/>
      <c r="D111" s="68"/>
      <c r="E111" s="68"/>
      <c r="F111" s="68"/>
      <c r="G111" s="68"/>
      <c r="H111" s="68"/>
      <c r="I111" s="104"/>
      <c r="N111" s="40"/>
      <c r="O111" s="40"/>
      <c r="P111" s="69"/>
      <c r="Q111" s="69"/>
      <c r="R111" s="69"/>
      <c r="S111" s="69"/>
      <c r="T111" s="69"/>
      <c r="U111" s="160"/>
    </row>
    <row r="112" spans="1:21" x14ac:dyDescent="0.25">
      <c r="A112" s="463" t="s">
        <v>448</v>
      </c>
      <c r="B112" s="453"/>
      <c r="C112" s="453"/>
      <c r="D112" s="72"/>
      <c r="E112" s="71" t="s">
        <v>354</v>
      </c>
      <c r="F112" s="472"/>
      <c r="G112" s="472"/>
      <c r="H112" s="472"/>
      <c r="I112" s="125">
        <v>0</v>
      </c>
      <c r="N112" s="478" t="s">
        <v>427</v>
      </c>
      <c r="O112" s="479"/>
      <c r="P112" s="479"/>
      <c r="Q112" s="341"/>
      <c r="R112" s="341"/>
      <c r="S112" s="341"/>
      <c r="T112" s="341"/>
      <c r="U112" s="99">
        <f>IF($H$120=1,I112,0)</f>
        <v>0</v>
      </c>
    </row>
    <row r="113" spans="1:21" x14ac:dyDescent="0.25">
      <c r="A113" s="463" t="s">
        <v>449</v>
      </c>
      <c r="B113" s="453"/>
      <c r="C113" s="453"/>
      <c r="D113" s="72"/>
      <c r="E113" s="71" t="s">
        <v>45</v>
      </c>
      <c r="F113" s="472"/>
      <c r="G113" s="472"/>
      <c r="H113" s="472"/>
      <c r="I113" s="177">
        <v>0</v>
      </c>
      <c r="N113" s="478" t="s">
        <v>428</v>
      </c>
      <c r="O113" s="479"/>
      <c r="P113" s="479"/>
      <c r="Q113" s="341"/>
      <c r="R113" s="341"/>
      <c r="S113" s="341"/>
      <c r="T113" s="341"/>
      <c r="U113" s="99">
        <f>IF($H$120=1,I113,0)</f>
        <v>0</v>
      </c>
    </row>
    <row r="114" spans="1:21" ht="16.5" thickBot="1" x14ac:dyDescent="0.3">
      <c r="B114" s="72"/>
      <c r="C114" s="72"/>
      <c r="D114" s="72"/>
      <c r="E114" s="71"/>
      <c r="F114" s="71"/>
      <c r="G114" s="71"/>
      <c r="H114" s="71"/>
      <c r="I114" s="125"/>
      <c r="N114" s="480" t="s">
        <v>42</v>
      </c>
      <c r="O114" s="480"/>
      <c r="P114" s="480"/>
      <c r="Q114" s="480"/>
      <c r="R114" s="480"/>
      <c r="S114" s="480"/>
      <c r="T114" s="480"/>
      <c r="U114" s="154">
        <f>SUM(U112,U110,U100,U99,U93,U77,U76,U74,U73,U72,U71,U70,U68,U59,U45,U78,U79,U80,U85,U113)</f>
        <v>887704</v>
      </c>
    </row>
    <row r="115" spans="1:21" ht="16.5" thickTop="1" x14ac:dyDescent="0.25">
      <c r="A115" s="461" t="s">
        <v>8</v>
      </c>
      <c r="B115" s="461"/>
      <c r="C115" s="461"/>
      <c r="D115" s="461"/>
      <c r="E115" s="461"/>
      <c r="F115" s="461"/>
      <c r="G115" s="461"/>
      <c r="H115" s="461"/>
      <c r="I115" s="97">
        <f>SUM(I113,I112,I110,I100,I99,I93,I85,I84,I80,I79,I78,I77,I76,I74,I73,I72,I71,I70,I68,I59,I45)</f>
        <v>3904564.54</v>
      </c>
      <c r="N115" s="29"/>
      <c r="O115" s="29"/>
      <c r="P115" s="29"/>
      <c r="Q115" s="29"/>
      <c r="R115" s="29"/>
      <c r="S115" s="29"/>
      <c r="T115" s="29"/>
      <c r="U115" s="160"/>
    </row>
    <row r="116" spans="1:21" x14ac:dyDescent="0.25">
      <c r="A116" s="27"/>
      <c r="B116" s="27"/>
      <c r="C116" s="27"/>
      <c r="D116" s="27"/>
      <c r="E116" s="27"/>
      <c r="F116" s="27"/>
      <c r="G116" s="27"/>
      <c r="H116" s="27"/>
      <c r="I116" s="104"/>
      <c r="N116" s="29"/>
      <c r="O116" s="29"/>
      <c r="P116" s="29"/>
      <c r="Q116" s="29"/>
      <c r="R116" s="29"/>
      <c r="S116" s="29"/>
      <c r="T116" s="29"/>
      <c r="U116" s="160"/>
    </row>
    <row r="117" spans="1:21" x14ac:dyDescent="0.25">
      <c r="A117" s="432" t="s">
        <v>467</v>
      </c>
      <c r="B117" s="27"/>
      <c r="C117" s="27"/>
      <c r="D117" s="27"/>
      <c r="E117" s="27"/>
      <c r="F117" s="27"/>
      <c r="G117" s="27"/>
      <c r="H117" s="27"/>
      <c r="I117" s="104">
        <f>I115-I84</f>
        <v>3775209.34</v>
      </c>
      <c r="N117" s="29"/>
      <c r="O117" s="29"/>
      <c r="P117" s="29"/>
      <c r="Q117" s="29"/>
      <c r="R117" s="29"/>
      <c r="S117" s="29"/>
      <c r="T117" s="29"/>
      <c r="U117" s="160"/>
    </row>
    <row r="118" spans="1:21" x14ac:dyDescent="0.25">
      <c r="A118" s="27"/>
      <c r="B118" s="27"/>
      <c r="C118" s="27"/>
      <c r="D118" s="27"/>
      <c r="E118" s="27"/>
      <c r="F118" s="27"/>
      <c r="G118" s="27"/>
      <c r="H118" s="27"/>
      <c r="I118" s="104"/>
      <c r="N118" s="29"/>
      <c r="O118" s="29"/>
      <c r="P118" s="29"/>
      <c r="Q118" s="29"/>
      <c r="R118" s="29"/>
      <c r="S118" s="29"/>
      <c r="T118" s="29"/>
      <c r="U118" s="160"/>
    </row>
    <row r="119" spans="1:21" x14ac:dyDescent="0.25">
      <c r="A119" s="463" t="s">
        <v>468</v>
      </c>
      <c r="B119" s="453"/>
      <c r="C119" s="453"/>
      <c r="D119" s="453"/>
      <c r="E119" s="453"/>
      <c r="F119" s="453"/>
      <c r="G119" s="453"/>
      <c r="H119" s="84" t="s">
        <v>394</v>
      </c>
      <c r="I119" s="156"/>
      <c r="N119" s="481"/>
      <c r="O119" s="481"/>
      <c r="P119" s="481"/>
      <c r="Q119" s="481"/>
      <c r="R119" s="481"/>
      <c r="S119" s="481"/>
      <c r="T119" s="481"/>
      <c r="U119" s="481"/>
    </row>
    <row r="120" spans="1:21" x14ac:dyDescent="0.25">
      <c r="A120" s="453" t="s">
        <v>95</v>
      </c>
      <c r="B120" s="453"/>
      <c r="C120" s="453"/>
      <c r="D120" s="453"/>
      <c r="E120" s="453"/>
      <c r="F120" s="453"/>
      <c r="G120" s="453"/>
      <c r="H120" s="73">
        <f>IF(E29=0,"",IF((E14+E16+SUM(E18:E24))/E29&gt;0.75,1,""))</f>
        <v>1</v>
      </c>
      <c r="I120" s="125">
        <f>U114</f>
        <v>887704</v>
      </c>
      <c r="N120" s="476" t="s">
        <v>7</v>
      </c>
      <c r="O120" s="476"/>
      <c r="P120" s="476"/>
      <c r="Q120" s="476"/>
      <c r="R120" s="476"/>
      <c r="S120" s="476"/>
      <c r="T120" s="476"/>
      <c r="U120" s="476"/>
    </row>
    <row r="121" spans="1:21" x14ac:dyDescent="0.25">
      <c r="B121" s="72"/>
      <c r="C121" s="72"/>
      <c r="D121" s="72"/>
      <c r="E121" s="72"/>
      <c r="F121" s="72"/>
      <c r="G121" s="72"/>
      <c r="H121" s="68"/>
      <c r="I121" s="104"/>
      <c r="N121" s="74" t="s">
        <v>106</v>
      </c>
      <c r="O121" s="74"/>
      <c r="P121" s="74"/>
      <c r="Q121" s="74"/>
      <c r="R121" s="74"/>
      <c r="S121" s="74"/>
      <c r="T121" s="74"/>
      <c r="U121" s="74"/>
    </row>
    <row r="122" spans="1:21" x14ac:dyDescent="0.25">
      <c r="A122" s="3" t="s">
        <v>102</v>
      </c>
      <c r="B122" s="72"/>
      <c r="C122" s="72"/>
      <c r="D122" s="72"/>
      <c r="E122" s="72"/>
      <c r="F122" s="72"/>
      <c r="G122" s="286"/>
      <c r="H122" s="161">
        <f>IF(H120=1,I120,I117)</f>
        <v>887704</v>
      </c>
      <c r="I122" s="97">
        <f>ROUND(IF(E29=0,0,IF(E29&gt;250,-(((250/E29)*H122)*IF(G122="H",0.02,0.05)),IF(G122="H",-0.02*H122,-0.05*H122))),2)</f>
        <v>-44385.2</v>
      </c>
      <c r="N122" s="75" t="s">
        <v>107</v>
      </c>
      <c r="O122" s="74"/>
      <c r="P122" s="74"/>
      <c r="Q122" s="74"/>
      <c r="R122" s="74"/>
      <c r="S122" s="74"/>
      <c r="T122" s="74"/>
      <c r="U122" s="74"/>
    </row>
    <row r="123" spans="1:21" x14ac:dyDescent="0.25">
      <c r="B123" s="72"/>
      <c r="C123" s="72"/>
      <c r="D123" s="72"/>
      <c r="E123" s="72"/>
      <c r="F123" s="72"/>
      <c r="G123" s="72"/>
      <c r="H123" s="68"/>
      <c r="I123" s="104"/>
      <c r="N123" s="76"/>
      <c r="O123" s="76"/>
      <c r="P123" s="76"/>
      <c r="Q123" s="76"/>
      <c r="R123" s="76"/>
      <c r="S123" s="76"/>
      <c r="T123" s="76"/>
      <c r="U123" s="76"/>
    </row>
    <row r="124" spans="1:21" x14ac:dyDescent="0.25">
      <c r="A124" s="345" t="s">
        <v>103</v>
      </c>
      <c r="B124" s="346"/>
      <c r="C124" s="346"/>
      <c r="D124" s="346"/>
      <c r="E124" s="346"/>
      <c r="F124" s="346"/>
      <c r="G124" s="346"/>
      <c r="H124" s="347"/>
      <c r="I124" s="348">
        <f>I115+I122</f>
        <v>3860179.34</v>
      </c>
      <c r="N124" s="76"/>
      <c r="O124" s="76"/>
      <c r="P124" s="76"/>
      <c r="Q124" s="76"/>
      <c r="R124" s="76"/>
      <c r="S124" s="76"/>
      <c r="T124" s="76"/>
      <c r="U124" s="76"/>
    </row>
    <row r="125" spans="1:21" x14ac:dyDescent="0.25">
      <c r="B125" s="72"/>
      <c r="C125" s="72"/>
      <c r="D125" s="72"/>
      <c r="E125" s="72"/>
      <c r="F125" s="72"/>
      <c r="G125" s="72"/>
      <c r="H125" s="68"/>
      <c r="I125" s="104"/>
      <c r="N125" s="76"/>
      <c r="O125" s="76"/>
      <c r="P125" s="76"/>
      <c r="Q125" s="76"/>
      <c r="R125" s="76"/>
      <c r="S125" s="76"/>
      <c r="T125" s="76"/>
      <c r="U125" s="76"/>
    </row>
    <row r="126" spans="1:21" x14ac:dyDescent="0.25">
      <c r="A126" s="3" t="s">
        <v>104</v>
      </c>
      <c r="B126" s="72"/>
      <c r="C126" s="162"/>
      <c r="D126" s="72"/>
      <c r="F126" s="72"/>
      <c r="G126" s="72"/>
      <c r="H126" s="68"/>
      <c r="I126" s="302">
        <v>-2823895.38</v>
      </c>
      <c r="N126" s="76"/>
      <c r="O126" s="76"/>
      <c r="P126" s="76"/>
      <c r="Q126" s="76"/>
      <c r="R126" s="76"/>
      <c r="S126" s="76"/>
      <c r="T126" s="76"/>
      <c r="U126" s="76"/>
    </row>
    <row r="127" spans="1:21" x14ac:dyDescent="0.25">
      <c r="B127" s="72"/>
      <c r="C127" s="72"/>
      <c r="D127" s="72"/>
      <c r="E127" s="72"/>
      <c r="F127" s="72"/>
      <c r="G127" s="72"/>
      <c r="H127" s="68"/>
      <c r="I127" s="104"/>
      <c r="N127" s="76"/>
      <c r="O127" s="76"/>
      <c r="P127" s="76"/>
      <c r="Q127" s="76"/>
      <c r="R127" s="76"/>
      <c r="S127" s="76"/>
      <c r="T127" s="76"/>
      <c r="U127" s="76"/>
    </row>
    <row r="128" spans="1:21" x14ac:dyDescent="0.25">
      <c r="A128" s="84" t="s">
        <v>297</v>
      </c>
      <c r="B128" s="72"/>
      <c r="C128" s="72"/>
      <c r="D128" s="72"/>
      <c r="E128" s="72"/>
      <c r="F128" s="72"/>
      <c r="G128" s="72"/>
      <c r="H128" s="68"/>
      <c r="I128" s="104">
        <f>I124+I126</f>
        <v>1036283.96</v>
      </c>
      <c r="N128" s="76"/>
      <c r="O128" s="76"/>
      <c r="P128" s="76"/>
      <c r="Q128" s="76"/>
      <c r="R128" s="76"/>
      <c r="S128" s="76"/>
      <c r="T128" s="76"/>
      <c r="U128" s="76"/>
    </row>
    <row r="129" spans="1:21" x14ac:dyDescent="0.25">
      <c r="A129" s="84"/>
      <c r="B129" s="72"/>
      <c r="C129" s="72"/>
      <c r="D129" s="72"/>
      <c r="E129" s="72"/>
      <c r="F129" s="72"/>
      <c r="G129" s="72"/>
      <c r="H129" s="68"/>
      <c r="I129" s="104"/>
      <c r="N129" s="76"/>
      <c r="O129" s="76"/>
      <c r="P129" s="76"/>
      <c r="Q129" s="76"/>
      <c r="R129" s="76"/>
      <c r="S129" s="76"/>
      <c r="T129" s="76"/>
      <c r="U129" s="76"/>
    </row>
    <row r="130" spans="1:21" x14ac:dyDescent="0.25">
      <c r="A130" s="84" t="s">
        <v>298</v>
      </c>
      <c r="B130" s="72"/>
      <c r="C130" s="72"/>
      <c r="D130" s="72"/>
      <c r="E130" s="72"/>
      <c r="F130" s="72"/>
      <c r="G130" s="72"/>
      <c r="H130" s="68"/>
      <c r="I130" s="303">
        <f>'0664'!I130</f>
        <v>3</v>
      </c>
      <c r="N130" s="76"/>
      <c r="O130" s="76"/>
      <c r="P130" s="76"/>
      <c r="Q130" s="76"/>
      <c r="R130" s="76"/>
      <c r="S130" s="76"/>
      <c r="T130" s="76"/>
      <c r="U130" s="76"/>
    </row>
    <row r="131" spans="1:21" x14ac:dyDescent="0.25">
      <c r="B131" s="72"/>
      <c r="C131" s="72"/>
      <c r="D131" s="72"/>
      <c r="E131" s="72"/>
      <c r="F131" s="72"/>
      <c r="G131" s="72"/>
      <c r="H131" s="68"/>
      <c r="I131" s="104"/>
      <c r="N131" s="76"/>
      <c r="O131" s="76"/>
      <c r="P131" s="76"/>
      <c r="Q131" s="76"/>
      <c r="R131" s="76"/>
      <c r="S131" s="76"/>
      <c r="T131" s="76"/>
      <c r="U131" s="76"/>
    </row>
    <row r="132" spans="1:21" ht="16.5" thickBot="1" x14ac:dyDescent="0.3">
      <c r="A132" s="3" t="s">
        <v>105</v>
      </c>
      <c r="B132" s="72"/>
      <c r="C132" s="72"/>
      <c r="D132" s="72"/>
      <c r="E132" s="72"/>
      <c r="F132" s="72"/>
      <c r="G132" s="72"/>
      <c r="H132" s="68"/>
      <c r="I132" s="178">
        <f>ROUND(I128/I130,2)</f>
        <v>345427.99</v>
      </c>
      <c r="N132" s="76"/>
      <c r="O132" s="76"/>
      <c r="P132" s="76"/>
      <c r="Q132" s="76"/>
      <c r="R132" s="76"/>
      <c r="S132" s="76"/>
      <c r="T132" s="76"/>
      <c r="U132" s="76"/>
    </row>
    <row r="133" spans="1:21" ht="16.5" thickTop="1" x14ac:dyDescent="0.25">
      <c r="B133" s="72"/>
      <c r="C133" s="72"/>
      <c r="D133" s="72"/>
      <c r="E133" s="72"/>
      <c r="F133" s="72"/>
      <c r="G133" s="72"/>
      <c r="H133" s="68"/>
      <c r="I133" s="104"/>
      <c r="N133" s="76"/>
      <c r="O133" s="76"/>
      <c r="P133" s="76"/>
      <c r="Q133" s="76"/>
      <c r="R133" s="76"/>
      <c r="S133" s="76"/>
      <c r="T133" s="76"/>
      <c r="U133" s="76"/>
    </row>
    <row r="134" spans="1:21" ht="16.5" thickBot="1" x14ac:dyDescent="0.3">
      <c r="A134" s="3" t="s">
        <v>121</v>
      </c>
      <c r="B134" s="72"/>
      <c r="C134" s="72"/>
      <c r="D134" s="72"/>
      <c r="E134" s="72"/>
      <c r="F134" s="72"/>
      <c r="G134" s="72"/>
      <c r="H134" s="68"/>
      <c r="I134" s="155">
        <f>ROUND(IF(G122="H",(H122*0.02)+I122,(H122*0.05)+I122),2)</f>
        <v>0</v>
      </c>
      <c r="N134" s="76"/>
      <c r="O134" s="76"/>
      <c r="P134" s="76"/>
      <c r="Q134" s="76"/>
      <c r="R134" s="76"/>
      <c r="S134" s="76"/>
      <c r="T134" s="76"/>
      <c r="U134" s="76"/>
    </row>
    <row r="135" spans="1:21" ht="16.5" thickTop="1" x14ac:dyDescent="0.25">
      <c r="B135" s="72"/>
      <c r="C135" s="72"/>
      <c r="D135" s="72"/>
      <c r="E135" s="72"/>
      <c r="F135" s="72"/>
      <c r="G135" s="72"/>
      <c r="H135" s="68"/>
      <c r="I135" s="156"/>
      <c r="N135" s="76"/>
      <c r="O135" s="76"/>
      <c r="P135" s="76"/>
      <c r="Q135" s="76"/>
      <c r="R135" s="76"/>
      <c r="S135" s="76"/>
      <c r="T135" s="76"/>
      <c r="U135" s="76"/>
    </row>
    <row r="136" spans="1:21" x14ac:dyDescent="0.25">
      <c r="B136" s="72"/>
      <c r="C136" s="72"/>
      <c r="D136" s="72"/>
      <c r="E136" s="72"/>
      <c r="F136" s="72"/>
      <c r="G136" s="72"/>
      <c r="H136" s="68"/>
      <c r="I136" s="104"/>
      <c r="N136" s="76"/>
      <c r="O136" s="76"/>
      <c r="P136" s="76"/>
      <c r="Q136" s="76"/>
      <c r="R136" s="76"/>
      <c r="S136" s="76"/>
      <c r="T136" s="76"/>
      <c r="U136" s="76"/>
    </row>
    <row r="137" spans="1:21" x14ac:dyDescent="0.25">
      <c r="B137" s="72"/>
      <c r="C137" s="72"/>
      <c r="D137" s="72"/>
      <c r="E137" s="72"/>
      <c r="F137" s="72"/>
      <c r="G137" s="72"/>
      <c r="H137" s="68"/>
      <c r="I137" s="156"/>
      <c r="N137" s="76"/>
      <c r="O137" s="76"/>
      <c r="P137" s="76"/>
      <c r="Q137" s="76"/>
      <c r="R137" s="76"/>
      <c r="S137" s="76"/>
      <c r="T137" s="76"/>
      <c r="U137" s="76"/>
    </row>
    <row r="138" spans="1:21" x14ac:dyDescent="0.25">
      <c r="A138" s="281" t="s">
        <v>7</v>
      </c>
      <c r="B138" s="281"/>
      <c r="C138" s="281"/>
      <c r="D138" s="281"/>
      <c r="E138" s="281"/>
      <c r="F138" s="281"/>
      <c r="G138" s="281"/>
      <c r="H138" s="281"/>
      <c r="I138" s="281"/>
      <c r="J138" s="156"/>
      <c r="N138" s="76"/>
      <c r="O138" s="76"/>
      <c r="P138" s="76"/>
      <c r="Q138" s="76"/>
      <c r="R138" s="76"/>
      <c r="S138" s="76"/>
      <c r="T138" s="76"/>
      <c r="U138" s="76"/>
    </row>
    <row r="139" spans="1:21" ht="15.75" customHeight="1" x14ac:dyDescent="0.25">
      <c r="A139" s="356" t="str">
        <f>'0664'!A139</f>
        <v>(a) Additional FTE includes FTE earned through Advanced Placement, International Baccalaureate, Advanced International Certificate of Education, Industry Certified Career</v>
      </c>
      <c r="B139" s="357"/>
      <c r="C139" s="357"/>
      <c r="D139" s="357"/>
      <c r="E139" s="357"/>
      <c r="F139" s="357"/>
      <c r="G139" s="357"/>
      <c r="H139" s="357"/>
      <c r="I139" s="357"/>
      <c r="J139" s="80"/>
      <c r="K139" s="79"/>
      <c r="L139" s="79"/>
      <c r="M139" s="79"/>
      <c r="N139" s="477"/>
      <c r="O139" s="477"/>
      <c r="P139" s="477"/>
      <c r="Q139" s="477"/>
      <c r="R139" s="477"/>
      <c r="S139" s="477"/>
      <c r="T139" s="477"/>
      <c r="U139" s="477"/>
    </row>
    <row r="140" spans="1:21" ht="15.75" customHeight="1" x14ac:dyDescent="0.25">
      <c r="A140" s="390" t="str">
        <f>'0664'!A140</f>
        <v xml:space="preserve">Education (CAPE), Early High School Graduation and the small district ESE Supplement, pursuant to s. 1011.62(1)(l-p), F.S. </v>
      </c>
      <c r="B140" s="357"/>
      <c r="C140" s="357"/>
      <c r="D140" s="357"/>
      <c r="E140" s="357"/>
      <c r="F140" s="357"/>
      <c r="G140" s="357"/>
      <c r="H140" s="357"/>
      <c r="I140" s="357"/>
      <c r="J140" s="80"/>
      <c r="K140" s="79"/>
      <c r="L140" s="79"/>
      <c r="M140" s="79"/>
      <c r="N140" s="76"/>
      <c r="O140" s="76"/>
      <c r="P140" s="76"/>
      <c r="Q140" s="76"/>
      <c r="R140" s="76"/>
      <c r="S140" s="76"/>
      <c r="T140" s="76"/>
      <c r="U140" s="76"/>
    </row>
    <row r="141" spans="1:21" x14ac:dyDescent="0.25">
      <c r="A141" s="356" t="str">
        <f>'0664'!A141</f>
        <v>(b) District allocations multiplied by percentage from item 3A.</v>
      </c>
      <c r="B141" s="281"/>
      <c r="C141" s="281"/>
      <c r="D141" s="281"/>
      <c r="E141" s="281"/>
      <c r="F141" s="281"/>
      <c r="G141" s="281"/>
      <c r="H141" s="281"/>
      <c r="I141" s="281"/>
      <c r="J141" s="79"/>
      <c r="K141" s="79"/>
      <c r="L141" s="79"/>
      <c r="M141" s="79"/>
      <c r="N141" s="81"/>
      <c r="O141" s="82"/>
      <c r="P141" s="82"/>
      <c r="Q141" s="82"/>
      <c r="R141" s="82"/>
      <c r="S141" s="82"/>
      <c r="T141" s="82"/>
      <c r="U141" s="82"/>
    </row>
    <row r="142" spans="1:21" s="79" customFormat="1" x14ac:dyDescent="0.2">
      <c r="A142" s="356" t="str">
        <f>'0664'!A142</f>
        <v>(c) District allocations multiplied by percentage from item 3B.</v>
      </c>
      <c r="B142" s="281"/>
      <c r="C142" s="281"/>
      <c r="D142" s="281"/>
      <c r="E142" s="281"/>
      <c r="F142" s="281"/>
      <c r="G142" s="281"/>
      <c r="H142" s="281"/>
      <c r="I142" s="281"/>
      <c r="N142" s="81"/>
    </row>
    <row r="143" spans="1:21" s="79" customFormat="1" ht="15.75" customHeight="1" x14ac:dyDescent="0.2">
      <c r="A143" s="356" t="str">
        <f>'0664'!A143</f>
        <v>(d) The Digital Classroom Allocation is provided pursuant to s. 1011.62(12), F.S.</v>
      </c>
      <c r="B143" s="281"/>
      <c r="C143" s="281"/>
      <c r="D143" s="281"/>
      <c r="E143" s="281"/>
      <c r="F143" s="281"/>
      <c r="G143" s="281"/>
      <c r="H143" s="281"/>
      <c r="I143" s="281"/>
      <c r="N143" s="81"/>
    </row>
    <row r="144" spans="1:21" s="79" customFormat="1" ht="15.75" customHeight="1" x14ac:dyDescent="0.2">
      <c r="A144" s="356" t="str">
        <f>'0664'!A144</f>
        <v>(e) School districts are required to pay for instructional materials used for the instruction of public high school students who are earning credit toward high school</v>
      </c>
      <c r="B144" s="281"/>
      <c r="C144" s="281"/>
      <c r="D144" s="281"/>
      <c r="E144" s="281"/>
      <c r="F144" s="281"/>
      <c r="G144" s="281"/>
      <c r="H144" s="281"/>
      <c r="I144" s="281"/>
      <c r="N144" s="81"/>
    </row>
    <row r="145" spans="1:14" s="79" customFormat="1" ht="15.75" customHeight="1" x14ac:dyDescent="0.2">
      <c r="A145" s="390" t="str">
        <f>'0664'!A145</f>
        <v xml:space="preserve">graduation under the dual enrollment program as provided in s. 1011.62(l)(i), F.S.  </v>
      </c>
      <c r="B145" s="281"/>
      <c r="C145" s="281"/>
      <c r="D145" s="281"/>
      <c r="E145" s="281"/>
      <c r="F145" s="281"/>
      <c r="G145" s="281"/>
      <c r="H145" s="281"/>
      <c r="I145" s="281"/>
      <c r="N145" s="81"/>
    </row>
    <row r="146" spans="1:14" s="79" customFormat="1" x14ac:dyDescent="0.2">
      <c r="A146" s="356" t="str">
        <f>'0664'!A146</f>
        <v>(f) This allocation will be frozen as of the 2021-22 FEFP Second Calculation and will not be recalculated throughout the year. Charter school allocations should be</v>
      </c>
      <c r="B146" s="281"/>
      <c r="C146" s="281"/>
      <c r="D146" s="281"/>
      <c r="E146" s="281"/>
      <c r="F146" s="281"/>
      <c r="G146" s="281"/>
      <c r="H146" s="281"/>
      <c r="I146" s="281"/>
      <c r="N146" s="81"/>
    </row>
    <row r="147" spans="1:14" s="79" customFormat="1" x14ac:dyDescent="0.2">
      <c r="A147" s="358" t="str">
        <f>'0664'!A147</f>
        <v xml:space="preserve">distributed on weighted FTE (or base funding as is done in the FEFP) and should not be recalculated with fluctuations in student enrollment later in the year. </v>
      </c>
      <c r="B147" s="281"/>
      <c r="C147" s="281"/>
      <c r="D147" s="281"/>
      <c r="E147" s="281"/>
      <c r="F147" s="281"/>
      <c r="G147" s="281"/>
      <c r="H147" s="281"/>
      <c r="I147" s="281"/>
      <c r="N147" s="81"/>
    </row>
    <row r="148" spans="1:14" s="79" customFormat="1" x14ac:dyDescent="0.2">
      <c r="A148" s="356" t="str">
        <f>'0664'!A148</f>
        <v>(g) Numbers entered here will be multiplied by the district level transportation funding per rider. "All Adjusted Fundable Riders" should include both basic and ESE Riders.</v>
      </c>
      <c r="B148" s="281"/>
      <c r="C148" s="281"/>
      <c r="D148" s="281"/>
      <c r="E148" s="281"/>
      <c r="F148" s="281"/>
      <c r="G148" s="281"/>
      <c r="H148" s="281"/>
      <c r="I148" s="281"/>
      <c r="N148" s="81"/>
    </row>
    <row r="149" spans="1:14" s="79" customFormat="1" x14ac:dyDescent="0.2">
      <c r="A149" s="390" t="str">
        <f>'0664'!A149</f>
        <v>"All Adjusted ESE Riders" should include only ESE Riders.</v>
      </c>
      <c r="B149" s="281"/>
      <c r="C149" s="281"/>
      <c r="D149" s="281"/>
      <c r="E149" s="281"/>
      <c r="F149" s="281"/>
      <c r="G149" s="281"/>
      <c r="H149" s="281"/>
      <c r="I149" s="281"/>
      <c r="N149" s="81"/>
    </row>
    <row r="150" spans="1:14" s="79" customFormat="1" x14ac:dyDescent="0.2">
      <c r="A150" s="356" t="str">
        <f>'0664'!A150</f>
        <v xml:space="preserve">(h) The Federally Connected Student Supplement provides additional funding for students on federal lands that receive Section 8003 impact aide pursuant to s. 1011.62(13), F.S. </v>
      </c>
      <c r="B150" s="281"/>
      <c r="C150" s="281"/>
      <c r="D150" s="281"/>
      <c r="E150" s="281"/>
      <c r="F150" s="281"/>
      <c r="G150" s="281"/>
      <c r="H150" s="281"/>
      <c r="I150" s="281"/>
      <c r="N150" s="81"/>
    </row>
    <row r="151" spans="1:14" s="79" customFormat="1" x14ac:dyDescent="0.2">
      <c r="A151" s="356" t="str">
        <f>'0664'!A151</f>
        <v>(i) Teacher Classroom Supply Assistance Program allocation pursuant to s. 1012.71, F.S., for certified teachers employed by a public school district or public charter school</v>
      </c>
      <c r="B151" s="281"/>
      <c r="C151" s="281"/>
      <c r="D151" s="281"/>
      <c r="E151" s="281"/>
      <c r="F151" s="281"/>
      <c r="G151" s="281"/>
      <c r="H151" s="281"/>
      <c r="I151" s="281"/>
      <c r="N151" s="81"/>
    </row>
    <row r="152" spans="1:14" s="79" customFormat="1" x14ac:dyDescent="0.2">
      <c r="A152" s="358" t="str">
        <f>'0664'!A152</f>
        <v xml:space="preserve">before September 1 of each year whose full-time or job-share responsibility is the classroom instruction of students in prekindergarten through grade 12, including </v>
      </c>
      <c r="B152" s="281"/>
      <c r="C152" s="281"/>
      <c r="D152" s="281"/>
      <c r="E152" s="281"/>
      <c r="F152" s="281"/>
      <c r="G152" s="281"/>
      <c r="H152" s="281"/>
      <c r="I152" s="281"/>
      <c r="N152" s="81"/>
    </row>
    <row r="153" spans="1:14" s="79" customFormat="1" ht="15.75" customHeight="1" x14ac:dyDescent="0.2">
      <c r="A153" s="358" t="str">
        <f>'0664'!A153</f>
        <v>full-time media specialists and certified school counselors serving students in prekindergarten through grade 12, who are funded through the FEFP.</v>
      </c>
      <c r="B153" s="281"/>
      <c r="C153" s="281"/>
      <c r="D153" s="281"/>
      <c r="E153" s="281"/>
      <c r="F153" s="281"/>
      <c r="G153" s="281"/>
      <c r="H153" s="281"/>
      <c r="I153" s="281"/>
      <c r="N153" s="81"/>
    </row>
    <row r="154" spans="1:14" s="79" customFormat="1" ht="15.75" customHeight="1" x14ac:dyDescent="0.2">
      <c r="A154" s="356" t="str">
        <f>'0664'!A154</f>
        <v xml:space="preserve">(j) Funding based on student eligibility and meals provided, if participating in the National School Lunch Program. </v>
      </c>
      <c r="B154" s="328"/>
      <c r="C154" s="328"/>
      <c r="D154" s="328"/>
      <c r="E154" s="328"/>
      <c r="F154" s="328"/>
      <c r="G154" s="328"/>
      <c r="H154" s="328"/>
      <c r="I154" s="328"/>
      <c r="N154" s="81"/>
    </row>
    <row r="155" spans="1:14" s="79" customFormat="1" ht="15.75" customHeight="1" x14ac:dyDescent="0.2">
      <c r="A155" s="356" t="str">
        <f>'0664'!A155</f>
        <v>(k) Consistent with s. 1002.33(20)(a), F.S., for charter schools with a population of 75% or more ESE students, the administrative fee shall be calculated based on</v>
      </c>
      <c r="B155" s="381"/>
      <c r="C155" s="381"/>
      <c r="D155" s="381"/>
      <c r="E155" s="381"/>
      <c r="F155" s="381"/>
      <c r="G155" s="381"/>
      <c r="H155" s="381"/>
      <c r="I155" s="381"/>
      <c r="N155" s="81"/>
    </row>
    <row r="156" spans="1:14" s="79" customFormat="1" ht="15.75" customHeight="1" x14ac:dyDescent="0.2">
      <c r="A156" s="390" t="str">
        <f>'0664'!A156</f>
        <v xml:space="preserve">unweighted full-time equivalent students. </v>
      </c>
      <c r="B156" s="381"/>
      <c r="C156" s="381"/>
      <c r="D156" s="381"/>
      <c r="E156" s="381"/>
      <c r="F156" s="381"/>
      <c r="G156" s="381"/>
      <c r="H156" s="381"/>
      <c r="I156" s="381"/>
      <c r="N156" s="81"/>
    </row>
    <row r="157" spans="1:14" s="79" customFormat="1" ht="15.75" customHeight="1" x14ac:dyDescent="0.2">
      <c r="A157" s="356"/>
      <c r="B157" s="381"/>
      <c r="C157" s="381"/>
      <c r="D157" s="381"/>
      <c r="E157" s="381"/>
      <c r="F157" s="381"/>
      <c r="G157" s="381"/>
      <c r="H157" s="381"/>
      <c r="I157" s="381"/>
      <c r="N157" s="81"/>
    </row>
    <row r="158" spans="1:14" s="79" customFormat="1" ht="15.75" customHeight="1" x14ac:dyDescent="0.25">
      <c r="A158" s="398" t="str">
        <f>'0664'!A158</f>
        <v>Administrative fees:</v>
      </c>
      <c r="B158" s="328"/>
      <c r="C158" s="328"/>
      <c r="D158" s="328"/>
      <c r="E158" s="328"/>
      <c r="F158" s="328"/>
      <c r="G158" s="328"/>
      <c r="H158" s="328"/>
      <c r="I158" s="328"/>
      <c r="J158" s="3"/>
      <c r="K158" s="3"/>
      <c r="L158" s="3"/>
      <c r="M158" s="3"/>
      <c r="N158" s="81"/>
    </row>
    <row r="159" spans="1:14" s="79" customFormat="1" ht="15.75" customHeight="1" x14ac:dyDescent="0.25">
      <c r="A159" s="399" t="str">
        <f>'0664'!A159</f>
        <v xml:space="preserve">Administrative fees charged by the school district pursuant to s. 1002.33(20)(a), F.S., shall be calculated based upon 5% of available funds from the FEFP and categorical </v>
      </c>
      <c r="B159" s="328"/>
      <c r="C159" s="328"/>
      <c r="D159" s="328"/>
      <c r="E159" s="328"/>
      <c r="F159" s="328"/>
      <c r="G159" s="328"/>
      <c r="H159" s="328"/>
      <c r="I159" s="328"/>
      <c r="J159" s="3"/>
      <c r="K159" s="3"/>
      <c r="L159" s="3"/>
      <c r="M159" s="3"/>
      <c r="N159" s="81"/>
    </row>
    <row r="160" spans="1:14" s="79" customFormat="1" ht="15.75" customHeight="1" x14ac:dyDescent="0.25">
      <c r="A160" s="400" t="str">
        <f>'0664'!A160</f>
        <v>funding for which charter students may be eligible.  To calculate the administrative fee to be withheld for schools with more than 250 students, divide the school</v>
      </c>
      <c r="B160" s="328"/>
      <c r="C160" s="328"/>
      <c r="D160" s="328"/>
      <c r="E160" s="328"/>
      <c r="F160" s="328"/>
      <c r="G160" s="328"/>
      <c r="H160" s="328"/>
      <c r="I160" s="328"/>
      <c r="J160" s="3"/>
      <c r="K160" s="3"/>
      <c r="L160" s="3"/>
      <c r="M160" s="3"/>
      <c r="N160" s="81"/>
    </row>
    <row r="161" spans="1:21" s="79" customFormat="1" ht="15.75" customHeight="1" x14ac:dyDescent="0.25">
      <c r="A161" s="400" t="str">
        <f>'0664'!A161</f>
        <v xml:space="preserve">population into 250. Multiply that fraction times the funds available, then times 5%.  </v>
      </c>
      <c r="B161" s="328"/>
      <c r="C161" s="328"/>
      <c r="D161" s="328"/>
      <c r="E161" s="328"/>
      <c r="F161" s="328"/>
      <c r="G161" s="328"/>
      <c r="H161" s="328"/>
      <c r="I161" s="328"/>
      <c r="J161" s="3"/>
      <c r="K161" s="3"/>
      <c r="L161" s="3"/>
      <c r="M161" s="3"/>
      <c r="N161" s="81"/>
    </row>
    <row r="162" spans="1:21" s="79" customFormat="1" ht="15.75" customHeight="1" x14ac:dyDescent="0.25">
      <c r="A162" s="399"/>
      <c r="B162" s="394"/>
      <c r="C162" s="394"/>
      <c r="D162" s="394"/>
      <c r="E162" s="394"/>
      <c r="F162" s="394"/>
      <c r="G162" s="394"/>
      <c r="H162" s="394"/>
      <c r="I162" s="394"/>
      <c r="N162" s="77"/>
      <c r="O162" s="3"/>
      <c r="P162" s="3"/>
      <c r="Q162" s="3"/>
      <c r="R162" s="3"/>
      <c r="S162" s="3"/>
      <c r="T162" s="3"/>
      <c r="U162" s="3"/>
    </row>
    <row r="163" spans="1:21" ht="15.75" customHeight="1" x14ac:dyDescent="0.25">
      <c r="A163" s="399" t="str">
        <f>'0664'!A163</f>
        <v xml:space="preserve">For high performing charter schools, administrative fees charged by the school district shall be calculated based upon 2% of available funds from the FEFP and categorical </v>
      </c>
      <c r="B163" s="328"/>
      <c r="C163" s="328"/>
      <c r="D163" s="328"/>
      <c r="E163" s="328"/>
      <c r="F163" s="328"/>
      <c r="G163" s="328"/>
      <c r="H163" s="328"/>
      <c r="I163" s="328"/>
      <c r="J163" s="79"/>
      <c r="K163" s="79"/>
      <c r="L163" s="79"/>
      <c r="M163" s="79"/>
      <c r="N163" s="81"/>
      <c r="O163" s="79"/>
      <c r="P163" s="79"/>
      <c r="Q163" s="79"/>
      <c r="R163" s="79"/>
      <c r="S163" s="79"/>
      <c r="T163" s="79"/>
      <c r="U163" s="79"/>
    </row>
    <row r="164" spans="1:21" ht="15.75" customHeight="1" x14ac:dyDescent="0.25">
      <c r="A164" s="400" t="str">
        <f>'0664'!A164</f>
        <v>funding for which charter students may be eligible.  To calculate the administrative fee to be withheld for schools with more than 250 students, divide the school</v>
      </c>
      <c r="B164" s="381"/>
      <c r="C164" s="381"/>
      <c r="D164" s="381"/>
      <c r="E164" s="381"/>
      <c r="F164" s="381"/>
      <c r="G164" s="381"/>
      <c r="H164" s="381"/>
      <c r="I164" s="381"/>
      <c r="J164" s="79"/>
      <c r="K164" s="79"/>
      <c r="L164" s="79"/>
      <c r="M164" s="79"/>
      <c r="N164" s="81"/>
      <c r="O164" s="79"/>
      <c r="P164" s="79"/>
      <c r="Q164" s="79"/>
      <c r="R164" s="79"/>
      <c r="S164" s="79"/>
      <c r="T164" s="79"/>
      <c r="U164" s="79"/>
    </row>
    <row r="165" spans="1:21" s="79" customFormat="1" ht="15.75" customHeight="1" x14ac:dyDescent="0.2">
      <c r="A165" s="400" t="str">
        <f>'0664'!A165</f>
        <v xml:space="preserve">population into 250. Multiply that fraction times the funds available, then times 2%.  </v>
      </c>
      <c r="B165" s="328"/>
      <c r="C165" s="328"/>
      <c r="D165" s="328"/>
      <c r="E165" s="328"/>
      <c r="F165" s="328"/>
      <c r="G165" s="328"/>
      <c r="H165" s="328"/>
      <c r="I165" s="328"/>
      <c r="N165" s="81"/>
    </row>
    <row r="166" spans="1:21" x14ac:dyDescent="0.25">
      <c r="A166" s="356"/>
      <c r="N166" s="77"/>
    </row>
    <row r="167" spans="1:21" x14ac:dyDescent="0.25">
      <c r="A167" s="398" t="str">
        <f>'0664'!A167</f>
        <v>Other:</v>
      </c>
      <c r="N167" s="77"/>
    </row>
    <row r="168" spans="1:21" x14ac:dyDescent="0.25">
      <c r="A168" s="399" t="str">
        <f>'0664'!A168</f>
        <v>FEFP and categorical funding are recalculated during the year to reflect the revised number of full-time equivalent students reported during the survey periods designated</v>
      </c>
      <c r="N168" s="77"/>
    </row>
    <row r="169" spans="1:21" x14ac:dyDescent="0.25">
      <c r="A169" s="402" t="str">
        <f>'0664'!A169</f>
        <v>by the Commissioner of Education.</v>
      </c>
      <c r="N169" s="77"/>
    </row>
    <row r="170" spans="1:21" x14ac:dyDescent="0.25">
      <c r="A170" s="399" t="str">
        <f>'0664'!A170</f>
        <v>Revenues flow to districts from state sources and from county tax collectors on various distribution schedules.</v>
      </c>
      <c r="N170" s="77"/>
    </row>
    <row r="171" spans="1:21" x14ac:dyDescent="0.25">
      <c r="A171" s="77"/>
      <c r="N171" s="77"/>
    </row>
    <row r="172" spans="1:21" x14ac:dyDescent="0.25">
      <c r="A172" s="77"/>
      <c r="N172" s="77"/>
    </row>
    <row r="173" spans="1:21" x14ac:dyDescent="0.25">
      <c r="A173" s="77"/>
      <c r="N173" s="77"/>
    </row>
    <row r="174" spans="1:21" x14ac:dyDescent="0.25">
      <c r="A174" s="77"/>
      <c r="N174" s="77"/>
    </row>
    <row r="175" spans="1:21" x14ac:dyDescent="0.25">
      <c r="A175" s="77"/>
      <c r="N175" s="77"/>
    </row>
    <row r="176" spans="1:21" x14ac:dyDescent="0.25">
      <c r="A176" s="77"/>
      <c r="N176" s="77"/>
    </row>
    <row r="177" spans="1:14" x14ac:dyDescent="0.25">
      <c r="A177" s="77"/>
      <c r="N177" s="77"/>
    </row>
    <row r="178" spans="1:14" x14ac:dyDescent="0.25">
      <c r="A178" s="77"/>
      <c r="N178" s="77"/>
    </row>
    <row r="179" spans="1:14" x14ac:dyDescent="0.25">
      <c r="A179" s="77"/>
      <c r="N179" s="77"/>
    </row>
    <row r="180" spans="1:14" x14ac:dyDescent="0.25">
      <c r="A180" s="77"/>
      <c r="N180" s="77"/>
    </row>
    <row r="181" spans="1:14" x14ac:dyDescent="0.25">
      <c r="A181" s="77"/>
      <c r="N181" s="77"/>
    </row>
    <row r="182" spans="1:14" x14ac:dyDescent="0.25">
      <c r="A182" s="77"/>
      <c r="N182" s="77"/>
    </row>
    <row r="183" spans="1:14" x14ac:dyDescent="0.25">
      <c r="A183" s="77"/>
      <c r="N183" s="77"/>
    </row>
    <row r="184" spans="1:14" x14ac:dyDescent="0.25">
      <c r="A184" s="77"/>
      <c r="N184" s="77"/>
    </row>
    <row r="185" spans="1:14" x14ac:dyDescent="0.25">
      <c r="A185" s="77"/>
      <c r="N185" s="77"/>
    </row>
    <row r="186" spans="1:14" x14ac:dyDescent="0.25">
      <c r="A186" s="77"/>
      <c r="N186" s="77"/>
    </row>
    <row r="187" spans="1:14" x14ac:dyDescent="0.25">
      <c r="A187" s="77"/>
      <c r="N187" s="77"/>
    </row>
    <row r="188" spans="1:14" x14ac:dyDescent="0.25">
      <c r="A188" s="77"/>
    </row>
    <row r="189" spans="1:14" x14ac:dyDescent="0.25">
      <c r="A189" s="77"/>
    </row>
    <row r="190" spans="1:14" x14ac:dyDescent="0.25">
      <c r="A190" s="77"/>
    </row>
    <row r="191" spans="1:14" x14ac:dyDescent="0.25">
      <c r="A191" s="77"/>
    </row>
    <row r="192" spans="1:14" x14ac:dyDescent="0.25">
      <c r="A192" s="77"/>
    </row>
    <row r="193" spans="1:1" x14ac:dyDescent="0.25">
      <c r="A193" s="77"/>
    </row>
    <row r="194" spans="1:1" x14ac:dyDescent="0.25">
      <c r="A194" s="77"/>
    </row>
    <row r="195" spans="1:1" x14ac:dyDescent="0.25">
      <c r="A195" s="77"/>
    </row>
    <row r="196" spans="1:1" x14ac:dyDescent="0.25">
      <c r="A196" s="77"/>
    </row>
    <row r="197" spans="1:1" x14ac:dyDescent="0.25">
      <c r="A197" s="77"/>
    </row>
    <row r="198" spans="1:1" x14ac:dyDescent="0.25">
      <c r="A198" s="77"/>
    </row>
    <row r="199" spans="1:1" x14ac:dyDescent="0.25">
      <c r="A199" s="77"/>
    </row>
    <row r="200" spans="1:1" x14ac:dyDescent="0.25">
      <c r="A200" s="77"/>
    </row>
    <row r="201" spans="1:1" x14ac:dyDescent="0.25">
      <c r="A201" s="77"/>
    </row>
    <row r="202" spans="1:1" x14ac:dyDescent="0.25">
      <c r="A202" s="77"/>
    </row>
    <row r="203" spans="1:1" x14ac:dyDescent="0.25">
      <c r="A203" s="77"/>
    </row>
    <row r="204" spans="1:1" x14ac:dyDescent="0.25">
      <c r="A204" s="77"/>
    </row>
    <row r="205" spans="1:1" x14ac:dyDescent="0.25">
      <c r="A205" s="77"/>
    </row>
    <row r="206" spans="1:1" x14ac:dyDescent="0.25">
      <c r="A206" s="77"/>
    </row>
  </sheetData>
  <mergeCells count="266">
    <mergeCell ref="A112:C112"/>
    <mergeCell ref="F112:H112"/>
    <mergeCell ref="N112:P112"/>
    <mergeCell ref="A109:B109"/>
    <mergeCell ref="F109:G109"/>
    <mergeCell ref="N109:O109"/>
    <mergeCell ref="P109:Q109"/>
    <mergeCell ref="N139:U139"/>
    <mergeCell ref="N119:U119"/>
    <mergeCell ref="N113:P113"/>
    <mergeCell ref="A113:C113"/>
    <mergeCell ref="F113:H113"/>
    <mergeCell ref="N114:T114"/>
    <mergeCell ref="A115:H115"/>
    <mergeCell ref="A119:G119"/>
    <mergeCell ref="N120:U120"/>
    <mergeCell ref="A120:G120"/>
    <mergeCell ref="R109:S109"/>
    <mergeCell ref="A110:B110"/>
    <mergeCell ref="N110:O110"/>
    <mergeCell ref="A107:B107"/>
    <mergeCell ref="F107:G107"/>
    <mergeCell ref="N107:O107"/>
    <mergeCell ref="P107:Q107"/>
    <mergeCell ref="R107:S107"/>
    <mergeCell ref="A108:B108"/>
    <mergeCell ref="F108:G108"/>
    <mergeCell ref="N108:O108"/>
    <mergeCell ref="P108:Q108"/>
    <mergeCell ref="R108:S108"/>
    <mergeCell ref="A103:C103"/>
    <mergeCell ref="F103:I103"/>
    <mergeCell ref="N103:U103"/>
    <mergeCell ref="C104:E104"/>
    <mergeCell ref="F105:G105"/>
    <mergeCell ref="A106:B106"/>
    <mergeCell ref="F106:G106"/>
    <mergeCell ref="N106:O106"/>
    <mergeCell ref="P106:Q106"/>
    <mergeCell ref="R106:S106"/>
    <mergeCell ref="A99:B99"/>
    <mergeCell ref="N99:O99"/>
    <mergeCell ref="P99:R99"/>
    <mergeCell ref="A100:B100"/>
    <mergeCell ref="N100:O100"/>
    <mergeCell ref="P100:R100"/>
    <mergeCell ref="C91:D91"/>
    <mergeCell ref="P91:Q91"/>
    <mergeCell ref="C92:D92"/>
    <mergeCell ref="P92:Q92"/>
    <mergeCell ref="C93:D93"/>
    <mergeCell ref="P93:T93"/>
    <mergeCell ref="A94:I94"/>
    <mergeCell ref="N94:U94"/>
    <mergeCell ref="F96:I96"/>
    <mergeCell ref="N96:P96"/>
    <mergeCell ref="Q96:T96"/>
    <mergeCell ref="A87:I87"/>
    <mergeCell ref="N87:U87"/>
    <mergeCell ref="C88:D88"/>
    <mergeCell ref="C89:D89"/>
    <mergeCell ref="N89:O89"/>
    <mergeCell ref="P89:Q89"/>
    <mergeCell ref="R89:U89"/>
    <mergeCell ref="C90:D90"/>
    <mergeCell ref="P90:Q90"/>
    <mergeCell ref="A80:C80"/>
    <mergeCell ref="N80:P80"/>
    <mergeCell ref="A85:C85"/>
    <mergeCell ref="N85:P85"/>
    <mergeCell ref="F73:H73"/>
    <mergeCell ref="N73:T73"/>
    <mergeCell ref="N74:T74"/>
    <mergeCell ref="A78:C78"/>
    <mergeCell ref="N78:P78"/>
    <mergeCell ref="A79:C79"/>
    <mergeCell ref="A69:C69"/>
    <mergeCell ref="N69:P69"/>
    <mergeCell ref="N79:P79"/>
    <mergeCell ref="A76:C76"/>
    <mergeCell ref="N76:P76"/>
    <mergeCell ref="A77:C77"/>
    <mergeCell ref="A70:C70"/>
    <mergeCell ref="A71:C71"/>
    <mergeCell ref="N71:P71"/>
    <mergeCell ref="A72:C72"/>
    <mergeCell ref="N77:P77"/>
    <mergeCell ref="N72:P72"/>
    <mergeCell ref="A65:B65"/>
    <mergeCell ref="D65:G65"/>
    <mergeCell ref="N65:O65"/>
    <mergeCell ref="Q65:S65"/>
    <mergeCell ref="T65:U65"/>
    <mergeCell ref="N66:S66"/>
    <mergeCell ref="T66:U66"/>
    <mergeCell ref="A68:C68"/>
    <mergeCell ref="N68:P68"/>
    <mergeCell ref="A62:B62"/>
    <mergeCell ref="D62:G62"/>
    <mergeCell ref="N62:O62"/>
    <mergeCell ref="Q62:S62"/>
    <mergeCell ref="T62:U62"/>
    <mergeCell ref="N63:S63"/>
    <mergeCell ref="T63:U63"/>
    <mergeCell ref="A64:I64"/>
    <mergeCell ref="N64:U64"/>
    <mergeCell ref="A59:B59"/>
    <mergeCell ref="F59:H59"/>
    <mergeCell ref="N59:O59"/>
    <mergeCell ref="P59:Q59"/>
    <mergeCell ref="R59:T59"/>
    <mergeCell ref="A60:I60"/>
    <mergeCell ref="N60:U60"/>
    <mergeCell ref="A61:I61"/>
    <mergeCell ref="N61:U61"/>
    <mergeCell ref="A50:B58"/>
    <mergeCell ref="N50:O58"/>
    <mergeCell ref="P50:Q50"/>
    <mergeCell ref="P51:Q51"/>
    <mergeCell ref="P52:Q52"/>
    <mergeCell ref="P53:Q53"/>
    <mergeCell ref="P54:Q54"/>
    <mergeCell ref="P55:Q55"/>
    <mergeCell ref="P56:Q56"/>
    <mergeCell ref="P57:Q57"/>
    <mergeCell ref="P58:Q58"/>
    <mergeCell ref="A42:B42"/>
    <mergeCell ref="N42:O42"/>
    <mergeCell ref="P42:T42"/>
    <mergeCell ref="N43:Q43"/>
    <mergeCell ref="S43:T43"/>
    <mergeCell ref="N45:Q45"/>
    <mergeCell ref="S45:T45"/>
    <mergeCell ref="N49:O49"/>
    <mergeCell ref="P49:Q49"/>
    <mergeCell ref="A39:B39"/>
    <mergeCell ref="N39:O39"/>
    <mergeCell ref="P39:T39"/>
    <mergeCell ref="A40:B40"/>
    <mergeCell ref="N40:O40"/>
    <mergeCell ref="P40:T40"/>
    <mergeCell ref="A41:B41"/>
    <mergeCell ref="N41:O41"/>
    <mergeCell ref="P41:T41"/>
    <mergeCell ref="N34:T34"/>
    <mergeCell ref="A36:B36"/>
    <mergeCell ref="N36:O36"/>
    <mergeCell ref="P36:T36"/>
    <mergeCell ref="A37:B37"/>
    <mergeCell ref="N37:O37"/>
    <mergeCell ref="P37:T37"/>
    <mergeCell ref="F33:H36"/>
    <mergeCell ref="A38:B38"/>
    <mergeCell ref="N38:O38"/>
    <mergeCell ref="P38:T38"/>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A20:B20"/>
    <mergeCell ref="F20:G20"/>
    <mergeCell ref="N20:O20"/>
    <mergeCell ref="P20:Q20"/>
    <mergeCell ref="R20:S20"/>
    <mergeCell ref="A21:B21"/>
    <mergeCell ref="F21:G21"/>
    <mergeCell ref="N21:O21"/>
    <mergeCell ref="P21:Q21"/>
    <mergeCell ref="R21:S21"/>
    <mergeCell ref="A18:B18"/>
    <mergeCell ref="F18:G18"/>
    <mergeCell ref="N18:O18"/>
    <mergeCell ref="P18:Q18"/>
    <mergeCell ref="R18:S18"/>
    <mergeCell ref="A19:B19"/>
    <mergeCell ref="F19:G19"/>
    <mergeCell ref="N19:O19"/>
    <mergeCell ref="P19:Q19"/>
    <mergeCell ref="R19:S19"/>
    <mergeCell ref="A16:B16"/>
    <mergeCell ref="F16:G16"/>
    <mergeCell ref="N16:O16"/>
    <mergeCell ref="P16:Q16"/>
    <mergeCell ref="R16:S16"/>
    <mergeCell ref="A17:B17"/>
    <mergeCell ref="F17:G17"/>
    <mergeCell ref="N17:O17"/>
    <mergeCell ref="P17:Q17"/>
    <mergeCell ref="R17:S17"/>
    <mergeCell ref="A14:B14"/>
    <mergeCell ref="F14:G14"/>
    <mergeCell ref="N14:O14"/>
    <mergeCell ref="P14:Q14"/>
    <mergeCell ref="R14:S14"/>
    <mergeCell ref="A15:B15"/>
    <mergeCell ref="F15:G15"/>
    <mergeCell ref="N15:O15"/>
    <mergeCell ref="P15:Q15"/>
    <mergeCell ref="R15:S15"/>
    <mergeCell ref="A12:B12"/>
    <mergeCell ref="F12:G12"/>
    <mergeCell ref="N12:O12"/>
    <mergeCell ref="P12:Q12"/>
    <mergeCell ref="R12:S12"/>
    <mergeCell ref="A13:B13"/>
    <mergeCell ref="F13:G13"/>
    <mergeCell ref="N13:O13"/>
    <mergeCell ref="P13:Q13"/>
    <mergeCell ref="R13:S13"/>
    <mergeCell ref="N8:O8"/>
    <mergeCell ref="P8:Q8"/>
    <mergeCell ref="R8:S8"/>
    <mergeCell ref="T8:U8"/>
    <mergeCell ref="F10:G10"/>
    <mergeCell ref="R10:S10"/>
    <mergeCell ref="A11:B11"/>
    <mergeCell ref="F11:G11"/>
    <mergeCell ref="N11:O11"/>
    <mergeCell ref="P11:Q11"/>
    <mergeCell ref="R11:S11"/>
    <mergeCell ref="B1:I1"/>
    <mergeCell ref="O1:U1"/>
    <mergeCell ref="N2:U2"/>
    <mergeCell ref="N3:U3"/>
    <mergeCell ref="A4:B4"/>
    <mergeCell ref="C4:E4"/>
    <mergeCell ref="N4:O4"/>
    <mergeCell ref="P4:Q4"/>
    <mergeCell ref="A7:I7"/>
    <mergeCell ref="N7:U7"/>
  </mergeCells>
  <pageMargins left="0.1" right="0.1" top="0.5" bottom="0.5" header="0" footer="0.1"/>
  <pageSetup scale="70" fitToHeight="3" orientation="portrait" r:id="rId1"/>
  <headerFooter alignWithMargins="0">
    <oddFooter>&amp;R&amp;P of &amp;N</oddFooter>
  </headerFooter>
  <rowBreaks count="1" manualBreakCount="1">
    <brk id="138" max="16383" man="1"/>
  </rowBreaks>
  <colBreaks count="1" manualBreakCount="1">
    <brk id="9" max="1048575" man="1"/>
  </colBreaks>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tabColor rgb="FFCCFFCC"/>
  </sheetPr>
  <dimension ref="A1:U206"/>
  <sheetViews>
    <sheetView showGridLines="0" zoomScaleNormal="100" workbookViewId="0">
      <pane ySplit="1" topLeftCell="A14" activePane="bottomLeft" state="frozen"/>
      <selection activeCell="I9" sqref="I9"/>
      <selection pane="bottomLeft" activeCell="D58" sqref="D58"/>
    </sheetView>
  </sheetViews>
  <sheetFormatPr defaultRowHeight="15.75" x14ac:dyDescent="0.25"/>
  <cols>
    <col min="1" max="1" width="10.28515625" style="72"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72"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5">
        <v>50</v>
      </c>
      <c r="B1" s="441" t="s">
        <v>17</v>
      </c>
      <c r="C1" s="442"/>
      <c r="D1" s="442"/>
      <c r="E1" s="442"/>
      <c r="F1" s="442"/>
      <c r="G1" s="442"/>
      <c r="H1" s="442"/>
      <c r="I1" s="442"/>
      <c r="J1" s="157"/>
      <c r="K1" s="157"/>
      <c r="L1" s="157"/>
      <c r="N1" s="85">
        <f>A1</f>
        <v>50</v>
      </c>
      <c r="O1" s="527" t="s">
        <v>17</v>
      </c>
      <c r="P1" s="528"/>
      <c r="Q1" s="528"/>
      <c r="R1" s="528"/>
      <c r="S1" s="528"/>
      <c r="T1" s="528"/>
      <c r="U1" s="528"/>
    </row>
    <row r="2" spans="1:21" ht="21" x14ac:dyDescent="0.35">
      <c r="A2" s="1" t="s">
        <v>472</v>
      </c>
      <c r="B2" s="2"/>
      <c r="C2" s="2"/>
      <c r="D2" s="2"/>
      <c r="E2" s="2"/>
      <c r="F2" s="2"/>
      <c r="G2" s="2"/>
      <c r="H2" s="2"/>
      <c r="I2" s="2"/>
      <c r="N2" s="529" t="s">
        <v>23</v>
      </c>
      <c r="O2" s="529"/>
      <c r="P2" s="529"/>
      <c r="Q2" s="529"/>
      <c r="R2" s="529"/>
      <c r="S2" s="529"/>
      <c r="T2" s="529"/>
      <c r="U2" s="529"/>
    </row>
    <row r="3" spans="1:21" x14ac:dyDescent="0.25">
      <c r="A3" s="84" t="str">
        <f>'0664'!A3</f>
        <v>Based on the FLDOE 2022-23 FEFP Third Calculation</v>
      </c>
      <c r="N3" s="485" t="str">
        <f>A3</f>
        <v>Based on the FLDOE 2022-23 FEFP Third Calculation</v>
      </c>
      <c r="O3" s="485"/>
      <c r="P3" s="485"/>
      <c r="Q3" s="485"/>
      <c r="R3" s="485"/>
      <c r="S3" s="485"/>
      <c r="T3" s="485"/>
      <c r="U3" s="485"/>
    </row>
    <row r="4" spans="1:21" x14ac:dyDescent="0.25">
      <c r="A4" s="443" t="s">
        <v>0</v>
      </c>
      <c r="B4" s="443"/>
      <c r="C4" s="444" t="s">
        <v>9</v>
      </c>
      <c r="D4" s="444"/>
      <c r="E4" s="444"/>
      <c r="F4" s="4" t="str">
        <f>'0664'!F4</f>
        <v>Apr 2023</v>
      </c>
      <c r="G4" s="4"/>
      <c r="H4" s="4"/>
      <c r="I4" s="4"/>
      <c r="N4" s="530" t="s">
        <v>0</v>
      </c>
      <c r="O4" s="530"/>
      <c r="P4" s="531" t="str">
        <f>C4</f>
        <v>Palm Beach</v>
      </c>
      <c r="Q4" s="531"/>
      <c r="R4" s="5"/>
      <c r="S4" s="5"/>
      <c r="T4" s="5"/>
      <c r="U4" s="5"/>
    </row>
    <row r="5" spans="1:21" ht="12" customHeight="1" thickBot="1" x14ac:dyDescent="0.3">
      <c r="A5" s="262"/>
      <c r="B5" s="262"/>
      <c r="C5" s="253"/>
      <c r="D5" s="253"/>
      <c r="E5" s="253"/>
      <c r="F5" s="254"/>
      <c r="G5" s="254"/>
      <c r="H5" s="254"/>
      <c r="I5" s="254"/>
      <c r="N5" s="86"/>
      <c r="O5" s="86"/>
      <c r="P5" s="6"/>
      <c r="Q5" s="6"/>
      <c r="R5" s="5"/>
      <c r="S5" s="5"/>
      <c r="T5" s="5"/>
      <c r="U5" s="5"/>
    </row>
    <row r="6" spans="1:21" ht="12" customHeight="1" x14ac:dyDescent="0.25">
      <c r="A6" s="150"/>
      <c r="B6" s="150"/>
      <c r="C6" s="261"/>
      <c r="D6" s="261"/>
      <c r="E6" s="261"/>
      <c r="F6" s="4"/>
      <c r="G6" s="4"/>
      <c r="H6" s="4"/>
      <c r="I6" s="4"/>
      <c r="N6" s="86"/>
      <c r="O6" s="86"/>
      <c r="P6" s="6"/>
      <c r="Q6" s="6"/>
      <c r="R6" s="5"/>
      <c r="S6" s="5"/>
      <c r="T6" s="5"/>
      <c r="U6" s="5"/>
    </row>
    <row r="7" spans="1:21" x14ac:dyDescent="0.25">
      <c r="A7" s="445" t="str">
        <f>'0664'!A7:I7</f>
        <v>1.   2022-23 FEFP State and Local Funding</v>
      </c>
      <c r="B7" s="533"/>
      <c r="C7" s="533"/>
      <c r="D7" s="533"/>
      <c r="E7" s="533"/>
      <c r="F7" s="533"/>
      <c r="G7" s="533"/>
      <c r="H7" s="533"/>
      <c r="I7" s="533"/>
      <c r="N7" s="530" t="s">
        <v>86</v>
      </c>
      <c r="O7" s="530"/>
      <c r="P7" s="530"/>
      <c r="Q7" s="530"/>
      <c r="R7" s="530"/>
      <c r="S7" s="530"/>
      <c r="T7" s="530"/>
      <c r="U7" s="530"/>
    </row>
    <row r="8" spans="1:21" x14ac:dyDescent="0.25">
      <c r="A8" s="87"/>
      <c r="B8" s="88" t="s">
        <v>123</v>
      </c>
      <c r="C8" s="334">
        <f>'0664'!C8</f>
        <v>4587.3999999999996</v>
      </c>
      <c r="D8" s="89"/>
      <c r="E8" s="90"/>
      <c r="F8" s="87"/>
      <c r="G8" s="88" t="s">
        <v>122</v>
      </c>
      <c r="H8" s="320">
        <f>'0664'!H8</f>
        <v>1.0438000000000001</v>
      </c>
      <c r="I8" s="78"/>
      <c r="N8" s="534" t="s">
        <v>10</v>
      </c>
      <c r="O8" s="534"/>
      <c r="P8" s="535">
        <v>4154.45</v>
      </c>
      <c r="Q8" s="535"/>
      <c r="R8" s="518" t="s">
        <v>11</v>
      </c>
      <c r="S8" s="518"/>
      <c r="T8" s="519">
        <f>H8</f>
        <v>1.0438000000000001</v>
      </c>
      <c r="U8" s="519"/>
    </row>
    <row r="9" spans="1:21" x14ac:dyDescent="0.25">
      <c r="A9" s="7"/>
      <c r="B9" s="44" t="s">
        <v>370</v>
      </c>
      <c r="C9" s="372" t="s">
        <v>370</v>
      </c>
      <c r="D9" s="372" t="s">
        <v>370</v>
      </c>
      <c r="E9" s="8"/>
      <c r="F9" s="9"/>
      <c r="G9" s="9"/>
      <c r="H9" s="10"/>
      <c r="I9" s="340" t="str">
        <f>'0664'!I9</f>
        <v>2022-23</v>
      </c>
      <c r="N9" s="12"/>
      <c r="O9" s="12"/>
      <c r="P9" s="13"/>
      <c r="Q9" s="13"/>
      <c r="R9" s="14"/>
      <c r="S9" s="14"/>
      <c r="T9" s="15"/>
      <c r="U9" s="405" t="s">
        <v>405</v>
      </c>
    </row>
    <row r="10" spans="1:21" x14ac:dyDescent="0.25">
      <c r="A10" s="7"/>
      <c r="B10" s="7"/>
      <c r="C10" s="91" t="s">
        <v>463</v>
      </c>
      <c r="D10" s="371" t="s">
        <v>464</v>
      </c>
      <c r="E10" s="92" t="s">
        <v>8</v>
      </c>
      <c r="F10" s="446" t="s">
        <v>1</v>
      </c>
      <c r="G10" s="446"/>
      <c r="H10" s="10" t="s">
        <v>73</v>
      </c>
      <c r="I10" s="11" t="s">
        <v>36</v>
      </c>
      <c r="N10" s="12"/>
      <c r="O10" s="12"/>
      <c r="P10" s="13"/>
      <c r="Q10" s="13"/>
      <c r="R10" s="520" t="s">
        <v>1</v>
      </c>
      <c r="S10" s="520"/>
      <c r="T10" s="15" t="s">
        <v>73</v>
      </c>
      <c r="U10" s="16" t="s">
        <v>36</v>
      </c>
    </row>
    <row r="11" spans="1:21" x14ac:dyDescent="0.25">
      <c r="A11" s="447" t="s">
        <v>1</v>
      </c>
      <c r="B11" s="447"/>
      <c r="C11" s="362" t="s">
        <v>2</v>
      </c>
      <c r="D11" s="362" t="s">
        <v>2</v>
      </c>
      <c r="E11" s="362" t="s">
        <v>2</v>
      </c>
      <c r="F11" s="448" t="s">
        <v>76</v>
      </c>
      <c r="G11" s="448"/>
      <c r="H11" s="17" t="s">
        <v>72</v>
      </c>
      <c r="I11" s="18" t="s">
        <v>75</v>
      </c>
      <c r="N11" s="510" t="s">
        <v>1</v>
      </c>
      <c r="O11" s="510"/>
      <c r="P11" s="521" t="s">
        <v>24</v>
      </c>
      <c r="Q11" s="521"/>
      <c r="R11" s="522" t="s">
        <v>76</v>
      </c>
      <c r="S11" s="522"/>
      <c r="T11" s="19" t="s">
        <v>72</v>
      </c>
      <c r="U11" s="20" t="s">
        <v>75</v>
      </c>
    </row>
    <row r="12" spans="1:21" x14ac:dyDescent="0.25">
      <c r="A12" s="449" t="s">
        <v>47</v>
      </c>
      <c r="B12" s="449"/>
      <c r="C12" s="94"/>
      <c r="D12" s="94"/>
      <c r="E12" s="95" t="s">
        <v>48</v>
      </c>
      <c r="F12" s="450" t="s">
        <v>49</v>
      </c>
      <c r="G12" s="450"/>
      <c r="H12" s="21" t="s">
        <v>50</v>
      </c>
      <c r="I12" s="22" t="s">
        <v>51</v>
      </c>
      <c r="N12" s="523" t="s">
        <v>47</v>
      </c>
      <c r="O12" s="523"/>
      <c r="P12" s="524" t="s">
        <v>48</v>
      </c>
      <c r="Q12" s="524"/>
      <c r="R12" s="525" t="s">
        <v>49</v>
      </c>
      <c r="S12" s="525"/>
      <c r="T12" s="23" t="s">
        <v>50</v>
      </c>
      <c r="U12" s="24" t="s">
        <v>51</v>
      </c>
    </row>
    <row r="13" spans="1:21" x14ac:dyDescent="0.25">
      <c r="A13" s="451" t="s">
        <v>29</v>
      </c>
      <c r="B13" s="451"/>
      <c r="C13" s="165">
        <v>0</v>
      </c>
      <c r="D13" s="163">
        <v>0</v>
      </c>
      <c r="E13" s="210">
        <f>IF(D$29=0,C13*2,C13+D13)</f>
        <v>0</v>
      </c>
      <c r="F13" s="537">
        <f>'0664'!F13:G13</f>
        <v>1.1259999999999999</v>
      </c>
      <c r="G13" s="537"/>
      <c r="H13" s="167">
        <f>ROUND(E13*F13,4)</f>
        <v>0</v>
      </c>
      <c r="I13" s="119">
        <f t="shared" ref="I13:I28" si="0">ROUND(ROUND(H13*$C$8,4)*($H$8),2)</f>
        <v>0</v>
      </c>
      <c r="N13" s="512" t="s">
        <v>29</v>
      </c>
      <c r="O13" s="512"/>
      <c r="P13" s="513">
        <f t="shared" ref="P13:P28" si="1">IF($H$120=1,E13,0)</f>
        <v>0</v>
      </c>
      <c r="Q13" s="513"/>
      <c r="R13" s="526">
        <v>1</v>
      </c>
      <c r="S13" s="526"/>
      <c r="T13" s="98">
        <f>ROUND(P13*R13,4)</f>
        <v>0</v>
      </c>
      <c r="U13" s="99">
        <f t="shared" ref="U13:U28" si="2">ROUND(ROUND(T13*$C$8,4)*($H$8),0)</f>
        <v>0</v>
      </c>
    </row>
    <row r="14" spans="1:21" x14ac:dyDescent="0.25">
      <c r="A14" s="453" t="s">
        <v>30</v>
      </c>
      <c r="B14" s="453"/>
      <c r="C14" s="165">
        <v>0</v>
      </c>
      <c r="D14" s="165">
        <v>0</v>
      </c>
      <c r="E14" s="125">
        <f t="shared" ref="E14:E28" si="3">IF(D$29=0,C14*2,C14+D14)</f>
        <v>0</v>
      </c>
      <c r="F14" s="532">
        <f>'0664'!F14:G14</f>
        <v>1.1259999999999999</v>
      </c>
      <c r="G14" s="532"/>
      <c r="H14" s="83">
        <f t="shared" ref="H14:H28" si="4">ROUND(E14*F14,4)</f>
        <v>0</v>
      </c>
      <c r="I14" s="104">
        <f t="shared" si="0"/>
        <v>0</v>
      </c>
      <c r="J14" s="68" t="str">
        <f>IF(ROUND(E14,2)=ROUND(SUM(E50:E52),2)," ","CHECK PK-3 LINES BELOW")</f>
        <v xml:space="preserve"> </v>
      </c>
      <c r="N14" s="479" t="s">
        <v>30</v>
      </c>
      <c r="O14" s="479"/>
      <c r="P14" s="513">
        <f t="shared" si="1"/>
        <v>0</v>
      </c>
      <c r="Q14" s="513"/>
      <c r="R14" s="517">
        <v>1</v>
      </c>
      <c r="S14" s="517"/>
      <c r="T14" s="98">
        <f t="shared" ref="T14:T28" si="5">ROUND(P14*R14,4)</f>
        <v>0</v>
      </c>
      <c r="U14" s="99">
        <f t="shared" si="2"/>
        <v>0</v>
      </c>
    </row>
    <row r="15" spans="1:21" x14ac:dyDescent="0.25">
      <c r="A15" s="453" t="s">
        <v>31</v>
      </c>
      <c r="B15" s="453"/>
      <c r="C15" s="165">
        <v>0</v>
      </c>
      <c r="D15" s="165">
        <v>0</v>
      </c>
      <c r="E15" s="125">
        <f t="shared" si="3"/>
        <v>0</v>
      </c>
      <c r="F15" s="532">
        <f>'0664'!F15:G15</f>
        <v>1</v>
      </c>
      <c r="G15" s="532"/>
      <c r="H15" s="83">
        <f t="shared" si="4"/>
        <v>0</v>
      </c>
      <c r="I15" s="104">
        <f t="shared" si="0"/>
        <v>0</v>
      </c>
      <c r="N15" s="479" t="s">
        <v>31</v>
      </c>
      <c r="O15" s="479"/>
      <c r="P15" s="513">
        <f t="shared" si="1"/>
        <v>0</v>
      </c>
      <c r="Q15" s="513"/>
      <c r="R15" s="517">
        <v>1</v>
      </c>
      <c r="S15" s="517"/>
      <c r="T15" s="98">
        <f t="shared" si="5"/>
        <v>0</v>
      </c>
      <c r="U15" s="99">
        <f t="shared" si="2"/>
        <v>0</v>
      </c>
    </row>
    <row r="16" spans="1:21" x14ac:dyDescent="0.25">
      <c r="A16" s="453" t="s">
        <v>32</v>
      </c>
      <c r="B16" s="453"/>
      <c r="C16" s="165">
        <v>0</v>
      </c>
      <c r="D16" s="165">
        <v>0</v>
      </c>
      <c r="E16" s="125">
        <f t="shared" si="3"/>
        <v>0</v>
      </c>
      <c r="F16" s="532">
        <f>'0664'!F16:G16</f>
        <v>1</v>
      </c>
      <c r="G16" s="532"/>
      <c r="H16" s="83">
        <f t="shared" si="4"/>
        <v>0</v>
      </c>
      <c r="I16" s="104">
        <f t="shared" si="0"/>
        <v>0</v>
      </c>
      <c r="J16" s="68" t="str">
        <f>IF(ROUND(E16,2)=ROUND(SUM(E53:E55),2)," ","CHECK 4-8 LINES BELOW")</f>
        <v xml:space="preserve"> </v>
      </c>
      <c r="N16" s="479" t="s">
        <v>32</v>
      </c>
      <c r="O16" s="479"/>
      <c r="P16" s="513">
        <f t="shared" si="1"/>
        <v>0</v>
      </c>
      <c r="Q16" s="513"/>
      <c r="R16" s="517">
        <v>1</v>
      </c>
      <c r="S16" s="517"/>
      <c r="T16" s="98">
        <f t="shared" si="5"/>
        <v>0</v>
      </c>
      <c r="U16" s="99">
        <f t="shared" si="2"/>
        <v>0</v>
      </c>
    </row>
    <row r="17" spans="1:21" x14ac:dyDescent="0.25">
      <c r="A17" s="453" t="s">
        <v>33</v>
      </c>
      <c r="B17" s="453"/>
      <c r="C17" s="165">
        <v>0</v>
      </c>
      <c r="D17" s="165">
        <v>0</v>
      </c>
      <c r="E17" s="125">
        <f t="shared" si="3"/>
        <v>0</v>
      </c>
      <c r="F17" s="532">
        <f>'0664'!F17:G17</f>
        <v>0.999</v>
      </c>
      <c r="G17" s="532"/>
      <c r="H17" s="83">
        <f t="shared" si="4"/>
        <v>0</v>
      </c>
      <c r="I17" s="104">
        <f t="shared" si="0"/>
        <v>0</v>
      </c>
      <c r="N17" s="479" t="s">
        <v>33</v>
      </c>
      <c r="O17" s="479"/>
      <c r="P17" s="513">
        <f t="shared" si="1"/>
        <v>0</v>
      </c>
      <c r="Q17" s="513"/>
      <c r="R17" s="517">
        <v>1</v>
      </c>
      <c r="S17" s="517"/>
      <c r="T17" s="98">
        <f t="shared" si="5"/>
        <v>0</v>
      </c>
      <c r="U17" s="99">
        <f t="shared" si="2"/>
        <v>0</v>
      </c>
    </row>
    <row r="18" spans="1:21" x14ac:dyDescent="0.25">
      <c r="A18" s="453" t="s">
        <v>34</v>
      </c>
      <c r="B18" s="453"/>
      <c r="C18" s="165">
        <v>23.5</v>
      </c>
      <c r="D18" s="165">
        <v>25.94</v>
      </c>
      <c r="E18" s="125">
        <f t="shared" si="3"/>
        <v>49.44</v>
      </c>
      <c r="F18" s="532">
        <f>'0664'!F18:G18</f>
        <v>0.999</v>
      </c>
      <c r="G18" s="532"/>
      <c r="H18" s="83">
        <f t="shared" si="4"/>
        <v>49.390599999999999</v>
      </c>
      <c r="I18" s="104">
        <f t="shared" si="0"/>
        <v>236498.4</v>
      </c>
      <c r="J18" s="68" t="str">
        <f>IF(ROUND(E18,2)=ROUND(SUM(E56:E58),2)," ","CHECK 4-8 LINES BELOW")</f>
        <v xml:space="preserve"> </v>
      </c>
      <c r="N18" s="479" t="s">
        <v>34</v>
      </c>
      <c r="O18" s="479"/>
      <c r="P18" s="513">
        <f t="shared" si="1"/>
        <v>49.44</v>
      </c>
      <c r="Q18" s="513"/>
      <c r="R18" s="517">
        <v>1</v>
      </c>
      <c r="S18" s="517"/>
      <c r="T18" s="98">
        <f t="shared" si="5"/>
        <v>49.44</v>
      </c>
      <c r="U18" s="101">
        <f t="shared" si="2"/>
        <v>236735</v>
      </c>
    </row>
    <row r="19" spans="1:21" x14ac:dyDescent="0.25">
      <c r="A19" s="453" t="s">
        <v>108</v>
      </c>
      <c r="B19" s="453"/>
      <c r="C19" s="165">
        <v>0</v>
      </c>
      <c r="D19" s="165">
        <v>0</v>
      </c>
      <c r="E19" s="125">
        <f t="shared" si="3"/>
        <v>0</v>
      </c>
      <c r="F19" s="532">
        <f>'0664'!F19:G19</f>
        <v>3.6739999999999999</v>
      </c>
      <c r="G19" s="532"/>
      <c r="H19" s="83">
        <f t="shared" si="4"/>
        <v>0</v>
      </c>
      <c r="I19" s="104">
        <f t="shared" si="0"/>
        <v>0</v>
      </c>
      <c r="N19" s="479" t="s">
        <v>108</v>
      </c>
      <c r="O19" s="479"/>
      <c r="P19" s="513">
        <f t="shared" si="1"/>
        <v>0</v>
      </c>
      <c r="Q19" s="513"/>
      <c r="R19" s="517">
        <v>1</v>
      </c>
      <c r="S19" s="517"/>
      <c r="T19" s="98">
        <f t="shared" si="5"/>
        <v>0</v>
      </c>
      <c r="U19" s="99">
        <f t="shared" si="2"/>
        <v>0</v>
      </c>
    </row>
    <row r="20" spans="1:21" x14ac:dyDescent="0.25">
      <c r="A20" s="453" t="s">
        <v>109</v>
      </c>
      <c r="B20" s="453"/>
      <c r="C20" s="165">
        <v>0</v>
      </c>
      <c r="D20" s="165">
        <v>0</v>
      </c>
      <c r="E20" s="125">
        <f t="shared" si="3"/>
        <v>0</v>
      </c>
      <c r="F20" s="532">
        <f>'0664'!F20:G20</f>
        <v>3.6739999999999999</v>
      </c>
      <c r="G20" s="532"/>
      <c r="H20" s="83">
        <f t="shared" si="4"/>
        <v>0</v>
      </c>
      <c r="I20" s="104">
        <f t="shared" si="0"/>
        <v>0</v>
      </c>
      <c r="N20" s="479" t="s">
        <v>109</v>
      </c>
      <c r="O20" s="479"/>
      <c r="P20" s="513">
        <f t="shared" si="1"/>
        <v>0</v>
      </c>
      <c r="Q20" s="513"/>
      <c r="R20" s="517">
        <v>1</v>
      </c>
      <c r="S20" s="517"/>
      <c r="T20" s="98">
        <f t="shared" si="5"/>
        <v>0</v>
      </c>
      <c r="U20" s="99">
        <f t="shared" si="2"/>
        <v>0</v>
      </c>
    </row>
    <row r="21" spans="1:21" x14ac:dyDescent="0.25">
      <c r="A21" s="453" t="s">
        <v>110</v>
      </c>
      <c r="B21" s="453"/>
      <c r="C21" s="165">
        <v>0</v>
      </c>
      <c r="D21" s="165">
        <v>0</v>
      </c>
      <c r="E21" s="125">
        <f t="shared" si="3"/>
        <v>0</v>
      </c>
      <c r="F21" s="532">
        <f>'0664'!F21:G21</f>
        <v>3.6739999999999999</v>
      </c>
      <c r="G21" s="532"/>
      <c r="H21" s="83">
        <f t="shared" si="4"/>
        <v>0</v>
      </c>
      <c r="I21" s="104">
        <f t="shared" si="0"/>
        <v>0</v>
      </c>
      <c r="N21" s="479" t="s">
        <v>110</v>
      </c>
      <c r="O21" s="479"/>
      <c r="P21" s="513">
        <f t="shared" si="1"/>
        <v>0</v>
      </c>
      <c r="Q21" s="513"/>
      <c r="R21" s="517">
        <v>1</v>
      </c>
      <c r="S21" s="517"/>
      <c r="T21" s="98">
        <f t="shared" si="5"/>
        <v>0</v>
      </c>
      <c r="U21" s="99">
        <f t="shared" si="2"/>
        <v>0</v>
      </c>
    </row>
    <row r="22" spans="1:21" x14ac:dyDescent="0.25">
      <c r="A22" s="453" t="s">
        <v>111</v>
      </c>
      <c r="B22" s="453"/>
      <c r="C22" s="165">
        <v>0</v>
      </c>
      <c r="D22" s="165">
        <v>0</v>
      </c>
      <c r="E22" s="125">
        <f t="shared" si="3"/>
        <v>0</v>
      </c>
      <c r="F22" s="532">
        <f>'0664'!F22:G22</f>
        <v>5.4009999999999998</v>
      </c>
      <c r="G22" s="532"/>
      <c r="H22" s="83">
        <f t="shared" si="4"/>
        <v>0</v>
      </c>
      <c r="I22" s="104">
        <f t="shared" si="0"/>
        <v>0</v>
      </c>
      <c r="N22" s="479" t="s">
        <v>111</v>
      </c>
      <c r="O22" s="479"/>
      <c r="P22" s="513">
        <f t="shared" si="1"/>
        <v>0</v>
      </c>
      <c r="Q22" s="513"/>
      <c r="R22" s="517">
        <v>1</v>
      </c>
      <c r="S22" s="517"/>
      <c r="T22" s="98">
        <f t="shared" si="5"/>
        <v>0</v>
      </c>
      <c r="U22" s="99">
        <f t="shared" si="2"/>
        <v>0</v>
      </c>
    </row>
    <row r="23" spans="1:21" x14ac:dyDescent="0.25">
      <c r="A23" s="453" t="s">
        <v>112</v>
      </c>
      <c r="B23" s="453"/>
      <c r="C23" s="165">
        <v>0</v>
      </c>
      <c r="D23" s="165">
        <v>0</v>
      </c>
      <c r="E23" s="125">
        <f t="shared" si="3"/>
        <v>0</v>
      </c>
      <c r="F23" s="532">
        <f>'0664'!F23:G23</f>
        <v>5.4009999999999998</v>
      </c>
      <c r="G23" s="532"/>
      <c r="H23" s="83">
        <f t="shared" si="4"/>
        <v>0</v>
      </c>
      <c r="I23" s="104">
        <f t="shared" si="0"/>
        <v>0</v>
      </c>
      <c r="N23" s="479" t="s">
        <v>112</v>
      </c>
      <c r="O23" s="479"/>
      <c r="P23" s="513">
        <f t="shared" si="1"/>
        <v>0</v>
      </c>
      <c r="Q23" s="513"/>
      <c r="R23" s="517">
        <v>1</v>
      </c>
      <c r="S23" s="517"/>
      <c r="T23" s="98">
        <f t="shared" si="5"/>
        <v>0</v>
      </c>
      <c r="U23" s="99">
        <f t="shared" si="2"/>
        <v>0</v>
      </c>
    </row>
    <row r="24" spans="1:21" x14ac:dyDescent="0.25">
      <c r="A24" s="453" t="s">
        <v>113</v>
      </c>
      <c r="B24" s="453"/>
      <c r="C24" s="165">
        <v>0</v>
      </c>
      <c r="D24" s="165">
        <v>0</v>
      </c>
      <c r="E24" s="125">
        <f t="shared" si="3"/>
        <v>0</v>
      </c>
      <c r="F24" s="532">
        <f>'0664'!F24:G24</f>
        <v>5.4009999999999998</v>
      </c>
      <c r="G24" s="532"/>
      <c r="H24" s="83">
        <f t="shared" si="4"/>
        <v>0</v>
      </c>
      <c r="I24" s="104">
        <f t="shared" si="0"/>
        <v>0</v>
      </c>
      <c r="N24" s="479" t="s">
        <v>113</v>
      </c>
      <c r="O24" s="479"/>
      <c r="P24" s="513">
        <f t="shared" si="1"/>
        <v>0</v>
      </c>
      <c r="Q24" s="513"/>
      <c r="R24" s="517">
        <v>1</v>
      </c>
      <c r="S24" s="517"/>
      <c r="T24" s="98">
        <f t="shared" si="5"/>
        <v>0</v>
      </c>
      <c r="U24" s="99">
        <f t="shared" si="2"/>
        <v>0</v>
      </c>
    </row>
    <row r="25" spans="1:21" x14ac:dyDescent="0.25">
      <c r="A25" s="453" t="s">
        <v>114</v>
      </c>
      <c r="B25" s="453"/>
      <c r="C25" s="165">
        <v>0</v>
      </c>
      <c r="D25" s="165">
        <v>0</v>
      </c>
      <c r="E25" s="125">
        <f t="shared" si="3"/>
        <v>0</v>
      </c>
      <c r="F25" s="532">
        <f>'0664'!F25:G25</f>
        <v>1.206</v>
      </c>
      <c r="G25" s="532"/>
      <c r="H25" s="83">
        <f t="shared" si="4"/>
        <v>0</v>
      </c>
      <c r="I25" s="104">
        <f t="shared" si="0"/>
        <v>0</v>
      </c>
      <c r="N25" s="479" t="s">
        <v>114</v>
      </c>
      <c r="O25" s="479"/>
      <c r="P25" s="513">
        <f t="shared" si="1"/>
        <v>0</v>
      </c>
      <c r="Q25" s="513"/>
      <c r="R25" s="517">
        <v>1</v>
      </c>
      <c r="S25" s="517"/>
      <c r="T25" s="98">
        <f t="shared" si="5"/>
        <v>0</v>
      </c>
      <c r="U25" s="99">
        <f t="shared" si="2"/>
        <v>0</v>
      </c>
    </row>
    <row r="26" spans="1:21" x14ac:dyDescent="0.25">
      <c r="A26" s="453" t="s">
        <v>115</v>
      </c>
      <c r="B26" s="453"/>
      <c r="C26" s="165">
        <v>0</v>
      </c>
      <c r="D26" s="165">
        <v>0</v>
      </c>
      <c r="E26" s="125">
        <f t="shared" si="3"/>
        <v>0</v>
      </c>
      <c r="F26" s="532">
        <f>'0664'!F26:G26</f>
        <v>1.206</v>
      </c>
      <c r="G26" s="532"/>
      <c r="H26" s="83">
        <f t="shared" si="4"/>
        <v>0</v>
      </c>
      <c r="I26" s="104">
        <f t="shared" si="0"/>
        <v>0</v>
      </c>
      <c r="N26" s="479" t="s">
        <v>115</v>
      </c>
      <c r="O26" s="479"/>
      <c r="P26" s="513">
        <f t="shared" si="1"/>
        <v>0</v>
      </c>
      <c r="Q26" s="513"/>
      <c r="R26" s="517">
        <v>1</v>
      </c>
      <c r="S26" s="517"/>
      <c r="T26" s="98">
        <f t="shared" si="5"/>
        <v>0</v>
      </c>
      <c r="U26" s="99">
        <f t="shared" si="2"/>
        <v>0</v>
      </c>
    </row>
    <row r="27" spans="1:21" x14ac:dyDescent="0.25">
      <c r="A27" s="453" t="s">
        <v>116</v>
      </c>
      <c r="B27" s="453"/>
      <c r="C27" s="165">
        <v>0</v>
      </c>
      <c r="D27" s="165">
        <v>0</v>
      </c>
      <c r="E27" s="125">
        <f t="shared" si="3"/>
        <v>0</v>
      </c>
      <c r="F27" s="532">
        <f>'0664'!F27:G27</f>
        <v>1.206</v>
      </c>
      <c r="G27" s="532"/>
      <c r="H27" s="83">
        <f t="shared" si="4"/>
        <v>0</v>
      </c>
      <c r="I27" s="104">
        <f t="shared" si="0"/>
        <v>0</v>
      </c>
      <c r="N27" s="479" t="s">
        <v>116</v>
      </c>
      <c r="O27" s="479"/>
      <c r="P27" s="513">
        <f t="shared" si="1"/>
        <v>0</v>
      </c>
      <c r="Q27" s="513"/>
      <c r="R27" s="517">
        <v>1</v>
      </c>
      <c r="S27" s="517"/>
      <c r="T27" s="98">
        <f t="shared" si="5"/>
        <v>0</v>
      </c>
      <c r="U27" s="99">
        <f t="shared" si="2"/>
        <v>0</v>
      </c>
    </row>
    <row r="28" spans="1:21" x14ac:dyDescent="0.25">
      <c r="A28" s="453" t="s">
        <v>117</v>
      </c>
      <c r="B28" s="453"/>
      <c r="C28" s="116">
        <v>0</v>
      </c>
      <c r="D28" s="116">
        <v>0</v>
      </c>
      <c r="E28" s="177">
        <f t="shared" si="3"/>
        <v>0</v>
      </c>
      <c r="F28" s="532">
        <f>'0664'!F28:G28</f>
        <v>0.999</v>
      </c>
      <c r="G28" s="532"/>
      <c r="H28" s="96">
        <f t="shared" si="4"/>
        <v>0</v>
      </c>
      <c r="I28" s="97">
        <f t="shared" si="0"/>
        <v>0</v>
      </c>
      <c r="N28" s="482" t="s">
        <v>117</v>
      </c>
      <c r="O28" s="482"/>
      <c r="P28" s="513">
        <f t="shared" si="1"/>
        <v>0</v>
      </c>
      <c r="Q28" s="513"/>
      <c r="R28" s="514">
        <v>1</v>
      </c>
      <c r="S28" s="514"/>
      <c r="T28" s="98">
        <f t="shared" si="5"/>
        <v>0</v>
      </c>
      <c r="U28" s="99">
        <f t="shared" si="2"/>
        <v>0</v>
      </c>
    </row>
    <row r="29" spans="1:21" x14ac:dyDescent="0.25">
      <c r="A29" s="461" t="s">
        <v>5</v>
      </c>
      <c r="B29" s="461"/>
      <c r="C29" s="97">
        <f>SUM(C13:C28)</f>
        <v>23.5</v>
      </c>
      <c r="D29" s="97">
        <f>SUM(D13:D28)</f>
        <v>25.94</v>
      </c>
      <c r="E29" s="97">
        <f>SUM(E13:E28)</f>
        <v>49.44</v>
      </c>
      <c r="F29" s="457"/>
      <c r="G29" s="457"/>
      <c r="H29" s="102">
        <f>SUM(H13:H28)</f>
        <v>49.390599999999999</v>
      </c>
      <c r="I29" s="97">
        <f>SUM(I13:I28)</f>
        <v>236498.4</v>
      </c>
      <c r="N29" s="515" t="s">
        <v>5</v>
      </c>
      <c r="O29" s="515"/>
      <c r="P29" s="516">
        <f>SUM(P13:P28)</f>
        <v>49.44</v>
      </c>
      <c r="Q29" s="516"/>
      <c r="R29" s="508"/>
      <c r="S29" s="508"/>
      <c r="T29" s="103">
        <f>SUM(T13:T28)</f>
        <v>49.44</v>
      </c>
      <c r="U29" s="99">
        <f>SUM(U13:U28)</f>
        <v>236735</v>
      </c>
    </row>
    <row r="30" spans="1:21" x14ac:dyDescent="0.25">
      <c r="A30" s="27"/>
      <c r="B30" s="27"/>
      <c r="C30" s="104"/>
      <c r="D30" s="104"/>
      <c r="E30" s="104"/>
      <c r="F30" s="28"/>
      <c r="G30" s="28"/>
      <c r="H30" s="83"/>
      <c r="I30" s="104"/>
      <c r="N30" s="29"/>
      <c r="O30" s="29"/>
      <c r="P30" s="30"/>
      <c r="Q30" s="30"/>
      <c r="R30" s="31"/>
      <c r="S30" s="31"/>
      <c r="T30" s="105"/>
      <c r="U30" s="106"/>
    </row>
    <row r="31" spans="1:21" x14ac:dyDescent="0.25">
      <c r="A31" s="168" t="s">
        <v>97</v>
      </c>
      <c r="B31" s="27"/>
      <c r="C31" s="104"/>
      <c r="D31" s="104"/>
      <c r="E31" s="104"/>
      <c r="F31" s="28"/>
      <c r="G31" s="28"/>
      <c r="H31" s="83"/>
      <c r="I31" s="104"/>
      <c r="N31" s="29"/>
      <c r="O31" s="29"/>
      <c r="P31" s="30"/>
      <c r="Q31" s="30"/>
      <c r="R31" s="31"/>
      <c r="S31" s="31"/>
      <c r="T31" s="105"/>
      <c r="U31" s="106"/>
    </row>
    <row r="32" spans="1:21" hidden="1" x14ac:dyDescent="0.25">
      <c r="A32" s="168"/>
      <c r="B32" s="27"/>
      <c r="C32" s="104"/>
      <c r="D32" s="104"/>
      <c r="E32" s="104"/>
      <c r="F32" s="28"/>
      <c r="G32" s="28"/>
      <c r="H32" s="83"/>
      <c r="I32" s="104"/>
      <c r="N32" s="29"/>
      <c r="O32" s="29"/>
      <c r="P32" s="30"/>
      <c r="Q32" s="30"/>
      <c r="R32" s="31"/>
      <c r="S32" s="31"/>
      <c r="T32" s="105"/>
      <c r="U32" s="106"/>
    </row>
    <row r="33" spans="1:21" hidden="1" x14ac:dyDescent="0.25">
      <c r="A33" s="168"/>
      <c r="B33" s="27"/>
      <c r="C33" s="104"/>
      <c r="D33" s="104"/>
      <c r="E33" s="104"/>
      <c r="F33" s="541" t="s">
        <v>282</v>
      </c>
      <c r="G33" s="541"/>
      <c r="H33" s="541"/>
      <c r="I33" s="104"/>
      <c r="N33" s="29"/>
      <c r="O33" s="29"/>
      <c r="P33" s="30"/>
      <c r="Q33" s="30"/>
      <c r="R33" s="31"/>
      <c r="S33" s="31"/>
      <c r="T33" s="105"/>
      <c r="U33" s="106"/>
    </row>
    <row r="34" spans="1:21" hidden="1" x14ac:dyDescent="0.25">
      <c r="A34" s="3"/>
      <c r="B34" s="72"/>
      <c r="C34" s="72"/>
      <c r="D34" s="72"/>
      <c r="E34" s="72"/>
      <c r="F34" s="541"/>
      <c r="G34" s="541"/>
      <c r="H34" s="541"/>
      <c r="I34" s="25" t="s">
        <v>74</v>
      </c>
      <c r="N34" s="485" t="s">
        <v>35</v>
      </c>
      <c r="O34" s="485"/>
      <c r="P34" s="485"/>
      <c r="Q34" s="485"/>
      <c r="R34" s="485"/>
      <c r="S34" s="485"/>
      <c r="T34" s="485"/>
      <c r="U34" s="26" t="s">
        <v>74</v>
      </c>
    </row>
    <row r="35" spans="1:21" hidden="1" x14ac:dyDescent="0.25">
      <c r="A35" s="27"/>
      <c r="B35" s="27"/>
      <c r="C35" s="91" t="s">
        <v>124</v>
      </c>
      <c r="D35" s="91" t="s">
        <v>125</v>
      </c>
      <c r="E35" s="92" t="s">
        <v>8</v>
      </c>
      <c r="F35" s="541"/>
      <c r="G35" s="541"/>
      <c r="H35" s="541"/>
      <c r="I35" s="25" t="s">
        <v>36</v>
      </c>
      <c r="N35" s="29"/>
      <c r="O35" s="29"/>
      <c r="P35" s="30"/>
      <c r="Q35" s="30"/>
      <c r="R35" s="31"/>
      <c r="S35" s="31"/>
      <c r="T35" s="105"/>
      <c r="U35" s="26" t="s">
        <v>36</v>
      </c>
    </row>
    <row r="36" spans="1:21" hidden="1" x14ac:dyDescent="0.25">
      <c r="A36" s="447" t="s">
        <v>63</v>
      </c>
      <c r="B36" s="447"/>
      <c r="C36" s="93" t="s">
        <v>2</v>
      </c>
      <c r="D36" s="93" t="s">
        <v>2</v>
      </c>
      <c r="E36" s="93" t="s">
        <v>2</v>
      </c>
      <c r="F36" s="542"/>
      <c r="G36" s="542"/>
      <c r="H36" s="542"/>
      <c r="I36" s="32" t="s">
        <v>75</v>
      </c>
      <c r="N36" s="510" t="s">
        <v>63</v>
      </c>
      <c r="O36" s="510"/>
      <c r="P36" s="511" t="s">
        <v>24</v>
      </c>
      <c r="Q36" s="511"/>
      <c r="R36" s="511"/>
      <c r="S36" s="511"/>
      <c r="T36" s="511"/>
      <c r="U36" s="20" t="s">
        <v>75</v>
      </c>
    </row>
    <row r="37" spans="1:21" hidden="1" x14ac:dyDescent="0.25">
      <c r="A37" s="451" t="s">
        <v>56</v>
      </c>
      <c r="B37" s="451"/>
      <c r="C37" s="169">
        <v>0</v>
      </c>
      <c r="D37" s="169">
        <v>0</v>
      </c>
      <c r="E37" s="210">
        <f t="shared" ref="E37:E42" si="6">IF(D$43=0,C37*2,C37+D37)</f>
        <v>0</v>
      </c>
      <c r="F37" s="170"/>
      <c r="G37" s="170"/>
      <c r="H37" s="170"/>
      <c r="I37" s="119">
        <f t="shared" ref="I37:I42" si="7">ROUND(ROUND(E37*$C$8,4)*($H$8),2)</f>
        <v>0</v>
      </c>
      <c r="N37" s="512" t="s">
        <v>56</v>
      </c>
      <c r="O37" s="512"/>
      <c r="P37" s="483">
        <f t="shared" ref="P37:P42" si="8">IF($H$120=1,E37,0)</f>
        <v>0</v>
      </c>
      <c r="Q37" s="483"/>
      <c r="R37" s="483"/>
      <c r="S37" s="483"/>
      <c r="T37" s="483"/>
      <c r="U37" s="101">
        <f t="shared" ref="U37:U42" si="9">ROUND(ROUND(P37*$C$8,4)*($H$8),0)</f>
        <v>0</v>
      </c>
    </row>
    <row r="38" spans="1:21" hidden="1" x14ac:dyDescent="0.25">
      <c r="A38" s="453" t="s">
        <v>57</v>
      </c>
      <c r="B38" s="453"/>
      <c r="C38" s="172">
        <v>0</v>
      </c>
      <c r="D38" s="172">
        <v>0</v>
      </c>
      <c r="E38" s="125">
        <f t="shared" si="6"/>
        <v>0</v>
      </c>
      <c r="F38" s="173"/>
      <c r="G38" s="173"/>
      <c r="H38" s="173"/>
      <c r="I38" s="104">
        <f t="shared" si="7"/>
        <v>0</v>
      </c>
      <c r="N38" s="479" t="s">
        <v>57</v>
      </c>
      <c r="O38" s="479"/>
      <c r="P38" s="483">
        <f t="shared" si="8"/>
        <v>0</v>
      </c>
      <c r="Q38" s="483"/>
      <c r="R38" s="483"/>
      <c r="S38" s="483"/>
      <c r="T38" s="483"/>
      <c r="U38" s="101">
        <f t="shared" si="9"/>
        <v>0</v>
      </c>
    </row>
    <row r="39" spans="1:21" hidden="1" x14ac:dyDescent="0.25">
      <c r="A39" s="458" t="s">
        <v>58</v>
      </c>
      <c r="B39" s="458"/>
      <c r="C39" s="172">
        <v>0</v>
      </c>
      <c r="D39" s="172">
        <v>0</v>
      </c>
      <c r="E39" s="125">
        <f t="shared" si="6"/>
        <v>0</v>
      </c>
      <c r="F39" s="173"/>
      <c r="G39" s="173"/>
      <c r="H39" s="173"/>
      <c r="I39" s="104">
        <f t="shared" si="7"/>
        <v>0</v>
      </c>
      <c r="N39" s="509" t="s">
        <v>58</v>
      </c>
      <c r="O39" s="509"/>
      <c r="P39" s="483">
        <f t="shared" si="8"/>
        <v>0</v>
      </c>
      <c r="Q39" s="483"/>
      <c r="R39" s="483"/>
      <c r="S39" s="483"/>
      <c r="T39" s="483"/>
      <c r="U39" s="101">
        <f t="shared" si="9"/>
        <v>0</v>
      </c>
    </row>
    <row r="40" spans="1:21" hidden="1" x14ac:dyDescent="0.25">
      <c r="A40" s="453" t="s">
        <v>59</v>
      </c>
      <c r="B40" s="453"/>
      <c r="C40" s="172">
        <v>0</v>
      </c>
      <c r="D40" s="172">
        <v>0</v>
      </c>
      <c r="E40" s="125">
        <f t="shared" si="6"/>
        <v>0</v>
      </c>
      <c r="F40" s="173"/>
      <c r="G40" s="173"/>
      <c r="H40" s="173"/>
      <c r="I40" s="104">
        <f t="shared" si="7"/>
        <v>0</v>
      </c>
      <c r="N40" s="479" t="s">
        <v>59</v>
      </c>
      <c r="O40" s="479"/>
      <c r="P40" s="483">
        <f t="shared" si="8"/>
        <v>0</v>
      </c>
      <c r="Q40" s="483"/>
      <c r="R40" s="483"/>
      <c r="S40" s="483"/>
      <c r="T40" s="483"/>
      <c r="U40" s="101">
        <f t="shared" si="9"/>
        <v>0</v>
      </c>
    </row>
    <row r="41" spans="1:21" hidden="1" x14ac:dyDescent="0.25">
      <c r="A41" s="453" t="s">
        <v>60</v>
      </c>
      <c r="B41" s="453"/>
      <c r="C41" s="172">
        <v>0</v>
      </c>
      <c r="D41" s="172">
        <v>0</v>
      </c>
      <c r="E41" s="125">
        <f t="shared" si="6"/>
        <v>0</v>
      </c>
      <c r="F41" s="173"/>
      <c r="G41" s="173"/>
      <c r="H41" s="173"/>
      <c r="I41" s="104">
        <f t="shared" si="7"/>
        <v>0</v>
      </c>
      <c r="N41" s="479" t="s">
        <v>60</v>
      </c>
      <c r="O41" s="479"/>
      <c r="P41" s="483">
        <f t="shared" si="8"/>
        <v>0</v>
      </c>
      <c r="Q41" s="483"/>
      <c r="R41" s="483"/>
      <c r="S41" s="483"/>
      <c r="T41" s="483"/>
      <c r="U41" s="101">
        <f t="shared" si="9"/>
        <v>0</v>
      </c>
    </row>
    <row r="42" spans="1:21" hidden="1" x14ac:dyDescent="0.25">
      <c r="A42" s="453" t="s">
        <v>52</v>
      </c>
      <c r="B42" s="453"/>
      <c r="C42" s="171">
        <v>0</v>
      </c>
      <c r="D42" s="171">
        <v>0</v>
      </c>
      <c r="E42" s="177">
        <f t="shared" si="6"/>
        <v>0</v>
      </c>
      <c r="F42" s="173"/>
      <c r="G42" s="173"/>
      <c r="H42" s="173"/>
      <c r="I42" s="97">
        <f t="shared" si="7"/>
        <v>0</v>
      </c>
      <c r="N42" s="482" t="s">
        <v>52</v>
      </c>
      <c r="O42" s="482"/>
      <c r="P42" s="483">
        <f t="shared" si="8"/>
        <v>0</v>
      </c>
      <c r="Q42" s="483"/>
      <c r="R42" s="483"/>
      <c r="S42" s="483"/>
      <c r="T42" s="483"/>
      <c r="U42" s="101">
        <f t="shared" si="9"/>
        <v>0</v>
      </c>
    </row>
    <row r="43" spans="1:21" hidden="1" x14ac:dyDescent="0.25">
      <c r="A43" s="3"/>
      <c r="B43" s="55" t="s">
        <v>126</v>
      </c>
      <c r="C43" s="100">
        <f>SUM(C37:C42)</f>
        <v>0</v>
      </c>
      <c r="D43" s="100">
        <f>SUM(D37:D42)</f>
        <v>0</v>
      </c>
      <c r="E43" s="100">
        <f>SUM(E37:E42)</f>
        <v>0</v>
      </c>
      <c r="F43" s="33"/>
      <c r="G43" s="109"/>
      <c r="H43" s="110" t="s">
        <v>128</v>
      </c>
      <c r="I43" s="100">
        <f>SUM(I37:I42)</f>
        <v>0</v>
      </c>
      <c r="N43" s="480" t="s">
        <v>54</v>
      </c>
      <c r="O43" s="480"/>
      <c r="P43" s="480"/>
      <c r="Q43" s="480"/>
      <c r="R43" s="34">
        <f>SUM(P37:R42)</f>
        <v>0</v>
      </c>
      <c r="S43" s="508" t="s">
        <v>64</v>
      </c>
      <c r="T43" s="508"/>
      <c r="U43" s="106">
        <f>SUM(U37:U42)</f>
        <v>0</v>
      </c>
    </row>
    <row r="44" spans="1:21" ht="16.5" hidden="1" thickBot="1" x14ac:dyDescent="0.3">
      <c r="A44" s="3"/>
      <c r="B44" s="55"/>
      <c r="C44" s="104"/>
      <c r="D44" s="104"/>
      <c r="E44" s="119"/>
      <c r="F44" s="33"/>
      <c r="G44" s="109"/>
      <c r="H44" s="110"/>
      <c r="I44" s="104"/>
      <c r="N44" s="29"/>
      <c r="O44" s="29"/>
      <c r="P44" s="29"/>
      <c r="Q44" s="29"/>
      <c r="R44" s="34"/>
      <c r="S44" s="31"/>
      <c r="T44" s="31"/>
      <c r="U44" s="106"/>
    </row>
    <row r="45" spans="1:21" ht="16.5" hidden="1" thickBot="1" x14ac:dyDescent="0.3">
      <c r="A45" s="3"/>
      <c r="B45" s="55" t="s">
        <v>127</v>
      </c>
      <c r="E45" s="174">
        <f>H29+E43</f>
        <v>49.390599999999999</v>
      </c>
      <c r="F45" s="35"/>
      <c r="G45" s="109"/>
      <c r="H45" s="110" t="s">
        <v>129</v>
      </c>
      <c r="I45" s="97">
        <f>SUM(I43,I29)</f>
        <v>236498.4</v>
      </c>
      <c r="N45" s="480" t="s">
        <v>55</v>
      </c>
      <c r="O45" s="480"/>
      <c r="P45" s="480"/>
      <c r="Q45" s="480"/>
      <c r="R45" s="36">
        <f>R43+T29</f>
        <v>49.44</v>
      </c>
      <c r="S45" s="508" t="s">
        <v>53</v>
      </c>
      <c r="T45" s="508"/>
      <c r="U45" s="111">
        <f>SUM(U43,U29)</f>
        <v>236735</v>
      </c>
    </row>
    <row r="46" spans="1:21" hidden="1" x14ac:dyDescent="0.25">
      <c r="A46" s="27"/>
      <c r="B46" s="27"/>
      <c r="C46" s="27"/>
      <c r="D46" s="27"/>
      <c r="E46" s="27"/>
      <c r="F46" s="35"/>
      <c r="G46" s="28"/>
      <c r="H46" s="28"/>
      <c r="I46" s="104"/>
      <c r="N46" s="29"/>
      <c r="O46" s="29"/>
      <c r="P46" s="29"/>
      <c r="Q46" s="29"/>
      <c r="R46" s="36"/>
      <c r="S46" s="31"/>
      <c r="T46" s="31"/>
      <c r="U46" s="106"/>
    </row>
    <row r="47" spans="1:21" x14ac:dyDescent="0.25">
      <c r="A47" s="27"/>
      <c r="B47" s="55" t="s">
        <v>370</v>
      </c>
      <c r="C47" s="372" t="s">
        <v>370</v>
      </c>
      <c r="D47" s="372" t="s">
        <v>370</v>
      </c>
      <c r="E47" s="27"/>
      <c r="F47" s="35"/>
      <c r="G47" s="28"/>
      <c r="H47" s="28"/>
      <c r="I47" s="104"/>
      <c r="N47" s="29"/>
      <c r="O47" s="29"/>
      <c r="P47" s="29"/>
      <c r="Q47" s="29"/>
      <c r="R47" s="36"/>
      <c r="S47" s="31"/>
      <c r="T47" s="31"/>
      <c r="U47" s="106"/>
    </row>
    <row r="48" spans="1:21" x14ac:dyDescent="0.25">
      <c r="A48" s="27"/>
      <c r="B48" s="27"/>
      <c r="C48" s="91" t="s">
        <v>463</v>
      </c>
      <c r="D48" s="371" t="s">
        <v>464</v>
      </c>
      <c r="E48" s="92" t="s">
        <v>8</v>
      </c>
      <c r="F48" s="49" t="s">
        <v>130</v>
      </c>
      <c r="G48" s="112" t="s">
        <v>132</v>
      </c>
      <c r="H48" s="113" t="s">
        <v>133</v>
      </c>
      <c r="I48" s="104"/>
      <c r="N48" s="29"/>
      <c r="O48" s="29"/>
      <c r="P48" s="29"/>
      <c r="Q48" s="29"/>
      <c r="R48" s="36"/>
      <c r="S48" s="31"/>
      <c r="T48" s="31"/>
      <c r="U48" s="106"/>
    </row>
    <row r="49" spans="1:21" x14ac:dyDescent="0.25">
      <c r="A49" s="37" t="s">
        <v>87</v>
      </c>
      <c r="B49" s="37"/>
      <c r="C49" s="362" t="s">
        <v>2</v>
      </c>
      <c r="D49" s="362" t="s">
        <v>2</v>
      </c>
      <c r="E49" s="362" t="s">
        <v>2</v>
      </c>
      <c r="F49" s="95" t="s">
        <v>131</v>
      </c>
      <c r="G49" s="62" t="s">
        <v>131</v>
      </c>
      <c r="H49" s="114" t="s">
        <v>134</v>
      </c>
      <c r="I49" s="37"/>
      <c r="N49" s="482" t="s">
        <v>87</v>
      </c>
      <c r="O49" s="482"/>
      <c r="P49" s="503" t="s">
        <v>2</v>
      </c>
      <c r="Q49" s="503"/>
      <c r="R49" s="38" t="s">
        <v>25</v>
      </c>
      <c r="S49" s="63" t="s">
        <v>26</v>
      </c>
      <c r="T49" s="115" t="s">
        <v>27</v>
      </c>
      <c r="U49" s="38"/>
    </row>
    <row r="50" spans="1:21" x14ac:dyDescent="0.25">
      <c r="A50" s="459" t="s">
        <v>98</v>
      </c>
      <c r="B50" s="459"/>
      <c r="C50" s="165">
        <v>0</v>
      </c>
      <c r="D50" s="165">
        <v>0</v>
      </c>
      <c r="E50" s="125">
        <f>IF(D$59=0,C50*2,C50+D50)</f>
        <v>0</v>
      </c>
      <c r="F50" s="39" t="s">
        <v>21</v>
      </c>
      <c r="G50" s="39">
        <v>251</v>
      </c>
      <c r="H50" s="321">
        <f>'0664'!H50</f>
        <v>1047</v>
      </c>
      <c r="I50" s="104">
        <f>ROUND(E50*H50,2)</f>
        <v>0</v>
      </c>
      <c r="N50" s="504" t="s">
        <v>28</v>
      </c>
      <c r="O50" s="504"/>
      <c r="P50" s="505"/>
      <c r="Q50" s="505"/>
      <c r="R50" s="40" t="s">
        <v>21</v>
      </c>
      <c r="S50" s="40">
        <v>251</v>
      </c>
      <c r="T50" s="117">
        <f>H50</f>
        <v>1047</v>
      </c>
      <c r="U50" s="118">
        <f>ROUND(P50*T50,0)</f>
        <v>0</v>
      </c>
    </row>
    <row r="51" spans="1:21" x14ac:dyDescent="0.25">
      <c r="A51" s="460"/>
      <c r="B51" s="460"/>
      <c r="C51" s="165">
        <v>0</v>
      </c>
      <c r="D51" s="165">
        <v>0</v>
      </c>
      <c r="E51" s="125">
        <f t="shared" ref="E51:E58" si="10">IF(D$59=0,C51*2,C51+D51)</f>
        <v>0</v>
      </c>
      <c r="F51" s="39" t="s">
        <v>21</v>
      </c>
      <c r="G51" s="39">
        <v>252</v>
      </c>
      <c r="H51" s="321">
        <f>'0664'!H51</f>
        <v>3380</v>
      </c>
      <c r="I51" s="104">
        <f t="shared" ref="I51:I58" si="11">ROUND(E51*H51,2)</f>
        <v>0</v>
      </c>
      <c r="N51" s="504"/>
      <c r="O51" s="504"/>
      <c r="P51" s="506"/>
      <c r="Q51" s="506"/>
      <c r="R51" s="40" t="s">
        <v>21</v>
      </c>
      <c r="S51" s="40">
        <v>252</v>
      </c>
      <c r="T51" s="117">
        <f t="shared" ref="T51:T58" si="12">H51</f>
        <v>3380</v>
      </c>
      <c r="U51" s="118">
        <f t="shared" ref="U51:U58" si="13">ROUND(P51*T51,0)</f>
        <v>0</v>
      </c>
    </row>
    <row r="52" spans="1:21" x14ac:dyDescent="0.25">
      <c r="A52" s="460"/>
      <c r="B52" s="460"/>
      <c r="C52" s="165">
        <v>0</v>
      </c>
      <c r="D52" s="165">
        <v>0</v>
      </c>
      <c r="E52" s="125">
        <f t="shared" si="10"/>
        <v>0</v>
      </c>
      <c r="F52" s="39" t="s">
        <v>21</v>
      </c>
      <c r="G52" s="39">
        <v>253</v>
      </c>
      <c r="H52" s="321">
        <f>'0664'!H52</f>
        <v>6896</v>
      </c>
      <c r="I52" s="104">
        <f t="shared" si="11"/>
        <v>0</v>
      </c>
      <c r="N52" s="504"/>
      <c r="O52" s="504"/>
      <c r="P52" s="506"/>
      <c r="Q52" s="506"/>
      <c r="R52" s="40" t="s">
        <v>21</v>
      </c>
      <c r="S52" s="40">
        <v>253</v>
      </c>
      <c r="T52" s="117">
        <f t="shared" si="12"/>
        <v>6896</v>
      </c>
      <c r="U52" s="118">
        <f t="shared" si="13"/>
        <v>0</v>
      </c>
    </row>
    <row r="53" spans="1:21" x14ac:dyDescent="0.25">
      <c r="A53" s="460"/>
      <c r="B53" s="460"/>
      <c r="C53" s="165">
        <v>0</v>
      </c>
      <c r="D53" s="165">
        <v>0</v>
      </c>
      <c r="E53" s="125">
        <f t="shared" si="10"/>
        <v>0</v>
      </c>
      <c r="F53" s="41" t="s">
        <v>14</v>
      </c>
      <c r="G53" s="39">
        <v>251</v>
      </c>
      <c r="H53" s="321">
        <f>'0664'!H53</f>
        <v>1173</v>
      </c>
      <c r="I53" s="104">
        <f t="shared" si="11"/>
        <v>0</v>
      </c>
      <c r="N53" s="504"/>
      <c r="O53" s="504"/>
      <c r="P53" s="506"/>
      <c r="Q53" s="506"/>
      <c r="R53" s="42" t="s">
        <v>14</v>
      </c>
      <c r="S53" s="40">
        <v>251</v>
      </c>
      <c r="T53" s="117">
        <f t="shared" si="12"/>
        <v>1173</v>
      </c>
      <c r="U53" s="118">
        <f t="shared" si="13"/>
        <v>0</v>
      </c>
    </row>
    <row r="54" spans="1:21" x14ac:dyDescent="0.25">
      <c r="A54" s="460"/>
      <c r="B54" s="460"/>
      <c r="C54" s="165">
        <v>0</v>
      </c>
      <c r="D54" s="165">
        <v>0</v>
      </c>
      <c r="E54" s="125">
        <f t="shared" si="10"/>
        <v>0</v>
      </c>
      <c r="F54" s="41" t="s">
        <v>14</v>
      </c>
      <c r="G54" s="39">
        <v>252</v>
      </c>
      <c r="H54" s="321">
        <f>'0664'!H54</f>
        <v>3506</v>
      </c>
      <c r="I54" s="104">
        <f t="shared" si="11"/>
        <v>0</v>
      </c>
      <c r="N54" s="504"/>
      <c r="O54" s="504"/>
      <c r="P54" s="506"/>
      <c r="Q54" s="506"/>
      <c r="R54" s="42" t="s">
        <v>14</v>
      </c>
      <c r="S54" s="40">
        <v>252</v>
      </c>
      <c r="T54" s="117">
        <f t="shared" si="12"/>
        <v>3506</v>
      </c>
      <c r="U54" s="118">
        <f t="shared" si="13"/>
        <v>0</v>
      </c>
    </row>
    <row r="55" spans="1:21" x14ac:dyDescent="0.25">
      <c r="A55" s="460"/>
      <c r="B55" s="460"/>
      <c r="C55" s="165">
        <v>0</v>
      </c>
      <c r="D55" s="165">
        <v>0</v>
      </c>
      <c r="E55" s="125">
        <f t="shared" si="10"/>
        <v>0</v>
      </c>
      <c r="F55" s="41" t="s">
        <v>14</v>
      </c>
      <c r="G55" s="39">
        <v>253</v>
      </c>
      <c r="H55" s="321">
        <f>'0664'!H55</f>
        <v>7023</v>
      </c>
      <c r="I55" s="104">
        <f t="shared" si="11"/>
        <v>0</v>
      </c>
      <c r="N55" s="504"/>
      <c r="O55" s="504"/>
      <c r="P55" s="506"/>
      <c r="Q55" s="506"/>
      <c r="R55" s="42" t="s">
        <v>14</v>
      </c>
      <c r="S55" s="40">
        <v>253</v>
      </c>
      <c r="T55" s="117">
        <f t="shared" si="12"/>
        <v>7023</v>
      </c>
      <c r="U55" s="118">
        <f t="shared" si="13"/>
        <v>0</v>
      </c>
    </row>
    <row r="56" spans="1:21" x14ac:dyDescent="0.25">
      <c r="A56" s="460"/>
      <c r="B56" s="460"/>
      <c r="C56" s="165">
        <v>0</v>
      </c>
      <c r="D56" s="165">
        <v>0</v>
      </c>
      <c r="E56" s="125">
        <f t="shared" si="10"/>
        <v>0</v>
      </c>
      <c r="F56" s="41" t="s">
        <v>15</v>
      </c>
      <c r="G56" s="39">
        <v>251</v>
      </c>
      <c r="H56" s="321">
        <f>'0664'!H56</f>
        <v>835</v>
      </c>
      <c r="I56" s="104">
        <f t="shared" si="11"/>
        <v>0</v>
      </c>
      <c r="N56" s="504"/>
      <c r="O56" s="504"/>
      <c r="P56" s="506"/>
      <c r="Q56" s="506"/>
      <c r="R56" s="42" t="s">
        <v>15</v>
      </c>
      <c r="S56" s="40">
        <v>251</v>
      </c>
      <c r="T56" s="117">
        <f t="shared" si="12"/>
        <v>835</v>
      </c>
      <c r="U56" s="118">
        <f t="shared" si="13"/>
        <v>0</v>
      </c>
    </row>
    <row r="57" spans="1:21" x14ac:dyDescent="0.25">
      <c r="A57" s="460"/>
      <c r="B57" s="460"/>
      <c r="C57" s="165">
        <v>3</v>
      </c>
      <c r="D57" s="165">
        <v>3.31</v>
      </c>
      <c r="E57" s="125">
        <f t="shared" si="10"/>
        <v>6.3100000000000005</v>
      </c>
      <c r="F57" s="41" t="s">
        <v>15</v>
      </c>
      <c r="G57" s="39">
        <v>252</v>
      </c>
      <c r="H57" s="321">
        <f>'0664'!H57</f>
        <v>3168</v>
      </c>
      <c r="I57" s="104">
        <f t="shared" si="11"/>
        <v>19990.080000000002</v>
      </c>
      <c r="N57" s="504"/>
      <c r="O57" s="504"/>
      <c r="P57" s="506"/>
      <c r="Q57" s="506"/>
      <c r="R57" s="42" t="s">
        <v>15</v>
      </c>
      <c r="S57" s="40">
        <v>252</v>
      </c>
      <c r="T57" s="117">
        <f t="shared" si="12"/>
        <v>3168</v>
      </c>
      <c r="U57" s="118">
        <f t="shared" si="13"/>
        <v>0</v>
      </c>
    </row>
    <row r="58" spans="1:21" ht="16.5" thickBot="1" x14ac:dyDescent="0.3">
      <c r="A58" s="460"/>
      <c r="B58" s="460"/>
      <c r="C58" s="165">
        <v>20.5</v>
      </c>
      <c r="D58" s="165">
        <v>22.63</v>
      </c>
      <c r="E58" s="125">
        <f t="shared" si="10"/>
        <v>43.129999999999995</v>
      </c>
      <c r="F58" s="41" t="s">
        <v>15</v>
      </c>
      <c r="G58" s="39">
        <v>253</v>
      </c>
      <c r="H58" s="321">
        <f>'0664'!H58</f>
        <v>6685</v>
      </c>
      <c r="I58" s="104">
        <f t="shared" si="11"/>
        <v>288324.05</v>
      </c>
      <c r="N58" s="504"/>
      <c r="O58" s="504"/>
      <c r="P58" s="507"/>
      <c r="Q58" s="507"/>
      <c r="R58" s="42" t="s">
        <v>15</v>
      </c>
      <c r="S58" s="40">
        <v>253</v>
      </c>
      <c r="T58" s="117">
        <f t="shared" si="12"/>
        <v>6685</v>
      </c>
      <c r="U58" s="120">
        <f t="shared" si="13"/>
        <v>0</v>
      </c>
    </row>
    <row r="59" spans="1:21" ht="16.5" thickBot="1" x14ac:dyDescent="0.3">
      <c r="A59" s="461" t="s">
        <v>16</v>
      </c>
      <c r="B59" s="461"/>
      <c r="C59" s="100">
        <f>SUM(C50:C58)</f>
        <v>23.5</v>
      </c>
      <c r="D59" s="100">
        <f>SUM(D50:D58)</f>
        <v>25.939999999999998</v>
      </c>
      <c r="E59" s="100">
        <f>SUM(E50:E58)</f>
        <v>49.44</v>
      </c>
      <c r="F59" s="461" t="s">
        <v>77</v>
      </c>
      <c r="G59" s="461"/>
      <c r="H59" s="461"/>
      <c r="I59" s="100">
        <f>SUM(I50:I58)</f>
        <v>308314.13</v>
      </c>
      <c r="N59" s="480" t="s">
        <v>16</v>
      </c>
      <c r="O59" s="480"/>
      <c r="P59" s="502">
        <f>SUM(P50:P58)</f>
        <v>0</v>
      </c>
      <c r="Q59" s="502"/>
      <c r="R59" s="480" t="s">
        <v>77</v>
      </c>
      <c r="S59" s="480"/>
      <c r="T59" s="480"/>
      <c r="U59" s="111">
        <f>SUM(U50:U58)</f>
        <v>0</v>
      </c>
    </row>
    <row r="60" spans="1:21" x14ac:dyDescent="0.25">
      <c r="A60" s="462"/>
      <c r="B60" s="462"/>
      <c r="C60" s="462"/>
      <c r="D60" s="462"/>
      <c r="E60" s="462"/>
      <c r="F60" s="462"/>
      <c r="G60" s="462"/>
      <c r="H60" s="462"/>
      <c r="I60" s="462"/>
      <c r="N60" s="484"/>
      <c r="O60" s="484"/>
      <c r="P60" s="484"/>
      <c r="Q60" s="484"/>
      <c r="R60" s="484"/>
      <c r="S60" s="484"/>
      <c r="T60" s="484"/>
      <c r="U60" s="484"/>
    </row>
    <row r="61" spans="1:21" x14ac:dyDescent="0.25">
      <c r="A61" s="463" t="s">
        <v>136</v>
      </c>
      <c r="B61" s="453"/>
      <c r="C61" s="453"/>
      <c r="D61" s="453"/>
      <c r="E61" s="453"/>
      <c r="F61" s="453"/>
      <c r="G61" s="453"/>
      <c r="H61" s="453"/>
      <c r="I61" s="453"/>
      <c r="N61" s="479" t="s">
        <v>88</v>
      </c>
      <c r="O61" s="479"/>
      <c r="P61" s="479"/>
      <c r="Q61" s="479"/>
      <c r="R61" s="479"/>
      <c r="S61" s="479"/>
      <c r="T61" s="479"/>
      <c r="U61" s="479"/>
    </row>
    <row r="62" spans="1:21" x14ac:dyDescent="0.25">
      <c r="A62" s="463" t="s">
        <v>138</v>
      </c>
      <c r="B62" s="453"/>
      <c r="C62" s="121">
        <f>E29</f>
        <v>49.44</v>
      </c>
      <c r="D62" s="464" t="s">
        <v>135</v>
      </c>
      <c r="E62" s="464"/>
      <c r="F62" s="464"/>
      <c r="G62" s="464"/>
      <c r="H62" s="335">
        <f>'0664'!H62</f>
        <v>193340.76</v>
      </c>
      <c r="I62" s="122"/>
      <c r="N62" s="478" t="s">
        <v>312</v>
      </c>
      <c r="O62" s="479"/>
      <c r="P62" s="43">
        <f>P29</f>
        <v>49.44</v>
      </c>
      <c r="Q62" s="498" t="s">
        <v>78</v>
      </c>
      <c r="R62" s="498"/>
      <c r="S62" s="498"/>
      <c r="T62" s="497">
        <f>H62</f>
        <v>193340.76</v>
      </c>
      <c r="U62" s="497"/>
    </row>
    <row r="63" spans="1:21" x14ac:dyDescent="0.25">
      <c r="B63" s="72"/>
      <c r="G63" s="44" t="s">
        <v>13</v>
      </c>
      <c r="H63" s="123">
        <f>ROUND(C62/H62,6)</f>
        <v>2.5599999999999999E-4</v>
      </c>
      <c r="I63" s="124"/>
      <c r="N63" s="479" t="s">
        <v>19</v>
      </c>
      <c r="O63" s="479"/>
      <c r="P63" s="479"/>
      <c r="Q63" s="479"/>
      <c r="R63" s="479"/>
      <c r="S63" s="479"/>
      <c r="T63" s="501">
        <f>ROUND(P62/T62,6)</f>
        <v>2.5599999999999999E-4</v>
      </c>
      <c r="U63" s="501"/>
    </row>
    <row r="64" spans="1:21" x14ac:dyDescent="0.25">
      <c r="A64" s="463" t="s">
        <v>137</v>
      </c>
      <c r="B64" s="453"/>
      <c r="C64" s="453"/>
      <c r="D64" s="453"/>
      <c r="E64" s="453"/>
      <c r="F64" s="453"/>
      <c r="G64" s="453"/>
      <c r="H64" s="453"/>
      <c r="I64" s="453"/>
      <c r="N64" s="479" t="s">
        <v>89</v>
      </c>
      <c r="O64" s="479"/>
      <c r="P64" s="479"/>
      <c r="Q64" s="479"/>
      <c r="R64" s="479"/>
      <c r="S64" s="479"/>
      <c r="T64" s="479"/>
      <c r="U64" s="479"/>
    </row>
    <row r="65" spans="1:21" x14ac:dyDescent="0.25">
      <c r="A65" s="463" t="s">
        <v>139</v>
      </c>
      <c r="B65" s="453"/>
      <c r="C65" s="121">
        <f>E45</f>
        <v>49.390599999999999</v>
      </c>
      <c r="D65" s="464" t="s">
        <v>140</v>
      </c>
      <c r="E65" s="464"/>
      <c r="F65" s="464"/>
      <c r="G65" s="464"/>
      <c r="H65" s="336">
        <f>'0664'!H65</f>
        <v>216845.88</v>
      </c>
      <c r="I65" s="125"/>
      <c r="N65" s="479" t="s">
        <v>80</v>
      </c>
      <c r="O65" s="479"/>
      <c r="P65" s="43">
        <f>R45</f>
        <v>49.44</v>
      </c>
      <c r="Q65" s="498" t="s">
        <v>79</v>
      </c>
      <c r="R65" s="498"/>
      <c r="S65" s="498"/>
      <c r="T65" s="497">
        <f>H65</f>
        <v>216845.88</v>
      </c>
      <c r="U65" s="497"/>
    </row>
    <row r="66" spans="1:21" s="37" customFormat="1" x14ac:dyDescent="0.25">
      <c r="A66" s="126"/>
      <c r="G66" s="45" t="s">
        <v>13</v>
      </c>
      <c r="H66" s="127">
        <f>ROUND(C65/H65,6)</f>
        <v>2.2800000000000001E-4</v>
      </c>
      <c r="I66" s="127"/>
      <c r="N66" s="482" t="s">
        <v>20</v>
      </c>
      <c r="O66" s="482"/>
      <c r="P66" s="482"/>
      <c r="Q66" s="482"/>
      <c r="R66" s="482"/>
      <c r="S66" s="482"/>
      <c r="T66" s="500">
        <f>ROUND(P65/T65,6)</f>
        <v>2.2800000000000001E-4</v>
      </c>
      <c r="U66" s="500"/>
    </row>
    <row r="67" spans="1:21" x14ac:dyDescent="0.25">
      <c r="G67" s="44"/>
      <c r="H67" s="123"/>
      <c r="I67" s="123"/>
      <c r="N67" s="48"/>
      <c r="O67" s="48"/>
      <c r="P67" s="48"/>
      <c r="Q67" s="48"/>
      <c r="R67" s="128"/>
      <c r="S67" s="48"/>
      <c r="T67" s="129"/>
      <c r="U67" s="130"/>
    </row>
    <row r="68" spans="1:21" x14ac:dyDescent="0.25">
      <c r="A68" s="453" t="s">
        <v>85</v>
      </c>
      <c r="B68" s="453"/>
      <c r="C68" s="453"/>
      <c r="D68" s="72"/>
      <c r="E68" s="46" t="s">
        <v>3</v>
      </c>
      <c r="F68" s="337">
        <f>'0664'!F68</f>
        <v>42465042</v>
      </c>
      <c r="G68" s="39" t="s">
        <v>6</v>
      </c>
      <c r="H68" s="131">
        <f>H63</f>
        <v>2.5599999999999999E-4</v>
      </c>
      <c r="I68" s="104">
        <f>ROUND(F68*H68,2)</f>
        <v>10871.05</v>
      </c>
      <c r="N68" s="479" t="s">
        <v>85</v>
      </c>
      <c r="O68" s="479"/>
      <c r="P68" s="479"/>
      <c r="Q68" s="47"/>
      <c r="R68" s="132">
        <f>F68</f>
        <v>42465042</v>
      </c>
      <c r="S68" s="40" t="s">
        <v>6</v>
      </c>
      <c r="T68" s="133">
        <f>T63</f>
        <v>2.5599999999999999E-4</v>
      </c>
      <c r="U68" s="99">
        <f>ROUND(R68*T68,0)</f>
        <v>10871</v>
      </c>
    </row>
    <row r="69" spans="1:21" x14ac:dyDescent="0.25">
      <c r="A69" s="458" t="s">
        <v>96</v>
      </c>
      <c r="B69" s="453"/>
      <c r="C69" s="453"/>
      <c r="D69" s="72"/>
      <c r="E69" s="46"/>
      <c r="F69" s="136"/>
      <c r="G69" s="39"/>
      <c r="H69" s="131"/>
      <c r="I69" s="104"/>
      <c r="N69" s="479" t="s">
        <v>84</v>
      </c>
      <c r="O69" s="479"/>
      <c r="P69" s="479"/>
      <c r="Q69" s="54"/>
      <c r="R69" s="54"/>
      <c r="S69" s="54"/>
      <c r="T69" s="54"/>
      <c r="U69" s="54"/>
    </row>
    <row r="70" spans="1:21" x14ac:dyDescent="0.25">
      <c r="A70" s="465" t="s">
        <v>141</v>
      </c>
      <c r="B70" s="453"/>
      <c r="C70" s="453"/>
      <c r="D70" s="72"/>
      <c r="E70" s="46" t="s">
        <v>3</v>
      </c>
      <c r="F70" s="337">
        <f>'0664'!F70</f>
        <v>0</v>
      </c>
      <c r="G70" s="39" t="s">
        <v>6</v>
      </c>
      <c r="H70" s="131">
        <f>H63</f>
        <v>2.5599999999999999E-4</v>
      </c>
      <c r="I70" s="104">
        <f>ROUND(F70*H70,2)</f>
        <v>0</v>
      </c>
      <c r="N70" s="48"/>
      <c r="O70" s="48"/>
      <c r="P70" s="48"/>
      <c r="Q70" s="47"/>
      <c r="R70" s="132">
        <f>F70</f>
        <v>0</v>
      </c>
      <c r="S70" s="40" t="s">
        <v>6</v>
      </c>
      <c r="T70" s="133">
        <f>T63</f>
        <v>2.5599999999999999E-4</v>
      </c>
      <c r="U70" s="99">
        <f>ROUND(R70*T70,0)</f>
        <v>0</v>
      </c>
    </row>
    <row r="71" spans="1:21" x14ac:dyDescent="0.25">
      <c r="A71" s="463" t="s">
        <v>433</v>
      </c>
      <c r="B71" s="453"/>
      <c r="C71" s="453"/>
      <c r="D71" s="72"/>
      <c r="E71" s="46" t="s">
        <v>3</v>
      </c>
      <c r="F71" s="337">
        <f>'0664'!F71</f>
        <v>13414654</v>
      </c>
      <c r="G71" s="39" t="s">
        <v>6</v>
      </c>
      <c r="H71" s="131">
        <f>H63</f>
        <v>2.5599999999999999E-4</v>
      </c>
      <c r="I71" s="104">
        <f>ROUND(F71*H71,2)</f>
        <v>3434.15</v>
      </c>
      <c r="N71" s="479" t="s">
        <v>83</v>
      </c>
      <c r="O71" s="479"/>
      <c r="P71" s="479"/>
      <c r="Q71" s="47"/>
      <c r="R71" s="132">
        <f>F71</f>
        <v>13414654</v>
      </c>
      <c r="S71" s="40" t="s">
        <v>6</v>
      </c>
      <c r="T71" s="133">
        <f>T63</f>
        <v>2.5599999999999999E-4</v>
      </c>
      <c r="U71" s="99">
        <f>ROUND(R71*T71,0)</f>
        <v>3434</v>
      </c>
    </row>
    <row r="72" spans="1:21" x14ac:dyDescent="0.25">
      <c r="A72" s="463" t="s">
        <v>434</v>
      </c>
      <c r="B72" s="453"/>
      <c r="C72" s="453"/>
      <c r="D72" s="72"/>
      <c r="E72" s="46" t="s">
        <v>3</v>
      </c>
      <c r="F72" s="337">
        <f>'0664'!F72</f>
        <v>14708421</v>
      </c>
      <c r="G72" s="39" t="s">
        <v>6</v>
      </c>
      <c r="H72" s="131">
        <f>H63</f>
        <v>2.5599999999999999E-4</v>
      </c>
      <c r="I72" s="104">
        <f>ROUND(F72*H72,2)</f>
        <v>3765.36</v>
      </c>
      <c r="N72" s="479" t="s">
        <v>82</v>
      </c>
      <c r="O72" s="479"/>
      <c r="P72" s="479"/>
      <c r="Q72" s="47"/>
      <c r="R72" s="134">
        <f>F72</f>
        <v>14708421</v>
      </c>
      <c r="S72" s="40" t="s">
        <v>6</v>
      </c>
      <c r="T72" s="133">
        <f>T63</f>
        <v>2.5599999999999999E-4</v>
      </c>
      <c r="U72" s="99">
        <f>ROUND(R72*T72,0)</f>
        <v>3765</v>
      </c>
    </row>
    <row r="73" spans="1:21" x14ac:dyDescent="0.25">
      <c r="A73" s="263" t="s">
        <v>99</v>
      </c>
      <c r="D73" s="72"/>
      <c r="E73" s="41" t="s">
        <v>353</v>
      </c>
      <c r="F73" s="466"/>
      <c r="G73" s="466"/>
      <c r="H73" s="466"/>
      <c r="I73" s="104">
        <v>0</v>
      </c>
      <c r="N73" s="499" t="s">
        <v>118</v>
      </c>
      <c r="O73" s="499"/>
      <c r="P73" s="499"/>
      <c r="Q73" s="499"/>
      <c r="R73" s="499"/>
      <c r="S73" s="499"/>
      <c r="T73" s="499"/>
      <c r="U73" s="99">
        <f>IF($H$120=1,I73,0)</f>
        <v>0</v>
      </c>
    </row>
    <row r="74" spans="1:21" x14ac:dyDescent="0.25">
      <c r="A74" s="264" t="s">
        <v>142</v>
      </c>
      <c r="I74" s="104"/>
      <c r="N74" s="499" t="s">
        <v>43</v>
      </c>
      <c r="O74" s="499"/>
      <c r="P74" s="499"/>
      <c r="Q74" s="499"/>
      <c r="R74" s="499"/>
      <c r="S74" s="499"/>
      <c r="T74" s="499"/>
      <c r="U74" s="99">
        <f>IF($H$120=1,I74,0)</f>
        <v>0</v>
      </c>
    </row>
    <row r="75" spans="1:21" x14ac:dyDescent="0.25">
      <c r="A75" s="324" t="s">
        <v>101</v>
      </c>
      <c r="B75" s="72"/>
      <c r="C75" s="72"/>
      <c r="D75" s="72"/>
      <c r="E75" s="72"/>
      <c r="F75" s="72"/>
      <c r="G75" s="72"/>
      <c r="H75" s="72"/>
      <c r="I75" s="135"/>
      <c r="N75" s="382" t="s">
        <v>44</v>
      </c>
      <c r="O75" s="48"/>
      <c r="P75" s="48"/>
      <c r="Q75" s="48"/>
      <c r="R75" s="48"/>
      <c r="S75" s="48"/>
      <c r="T75" s="48"/>
      <c r="U75" s="106"/>
    </row>
    <row r="76" spans="1:21" x14ac:dyDescent="0.25">
      <c r="A76" s="463" t="s">
        <v>435</v>
      </c>
      <c r="B76" s="453"/>
      <c r="C76" s="453"/>
      <c r="D76" s="72"/>
      <c r="E76" s="46" t="s">
        <v>3</v>
      </c>
      <c r="F76" s="337">
        <f>'0664'!F76</f>
        <v>8720092</v>
      </c>
      <c r="G76" s="39" t="s">
        <v>6</v>
      </c>
      <c r="H76" s="131">
        <f>H63</f>
        <v>2.5599999999999999E-4</v>
      </c>
      <c r="I76" s="104">
        <f t="shared" ref="I76:I85" si="14">ROUND(F76*H76,2)</f>
        <v>2232.34</v>
      </c>
      <c r="N76" s="478" t="s">
        <v>366</v>
      </c>
      <c r="O76" s="479"/>
      <c r="P76" s="479"/>
      <c r="Q76" s="47"/>
      <c r="R76" s="134">
        <f t="shared" ref="R76:R85" si="15">F76</f>
        <v>8720092</v>
      </c>
      <c r="S76" s="40" t="s">
        <v>6</v>
      </c>
      <c r="T76" s="133">
        <f>T63</f>
        <v>2.5599999999999999E-4</v>
      </c>
      <c r="U76" s="99">
        <f t="shared" ref="U76:U85" si="16">ROUND(R76*T76,0)</f>
        <v>2232</v>
      </c>
    </row>
    <row r="77" spans="1:21" x14ac:dyDescent="0.25">
      <c r="A77" s="463" t="s">
        <v>436</v>
      </c>
      <c r="B77" s="453"/>
      <c r="C77" s="453"/>
      <c r="D77" s="72"/>
      <c r="E77" s="46" t="s">
        <v>3</v>
      </c>
      <c r="F77" s="337">
        <f>'0664'!F77</f>
        <v>0</v>
      </c>
      <c r="G77" s="39" t="s">
        <v>6</v>
      </c>
      <c r="H77" s="131">
        <f>H63</f>
        <v>2.5599999999999999E-4</v>
      </c>
      <c r="I77" s="104">
        <f t="shared" si="14"/>
        <v>0</v>
      </c>
      <c r="N77" s="479" t="s">
        <v>367</v>
      </c>
      <c r="O77" s="479"/>
      <c r="P77" s="479"/>
      <c r="Q77" s="47"/>
      <c r="R77" s="134">
        <f t="shared" si="15"/>
        <v>0</v>
      </c>
      <c r="S77" s="40" t="s">
        <v>6</v>
      </c>
      <c r="T77" s="133">
        <f>T63</f>
        <v>2.5599999999999999E-4</v>
      </c>
      <c r="U77" s="99">
        <f t="shared" si="16"/>
        <v>0</v>
      </c>
    </row>
    <row r="78" spans="1:21" x14ac:dyDescent="0.25">
      <c r="A78" s="463" t="s">
        <v>437</v>
      </c>
      <c r="B78" s="453"/>
      <c r="C78" s="453"/>
      <c r="D78" s="72"/>
      <c r="E78" s="46" t="s">
        <v>4</v>
      </c>
      <c r="F78" s="337">
        <f>'0664'!F78</f>
        <v>0</v>
      </c>
      <c r="G78" s="39" t="s">
        <v>6</v>
      </c>
      <c r="H78" s="131">
        <f>H66</f>
        <v>2.2800000000000001E-4</v>
      </c>
      <c r="I78" s="104">
        <f t="shared" si="14"/>
        <v>0</v>
      </c>
      <c r="N78" s="478" t="s">
        <v>392</v>
      </c>
      <c r="O78" s="479"/>
      <c r="P78" s="479"/>
      <c r="Q78" s="47"/>
      <c r="R78" s="134">
        <f t="shared" si="15"/>
        <v>0</v>
      </c>
      <c r="S78" s="40" t="s">
        <v>6</v>
      </c>
      <c r="T78" s="133">
        <f>T66</f>
        <v>2.2800000000000001E-4</v>
      </c>
      <c r="U78" s="99">
        <f t="shared" si="16"/>
        <v>0</v>
      </c>
    </row>
    <row r="79" spans="1:21" x14ac:dyDescent="0.25">
      <c r="A79" s="463" t="s">
        <v>438</v>
      </c>
      <c r="B79" s="453"/>
      <c r="C79" s="453"/>
      <c r="D79" s="72"/>
      <c r="E79" s="46" t="s">
        <v>4</v>
      </c>
      <c r="F79" s="337">
        <f>'0664'!F79</f>
        <v>11278687</v>
      </c>
      <c r="G79" s="39" t="s">
        <v>6</v>
      </c>
      <c r="H79" s="131">
        <f>H66</f>
        <v>2.2800000000000001E-4</v>
      </c>
      <c r="I79" s="104">
        <f t="shared" si="14"/>
        <v>2571.54</v>
      </c>
      <c r="N79" s="478" t="s">
        <v>393</v>
      </c>
      <c r="O79" s="479"/>
      <c r="P79" s="479"/>
      <c r="Q79" s="47"/>
      <c r="R79" s="134">
        <f t="shared" si="15"/>
        <v>11278687</v>
      </c>
      <c r="S79" s="40" t="s">
        <v>6</v>
      </c>
      <c r="T79" s="133">
        <f>T66</f>
        <v>2.2800000000000001E-4</v>
      </c>
      <c r="U79" s="99">
        <f t="shared" si="16"/>
        <v>2572</v>
      </c>
    </row>
    <row r="80" spans="1:21" x14ac:dyDescent="0.25">
      <c r="A80" s="463" t="s">
        <v>439</v>
      </c>
      <c r="B80" s="453"/>
      <c r="C80" s="453"/>
      <c r="D80" s="72"/>
      <c r="E80" s="46" t="s">
        <v>4</v>
      </c>
      <c r="F80" s="337">
        <f>'0664'!F80</f>
        <v>206284749</v>
      </c>
      <c r="G80" s="39" t="s">
        <v>6</v>
      </c>
      <c r="H80" s="131">
        <f>H66</f>
        <v>2.2800000000000001E-4</v>
      </c>
      <c r="I80" s="104">
        <f t="shared" si="14"/>
        <v>47032.92</v>
      </c>
      <c r="N80" s="478" t="s">
        <v>397</v>
      </c>
      <c r="O80" s="479"/>
      <c r="P80" s="479"/>
      <c r="Q80" s="47"/>
      <c r="R80" s="134">
        <f t="shared" si="15"/>
        <v>206284749</v>
      </c>
      <c r="S80" s="40" t="s">
        <v>6</v>
      </c>
      <c r="T80" s="133">
        <f>T66</f>
        <v>2.2800000000000001E-4</v>
      </c>
      <c r="U80" s="99">
        <f t="shared" si="16"/>
        <v>47033</v>
      </c>
    </row>
    <row r="81" spans="1:21" x14ac:dyDescent="0.25">
      <c r="A81" s="84" t="s">
        <v>440</v>
      </c>
      <c r="B81" s="72"/>
      <c r="C81" s="72"/>
      <c r="D81" s="72"/>
      <c r="E81" s="46"/>
      <c r="F81" s="337"/>
      <c r="G81" s="39"/>
      <c r="H81" s="131"/>
      <c r="I81" s="104"/>
      <c r="N81" s="419" t="s">
        <v>440</v>
      </c>
      <c r="O81" s="48"/>
      <c r="P81" s="48"/>
      <c r="Q81" s="47"/>
      <c r="R81" s="423"/>
      <c r="S81" s="40"/>
      <c r="T81" s="133"/>
      <c r="U81" s="120"/>
    </row>
    <row r="82" spans="1:21" x14ac:dyDescent="0.25">
      <c r="A82" s="264" t="s">
        <v>441</v>
      </c>
      <c r="B82" s="72"/>
      <c r="C82" s="72"/>
      <c r="D82" s="72"/>
      <c r="E82" s="46" t="s">
        <v>442</v>
      </c>
      <c r="F82" s="337">
        <f>'0664'!F82</f>
        <v>0</v>
      </c>
      <c r="G82" s="39" t="s">
        <v>6</v>
      </c>
      <c r="H82" s="131">
        <f>H66</f>
        <v>2.2800000000000001E-4</v>
      </c>
      <c r="I82" s="104">
        <v>9858.15</v>
      </c>
      <c r="N82" s="422" t="s">
        <v>441</v>
      </c>
      <c r="O82" s="48"/>
      <c r="P82" s="48"/>
      <c r="Q82" s="47"/>
      <c r="R82" s="134">
        <f t="shared" si="15"/>
        <v>0</v>
      </c>
      <c r="S82" s="40"/>
      <c r="T82" s="133"/>
      <c r="U82" s="99">
        <f t="shared" si="16"/>
        <v>0</v>
      </c>
    </row>
    <row r="83" spans="1:21" x14ac:dyDescent="0.25">
      <c r="A83" s="264" t="s">
        <v>443</v>
      </c>
      <c r="B83" s="72"/>
      <c r="C83" s="72"/>
      <c r="D83" s="72"/>
      <c r="E83" s="46" t="s">
        <v>442</v>
      </c>
      <c r="F83" s="337">
        <f>'0664'!F83</f>
        <v>0</v>
      </c>
      <c r="G83" s="39" t="s">
        <v>6</v>
      </c>
      <c r="H83" s="131">
        <f>H66</f>
        <v>2.2800000000000001E-4</v>
      </c>
      <c r="I83" s="104">
        <v>4480.9799999999996</v>
      </c>
      <c r="N83" s="422" t="s">
        <v>443</v>
      </c>
      <c r="O83" s="48"/>
      <c r="P83" s="48"/>
      <c r="Q83" s="47"/>
      <c r="R83" s="134">
        <f t="shared" si="15"/>
        <v>0</v>
      </c>
      <c r="S83" s="40"/>
      <c r="T83" s="133"/>
      <c r="U83" s="99">
        <f t="shared" si="16"/>
        <v>0</v>
      </c>
    </row>
    <row r="84" spans="1:21" x14ac:dyDescent="0.25">
      <c r="A84" s="420" t="s">
        <v>444</v>
      </c>
      <c r="B84" s="72"/>
      <c r="C84" s="72"/>
      <c r="D84" s="72"/>
      <c r="E84" s="46"/>
      <c r="F84" s="337"/>
      <c r="G84" s="39"/>
      <c r="H84" s="131"/>
      <c r="I84" s="104">
        <f>I82+I83</f>
        <v>14339.13</v>
      </c>
      <c r="N84" s="421" t="s">
        <v>444</v>
      </c>
      <c r="O84" s="48"/>
      <c r="P84" s="48"/>
      <c r="Q84" s="47"/>
      <c r="R84" s="423"/>
      <c r="S84" s="40"/>
      <c r="T84" s="133"/>
      <c r="U84" s="99">
        <f>U82+U83</f>
        <v>0</v>
      </c>
    </row>
    <row r="85" spans="1:21" x14ac:dyDescent="0.25">
      <c r="A85" s="463" t="s">
        <v>398</v>
      </c>
      <c r="B85" s="453"/>
      <c r="C85" s="453"/>
      <c r="D85" s="72"/>
      <c r="E85" s="46" t="s">
        <v>4</v>
      </c>
      <c r="F85" s="337">
        <f>'0664'!F85</f>
        <v>0</v>
      </c>
      <c r="G85" s="39" t="s">
        <v>6</v>
      </c>
      <c r="H85" s="131">
        <f>H66</f>
        <v>2.2800000000000001E-4</v>
      </c>
      <c r="I85" s="104">
        <f t="shared" si="14"/>
        <v>0</v>
      </c>
      <c r="N85" s="478" t="s">
        <v>398</v>
      </c>
      <c r="O85" s="479"/>
      <c r="P85" s="479"/>
      <c r="Q85" s="47"/>
      <c r="R85" s="132">
        <f t="shared" si="15"/>
        <v>0</v>
      </c>
      <c r="S85" s="40" t="s">
        <v>6</v>
      </c>
      <c r="T85" s="133">
        <f>T66</f>
        <v>2.2800000000000001E-4</v>
      </c>
      <c r="U85" s="99">
        <f t="shared" si="16"/>
        <v>0</v>
      </c>
    </row>
    <row r="86" spans="1:21" x14ac:dyDescent="0.25">
      <c r="B86" s="72"/>
      <c r="C86" s="72"/>
      <c r="D86" s="72"/>
      <c r="E86" s="46"/>
      <c r="F86" s="136"/>
      <c r="G86" s="39"/>
      <c r="H86" s="131"/>
      <c r="I86" s="104"/>
      <c r="N86" s="48"/>
      <c r="O86" s="48"/>
      <c r="P86" s="48"/>
      <c r="Q86" s="47"/>
      <c r="R86" s="137"/>
      <c r="S86" s="40"/>
      <c r="T86" s="133"/>
      <c r="U86" s="106"/>
    </row>
    <row r="87" spans="1:21" x14ac:dyDescent="0.25">
      <c r="A87" s="463" t="s">
        <v>445</v>
      </c>
      <c r="B87" s="453"/>
      <c r="C87" s="453"/>
      <c r="D87" s="453"/>
      <c r="E87" s="453"/>
      <c r="F87" s="453"/>
      <c r="G87" s="453"/>
      <c r="H87" s="453"/>
      <c r="I87" s="453"/>
      <c r="N87" s="478" t="s">
        <v>429</v>
      </c>
      <c r="O87" s="479"/>
      <c r="P87" s="479"/>
      <c r="Q87" s="479"/>
      <c r="R87" s="479"/>
      <c r="S87" s="479"/>
      <c r="T87" s="479"/>
      <c r="U87" s="479"/>
    </row>
    <row r="88" spans="1:21" x14ac:dyDescent="0.25">
      <c r="B88" s="72"/>
      <c r="C88" s="466" t="s">
        <v>73</v>
      </c>
      <c r="D88" s="466"/>
      <c r="E88" s="72"/>
      <c r="F88" s="41" t="s">
        <v>37</v>
      </c>
      <c r="G88" s="72"/>
      <c r="H88" s="72"/>
      <c r="I88" s="72"/>
      <c r="N88" s="48"/>
      <c r="O88" s="48"/>
      <c r="P88" s="48"/>
      <c r="Q88" s="48"/>
      <c r="R88" s="48"/>
      <c r="S88" s="48"/>
      <c r="T88" s="48"/>
      <c r="U88" s="48"/>
    </row>
    <row r="89" spans="1:21" x14ac:dyDescent="0.25">
      <c r="A89" s="3"/>
      <c r="B89" s="138"/>
      <c r="C89" s="462" t="s">
        <v>144</v>
      </c>
      <c r="D89" s="462"/>
      <c r="E89" s="139" t="s">
        <v>150</v>
      </c>
      <c r="F89" s="140" t="s">
        <v>149</v>
      </c>
      <c r="G89" s="141"/>
      <c r="H89" s="141"/>
      <c r="I89" s="141"/>
      <c r="N89" s="495" t="s">
        <v>46</v>
      </c>
      <c r="O89" s="495"/>
      <c r="P89" s="496" t="s">
        <v>119</v>
      </c>
      <c r="Q89" s="496"/>
      <c r="R89" s="497" t="s">
        <v>40</v>
      </c>
      <c r="S89" s="497"/>
      <c r="T89" s="497"/>
      <c r="U89" s="497"/>
    </row>
    <row r="90" spans="1:21" x14ac:dyDescent="0.25">
      <c r="A90" s="27"/>
      <c r="B90" s="55" t="s">
        <v>148</v>
      </c>
      <c r="C90" s="467">
        <f>H13+H14+H19+H22+H25</f>
        <v>0</v>
      </c>
      <c r="D90" s="467"/>
      <c r="E90" s="49">
        <f>H8</f>
        <v>1.0438000000000001</v>
      </c>
      <c r="F90" s="338">
        <f>'0664'!F90</f>
        <v>957.94</v>
      </c>
      <c r="G90" s="41" t="s">
        <v>13</v>
      </c>
      <c r="H90" s="104">
        <f>ROUND(C90*E90*F90,2)</f>
        <v>0</v>
      </c>
      <c r="I90" s="107"/>
      <c r="N90" s="29" t="s">
        <v>22</v>
      </c>
      <c r="O90" s="50">
        <f>T13+T14+T19+T22+T25</f>
        <v>0</v>
      </c>
      <c r="P90" s="490">
        <f>T8</f>
        <v>1.0438000000000001</v>
      </c>
      <c r="Q90" s="490"/>
      <c r="R90" s="51">
        <f>F90</f>
        <v>957.94</v>
      </c>
      <c r="S90" s="42" t="s">
        <v>13</v>
      </c>
      <c r="T90" s="134">
        <f>ROUND(O90*P90*R90,0)</f>
        <v>0</v>
      </c>
      <c r="U90" s="105"/>
    </row>
    <row r="91" spans="1:21" x14ac:dyDescent="0.25">
      <c r="A91" s="52"/>
      <c r="B91" s="52" t="s">
        <v>147</v>
      </c>
      <c r="C91" s="467">
        <f>H15+H16+H20+H23+H26</f>
        <v>0</v>
      </c>
      <c r="D91" s="467"/>
      <c r="E91" s="49">
        <f>H8</f>
        <v>1.0438000000000001</v>
      </c>
      <c r="F91" s="338">
        <f>'0664'!F91</f>
        <v>914.63</v>
      </c>
      <c r="G91" s="41" t="s">
        <v>13</v>
      </c>
      <c r="H91" s="104">
        <f>ROUND(C91*E91*F91,2)</f>
        <v>0</v>
      </c>
      <c r="N91" s="53" t="s">
        <v>14</v>
      </c>
      <c r="O91" s="50">
        <f>T15+T16+T20+T23+T26</f>
        <v>0</v>
      </c>
      <c r="P91" s="490">
        <f>T8</f>
        <v>1.0438000000000001</v>
      </c>
      <c r="Q91" s="490"/>
      <c r="R91" s="51">
        <f>F91</f>
        <v>914.63</v>
      </c>
      <c r="S91" s="42" t="s">
        <v>13</v>
      </c>
      <c r="T91" s="134">
        <f>ROUND(O91*P91*R91,0)</f>
        <v>0</v>
      </c>
      <c r="U91" s="54"/>
    </row>
    <row r="92" spans="1:21" ht="16.5" thickBot="1" x14ac:dyDescent="0.3">
      <c r="A92" s="55"/>
      <c r="B92" s="55" t="s">
        <v>146</v>
      </c>
      <c r="C92" s="467">
        <f>H17+H18+H21+H24+H27+H28</f>
        <v>49.390599999999999</v>
      </c>
      <c r="D92" s="467"/>
      <c r="E92" s="49">
        <f>H8</f>
        <v>1.0438000000000001</v>
      </c>
      <c r="F92" s="338">
        <f>'0664'!F92</f>
        <v>916.84</v>
      </c>
      <c r="G92" s="41" t="s">
        <v>13</v>
      </c>
      <c r="H92" s="97">
        <f>ROUND(C92*E92*F92,2)</f>
        <v>47266.69</v>
      </c>
      <c r="N92" s="56" t="s">
        <v>15</v>
      </c>
      <c r="O92" s="57">
        <f>T17+T18+T21+T24+T27+T28</f>
        <v>49.44</v>
      </c>
      <c r="P92" s="490">
        <f>T8</f>
        <v>1.0438000000000001</v>
      </c>
      <c r="Q92" s="490"/>
      <c r="R92" s="51">
        <f>F92</f>
        <v>916.84</v>
      </c>
      <c r="S92" s="42" t="s">
        <v>13</v>
      </c>
      <c r="T92" s="134">
        <f>ROUND(O92*P92*R92,0)</f>
        <v>47314</v>
      </c>
      <c r="U92" s="54"/>
    </row>
    <row r="93" spans="1:21" ht="16.5" thickBot="1" x14ac:dyDescent="0.3">
      <c r="A93" s="58"/>
      <c r="B93" s="142" t="s">
        <v>145</v>
      </c>
      <c r="C93" s="469">
        <f>SUM(C90:C92)</f>
        <v>49.390599999999999</v>
      </c>
      <c r="D93" s="469"/>
      <c r="E93" s="143"/>
      <c r="F93" s="143"/>
      <c r="G93" s="143"/>
      <c r="H93" s="144" t="s">
        <v>143</v>
      </c>
      <c r="I93" s="104">
        <f>IF(A1=75,0,H92+H91+H90)</f>
        <v>47266.69</v>
      </c>
      <c r="N93" s="59" t="s">
        <v>120</v>
      </c>
      <c r="O93" s="60">
        <f>SUM(O90:O92)</f>
        <v>49.44</v>
      </c>
      <c r="P93" s="491" t="s">
        <v>18</v>
      </c>
      <c r="Q93" s="492"/>
      <c r="R93" s="492"/>
      <c r="S93" s="492"/>
      <c r="T93" s="492"/>
      <c r="U93" s="99">
        <f>IF(N1=75,0,T92+T91+T90)</f>
        <v>47314</v>
      </c>
    </row>
    <row r="94" spans="1:21" ht="16.5" thickTop="1" x14ac:dyDescent="0.25">
      <c r="A94" s="540" t="s">
        <v>90</v>
      </c>
      <c r="B94" s="540"/>
      <c r="C94" s="540"/>
      <c r="D94" s="540"/>
      <c r="E94" s="540"/>
      <c r="F94" s="540"/>
      <c r="G94" s="540"/>
      <c r="H94" s="540"/>
      <c r="I94" s="540"/>
      <c r="N94" s="493" t="s">
        <v>90</v>
      </c>
      <c r="O94" s="493"/>
      <c r="P94" s="493"/>
      <c r="Q94" s="493"/>
      <c r="R94" s="493"/>
      <c r="S94" s="493"/>
      <c r="T94" s="493"/>
      <c r="U94" s="493"/>
    </row>
    <row r="95" spans="1:21" x14ac:dyDescent="0.25">
      <c r="A95" s="145"/>
      <c r="B95" s="145"/>
      <c r="C95" s="145"/>
      <c r="D95" s="145"/>
      <c r="E95" s="145"/>
      <c r="F95" s="145"/>
      <c r="G95" s="145"/>
      <c r="H95" s="145"/>
      <c r="I95" s="145"/>
      <c r="N95" s="146"/>
      <c r="O95" s="146"/>
      <c r="P95" s="146"/>
      <c r="Q95" s="146"/>
      <c r="R95" s="146"/>
      <c r="S95" s="146"/>
      <c r="T95" s="146"/>
      <c r="U95" s="146"/>
    </row>
    <row r="96" spans="1:21" x14ac:dyDescent="0.25">
      <c r="A96" s="84" t="s">
        <v>446</v>
      </c>
      <c r="C96" s="46"/>
      <c r="D96" s="72"/>
      <c r="E96" s="46" t="s">
        <v>100</v>
      </c>
      <c r="F96" s="471"/>
      <c r="G96" s="471"/>
      <c r="H96" s="471"/>
      <c r="I96" s="471"/>
      <c r="N96" s="478" t="s">
        <v>426</v>
      </c>
      <c r="O96" s="479"/>
      <c r="P96" s="479"/>
      <c r="Q96" s="494"/>
      <c r="R96" s="494"/>
      <c r="S96" s="494"/>
      <c r="T96" s="494"/>
      <c r="U96" s="106"/>
    </row>
    <row r="97" spans="1:21" x14ac:dyDescent="0.25">
      <c r="B97" s="72"/>
      <c r="C97" s="91" t="s">
        <v>409</v>
      </c>
      <c r="D97" s="371" t="s">
        <v>410</v>
      </c>
      <c r="E97" s="92" t="s">
        <v>151</v>
      </c>
      <c r="F97" s="46"/>
      <c r="G97" s="46"/>
      <c r="H97" s="46"/>
      <c r="I97" s="46"/>
      <c r="N97" s="48"/>
      <c r="O97" s="48"/>
      <c r="P97" s="48"/>
      <c r="Q97" s="147"/>
      <c r="R97" s="147"/>
      <c r="S97" s="147"/>
      <c r="T97" s="147"/>
      <c r="U97" s="106"/>
    </row>
    <row r="98" spans="1:21" x14ac:dyDescent="0.25">
      <c r="B98" s="72"/>
      <c r="C98" s="362" t="s">
        <v>2</v>
      </c>
      <c r="D98" s="362" t="s">
        <v>2</v>
      </c>
      <c r="E98" s="362" t="s">
        <v>2</v>
      </c>
      <c r="F98" s="46"/>
      <c r="G98" s="46"/>
      <c r="H98" s="46"/>
      <c r="I98" s="46"/>
      <c r="N98" s="48"/>
      <c r="O98" s="48"/>
      <c r="P98" s="48"/>
      <c r="Q98" s="147"/>
      <c r="R98" s="147"/>
      <c r="S98" s="147"/>
      <c r="T98" s="147"/>
      <c r="U98" s="106"/>
    </row>
    <row r="99" spans="1:21" x14ac:dyDescent="0.25">
      <c r="A99" s="536" t="s">
        <v>470</v>
      </c>
      <c r="B99" s="461"/>
      <c r="C99" s="165">
        <v>47</v>
      </c>
      <c r="D99" s="165">
        <v>0</v>
      </c>
      <c r="E99" s="125">
        <f>C99</f>
        <v>47</v>
      </c>
      <c r="F99" s="148" t="s">
        <v>39</v>
      </c>
      <c r="G99" s="339">
        <f>'0664'!G99</f>
        <v>558</v>
      </c>
      <c r="I99" s="104">
        <f>ROUND(G99*E99,2)</f>
        <v>26226</v>
      </c>
      <c r="N99" s="488" t="s">
        <v>65</v>
      </c>
      <c r="O99" s="488"/>
      <c r="P99" s="489">
        <f>IF(H120=1,E99,0)</f>
        <v>47</v>
      </c>
      <c r="Q99" s="489"/>
      <c r="R99" s="489"/>
      <c r="S99" s="86" t="s">
        <v>39</v>
      </c>
      <c r="T99" s="61">
        <f>G99</f>
        <v>558</v>
      </c>
      <c r="U99" s="99">
        <f>ROUND(T99*P99,0)</f>
        <v>26226</v>
      </c>
    </row>
    <row r="100" spans="1:21" x14ac:dyDescent="0.25">
      <c r="A100" s="536" t="s">
        <v>471</v>
      </c>
      <c r="B100" s="461"/>
      <c r="C100" s="165">
        <v>0</v>
      </c>
      <c r="D100" s="165">
        <v>0</v>
      </c>
      <c r="E100" s="125">
        <f>C100</f>
        <v>0</v>
      </c>
      <c r="F100" s="148" t="s">
        <v>39</v>
      </c>
      <c r="G100" s="339">
        <f>'0664'!G100</f>
        <v>1707</v>
      </c>
      <c r="I100" s="104">
        <f>ROUND(G100*E100,2)</f>
        <v>0</v>
      </c>
      <c r="N100" s="488" t="s">
        <v>81</v>
      </c>
      <c r="O100" s="488"/>
      <c r="P100" s="483"/>
      <c r="Q100" s="483"/>
      <c r="R100" s="483"/>
      <c r="S100" s="86" t="s">
        <v>39</v>
      </c>
      <c r="T100" s="61">
        <f>G100</f>
        <v>1707</v>
      </c>
      <c r="U100" s="99">
        <f>ROUND(T100*P100,0)</f>
        <v>0</v>
      </c>
    </row>
    <row r="101" spans="1:21" x14ac:dyDescent="0.25">
      <c r="A101" s="149"/>
      <c r="B101" s="149"/>
      <c r="C101" s="68"/>
      <c r="D101" s="68"/>
      <c r="E101" s="68"/>
      <c r="F101" s="68"/>
      <c r="G101" s="150"/>
      <c r="H101" s="151"/>
      <c r="I101" s="104"/>
      <c r="N101" s="152"/>
      <c r="O101" s="152"/>
      <c r="P101" s="153"/>
      <c r="Q101" s="153"/>
      <c r="R101" s="153"/>
      <c r="S101" s="86"/>
      <c r="T101" s="61"/>
      <c r="U101" s="106"/>
    </row>
    <row r="102" spans="1:21" x14ac:dyDescent="0.25">
      <c r="A102" s="149"/>
      <c r="B102" s="149"/>
      <c r="C102" s="68"/>
      <c r="D102" s="68"/>
      <c r="E102" s="68"/>
      <c r="F102" s="68"/>
      <c r="G102" s="150"/>
      <c r="H102" s="151"/>
      <c r="I102" s="104"/>
      <c r="N102" s="152"/>
      <c r="O102" s="152"/>
      <c r="P102" s="153"/>
      <c r="Q102" s="153"/>
      <c r="R102" s="153"/>
      <c r="S102" s="86"/>
      <c r="T102" s="61"/>
      <c r="U102" s="106"/>
    </row>
    <row r="103" spans="1:21" hidden="1" x14ac:dyDescent="0.25">
      <c r="A103" s="463" t="s">
        <v>447</v>
      </c>
      <c r="B103" s="453"/>
      <c r="C103" s="453"/>
      <c r="D103" s="72"/>
      <c r="E103" s="41" t="s">
        <v>41</v>
      </c>
      <c r="F103" s="466"/>
      <c r="G103" s="466"/>
      <c r="H103" s="466"/>
      <c r="I103" s="466"/>
      <c r="N103" s="478" t="s">
        <v>362</v>
      </c>
      <c r="O103" s="479"/>
      <c r="P103" s="479"/>
      <c r="Q103" s="479"/>
      <c r="R103" s="479"/>
      <c r="S103" s="479"/>
      <c r="T103" s="479"/>
      <c r="U103" s="479"/>
    </row>
    <row r="104" spans="1:21" hidden="1" x14ac:dyDescent="0.25">
      <c r="B104" s="72"/>
      <c r="C104" s="462" t="s">
        <v>91</v>
      </c>
      <c r="D104" s="462"/>
      <c r="E104" s="462"/>
      <c r="F104" s="39"/>
      <c r="G104" s="39"/>
      <c r="H104" s="41" t="s">
        <v>152</v>
      </c>
      <c r="I104" s="39"/>
      <c r="N104" s="48"/>
      <c r="O104" s="48"/>
      <c r="P104" s="48"/>
      <c r="Q104" s="48"/>
      <c r="R104" s="48"/>
      <c r="S104" s="48"/>
      <c r="T104" s="48"/>
      <c r="U104" s="48"/>
    </row>
    <row r="105" spans="1:21" hidden="1" x14ac:dyDescent="0.25">
      <c r="B105" s="72"/>
      <c r="C105" s="91" t="s">
        <v>371</v>
      </c>
      <c r="D105" s="91" t="s">
        <v>351</v>
      </c>
      <c r="E105" s="159" t="s">
        <v>8</v>
      </c>
      <c r="F105" s="464" t="s">
        <v>153</v>
      </c>
      <c r="G105" s="466"/>
      <c r="H105" s="39" t="s">
        <v>38</v>
      </c>
      <c r="I105" s="39"/>
      <c r="N105" s="48"/>
      <c r="O105" s="48"/>
      <c r="P105" s="48"/>
      <c r="Q105" s="48"/>
      <c r="R105" s="48"/>
      <c r="S105" s="48"/>
      <c r="T105" s="48"/>
      <c r="U105" s="48"/>
    </row>
    <row r="106" spans="1:21" hidden="1" x14ac:dyDescent="0.25">
      <c r="A106" s="462" t="s">
        <v>94</v>
      </c>
      <c r="B106" s="462"/>
      <c r="C106" s="93" t="s">
        <v>2</v>
      </c>
      <c r="D106" s="93" t="s">
        <v>2</v>
      </c>
      <c r="E106" s="62" t="s">
        <v>2</v>
      </c>
      <c r="F106" s="462" t="s">
        <v>37</v>
      </c>
      <c r="G106" s="462"/>
      <c r="H106" s="62" t="s">
        <v>37</v>
      </c>
      <c r="I106" s="62" t="s">
        <v>8</v>
      </c>
      <c r="N106" s="484" t="s">
        <v>66</v>
      </c>
      <c r="O106" s="484"/>
      <c r="P106" s="489" t="s">
        <v>91</v>
      </c>
      <c r="Q106" s="489"/>
      <c r="R106" s="484" t="s">
        <v>67</v>
      </c>
      <c r="S106" s="484"/>
      <c r="T106" s="63" t="s">
        <v>68</v>
      </c>
      <c r="U106" s="63" t="s">
        <v>8</v>
      </c>
    </row>
    <row r="107" spans="1:21" hidden="1" x14ac:dyDescent="0.25">
      <c r="A107" s="473" t="s">
        <v>69</v>
      </c>
      <c r="B107" s="473"/>
      <c r="C107" s="163">
        <v>0</v>
      </c>
      <c r="D107" s="163">
        <v>0</v>
      </c>
      <c r="E107" s="210">
        <f>IF(D$59=0,C107*2,C107+D107)</f>
        <v>0</v>
      </c>
      <c r="F107" s="474">
        <v>0</v>
      </c>
      <c r="G107" s="474"/>
      <c r="H107" s="250">
        <f>IF(C107=0,0,125)</f>
        <v>0</v>
      </c>
      <c r="I107" s="104">
        <f>ROUND((H107+F107)*E107,2)</f>
        <v>0</v>
      </c>
      <c r="N107" s="479" t="s">
        <v>69</v>
      </c>
      <c r="O107" s="479"/>
      <c r="P107" s="483">
        <f>IF(H$120=1,C107,0)</f>
        <v>0</v>
      </c>
      <c r="Q107" s="483"/>
      <c r="R107" s="486">
        <f>F107</f>
        <v>0</v>
      </c>
      <c r="S107" s="486"/>
      <c r="T107" s="65">
        <f>H107</f>
        <v>0</v>
      </c>
      <c r="U107" s="99">
        <f>ROUND((T107+R107)*P107,0)</f>
        <v>0</v>
      </c>
    </row>
    <row r="108" spans="1:21" hidden="1" x14ac:dyDescent="0.25">
      <c r="A108" s="456" t="s">
        <v>70</v>
      </c>
      <c r="B108" s="456"/>
      <c r="C108" s="165">
        <v>0</v>
      </c>
      <c r="D108" s="165">
        <v>0</v>
      </c>
      <c r="E108" s="125">
        <f>IF(D$59=0,C108*2,C108+D108)</f>
        <v>0</v>
      </c>
      <c r="F108" s="468">
        <f>ROUND(F107/2,2)</f>
        <v>0</v>
      </c>
      <c r="G108" s="468"/>
      <c r="H108" s="250">
        <f>IF(C108=0,0,62.5)</f>
        <v>0</v>
      </c>
      <c r="I108" s="104">
        <f>ROUND((H108+F108)*E108,2)</f>
        <v>0</v>
      </c>
      <c r="N108" s="479" t="s">
        <v>70</v>
      </c>
      <c r="O108" s="479"/>
      <c r="P108" s="483">
        <f>IF(H$120=1,C108,0)</f>
        <v>0</v>
      </c>
      <c r="Q108" s="483"/>
      <c r="R108" s="487">
        <f>ROUND(R107/2,2)</f>
        <v>0</v>
      </c>
      <c r="S108" s="487"/>
      <c r="T108" s="65">
        <f>H108</f>
        <v>0</v>
      </c>
      <c r="U108" s="99">
        <f>ROUND((T108+R108)*P108,0)</f>
        <v>0</v>
      </c>
    </row>
    <row r="109" spans="1:21" ht="16.5" hidden="1" thickBot="1" x14ac:dyDescent="0.3">
      <c r="A109" s="456" t="s">
        <v>71</v>
      </c>
      <c r="B109" s="456"/>
      <c r="C109" s="165">
        <v>0</v>
      </c>
      <c r="D109" s="165">
        <v>0</v>
      </c>
      <c r="E109" s="125">
        <f>IF(D$59=0,C109*2,C109+D109)</f>
        <v>0</v>
      </c>
      <c r="F109" s="475"/>
      <c r="G109" s="475"/>
      <c r="H109" s="251">
        <f>IF(H107&gt;0,436,0)</f>
        <v>0</v>
      </c>
      <c r="I109" s="104">
        <f>ROUND(H109*E109,2)</f>
        <v>0</v>
      </c>
      <c r="N109" s="482" t="s">
        <v>71</v>
      </c>
      <c r="O109" s="482"/>
      <c r="P109" s="483">
        <f>IF(H$120=1,C109,0)</f>
        <v>0</v>
      </c>
      <c r="Q109" s="483"/>
      <c r="R109" s="484"/>
      <c r="S109" s="484"/>
      <c r="T109" s="67">
        <f>H109</f>
        <v>0</v>
      </c>
      <c r="U109" s="106">
        <f>ROUND(T109*P109,0)</f>
        <v>0</v>
      </c>
    </row>
    <row r="110" spans="1:21" ht="16.5" hidden="1" thickBot="1" x14ac:dyDescent="0.3">
      <c r="A110" s="466" t="s">
        <v>8</v>
      </c>
      <c r="B110" s="466"/>
      <c r="C110" s="68"/>
      <c r="D110" s="68"/>
      <c r="E110" s="68"/>
      <c r="F110" s="68"/>
      <c r="G110" s="68"/>
      <c r="H110" s="68"/>
      <c r="I110" s="100">
        <f>SUM(I107:I109)</f>
        <v>0</v>
      </c>
      <c r="N110" s="485" t="s">
        <v>8</v>
      </c>
      <c r="O110" s="485"/>
      <c r="P110" s="69"/>
      <c r="Q110" s="69"/>
      <c r="R110" s="69"/>
      <c r="S110" s="69"/>
      <c r="T110" s="69"/>
      <c r="U110" s="70">
        <f>SUM(U107:U109)</f>
        <v>0</v>
      </c>
    </row>
    <row r="111" spans="1:21" hidden="1" x14ac:dyDescent="0.25">
      <c r="A111" s="39"/>
      <c r="B111" s="39"/>
      <c r="C111" s="68"/>
      <c r="D111" s="68"/>
      <c r="E111" s="68"/>
      <c r="F111" s="68"/>
      <c r="G111" s="68"/>
      <c r="H111" s="68"/>
      <c r="I111" s="104"/>
      <c r="N111" s="40"/>
      <c r="O111" s="40"/>
      <c r="P111" s="69"/>
      <c r="Q111" s="69"/>
      <c r="R111" s="69"/>
      <c r="S111" s="69"/>
      <c r="T111" s="69"/>
      <c r="U111" s="160"/>
    </row>
    <row r="112" spans="1:21" x14ac:dyDescent="0.25">
      <c r="A112" s="463" t="s">
        <v>448</v>
      </c>
      <c r="B112" s="453"/>
      <c r="C112" s="453"/>
      <c r="D112" s="72"/>
      <c r="E112" s="71" t="s">
        <v>354</v>
      </c>
      <c r="F112" s="472"/>
      <c r="G112" s="472"/>
      <c r="H112" s="472"/>
      <c r="I112" s="125">
        <v>0</v>
      </c>
      <c r="N112" s="478" t="s">
        <v>427</v>
      </c>
      <c r="O112" s="479"/>
      <c r="P112" s="479"/>
      <c r="Q112" s="341"/>
      <c r="R112" s="341"/>
      <c r="S112" s="341"/>
      <c r="T112" s="341"/>
      <c r="U112" s="99">
        <f>IF($H$120=1,I112,0)</f>
        <v>0</v>
      </c>
    </row>
    <row r="113" spans="1:21" x14ac:dyDescent="0.25">
      <c r="A113" s="463" t="s">
        <v>449</v>
      </c>
      <c r="B113" s="453"/>
      <c r="C113" s="453"/>
      <c r="D113" s="72"/>
      <c r="E113" s="71" t="s">
        <v>45</v>
      </c>
      <c r="F113" s="472"/>
      <c r="G113" s="472"/>
      <c r="H113" s="472"/>
      <c r="I113" s="177">
        <v>0</v>
      </c>
      <c r="N113" s="478" t="s">
        <v>428</v>
      </c>
      <c r="O113" s="479"/>
      <c r="P113" s="479"/>
      <c r="Q113" s="341"/>
      <c r="R113" s="341"/>
      <c r="S113" s="341"/>
      <c r="T113" s="341"/>
      <c r="U113" s="99">
        <f>IF($H$120=1,I113,0)</f>
        <v>0</v>
      </c>
    </row>
    <row r="114" spans="1:21" ht="16.5" thickBot="1" x14ac:dyDescent="0.3">
      <c r="B114" s="72"/>
      <c r="C114" s="72"/>
      <c r="D114" s="72"/>
      <c r="E114" s="71"/>
      <c r="F114" s="71"/>
      <c r="G114" s="71"/>
      <c r="H114" s="71"/>
      <c r="I114" s="125"/>
      <c r="N114" s="480" t="s">
        <v>42</v>
      </c>
      <c r="O114" s="480"/>
      <c r="P114" s="480"/>
      <c r="Q114" s="480"/>
      <c r="R114" s="480"/>
      <c r="S114" s="480"/>
      <c r="T114" s="480"/>
      <c r="U114" s="154">
        <f>SUM(U112,U110,U100,U99,U93,U77,U76,U74,U73,U72,U71,U70,U68,U59,U45,U78,U79,U80,U85,U113)</f>
        <v>380182</v>
      </c>
    </row>
    <row r="115" spans="1:21" ht="16.5" thickTop="1" x14ac:dyDescent="0.25">
      <c r="A115" s="461" t="s">
        <v>8</v>
      </c>
      <c r="B115" s="461"/>
      <c r="C115" s="461"/>
      <c r="D115" s="461"/>
      <c r="E115" s="461"/>
      <c r="F115" s="461"/>
      <c r="G115" s="461"/>
      <c r="H115" s="461"/>
      <c r="I115" s="97">
        <f>SUM(I113,I112,I110,I100,I99,I93,I85,I84,I80,I79,I78,I77,I76,I74,I73,I72,I71,I70,I68,I59,I45)</f>
        <v>702551.71</v>
      </c>
      <c r="N115" s="29"/>
      <c r="O115" s="29"/>
      <c r="P115" s="29"/>
      <c r="Q115" s="29"/>
      <c r="R115" s="29"/>
      <c r="S115" s="29"/>
      <c r="T115" s="29"/>
      <c r="U115" s="160"/>
    </row>
    <row r="116" spans="1:21" x14ac:dyDescent="0.25">
      <c r="A116" s="27"/>
      <c r="B116" s="27"/>
      <c r="C116" s="27"/>
      <c r="D116" s="27"/>
      <c r="E116" s="27"/>
      <c r="F116" s="27"/>
      <c r="G116" s="27"/>
      <c r="H116" s="27"/>
      <c r="I116" s="104"/>
      <c r="N116" s="29"/>
      <c r="O116" s="29"/>
      <c r="P116" s="29"/>
      <c r="Q116" s="29"/>
      <c r="R116" s="29"/>
      <c r="S116" s="29"/>
      <c r="T116" s="29"/>
      <c r="U116" s="160"/>
    </row>
    <row r="117" spans="1:21" x14ac:dyDescent="0.25">
      <c r="A117" s="432" t="s">
        <v>467</v>
      </c>
      <c r="B117" s="27"/>
      <c r="C117" s="27"/>
      <c r="D117" s="27"/>
      <c r="E117" s="27"/>
      <c r="F117" s="27"/>
      <c r="G117" s="27"/>
      <c r="H117" s="27"/>
      <c r="I117" s="104">
        <f>I115-I84</f>
        <v>688212.58</v>
      </c>
      <c r="N117" s="29"/>
      <c r="O117" s="29"/>
      <c r="P117" s="29"/>
      <c r="Q117" s="29"/>
      <c r="R117" s="29"/>
      <c r="S117" s="29"/>
      <c r="T117" s="29"/>
      <c r="U117" s="160"/>
    </row>
    <row r="118" spans="1:21" x14ac:dyDescent="0.25">
      <c r="A118" s="27"/>
      <c r="B118" s="27"/>
      <c r="C118" s="27"/>
      <c r="D118" s="27"/>
      <c r="E118" s="27"/>
      <c r="F118" s="27"/>
      <c r="G118" s="27"/>
      <c r="H118" s="27"/>
      <c r="I118" s="104"/>
      <c r="N118" s="29"/>
      <c r="O118" s="29"/>
      <c r="P118" s="29"/>
      <c r="Q118" s="29"/>
      <c r="R118" s="29"/>
      <c r="S118" s="29"/>
      <c r="T118" s="29"/>
      <c r="U118" s="160"/>
    </row>
    <row r="119" spans="1:21" x14ac:dyDescent="0.25">
      <c r="A119" s="463" t="s">
        <v>468</v>
      </c>
      <c r="B119" s="453"/>
      <c r="C119" s="453"/>
      <c r="D119" s="453"/>
      <c r="E119" s="453"/>
      <c r="F119" s="453"/>
      <c r="G119" s="453"/>
      <c r="H119" s="84" t="s">
        <v>394</v>
      </c>
      <c r="I119" s="156"/>
      <c r="N119" s="481"/>
      <c r="O119" s="481"/>
      <c r="P119" s="481"/>
      <c r="Q119" s="481"/>
      <c r="R119" s="481"/>
      <c r="S119" s="481"/>
      <c r="T119" s="481"/>
      <c r="U119" s="481"/>
    </row>
    <row r="120" spans="1:21" x14ac:dyDescent="0.25">
      <c r="A120" s="453" t="s">
        <v>95</v>
      </c>
      <c r="B120" s="453"/>
      <c r="C120" s="453"/>
      <c r="D120" s="453"/>
      <c r="E120" s="453"/>
      <c r="F120" s="453"/>
      <c r="G120" s="453"/>
      <c r="H120" s="73">
        <f>IF(E29=0,"",IF((E14+E16+SUM(E18:E24))/E29&gt;0.75,1,""))</f>
        <v>1</v>
      </c>
      <c r="I120" s="125">
        <f>U114</f>
        <v>380182</v>
      </c>
      <c r="N120" s="476" t="s">
        <v>7</v>
      </c>
      <c r="O120" s="476"/>
      <c r="P120" s="476"/>
      <c r="Q120" s="476"/>
      <c r="R120" s="476"/>
      <c r="S120" s="476"/>
      <c r="T120" s="476"/>
      <c r="U120" s="476"/>
    </row>
    <row r="121" spans="1:21" x14ac:dyDescent="0.25">
      <c r="B121" s="72"/>
      <c r="C121" s="72"/>
      <c r="D121" s="72"/>
      <c r="E121" s="72"/>
      <c r="F121" s="72"/>
      <c r="G121" s="72"/>
      <c r="H121" s="68"/>
      <c r="I121" s="104"/>
      <c r="N121" s="74" t="s">
        <v>106</v>
      </c>
      <c r="O121" s="74"/>
      <c r="P121" s="74"/>
      <c r="Q121" s="74"/>
      <c r="R121" s="74"/>
      <c r="S121" s="74"/>
      <c r="T121" s="74"/>
      <c r="U121" s="74"/>
    </row>
    <row r="122" spans="1:21" x14ac:dyDescent="0.25">
      <c r="A122" s="3" t="s">
        <v>102</v>
      </c>
      <c r="B122" s="72"/>
      <c r="C122" s="72"/>
      <c r="D122" s="72"/>
      <c r="E122" s="72"/>
      <c r="F122" s="72"/>
      <c r="G122" s="286"/>
      <c r="H122" s="161">
        <f>IF(H120=1,I120,I117)</f>
        <v>380182</v>
      </c>
      <c r="I122" s="97">
        <f>ROUND(IF(E29=0,0,IF(E29&gt;250,-(((250/E29)*H122)*IF(G122="H",0.02,0.05)),IF(G122="H",-0.02*H122,-0.05*H122))),2)</f>
        <v>-19009.099999999999</v>
      </c>
      <c r="N122" s="75" t="s">
        <v>107</v>
      </c>
      <c r="O122" s="74"/>
      <c r="P122" s="74"/>
      <c r="Q122" s="74"/>
      <c r="R122" s="74"/>
      <c r="S122" s="74"/>
      <c r="T122" s="74"/>
      <c r="U122" s="74"/>
    </row>
    <row r="123" spans="1:21" x14ac:dyDescent="0.25">
      <c r="B123" s="72"/>
      <c r="C123" s="72"/>
      <c r="D123" s="72"/>
      <c r="E123" s="72"/>
      <c r="F123" s="72"/>
      <c r="G123" s="72"/>
      <c r="H123" s="68"/>
      <c r="I123" s="104"/>
      <c r="N123" s="76"/>
      <c r="O123" s="76"/>
      <c r="P123" s="76"/>
      <c r="Q123" s="76"/>
      <c r="R123" s="76"/>
      <c r="S123" s="76"/>
      <c r="T123" s="76"/>
      <c r="U123" s="76"/>
    </row>
    <row r="124" spans="1:21" x14ac:dyDescent="0.25">
      <c r="A124" s="345" t="s">
        <v>103</v>
      </c>
      <c r="B124" s="346"/>
      <c r="C124" s="346"/>
      <c r="D124" s="346"/>
      <c r="E124" s="346"/>
      <c r="F124" s="346"/>
      <c r="G124" s="346"/>
      <c r="H124" s="347"/>
      <c r="I124" s="348">
        <f>I115+I122</f>
        <v>683542.61</v>
      </c>
      <c r="N124" s="76"/>
      <c r="O124" s="76"/>
      <c r="P124" s="76"/>
      <c r="Q124" s="76"/>
      <c r="R124" s="76"/>
      <c r="S124" s="76"/>
      <c r="T124" s="76"/>
      <c r="U124" s="76"/>
    </row>
    <row r="125" spans="1:21" x14ac:dyDescent="0.25">
      <c r="B125" s="72"/>
      <c r="C125" s="72"/>
      <c r="D125" s="72"/>
      <c r="E125" s="72"/>
      <c r="F125" s="72"/>
      <c r="G125" s="72"/>
      <c r="H125" s="68"/>
      <c r="I125" s="104"/>
      <c r="N125" s="76"/>
      <c r="O125" s="76"/>
      <c r="P125" s="76"/>
      <c r="Q125" s="76"/>
      <c r="R125" s="76"/>
      <c r="S125" s="76"/>
      <c r="T125" s="76"/>
      <c r="U125" s="76"/>
    </row>
    <row r="126" spans="1:21" x14ac:dyDescent="0.25">
      <c r="A126" s="3" t="s">
        <v>104</v>
      </c>
      <c r="B126" s="72"/>
      <c r="C126" s="162"/>
      <c r="D126" s="72"/>
      <c r="F126" s="72"/>
      <c r="G126" s="72"/>
      <c r="H126" s="68"/>
      <c r="I126" s="302">
        <v>-503741.06</v>
      </c>
      <c r="N126" s="76"/>
      <c r="O126" s="76"/>
      <c r="P126" s="76"/>
      <c r="Q126" s="76"/>
      <c r="R126" s="76"/>
      <c r="S126" s="76"/>
      <c r="T126" s="76"/>
      <c r="U126" s="76"/>
    </row>
    <row r="127" spans="1:21" x14ac:dyDescent="0.25">
      <c r="B127" s="72"/>
      <c r="C127" s="72"/>
      <c r="D127" s="72"/>
      <c r="E127" s="72"/>
      <c r="F127" s="72"/>
      <c r="G127" s="72"/>
      <c r="H127" s="68"/>
      <c r="I127" s="104"/>
      <c r="N127" s="76"/>
      <c r="O127" s="76"/>
      <c r="P127" s="76"/>
      <c r="Q127" s="76"/>
      <c r="R127" s="76"/>
      <c r="S127" s="76"/>
      <c r="T127" s="76"/>
      <c r="U127" s="76"/>
    </row>
    <row r="128" spans="1:21" x14ac:dyDescent="0.25">
      <c r="A128" s="84" t="s">
        <v>297</v>
      </c>
      <c r="B128" s="72"/>
      <c r="C128" s="72"/>
      <c r="D128" s="72"/>
      <c r="E128" s="72"/>
      <c r="F128" s="72"/>
      <c r="G128" s="72"/>
      <c r="H128" s="68"/>
      <c r="I128" s="104">
        <f>I124+I126</f>
        <v>179801.55</v>
      </c>
      <c r="N128" s="76"/>
      <c r="O128" s="76"/>
      <c r="P128" s="76"/>
      <c r="Q128" s="76"/>
      <c r="R128" s="76"/>
      <c r="S128" s="76"/>
      <c r="T128" s="76"/>
      <c r="U128" s="76"/>
    </row>
    <row r="129" spans="1:21" x14ac:dyDescent="0.25">
      <c r="A129" s="84"/>
      <c r="B129" s="72"/>
      <c r="C129" s="72"/>
      <c r="D129" s="72"/>
      <c r="E129" s="72"/>
      <c r="F129" s="72"/>
      <c r="G129" s="72"/>
      <c r="H129" s="68"/>
      <c r="I129" s="104"/>
      <c r="N129" s="76"/>
      <c r="O129" s="76"/>
      <c r="P129" s="76"/>
      <c r="Q129" s="76"/>
      <c r="R129" s="76"/>
      <c r="S129" s="76"/>
      <c r="T129" s="76"/>
      <c r="U129" s="76"/>
    </row>
    <row r="130" spans="1:21" x14ac:dyDescent="0.25">
      <c r="A130" s="84" t="s">
        <v>298</v>
      </c>
      <c r="B130" s="72"/>
      <c r="C130" s="72"/>
      <c r="D130" s="72"/>
      <c r="E130" s="72"/>
      <c r="F130" s="72"/>
      <c r="G130" s="72"/>
      <c r="H130" s="68"/>
      <c r="I130" s="303">
        <f>'0664'!I130</f>
        <v>3</v>
      </c>
      <c r="N130" s="76"/>
      <c r="O130" s="76"/>
      <c r="P130" s="76"/>
      <c r="Q130" s="76"/>
      <c r="R130" s="76"/>
      <c r="S130" s="76"/>
      <c r="T130" s="76"/>
      <c r="U130" s="76"/>
    </row>
    <row r="131" spans="1:21" x14ac:dyDescent="0.25">
      <c r="B131" s="72"/>
      <c r="C131" s="72"/>
      <c r="D131" s="72"/>
      <c r="E131" s="72"/>
      <c r="F131" s="72"/>
      <c r="G131" s="72"/>
      <c r="H131" s="68"/>
      <c r="I131" s="104"/>
      <c r="N131" s="76"/>
      <c r="O131" s="76"/>
      <c r="P131" s="76"/>
      <c r="Q131" s="76"/>
      <c r="R131" s="76"/>
      <c r="S131" s="76"/>
      <c r="T131" s="76"/>
      <c r="U131" s="76"/>
    </row>
    <row r="132" spans="1:21" ht="16.5" thickBot="1" x14ac:dyDescent="0.3">
      <c r="A132" s="3" t="s">
        <v>105</v>
      </c>
      <c r="B132" s="72"/>
      <c r="C132" s="72"/>
      <c r="D132" s="72"/>
      <c r="E132" s="72"/>
      <c r="F132" s="72"/>
      <c r="G132" s="72"/>
      <c r="H132" s="68"/>
      <c r="I132" s="178">
        <f>ROUND(I128/I130,2)</f>
        <v>59933.85</v>
      </c>
      <c r="N132" s="76"/>
      <c r="O132" s="76"/>
      <c r="P132" s="76"/>
      <c r="Q132" s="76"/>
      <c r="R132" s="76"/>
      <c r="S132" s="76"/>
      <c r="T132" s="76"/>
      <c r="U132" s="76"/>
    </row>
    <row r="133" spans="1:21" ht="16.5" thickTop="1" x14ac:dyDescent="0.25">
      <c r="B133" s="72"/>
      <c r="C133" s="72"/>
      <c r="D133" s="72"/>
      <c r="E133" s="72"/>
      <c r="F133" s="72"/>
      <c r="G133" s="72"/>
      <c r="H133" s="68"/>
      <c r="I133" s="104"/>
      <c r="N133" s="76"/>
      <c r="O133" s="76"/>
      <c r="P133" s="76"/>
      <c r="Q133" s="76"/>
      <c r="R133" s="76"/>
      <c r="S133" s="76"/>
      <c r="T133" s="76"/>
      <c r="U133" s="76"/>
    </row>
    <row r="134" spans="1:21" ht="16.5" thickBot="1" x14ac:dyDescent="0.3">
      <c r="A134" s="3" t="s">
        <v>121</v>
      </c>
      <c r="B134" s="72"/>
      <c r="C134" s="72"/>
      <c r="D134" s="72"/>
      <c r="E134" s="72"/>
      <c r="F134" s="72"/>
      <c r="G134" s="72"/>
      <c r="H134" s="68"/>
      <c r="I134" s="155">
        <f>ROUND(IF(G122="H",(H122*0.02)+I122,(H122*0.05)+I122),2)</f>
        <v>0</v>
      </c>
      <c r="N134" s="76"/>
      <c r="O134" s="76"/>
      <c r="P134" s="76"/>
      <c r="Q134" s="76"/>
      <c r="R134" s="76"/>
      <c r="S134" s="76"/>
      <c r="T134" s="76"/>
      <c r="U134" s="76"/>
    </row>
    <row r="135" spans="1:21" ht="16.5" thickTop="1" x14ac:dyDescent="0.25">
      <c r="B135" s="72"/>
      <c r="C135" s="72"/>
      <c r="D135" s="72"/>
      <c r="E135" s="72"/>
      <c r="F135" s="72"/>
      <c r="G135" s="72"/>
      <c r="H135" s="68"/>
      <c r="I135" s="156"/>
      <c r="N135" s="76"/>
      <c r="O135" s="76"/>
      <c r="P135" s="76"/>
      <c r="Q135" s="76"/>
      <c r="R135" s="76"/>
      <c r="S135" s="76"/>
      <c r="T135" s="76"/>
      <c r="U135" s="76"/>
    </row>
    <row r="136" spans="1:21" x14ac:dyDescent="0.25">
      <c r="B136" s="72"/>
      <c r="C136" s="72"/>
      <c r="D136" s="72"/>
      <c r="E136" s="72"/>
      <c r="F136" s="72"/>
      <c r="G136" s="72"/>
      <c r="H136" s="68"/>
      <c r="I136" s="104"/>
      <c r="N136" s="76"/>
      <c r="O136" s="76"/>
      <c r="P136" s="76"/>
      <c r="Q136" s="76"/>
      <c r="R136" s="76"/>
      <c r="S136" s="76"/>
      <c r="T136" s="76"/>
      <c r="U136" s="76"/>
    </row>
    <row r="137" spans="1:21" x14ac:dyDescent="0.25">
      <c r="B137" s="72"/>
      <c r="C137" s="72"/>
      <c r="D137" s="72"/>
      <c r="E137" s="72"/>
      <c r="F137" s="72"/>
      <c r="G137" s="72"/>
      <c r="H137" s="68"/>
      <c r="I137" s="156"/>
      <c r="N137" s="76"/>
      <c r="O137" s="76"/>
      <c r="P137" s="76"/>
      <c r="Q137" s="76"/>
      <c r="R137" s="76"/>
      <c r="S137" s="76"/>
      <c r="T137" s="76"/>
      <c r="U137" s="76"/>
    </row>
    <row r="138" spans="1:21" x14ac:dyDescent="0.25">
      <c r="A138" s="281" t="s">
        <v>7</v>
      </c>
      <c r="B138" s="281"/>
      <c r="C138" s="281"/>
      <c r="D138" s="281"/>
      <c r="E138" s="281"/>
      <c r="F138" s="281"/>
      <c r="G138" s="281"/>
      <c r="H138" s="281"/>
      <c r="I138" s="281"/>
      <c r="J138" s="156"/>
      <c r="N138" s="76"/>
      <c r="O138" s="76"/>
      <c r="P138" s="76"/>
      <c r="Q138" s="76"/>
      <c r="R138" s="76"/>
      <c r="S138" s="76"/>
      <c r="T138" s="76"/>
      <c r="U138" s="76"/>
    </row>
    <row r="139" spans="1:21" ht="15.75" customHeight="1" x14ac:dyDescent="0.25">
      <c r="A139" s="356" t="str">
        <f>'0664'!A139</f>
        <v>(a) Additional FTE includes FTE earned through Advanced Placement, International Baccalaureate, Advanced International Certificate of Education, Industry Certified Career</v>
      </c>
      <c r="B139" s="357"/>
      <c r="C139" s="357"/>
      <c r="D139" s="357"/>
      <c r="E139" s="357"/>
      <c r="F139" s="357"/>
      <c r="G139" s="357"/>
      <c r="H139" s="357"/>
      <c r="I139" s="357"/>
      <c r="J139" s="80"/>
      <c r="K139" s="79"/>
      <c r="L139" s="79"/>
      <c r="M139" s="79"/>
      <c r="N139" s="477"/>
      <c r="O139" s="477"/>
      <c r="P139" s="477"/>
      <c r="Q139" s="477"/>
      <c r="R139" s="477"/>
      <c r="S139" s="477"/>
      <c r="T139" s="477"/>
      <c r="U139" s="477"/>
    </row>
    <row r="140" spans="1:21" ht="15.75" customHeight="1" x14ac:dyDescent="0.25">
      <c r="A140" s="390" t="str">
        <f>'0664'!A140</f>
        <v xml:space="preserve">Education (CAPE), Early High School Graduation and the small district ESE Supplement, pursuant to s. 1011.62(1)(l-p), F.S. </v>
      </c>
      <c r="B140" s="357"/>
      <c r="C140" s="357"/>
      <c r="D140" s="357"/>
      <c r="E140" s="357"/>
      <c r="F140" s="357"/>
      <c r="G140" s="357"/>
      <c r="H140" s="357"/>
      <c r="I140" s="357"/>
      <c r="J140" s="80"/>
      <c r="K140" s="79"/>
      <c r="L140" s="79"/>
      <c r="M140" s="79"/>
      <c r="N140" s="76"/>
      <c r="O140" s="76"/>
      <c r="P140" s="76"/>
      <c r="Q140" s="76"/>
      <c r="R140" s="76"/>
      <c r="S140" s="76"/>
      <c r="T140" s="76"/>
      <c r="U140" s="76"/>
    </row>
    <row r="141" spans="1:21" x14ac:dyDescent="0.25">
      <c r="A141" s="356" t="str">
        <f>'0664'!A141</f>
        <v>(b) District allocations multiplied by percentage from item 3A.</v>
      </c>
      <c r="B141" s="281"/>
      <c r="C141" s="281"/>
      <c r="D141" s="281"/>
      <c r="E141" s="281"/>
      <c r="F141" s="281"/>
      <c r="G141" s="281"/>
      <c r="H141" s="281"/>
      <c r="I141" s="281"/>
      <c r="J141" s="79"/>
      <c r="K141" s="79"/>
      <c r="L141" s="79"/>
      <c r="M141" s="79"/>
      <c r="N141" s="81"/>
      <c r="O141" s="82"/>
      <c r="P141" s="82"/>
      <c r="Q141" s="82"/>
      <c r="R141" s="82"/>
      <c r="S141" s="82"/>
      <c r="T141" s="82"/>
      <c r="U141" s="82"/>
    </row>
    <row r="142" spans="1:21" s="79" customFormat="1" x14ac:dyDescent="0.2">
      <c r="A142" s="356" t="str">
        <f>'0664'!A142</f>
        <v>(c) District allocations multiplied by percentage from item 3B.</v>
      </c>
      <c r="B142" s="281"/>
      <c r="C142" s="281"/>
      <c r="D142" s="281"/>
      <c r="E142" s="281"/>
      <c r="F142" s="281"/>
      <c r="G142" s="281"/>
      <c r="H142" s="281"/>
      <c r="I142" s="281"/>
      <c r="N142" s="81"/>
    </row>
    <row r="143" spans="1:21" s="79" customFormat="1" ht="15.75" customHeight="1" x14ac:dyDescent="0.2">
      <c r="A143" s="356" t="str">
        <f>'0664'!A143</f>
        <v>(d) The Digital Classroom Allocation is provided pursuant to s. 1011.62(12), F.S.</v>
      </c>
      <c r="B143" s="281"/>
      <c r="C143" s="281"/>
      <c r="D143" s="281"/>
      <c r="E143" s="281"/>
      <c r="F143" s="281"/>
      <c r="G143" s="281"/>
      <c r="H143" s="281"/>
      <c r="I143" s="281"/>
      <c r="N143" s="81"/>
    </row>
    <row r="144" spans="1:21" s="79" customFormat="1" ht="15.75" customHeight="1" x14ac:dyDescent="0.2">
      <c r="A144" s="356" t="str">
        <f>'0664'!A144</f>
        <v>(e) School districts are required to pay for instructional materials used for the instruction of public high school students who are earning credit toward high school</v>
      </c>
      <c r="B144" s="281"/>
      <c r="C144" s="281"/>
      <c r="D144" s="281"/>
      <c r="E144" s="281"/>
      <c r="F144" s="281"/>
      <c r="G144" s="281"/>
      <c r="H144" s="281"/>
      <c r="I144" s="281"/>
      <c r="N144" s="81"/>
    </row>
    <row r="145" spans="1:14" s="79" customFormat="1" ht="15.75" customHeight="1" x14ac:dyDescent="0.2">
      <c r="A145" s="390" t="str">
        <f>'0664'!A145</f>
        <v xml:space="preserve">graduation under the dual enrollment program as provided in s. 1011.62(l)(i), F.S.  </v>
      </c>
      <c r="B145" s="281"/>
      <c r="C145" s="281"/>
      <c r="D145" s="281"/>
      <c r="E145" s="281"/>
      <c r="F145" s="281"/>
      <c r="G145" s="281"/>
      <c r="H145" s="281"/>
      <c r="I145" s="281"/>
      <c r="N145" s="81"/>
    </row>
    <row r="146" spans="1:14" s="79" customFormat="1" x14ac:dyDescent="0.2">
      <c r="A146" s="356" t="str">
        <f>'0664'!A146</f>
        <v>(f) This allocation will be frozen as of the 2021-22 FEFP Second Calculation and will not be recalculated throughout the year. Charter school allocations should be</v>
      </c>
      <c r="B146" s="281"/>
      <c r="C146" s="281"/>
      <c r="D146" s="281"/>
      <c r="E146" s="281"/>
      <c r="F146" s="281"/>
      <c r="G146" s="281"/>
      <c r="H146" s="281"/>
      <c r="I146" s="281"/>
      <c r="N146" s="81"/>
    </row>
    <row r="147" spans="1:14" s="79" customFormat="1" x14ac:dyDescent="0.2">
      <c r="A147" s="358" t="str">
        <f>'0664'!A147</f>
        <v xml:space="preserve">distributed on weighted FTE (or base funding as is done in the FEFP) and should not be recalculated with fluctuations in student enrollment later in the year. </v>
      </c>
      <c r="B147" s="281"/>
      <c r="C147" s="281"/>
      <c r="D147" s="281"/>
      <c r="E147" s="281"/>
      <c r="F147" s="281"/>
      <c r="G147" s="281"/>
      <c r="H147" s="281"/>
      <c r="I147" s="281"/>
      <c r="N147" s="81"/>
    </row>
    <row r="148" spans="1:14" s="79" customFormat="1" x14ac:dyDescent="0.2">
      <c r="A148" s="356" t="str">
        <f>'0664'!A148</f>
        <v>(g) Numbers entered here will be multiplied by the district level transportation funding per rider. "All Adjusted Fundable Riders" should include both basic and ESE Riders.</v>
      </c>
      <c r="B148" s="281"/>
      <c r="C148" s="281"/>
      <c r="D148" s="281"/>
      <c r="E148" s="281"/>
      <c r="F148" s="281"/>
      <c r="G148" s="281"/>
      <c r="H148" s="281"/>
      <c r="I148" s="281"/>
      <c r="N148" s="81"/>
    </row>
    <row r="149" spans="1:14" s="79" customFormat="1" x14ac:dyDescent="0.2">
      <c r="A149" s="390" t="str">
        <f>'0664'!A149</f>
        <v>"All Adjusted ESE Riders" should include only ESE Riders.</v>
      </c>
      <c r="B149" s="281"/>
      <c r="C149" s="281"/>
      <c r="D149" s="281"/>
      <c r="E149" s="281"/>
      <c r="F149" s="281"/>
      <c r="G149" s="281"/>
      <c r="H149" s="281"/>
      <c r="I149" s="281"/>
      <c r="N149" s="81"/>
    </row>
    <row r="150" spans="1:14" s="79" customFormat="1" x14ac:dyDescent="0.2">
      <c r="A150" s="356" t="str">
        <f>'0664'!A150</f>
        <v xml:space="preserve">(h) The Federally Connected Student Supplement provides additional funding for students on federal lands that receive Section 8003 impact aide pursuant to s. 1011.62(13), F.S. </v>
      </c>
      <c r="B150" s="281"/>
      <c r="C150" s="281"/>
      <c r="D150" s="281"/>
      <c r="E150" s="281"/>
      <c r="F150" s="281"/>
      <c r="G150" s="281"/>
      <c r="H150" s="281"/>
      <c r="I150" s="281"/>
      <c r="N150" s="81"/>
    </row>
    <row r="151" spans="1:14" s="79" customFormat="1" x14ac:dyDescent="0.2">
      <c r="A151" s="356" t="str">
        <f>'0664'!A151</f>
        <v>(i) Teacher Classroom Supply Assistance Program allocation pursuant to s. 1012.71, F.S., for certified teachers employed by a public school district or public charter school</v>
      </c>
      <c r="B151" s="281"/>
      <c r="C151" s="281"/>
      <c r="D151" s="281"/>
      <c r="E151" s="281"/>
      <c r="F151" s="281"/>
      <c r="G151" s="281"/>
      <c r="H151" s="281"/>
      <c r="I151" s="281"/>
      <c r="N151" s="81"/>
    </row>
    <row r="152" spans="1:14" s="79" customFormat="1" x14ac:dyDescent="0.2">
      <c r="A152" s="358" t="str">
        <f>'0664'!A152</f>
        <v xml:space="preserve">before September 1 of each year whose full-time or job-share responsibility is the classroom instruction of students in prekindergarten through grade 12, including </v>
      </c>
      <c r="B152" s="281"/>
      <c r="C152" s="281"/>
      <c r="D152" s="281"/>
      <c r="E152" s="281"/>
      <c r="F152" s="281"/>
      <c r="G152" s="281"/>
      <c r="H152" s="281"/>
      <c r="I152" s="281"/>
      <c r="N152" s="81"/>
    </row>
    <row r="153" spans="1:14" s="79" customFormat="1" ht="15.75" customHeight="1" x14ac:dyDescent="0.2">
      <c r="A153" s="358" t="str">
        <f>'0664'!A153</f>
        <v>full-time media specialists and certified school counselors serving students in prekindergarten through grade 12, who are funded through the FEFP.</v>
      </c>
      <c r="B153" s="281"/>
      <c r="C153" s="281"/>
      <c r="D153" s="281"/>
      <c r="E153" s="281"/>
      <c r="F153" s="281"/>
      <c r="G153" s="281"/>
      <c r="H153" s="281"/>
      <c r="I153" s="281"/>
      <c r="N153" s="81"/>
    </row>
    <row r="154" spans="1:14" s="79" customFormat="1" ht="15.75" customHeight="1" x14ac:dyDescent="0.2">
      <c r="A154" s="356" t="str">
        <f>'0664'!A154</f>
        <v xml:space="preserve">(j) Funding based on student eligibility and meals provided, if participating in the National School Lunch Program. </v>
      </c>
      <c r="B154" s="328"/>
      <c r="C154" s="328"/>
      <c r="D154" s="328"/>
      <c r="E154" s="328"/>
      <c r="F154" s="328"/>
      <c r="G154" s="328"/>
      <c r="H154" s="328"/>
      <c r="I154" s="328"/>
      <c r="N154" s="81"/>
    </row>
    <row r="155" spans="1:14" s="79" customFormat="1" ht="15.75" customHeight="1" x14ac:dyDescent="0.2">
      <c r="A155" s="356" t="str">
        <f>'0664'!A155</f>
        <v>(k) Consistent with s. 1002.33(20)(a), F.S., for charter schools with a population of 75% or more ESE students, the administrative fee shall be calculated based on</v>
      </c>
      <c r="B155" s="381"/>
      <c r="C155" s="381"/>
      <c r="D155" s="381"/>
      <c r="E155" s="381"/>
      <c r="F155" s="381"/>
      <c r="G155" s="381"/>
      <c r="H155" s="381"/>
      <c r="I155" s="381"/>
      <c r="N155" s="81"/>
    </row>
    <row r="156" spans="1:14" s="79" customFormat="1" ht="15.75" customHeight="1" x14ac:dyDescent="0.2">
      <c r="A156" s="390" t="str">
        <f>'0664'!A156</f>
        <v xml:space="preserve">unweighted full-time equivalent students. </v>
      </c>
      <c r="B156" s="381"/>
      <c r="C156" s="381"/>
      <c r="D156" s="381"/>
      <c r="E156" s="381"/>
      <c r="F156" s="381"/>
      <c r="G156" s="381"/>
      <c r="H156" s="381"/>
      <c r="I156" s="381"/>
      <c r="N156" s="81"/>
    </row>
    <row r="157" spans="1:14" s="79" customFormat="1" ht="15.75" customHeight="1" x14ac:dyDescent="0.2">
      <c r="A157" s="356"/>
      <c r="B157" s="381"/>
      <c r="C157" s="381"/>
      <c r="D157" s="381"/>
      <c r="E157" s="381"/>
      <c r="F157" s="381"/>
      <c r="G157" s="381"/>
      <c r="H157" s="381"/>
      <c r="I157" s="381"/>
      <c r="N157" s="81"/>
    </row>
    <row r="158" spans="1:14" s="79" customFormat="1" ht="15.75" customHeight="1" x14ac:dyDescent="0.25">
      <c r="A158" s="398" t="str">
        <f>'0664'!A158</f>
        <v>Administrative fees:</v>
      </c>
      <c r="B158" s="328"/>
      <c r="C158" s="328"/>
      <c r="D158" s="328"/>
      <c r="E158" s="328"/>
      <c r="F158" s="328"/>
      <c r="G158" s="328"/>
      <c r="H158" s="328"/>
      <c r="I158" s="328"/>
      <c r="J158" s="3"/>
      <c r="K158" s="3"/>
      <c r="L158" s="3"/>
      <c r="M158" s="3"/>
      <c r="N158" s="81"/>
    </row>
    <row r="159" spans="1:14" s="79" customFormat="1" ht="15.75" customHeight="1" x14ac:dyDescent="0.25">
      <c r="A159" s="399" t="str">
        <f>'0664'!A159</f>
        <v xml:space="preserve">Administrative fees charged by the school district pursuant to s. 1002.33(20)(a), F.S., shall be calculated based upon 5% of available funds from the FEFP and categorical </v>
      </c>
      <c r="B159" s="328"/>
      <c r="C159" s="328"/>
      <c r="D159" s="328"/>
      <c r="E159" s="328"/>
      <c r="F159" s="328"/>
      <c r="G159" s="328"/>
      <c r="H159" s="328"/>
      <c r="I159" s="328"/>
      <c r="J159" s="3"/>
      <c r="K159" s="3"/>
      <c r="L159" s="3"/>
      <c r="M159" s="3"/>
      <c r="N159" s="81"/>
    </row>
    <row r="160" spans="1:14" s="79" customFormat="1" ht="15.75" customHeight="1" x14ac:dyDescent="0.25">
      <c r="A160" s="400" t="str">
        <f>'0664'!A160</f>
        <v>funding for which charter students may be eligible.  To calculate the administrative fee to be withheld for schools with more than 250 students, divide the school</v>
      </c>
      <c r="B160" s="328"/>
      <c r="C160" s="328"/>
      <c r="D160" s="328"/>
      <c r="E160" s="328"/>
      <c r="F160" s="328"/>
      <c r="G160" s="328"/>
      <c r="H160" s="328"/>
      <c r="I160" s="328"/>
      <c r="J160" s="3"/>
      <c r="K160" s="3"/>
      <c r="L160" s="3"/>
      <c r="M160" s="3"/>
      <c r="N160" s="81"/>
    </row>
    <row r="161" spans="1:21" s="79" customFormat="1" ht="15.75" customHeight="1" x14ac:dyDescent="0.25">
      <c r="A161" s="400" t="str">
        <f>'0664'!A161</f>
        <v xml:space="preserve">population into 250. Multiply that fraction times the funds available, then times 5%.  </v>
      </c>
      <c r="B161" s="328"/>
      <c r="C161" s="328"/>
      <c r="D161" s="328"/>
      <c r="E161" s="328"/>
      <c r="F161" s="328"/>
      <c r="G161" s="328"/>
      <c r="H161" s="328"/>
      <c r="I161" s="328"/>
      <c r="J161" s="3"/>
      <c r="K161" s="3"/>
      <c r="L161" s="3"/>
      <c r="M161" s="3"/>
      <c r="N161" s="81"/>
    </row>
    <row r="162" spans="1:21" s="79" customFormat="1" ht="15.75" customHeight="1" x14ac:dyDescent="0.25">
      <c r="A162" s="399"/>
      <c r="B162" s="394"/>
      <c r="C162" s="394"/>
      <c r="D162" s="394"/>
      <c r="E162" s="394"/>
      <c r="F162" s="394"/>
      <c r="G162" s="394"/>
      <c r="H162" s="394"/>
      <c r="I162" s="394"/>
      <c r="N162" s="77"/>
      <c r="O162" s="3"/>
      <c r="P162" s="3"/>
      <c r="Q162" s="3"/>
      <c r="R162" s="3"/>
      <c r="S162" s="3"/>
      <c r="T162" s="3"/>
      <c r="U162" s="3"/>
    </row>
    <row r="163" spans="1:21" ht="15.75" customHeight="1" x14ac:dyDescent="0.25">
      <c r="A163" s="399" t="str">
        <f>'0664'!A163</f>
        <v xml:space="preserve">For high performing charter schools, administrative fees charged by the school district shall be calculated based upon 2% of available funds from the FEFP and categorical </v>
      </c>
      <c r="B163" s="328"/>
      <c r="C163" s="328"/>
      <c r="D163" s="328"/>
      <c r="E163" s="328"/>
      <c r="F163" s="328"/>
      <c r="G163" s="328"/>
      <c r="H163" s="328"/>
      <c r="I163" s="328"/>
      <c r="J163" s="79"/>
      <c r="K163" s="79"/>
      <c r="L163" s="79"/>
      <c r="M163" s="79"/>
      <c r="N163" s="81"/>
      <c r="O163" s="79"/>
      <c r="P163" s="79"/>
      <c r="Q163" s="79"/>
      <c r="R163" s="79"/>
      <c r="S163" s="79"/>
      <c r="T163" s="79"/>
      <c r="U163" s="79"/>
    </row>
    <row r="164" spans="1:21" ht="15.75" customHeight="1" x14ac:dyDescent="0.25">
      <c r="A164" s="400" t="str">
        <f>'0664'!A164</f>
        <v>funding for which charter students may be eligible.  To calculate the administrative fee to be withheld for schools with more than 250 students, divide the school</v>
      </c>
      <c r="B164" s="381"/>
      <c r="C164" s="381"/>
      <c r="D164" s="381"/>
      <c r="E164" s="381"/>
      <c r="F164" s="381"/>
      <c r="G164" s="381"/>
      <c r="H164" s="381"/>
      <c r="I164" s="381"/>
      <c r="J164" s="79"/>
      <c r="K164" s="79"/>
      <c r="L164" s="79"/>
      <c r="M164" s="79"/>
      <c r="N164" s="81"/>
      <c r="O164" s="79"/>
      <c r="P164" s="79"/>
      <c r="Q164" s="79"/>
      <c r="R164" s="79"/>
      <c r="S164" s="79"/>
      <c r="T164" s="79"/>
      <c r="U164" s="79"/>
    </row>
    <row r="165" spans="1:21" s="79" customFormat="1" ht="15.75" customHeight="1" x14ac:dyDescent="0.2">
      <c r="A165" s="400" t="str">
        <f>'0664'!A165</f>
        <v xml:space="preserve">population into 250. Multiply that fraction times the funds available, then times 2%.  </v>
      </c>
      <c r="B165" s="328"/>
      <c r="C165" s="328"/>
      <c r="D165" s="328"/>
      <c r="E165" s="328"/>
      <c r="F165" s="328"/>
      <c r="G165" s="328"/>
      <c r="H165" s="328"/>
      <c r="I165" s="328"/>
      <c r="N165" s="81"/>
    </row>
    <row r="166" spans="1:21" x14ac:dyDescent="0.25">
      <c r="A166" s="356"/>
      <c r="N166" s="77"/>
    </row>
    <row r="167" spans="1:21" x14ac:dyDescent="0.25">
      <c r="A167" s="398" t="str">
        <f>'0664'!A167</f>
        <v>Other:</v>
      </c>
      <c r="N167" s="77"/>
    </row>
    <row r="168" spans="1:21" x14ac:dyDescent="0.25">
      <c r="A168" s="399" t="str">
        <f>'0664'!A168</f>
        <v>FEFP and categorical funding are recalculated during the year to reflect the revised number of full-time equivalent students reported during the survey periods designated</v>
      </c>
      <c r="N168" s="77"/>
    </row>
    <row r="169" spans="1:21" x14ac:dyDescent="0.25">
      <c r="A169" s="402" t="str">
        <f>'0664'!A169</f>
        <v>by the Commissioner of Education.</v>
      </c>
      <c r="N169" s="77"/>
    </row>
    <row r="170" spans="1:21" x14ac:dyDescent="0.25">
      <c r="A170" s="399" t="str">
        <f>'0664'!A170</f>
        <v>Revenues flow to districts from state sources and from county tax collectors on various distribution schedules.</v>
      </c>
      <c r="N170" s="77"/>
    </row>
    <row r="171" spans="1:21" x14ac:dyDescent="0.25">
      <c r="A171" s="77"/>
      <c r="N171" s="77"/>
    </row>
    <row r="172" spans="1:21" x14ac:dyDescent="0.25">
      <c r="A172" s="77"/>
      <c r="N172" s="77"/>
    </row>
    <row r="173" spans="1:21" x14ac:dyDescent="0.25">
      <c r="A173" s="77"/>
      <c r="N173" s="77"/>
    </row>
    <row r="174" spans="1:21" x14ac:dyDescent="0.25">
      <c r="A174" s="77"/>
      <c r="N174" s="77"/>
    </row>
    <row r="175" spans="1:21" x14ac:dyDescent="0.25">
      <c r="A175" s="77"/>
      <c r="N175" s="77"/>
    </row>
    <row r="176" spans="1:21" x14ac:dyDescent="0.25">
      <c r="A176" s="77"/>
      <c r="N176" s="77"/>
    </row>
    <row r="177" spans="1:14" x14ac:dyDescent="0.25">
      <c r="A177" s="77"/>
      <c r="N177" s="77"/>
    </row>
    <row r="178" spans="1:14" x14ac:dyDescent="0.25">
      <c r="A178" s="77"/>
      <c r="N178" s="77"/>
    </row>
    <row r="179" spans="1:14" x14ac:dyDescent="0.25">
      <c r="A179" s="77"/>
      <c r="N179" s="77"/>
    </row>
    <row r="180" spans="1:14" x14ac:dyDescent="0.25">
      <c r="A180" s="77"/>
      <c r="N180" s="77"/>
    </row>
    <row r="181" spans="1:14" x14ac:dyDescent="0.25">
      <c r="A181" s="77"/>
      <c r="N181" s="77"/>
    </row>
    <row r="182" spans="1:14" x14ac:dyDescent="0.25">
      <c r="A182" s="77"/>
      <c r="N182" s="77"/>
    </row>
    <row r="183" spans="1:14" x14ac:dyDescent="0.25">
      <c r="A183" s="77"/>
      <c r="N183" s="77"/>
    </row>
    <row r="184" spans="1:14" x14ac:dyDescent="0.25">
      <c r="A184" s="77"/>
      <c r="N184" s="77"/>
    </row>
    <row r="185" spans="1:14" x14ac:dyDescent="0.25">
      <c r="A185" s="77"/>
      <c r="N185" s="77"/>
    </row>
    <row r="186" spans="1:14" x14ac:dyDescent="0.25">
      <c r="A186" s="77"/>
      <c r="N186" s="77"/>
    </row>
    <row r="187" spans="1:14" x14ac:dyDescent="0.25">
      <c r="A187" s="77"/>
      <c r="N187" s="77"/>
    </row>
    <row r="188" spans="1:14" x14ac:dyDescent="0.25">
      <c r="A188" s="77"/>
    </row>
    <row r="189" spans="1:14" x14ac:dyDescent="0.25">
      <c r="A189" s="77"/>
    </row>
    <row r="190" spans="1:14" x14ac:dyDescent="0.25">
      <c r="A190" s="77"/>
    </row>
    <row r="191" spans="1:14" x14ac:dyDescent="0.25">
      <c r="A191" s="77"/>
    </row>
    <row r="192" spans="1:14" x14ac:dyDescent="0.25">
      <c r="A192" s="77"/>
    </row>
    <row r="193" spans="1:1" x14ac:dyDescent="0.25">
      <c r="A193" s="77"/>
    </row>
    <row r="194" spans="1:1" x14ac:dyDescent="0.25">
      <c r="A194" s="77"/>
    </row>
    <row r="195" spans="1:1" x14ac:dyDescent="0.25">
      <c r="A195" s="77"/>
    </row>
    <row r="196" spans="1:1" x14ac:dyDescent="0.25">
      <c r="A196" s="77"/>
    </row>
    <row r="197" spans="1:1" x14ac:dyDescent="0.25">
      <c r="A197" s="77"/>
    </row>
    <row r="198" spans="1:1" x14ac:dyDescent="0.25">
      <c r="A198" s="77"/>
    </row>
    <row r="199" spans="1:1" x14ac:dyDescent="0.25">
      <c r="A199" s="77"/>
    </row>
    <row r="200" spans="1:1" x14ac:dyDescent="0.25">
      <c r="A200" s="77"/>
    </row>
    <row r="201" spans="1:1" x14ac:dyDescent="0.25">
      <c r="A201" s="77"/>
    </row>
    <row r="202" spans="1:1" x14ac:dyDescent="0.25">
      <c r="A202" s="77"/>
    </row>
    <row r="203" spans="1:1" x14ac:dyDescent="0.25">
      <c r="A203" s="77"/>
    </row>
    <row r="204" spans="1:1" x14ac:dyDescent="0.25">
      <c r="A204" s="77"/>
    </row>
    <row r="205" spans="1:1" x14ac:dyDescent="0.25">
      <c r="A205" s="77"/>
    </row>
    <row r="206" spans="1:1" x14ac:dyDescent="0.25">
      <c r="A206" s="77"/>
    </row>
  </sheetData>
  <mergeCells count="266">
    <mergeCell ref="A112:C112"/>
    <mergeCell ref="F112:H112"/>
    <mergeCell ref="N112:P112"/>
    <mergeCell ref="A109:B109"/>
    <mergeCell ref="F109:G109"/>
    <mergeCell ref="N109:O109"/>
    <mergeCell ref="P109:Q109"/>
    <mergeCell ref="N139:U139"/>
    <mergeCell ref="N119:U119"/>
    <mergeCell ref="N113:P113"/>
    <mergeCell ref="A113:C113"/>
    <mergeCell ref="F113:H113"/>
    <mergeCell ref="N114:T114"/>
    <mergeCell ref="A115:H115"/>
    <mergeCell ref="A119:G119"/>
    <mergeCell ref="N120:U120"/>
    <mergeCell ref="A120:G120"/>
    <mergeCell ref="R109:S109"/>
    <mergeCell ref="A110:B110"/>
    <mergeCell ref="N110:O110"/>
    <mergeCell ref="A107:B107"/>
    <mergeCell ref="F107:G107"/>
    <mergeCell ref="N107:O107"/>
    <mergeCell ref="P107:Q107"/>
    <mergeCell ref="R107:S107"/>
    <mergeCell ref="A108:B108"/>
    <mergeCell ref="F108:G108"/>
    <mergeCell ref="N108:O108"/>
    <mergeCell ref="P108:Q108"/>
    <mergeCell ref="R108:S108"/>
    <mergeCell ref="A103:C103"/>
    <mergeCell ref="F103:I103"/>
    <mergeCell ref="N103:U103"/>
    <mergeCell ref="C104:E104"/>
    <mergeCell ref="F105:G105"/>
    <mergeCell ref="A106:B106"/>
    <mergeCell ref="F106:G106"/>
    <mergeCell ref="N106:O106"/>
    <mergeCell ref="P106:Q106"/>
    <mergeCell ref="R106:S106"/>
    <mergeCell ref="A99:B99"/>
    <mergeCell ref="N99:O99"/>
    <mergeCell ref="P99:R99"/>
    <mergeCell ref="A100:B100"/>
    <mergeCell ref="N100:O100"/>
    <mergeCell ref="P100:R100"/>
    <mergeCell ref="C91:D91"/>
    <mergeCell ref="P91:Q91"/>
    <mergeCell ref="C92:D92"/>
    <mergeCell ref="P92:Q92"/>
    <mergeCell ref="C93:D93"/>
    <mergeCell ref="P93:T93"/>
    <mergeCell ref="A94:I94"/>
    <mergeCell ref="N94:U94"/>
    <mergeCell ref="F96:I96"/>
    <mergeCell ref="N96:P96"/>
    <mergeCell ref="Q96:T96"/>
    <mergeCell ref="A87:I87"/>
    <mergeCell ref="N87:U87"/>
    <mergeCell ref="C88:D88"/>
    <mergeCell ref="C89:D89"/>
    <mergeCell ref="N89:O89"/>
    <mergeCell ref="P89:Q89"/>
    <mergeCell ref="R89:U89"/>
    <mergeCell ref="C90:D90"/>
    <mergeCell ref="P90:Q90"/>
    <mergeCell ref="A80:C80"/>
    <mergeCell ref="N80:P80"/>
    <mergeCell ref="A85:C85"/>
    <mergeCell ref="N85:P85"/>
    <mergeCell ref="F73:H73"/>
    <mergeCell ref="N73:T73"/>
    <mergeCell ref="N74:T74"/>
    <mergeCell ref="A78:C78"/>
    <mergeCell ref="N78:P78"/>
    <mergeCell ref="A79:C79"/>
    <mergeCell ref="A69:C69"/>
    <mergeCell ref="N69:P69"/>
    <mergeCell ref="N79:P79"/>
    <mergeCell ref="A76:C76"/>
    <mergeCell ref="N76:P76"/>
    <mergeCell ref="A77:C77"/>
    <mergeCell ref="A70:C70"/>
    <mergeCell ref="A71:C71"/>
    <mergeCell ref="N71:P71"/>
    <mergeCell ref="A72:C72"/>
    <mergeCell ref="N77:P77"/>
    <mergeCell ref="N72:P72"/>
    <mergeCell ref="A65:B65"/>
    <mergeCell ref="D65:G65"/>
    <mergeCell ref="N65:O65"/>
    <mergeCell ref="Q65:S65"/>
    <mergeCell ref="T65:U65"/>
    <mergeCell ref="N66:S66"/>
    <mergeCell ref="T66:U66"/>
    <mergeCell ref="A68:C68"/>
    <mergeCell ref="N68:P68"/>
    <mergeCell ref="A62:B62"/>
    <mergeCell ref="D62:G62"/>
    <mergeCell ref="N62:O62"/>
    <mergeCell ref="Q62:S62"/>
    <mergeCell ref="T62:U62"/>
    <mergeCell ref="N63:S63"/>
    <mergeCell ref="T63:U63"/>
    <mergeCell ref="A64:I64"/>
    <mergeCell ref="N64:U64"/>
    <mergeCell ref="A59:B59"/>
    <mergeCell ref="F59:H59"/>
    <mergeCell ref="N59:O59"/>
    <mergeCell ref="P59:Q59"/>
    <mergeCell ref="R59:T59"/>
    <mergeCell ref="A60:I60"/>
    <mergeCell ref="N60:U60"/>
    <mergeCell ref="A61:I61"/>
    <mergeCell ref="N61:U61"/>
    <mergeCell ref="A50:B58"/>
    <mergeCell ref="N50:O58"/>
    <mergeCell ref="P50:Q50"/>
    <mergeCell ref="P51:Q51"/>
    <mergeCell ref="P52:Q52"/>
    <mergeCell ref="P53:Q53"/>
    <mergeCell ref="P54:Q54"/>
    <mergeCell ref="P55:Q55"/>
    <mergeCell ref="P56:Q56"/>
    <mergeCell ref="P57:Q57"/>
    <mergeCell ref="P58:Q58"/>
    <mergeCell ref="A42:B42"/>
    <mergeCell ref="N42:O42"/>
    <mergeCell ref="P42:T42"/>
    <mergeCell ref="N43:Q43"/>
    <mergeCell ref="S43:T43"/>
    <mergeCell ref="N45:Q45"/>
    <mergeCell ref="S45:T45"/>
    <mergeCell ref="N49:O49"/>
    <mergeCell ref="P49:Q49"/>
    <mergeCell ref="A39:B39"/>
    <mergeCell ref="N39:O39"/>
    <mergeCell ref="P39:T39"/>
    <mergeCell ref="A40:B40"/>
    <mergeCell ref="N40:O40"/>
    <mergeCell ref="P40:T40"/>
    <mergeCell ref="A41:B41"/>
    <mergeCell ref="N41:O41"/>
    <mergeCell ref="P41:T41"/>
    <mergeCell ref="N34:T34"/>
    <mergeCell ref="A36:B36"/>
    <mergeCell ref="N36:O36"/>
    <mergeCell ref="P36:T36"/>
    <mergeCell ref="A37:B37"/>
    <mergeCell ref="N37:O37"/>
    <mergeCell ref="P37:T37"/>
    <mergeCell ref="F33:H36"/>
    <mergeCell ref="A38:B38"/>
    <mergeCell ref="N38:O38"/>
    <mergeCell ref="P38:T38"/>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A20:B20"/>
    <mergeCell ref="F20:G20"/>
    <mergeCell ref="N20:O20"/>
    <mergeCell ref="P20:Q20"/>
    <mergeCell ref="R20:S20"/>
    <mergeCell ref="A21:B21"/>
    <mergeCell ref="F21:G21"/>
    <mergeCell ref="N21:O21"/>
    <mergeCell ref="P21:Q21"/>
    <mergeCell ref="R21:S21"/>
    <mergeCell ref="A18:B18"/>
    <mergeCell ref="F18:G18"/>
    <mergeCell ref="N18:O18"/>
    <mergeCell ref="P18:Q18"/>
    <mergeCell ref="R18:S18"/>
    <mergeCell ref="A19:B19"/>
    <mergeCell ref="F19:G19"/>
    <mergeCell ref="N19:O19"/>
    <mergeCell ref="P19:Q19"/>
    <mergeCell ref="R19:S19"/>
    <mergeCell ref="A16:B16"/>
    <mergeCell ref="F16:G16"/>
    <mergeCell ref="N16:O16"/>
    <mergeCell ref="P16:Q16"/>
    <mergeCell ref="R16:S16"/>
    <mergeCell ref="A17:B17"/>
    <mergeCell ref="F17:G17"/>
    <mergeCell ref="N17:O17"/>
    <mergeCell ref="P17:Q17"/>
    <mergeCell ref="R17:S17"/>
    <mergeCell ref="A14:B14"/>
    <mergeCell ref="F14:G14"/>
    <mergeCell ref="N14:O14"/>
    <mergeCell ref="P14:Q14"/>
    <mergeCell ref="R14:S14"/>
    <mergeCell ref="A15:B15"/>
    <mergeCell ref="F15:G15"/>
    <mergeCell ref="N15:O15"/>
    <mergeCell ref="P15:Q15"/>
    <mergeCell ref="R15:S15"/>
    <mergeCell ref="A12:B12"/>
    <mergeCell ref="F12:G12"/>
    <mergeCell ref="N12:O12"/>
    <mergeCell ref="P12:Q12"/>
    <mergeCell ref="R12:S12"/>
    <mergeCell ref="A13:B13"/>
    <mergeCell ref="F13:G13"/>
    <mergeCell ref="N13:O13"/>
    <mergeCell ref="P13:Q13"/>
    <mergeCell ref="R13:S13"/>
    <mergeCell ref="N8:O8"/>
    <mergeCell ref="P8:Q8"/>
    <mergeCell ref="R8:S8"/>
    <mergeCell ref="T8:U8"/>
    <mergeCell ref="F10:G10"/>
    <mergeCell ref="R10:S10"/>
    <mergeCell ref="A11:B11"/>
    <mergeCell ref="F11:G11"/>
    <mergeCell ref="N11:O11"/>
    <mergeCell ref="P11:Q11"/>
    <mergeCell ref="R11:S11"/>
    <mergeCell ref="B1:I1"/>
    <mergeCell ref="O1:U1"/>
    <mergeCell ref="N2:U2"/>
    <mergeCell ref="N3:U3"/>
    <mergeCell ref="A4:B4"/>
    <mergeCell ref="C4:E4"/>
    <mergeCell ref="N4:O4"/>
    <mergeCell ref="P4:Q4"/>
    <mergeCell ref="A7:I7"/>
    <mergeCell ref="N7:U7"/>
  </mergeCells>
  <pageMargins left="0.1" right="0.1" top="0.5" bottom="0.5" header="0" footer="0.1"/>
  <pageSetup scale="70" fitToHeight="3" orientation="portrait" r:id="rId1"/>
  <headerFooter alignWithMargins="0">
    <oddFooter>&amp;R&amp;P of &amp;N</oddFooter>
  </headerFooter>
  <rowBreaks count="1" manualBreakCount="1">
    <brk id="138" max="16383" man="1"/>
  </rowBreaks>
  <colBreaks count="1" manualBreakCount="1">
    <brk id="9" max="1048575" man="1"/>
  </colBreaks>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8">
    <tabColor rgb="FFCCFFCC"/>
  </sheetPr>
  <dimension ref="A1:U206"/>
  <sheetViews>
    <sheetView showGridLines="0" zoomScaleNormal="100" workbookViewId="0">
      <pane ySplit="1" topLeftCell="A23" activePane="bottomLeft" state="frozen"/>
      <selection activeCell="I9" sqref="I9"/>
      <selection pane="bottomLeft" activeCell="D50" sqref="D50:D58"/>
    </sheetView>
  </sheetViews>
  <sheetFormatPr defaultRowHeight="15.75" x14ac:dyDescent="0.25"/>
  <cols>
    <col min="1" max="1" width="10.28515625" style="72"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72"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5">
        <v>50</v>
      </c>
      <c r="B1" s="441" t="s">
        <v>17</v>
      </c>
      <c r="C1" s="442"/>
      <c r="D1" s="442"/>
      <c r="E1" s="442"/>
      <c r="F1" s="442"/>
      <c r="G1" s="442"/>
      <c r="H1" s="442"/>
      <c r="I1" s="442"/>
      <c r="J1" s="157"/>
      <c r="K1" s="157"/>
      <c r="L1" s="157"/>
      <c r="N1" s="85">
        <f>A1</f>
        <v>50</v>
      </c>
      <c r="O1" s="527" t="s">
        <v>17</v>
      </c>
      <c r="P1" s="528"/>
      <c r="Q1" s="528"/>
      <c r="R1" s="528"/>
      <c r="S1" s="528"/>
      <c r="T1" s="528"/>
      <c r="U1" s="528"/>
    </row>
    <row r="2" spans="1:21" ht="21" x14ac:dyDescent="0.35">
      <c r="A2" s="1" t="s">
        <v>161</v>
      </c>
      <c r="B2" s="2"/>
      <c r="C2" s="2"/>
      <c r="D2" s="2"/>
      <c r="E2" s="2"/>
      <c r="F2" s="2"/>
      <c r="G2" s="2"/>
      <c r="H2" s="2"/>
      <c r="I2" s="2"/>
      <c r="N2" s="529" t="s">
        <v>23</v>
      </c>
      <c r="O2" s="529"/>
      <c r="P2" s="529"/>
      <c r="Q2" s="529"/>
      <c r="R2" s="529"/>
      <c r="S2" s="529"/>
      <c r="T2" s="529"/>
      <c r="U2" s="529"/>
    </row>
    <row r="3" spans="1:21" x14ac:dyDescent="0.25">
      <c r="A3" s="84" t="str">
        <f>'0664'!A3</f>
        <v>Based on the FLDOE 2022-23 FEFP Third Calculation</v>
      </c>
      <c r="N3" s="485" t="str">
        <f>A3</f>
        <v>Based on the FLDOE 2022-23 FEFP Third Calculation</v>
      </c>
      <c r="O3" s="485"/>
      <c r="P3" s="485"/>
      <c r="Q3" s="485"/>
      <c r="R3" s="485"/>
      <c r="S3" s="485"/>
      <c r="T3" s="485"/>
      <c r="U3" s="485"/>
    </row>
    <row r="4" spans="1:21" x14ac:dyDescent="0.25">
      <c r="A4" s="443" t="s">
        <v>0</v>
      </c>
      <c r="B4" s="443"/>
      <c r="C4" s="444" t="s">
        <v>9</v>
      </c>
      <c r="D4" s="444"/>
      <c r="E4" s="444"/>
      <c r="F4" s="4" t="str">
        <f>'0664'!F4</f>
        <v>Apr 2023</v>
      </c>
      <c r="G4" s="4"/>
      <c r="H4" s="4"/>
      <c r="I4" s="4"/>
      <c r="N4" s="530" t="s">
        <v>0</v>
      </c>
      <c r="O4" s="530"/>
      <c r="P4" s="531" t="str">
        <f>C4</f>
        <v>Palm Beach</v>
      </c>
      <c r="Q4" s="531"/>
      <c r="R4" s="5"/>
      <c r="S4" s="5"/>
      <c r="T4" s="5"/>
      <c r="U4" s="5"/>
    </row>
    <row r="5" spans="1:21" ht="12" customHeight="1" thickBot="1" x14ac:dyDescent="0.3">
      <c r="A5" s="262"/>
      <c r="B5" s="262"/>
      <c r="C5" s="253"/>
      <c r="D5" s="253"/>
      <c r="E5" s="253"/>
      <c r="F5" s="254"/>
      <c r="G5" s="254"/>
      <c r="H5" s="254"/>
      <c r="I5" s="254"/>
      <c r="N5" s="86"/>
      <c r="O5" s="86"/>
      <c r="P5" s="6"/>
      <c r="Q5" s="6"/>
      <c r="R5" s="5"/>
      <c r="S5" s="5"/>
      <c r="T5" s="5"/>
      <c r="U5" s="5"/>
    </row>
    <row r="6" spans="1:21" ht="12" customHeight="1" x14ac:dyDescent="0.25">
      <c r="A6" s="150"/>
      <c r="B6" s="150"/>
      <c r="C6" s="261"/>
      <c r="D6" s="261"/>
      <c r="E6" s="261"/>
      <c r="F6" s="4"/>
      <c r="G6" s="4"/>
      <c r="H6" s="4"/>
      <c r="I6" s="4"/>
      <c r="N6" s="86"/>
      <c r="O6" s="86"/>
      <c r="P6" s="6"/>
      <c r="Q6" s="6"/>
      <c r="R6" s="5"/>
      <c r="S6" s="5"/>
      <c r="T6" s="5"/>
      <c r="U6" s="5"/>
    </row>
    <row r="7" spans="1:21" x14ac:dyDescent="0.25">
      <c r="A7" s="445" t="str">
        <f>'0664'!A7:I7</f>
        <v>1.   2022-23 FEFP State and Local Funding</v>
      </c>
      <c r="B7" s="533"/>
      <c r="C7" s="533"/>
      <c r="D7" s="533"/>
      <c r="E7" s="533"/>
      <c r="F7" s="533"/>
      <c r="G7" s="533"/>
      <c r="H7" s="533"/>
      <c r="I7" s="533"/>
      <c r="N7" s="530" t="s">
        <v>86</v>
      </c>
      <c r="O7" s="530"/>
      <c r="P7" s="530"/>
      <c r="Q7" s="530"/>
      <c r="R7" s="530"/>
      <c r="S7" s="530"/>
      <c r="T7" s="530"/>
      <c r="U7" s="530"/>
    </row>
    <row r="8" spans="1:21" x14ac:dyDescent="0.25">
      <c r="A8" s="87"/>
      <c r="B8" s="88" t="s">
        <v>123</v>
      </c>
      <c r="C8" s="334">
        <f>'0664'!C8</f>
        <v>4587.3999999999996</v>
      </c>
      <c r="D8" s="89"/>
      <c r="E8" s="90"/>
      <c r="F8" s="87"/>
      <c r="G8" s="88" t="s">
        <v>122</v>
      </c>
      <c r="H8" s="320">
        <f>'0664'!H8</f>
        <v>1.0438000000000001</v>
      </c>
      <c r="I8" s="78"/>
      <c r="N8" s="534" t="s">
        <v>10</v>
      </c>
      <c r="O8" s="534"/>
      <c r="P8" s="535">
        <v>4154.45</v>
      </c>
      <c r="Q8" s="535"/>
      <c r="R8" s="518" t="s">
        <v>11</v>
      </c>
      <c r="S8" s="518"/>
      <c r="T8" s="519">
        <f>H8</f>
        <v>1.0438000000000001</v>
      </c>
      <c r="U8" s="519"/>
    </row>
    <row r="9" spans="1:21" x14ac:dyDescent="0.25">
      <c r="A9" s="7"/>
      <c r="B9" s="44" t="s">
        <v>370</v>
      </c>
      <c r="C9" s="372" t="s">
        <v>370</v>
      </c>
      <c r="D9" s="372" t="s">
        <v>370</v>
      </c>
      <c r="E9" s="8"/>
      <c r="F9" s="9"/>
      <c r="G9" s="9"/>
      <c r="H9" s="10"/>
      <c r="I9" s="340" t="str">
        <f>'0664'!I9</f>
        <v>2022-23</v>
      </c>
      <c r="N9" s="12"/>
      <c r="O9" s="12"/>
      <c r="P9" s="13"/>
      <c r="Q9" s="13"/>
      <c r="R9" s="14"/>
      <c r="S9" s="14"/>
      <c r="T9" s="15"/>
      <c r="U9" s="405" t="s">
        <v>405</v>
      </c>
    </row>
    <row r="10" spans="1:21" x14ac:dyDescent="0.25">
      <c r="A10" s="7"/>
      <c r="B10" s="7"/>
      <c r="C10" s="91" t="s">
        <v>463</v>
      </c>
      <c r="D10" s="371" t="s">
        <v>464</v>
      </c>
      <c r="E10" s="92" t="s">
        <v>8</v>
      </c>
      <c r="F10" s="446" t="s">
        <v>1</v>
      </c>
      <c r="G10" s="446"/>
      <c r="H10" s="10" t="s">
        <v>73</v>
      </c>
      <c r="I10" s="11" t="s">
        <v>36</v>
      </c>
      <c r="N10" s="12"/>
      <c r="O10" s="12"/>
      <c r="P10" s="13"/>
      <c r="Q10" s="13"/>
      <c r="R10" s="520" t="s">
        <v>1</v>
      </c>
      <c r="S10" s="520"/>
      <c r="T10" s="15" t="s">
        <v>73</v>
      </c>
      <c r="U10" s="16" t="s">
        <v>36</v>
      </c>
    </row>
    <row r="11" spans="1:21" x14ac:dyDescent="0.25">
      <c r="A11" s="447" t="s">
        <v>1</v>
      </c>
      <c r="B11" s="447"/>
      <c r="C11" s="362" t="s">
        <v>2</v>
      </c>
      <c r="D11" s="362" t="s">
        <v>2</v>
      </c>
      <c r="E11" s="362" t="s">
        <v>2</v>
      </c>
      <c r="F11" s="448" t="s">
        <v>76</v>
      </c>
      <c r="G11" s="448"/>
      <c r="H11" s="17" t="s">
        <v>72</v>
      </c>
      <c r="I11" s="18" t="s">
        <v>75</v>
      </c>
      <c r="N11" s="510" t="s">
        <v>1</v>
      </c>
      <c r="O11" s="510"/>
      <c r="P11" s="521" t="s">
        <v>24</v>
      </c>
      <c r="Q11" s="521"/>
      <c r="R11" s="522" t="s">
        <v>76</v>
      </c>
      <c r="S11" s="522"/>
      <c r="T11" s="19" t="s">
        <v>72</v>
      </c>
      <c r="U11" s="20" t="s">
        <v>75</v>
      </c>
    </row>
    <row r="12" spans="1:21" x14ac:dyDescent="0.25">
      <c r="A12" s="449" t="s">
        <v>47</v>
      </c>
      <c r="B12" s="449"/>
      <c r="C12" s="94"/>
      <c r="D12" s="94"/>
      <c r="E12" s="95" t="s">
        <v>48</v>
      </c>
      <c r="F12" s="450" t="s">
        <v>49</v>
      </c>
      <c r="G12" s="450"/>
      <c r="H12" s="21" t="s">
        <v>50</v>
      </c>
      <c r="I12" s="22" t="s">
        <v>51</v>
      </c>
      <c r="N12" s="523" t="s">
        <v>47</v>
      </c>
      <c r="O12" s="523"/>
      <c r="P12" s="524" t="s">
        <v>48</v>
      </c>
      <c r="Q12" s="524"/>
      <c r="R12" s="525" t="s">
        <v>49</v>
      </c>
      <c r="S12" s="525"/>
      <c r="T12" s="23" t="s">
        <v>50</v>
      </c>
      <c r="U12" s="24" t="s">
        <v>51</v>
      </c>
    </row>
    <row r="13" spans="1:21" x14ac:dyDescent="0.25">
      <c r="A13" s="451" t="s">
        <v>29</v>
      </c>
      <c r="B13" s="451"/>
      <c r="C13" s="165">
        <v>191.79</v>
      </c>
      <c r="D13" s="163">
        <v>186</v>
      </c>
      <c r="E13" s="210">
        <f>IF(D$29=0,C13*2,C13+D13)</f>
        <v>377.78999999999996</v>
      </c>
      <c r="F13" s="537">
        <f>'0664'!F13:G13</f>
        <v>1.1259999999999999</v>
      </c>
      <c r="G13" s="537"/>
      <c r="H13" s="167">
        <f>ROUND(E13*F13,4)</f>
        <v>425.39150000000001</v>
      </c>
      <c r="I13" s="119">
        <f t="shared" ref="I13:I28" si="0">ROUND(ROUND(H13*$C$8,4)*($H$8),2)</f>
        <v>2036914.08</v>
      </c>
      <c r="N13" s="512" t="s">
        <v>29</v>
      </c>
      <c r="O13" s="512"/>
      <c r="P13" s="513">
        <f t="shared" ref="P13:P28" si="1">IF($H$120=1,E13,0)</f>
        <v>0</v>
      </c>
      <c r="Q13" s="513"/>
      <c r="R13" s="526">
        <v>1</v>
      </c>
      <c r="S13" s="526"/>
      <c r="T13" s="98">
        <f>ROUND(P13*R13,4)</f>
        <v>0</v>
      </c>
      <c r="U13" s="99">
        <f t="shared" ref="U13:U28" si="2">ROUND(ROUND(T13*$C$8,4)*($H$8),0)</f>
        <v>0</v>
      </c>
    </row>
    <row r="14" spans="1:21" x14ac:dyDescent="0.25">
      <c r="A14" s="453" t="s">
        <v>30</v>
      </c>
      <c r="B14" s="453"/>
      <c r="C14" s="165">
        <v>33.5</v>
      </c>
      <c r="D14" s="165">
        <v>42.27</v>
      </c>
      <c r="E14" s="125">
        <f t="shared" ref="E14:E28" si="3">IF(D$29=0,C14*2,C14+D14)</f>
        <v>75.77000000000001</v>
      </c>
      <c r="F14" s="532">
        <f>'0664'!F14:G14</f>
        <v>1.1259999999999999</v>
      </c>
      <c r="G14" s="532"/>
      <c r="H14" s="83">
        <f t="shared" ref="H14:H28" si="4">ROUND(E14*F14,4)</f>
        <v>85.316999999999993</v>
      </c>
      <c r="I14" s="104">
        <f t="shared" si="0"/>
        <v>408525.79</v>
      </c>
      <c r="J14" s="68" t="str">
        <f>IF(ROUND(E14,2)=ROUND(SUM(E50:E52),2)," ","CHECK PK-3 LINES BELOW")</f>
        <v xml:space="preserve"> </v>
      </c>
      <c r="N14" s="479" t="s">
        <v>30</v>
      </c>
      <c r="O14" s="479"/>
      <c r="P14" s="513">
        <f t="shared" si="1"/>
        <v>0</v>
      </c>
      <c r="Q14" s="513"/>
      <c r="R14" s="517">
        <v>1</v>
      </c>
      <c r="S14" s="517"/>
      <c r="T14" s="98">
        <f t="shared" ref="T14:T28" si="5">ROUND(P14*R14,4)</f>
        <v>0</v>
      </c>
      <c r="U14" s="99">
        <f t="shared" si="2"/>
        <v>0</v>
      </c>
    </row>
    <row r="15" spans="1:21" x14ac:dyDescent="0.25">
      <c r="A15" s="453" t="s">
        <v>31</v>
      </c>
      <c r="B15" s="453"/>
      <c r="C15" s="165">
        <v>224.82</v>
      </c>
      <c r="D15" s="165">
        <v>225.24</v>
      </c>
      <c r="E15" s="125">
        <f t="shared" si="3"/>
        <v>450.06</v>
      </c>
      <c r="F15" s="532">
        <f>'0664'!F15:G15</f>
        <v>1</v>
      </c>
      <c r="G15" s="532"/>
      <c r="H15" s="83">
        <f t="shared" si="4"/>
        <v>450.06</v>
      </c>
      <c r="I15" s="104">
        <f t="shared" si="0"/>
        <v>2155034.9500000002</v>
      </c>
      <c r="N15" s="479" t="s">
        <v>31</v>
      </c>
      <c r="O15" s="479"/>
      <c r="P15" s="513">
        <f t="shared" si="1"/>
        <v>0</v>
      </c>
      <c r="Q15" s="513"/>
      <c r="R15" s="517">
        <v>1</v>
      </c>
      <c r="S15" s="517"/>
      <c r="T15" s="98">
        <f t="shared" si="5"/>
        <v>0</v>
      </c>
      <c r="U15" s="99">
        <f t="shared" si="2"/>
        <v>0</v>
      </c>
    </row>
    <row r="16" spans="1:21" x14ac:dyDescent="0.25">
      <c r="A16" s="453" t="s">
        <v>32</v>
      </c>
      <c r="B16" s="453"/>
      <c r="C16" s="165">
        <v>57</v>
      </c>
      <c r="D16" s="165">
        <v>55.33</v>
      </c>
      <c r="E16" s="125">
        <f t="shared" si="3"/>
        <v>112.33</v>
      </c>
      <c r="F16" s="532">
        <f>'0664'!F16:G16</f>
        <v>1</v>
      </c>
      <c r="G16" s="532"/>
      <c r="H16" s="83">
        <f t="shared" si="4"/>
        <v>112.33</v>
      </c>
      <c r="I16" s="104">
        <f t="shared" si="0"/>
        <v>537872.9</v>
      </c>
      <c r="J16" s="68" t="str">
        <f>IF(ROUND(E16,2)=ROUND(SUM(E53:E55),2)," ","CHECK 4-8 LINES BELOW")</f>
        <v xml:space="preserve"> </v>
      </c>
      <c r="N16" s="479" t="s">
        <v>32</v>
      </c>
      <c r="O16" s="479"/>
      <c r="P16" s="513">
        <f t="shared" si="1"/>
        <v>0</v>
      </c>
      <c r="Q16" s="513"/>
      <c r="R16" s="517">
        <v>1</v>
      </c>
      <c r="S16" s="517"/>
      <c r="T16" s="98">
        <f t="shared" si="5"/>
        <v>0</v>
      </c>
      <c r="U16" s="99">
        <f t="shared" si="2"/>
        <v>0</v>
      </c>
    </row>
    <row r="17" spans="1:21" x14ac:dyDescent="0.25">
      <c r="A17" s="453" t="s">
        <v>33</v>
      </c>
      <c r="B17" s="453"/>
      <c r="C17" s="165">
        <v>0</v>
      </c>
      <c r="D17" s="165">
        <v>0</v>
      </c>
      <c r="E17" s="125">
        <f t="shared" si="3"/>
        <v>0</v>
      </c>
      <c r="F17" s="532">
        <f>'0664'!F17:G17</f>
        <v>0.999</v>
      </c>
      <c r="G17" s="532"/>
      <c r="H17" s="83">
        <f t="shared" si="4"/>
        <v>0</v>
      </c>
      <c r="I17" s="104">
        <f t="shared" si="0"/>
        <v>0</v>
      </c>
      <c r="N17" s="479" t="s">
        <v>33</v>
      </c>
      <c r="O17" s="479"/>
      <c r="P17" s="513">
        <f t="shared" si="1"/>
        <v>0</v>
      </c>
      <c r="Q17" s="513"/>
      <c r="R17" s="517">
        <v>1</v>
      </c>
      <c r="S17" s="517"/>
      <c r="T17" s="98">
        <f t="shared" si="5"/>
        <v>0</v>
      </c>
      <c r="U17" s="99">
        <f t="shared" si="2"/>
        <v>0</v>
      </c>
    </row>
    <row r="18" spans="1:21" x14ac:dyDescent="0.25">
      <c r="A18" s="453" t="s">
        <v>34</v>
      </c>
      <c r="B18" s="453"/>
      <c r="C18" s="165">
        <v>0</v>
      </c>
      <c r="D18" s="165">
        <v>0</v>
      </c>
      <c r="E18" s="125">
        <f t="shared" si="3"/>
        <v>0</v>
      </c>
      <c r="F18" s="532">
        <f>'0664'!F18:G18</f>
        <v>0.999</v>
      </c>
      <c r="G18" s="532"/>
      <c r="H18" s="83">
        <f t="shared" si="4"/>
        <v>0</v>
      </c>
      <c r="I18" s="104">
        <f t="shared" si="0"/>
        <v>0</v>
      </c>
      <c r="J18" s="68" t="str">
        <f>IF(ROUND(E18,2)=ROUND(SUM(E56:E58),2)," ","CHECK 4-8 LINES BELOW")</f>
        <v xml:space="preserve"> </v>
      </c>
      <c r="N18" s="479" t="s">
        <v>34</v>
      </c>
      <c r="O18" s="479"/>
      <c r="P18" s="513">
        <f t="shared" si="1"/>
        <v>0</v>
      </c>
      <c r="Q18" s="513"/>
      <c r="R18" s="517">
        <v>1</v>
      </c>
      <c r="S18" s="517"/>
      <c r="T18" s="98">
        <f t="shared" si="5"/>
        <v>0</v>
      </c>
      <c r="U18" s="101">
        <f t="shared" si="2"/>
        <v>0</v>
      </c>
    </row>
    <row r="19" spans="1:21" x14ac:dyDescent="0.25">
      <c r="A19" s="453" t="s">
        <v>108</v>
      </c>
      <c r="B19" s="453"/>
      <c r="C19" s="165">
        <v>0</v>
      </c>
      <c r="D19" s="165">
        <v>0</v>
      </c>
      <c r="E19" s="125">
        <f t="shared" si="3"/>
        <v>0</v>
      </c>
      <c r="F19" s="532">
        <f>'0664'!F19:G19</f>
        <v>3.6739999999999999</v>
      </c>
      <c r="G19" s="532"/>
      <c r="H19" s="83">
        <f t="shared" si="4"/>
        <v>0</v>
      </c>
      <c r="I19" s="104">
        <f t="shared" si="0"/>
        <v>0</v>
      </c>
      <c r="N19" s="479" t="s">
        <v>108</v>
      </c>
      <c r="O19" s="479"/>
      <c r="P19" s="513">
        <f t="shared" si="1"/>
        <v>0</v>
      </c>
      <c r="Q19" s="513"/>
      <c r="R19" s="517">
        <v>1</v>
      </c>
      <c r="S19" s="517"/>
      <c r="T19" s="98">
        <f t="shared" si="5"/>
        <v>0</v>
      </c>
      <c r="U19" s="99">
        <f t="shared" si="2"/>
        <v>0</v>
      </c>
    </row>
    <row r="20" spans="1:21" x14ac:dyDescent="0.25">
      <c r="A20" s="453" t="s">
        <v>109</v>
      </c>
      <c r="B20" s="453"/>
      <c r="C20" s="165">
        <v>0</v>
      </c>
      <c r="D20" s="165">
        <v>0</v>
      </c>
      <c r="E20" s="125">
        <f t="shared" si="3"/>
        <v>0</v>
      </c>
      <c r="F20" s="532">
        <f>'0664'!F20:G20</f>
        <v>3.6739999999999999</v>
      </c>
      <c r="G20" s="532"/>
      <c r="H20" s="83">
        <f t="shared" si="4"/>
        <v>0</v>
      </c>
      <c r="I20" s="104">
        <f t="shared" si="0"/>
        <v>0</v>
      </c>
      <c r="N20" s="479" t="s">
        <v>109</v>
      </c>
      <c r="O20" s="479"/>
      <c r="P20" s="513">
        <f t="shared" si="1"/>
        <v>0</v>
      </c>
      <c r="Q20" s="513"/>
      <c r="R20" s="517">
        <v>1</v>
      </c>
      <c r="S20" s="517"/>
      <c r="T20" s="98">
        <f t="shared" si="5"/>
        <v>0</v>
      </c>
      <c r="U20" s="99">
        <f t="shared" si="2"/>
        <v>0</v>
      </c>
    </row>
    <row r="21" spans="1:21" x14ac:dyDescent="0.25">
      <c r="A21" s="453" t="s">
        <v>110</v>
      </c>
      <c r="B21" s="453"/>
      <c r="C21" s="165">
        <v>0</v>
      </c>
      <c r="D21" s="165">
        <v>0</v>
      </c>
      <c r="E21" s="125">
        <f t="shared" si="3"/>
        <v>0</v>
      </c>
      <c r="F21" s="532">
        <f>'0664'!F21:G21</f>
        <v>3.6739999999999999</v>
      </c>
      <c r="G21" s="532"/>
      <c r="H21" s="83">
        <f t="shared" si="4"/>
        <v>0</v>
      </c>
      <c r="I21" s="104">
        <f t="shared" si="0"/>
        <v>0</v>
      </c>
      <c r="N21" s="479" t="s">
        <v>110</v>
      </c>
      <c r="O21" s="479"/>
      <c r="P21" s="513">
        <f t="shared" si="1"/>
        <v>0</v>
      </c>
      <c r="Q21" s="513"/>
      <c r="R21" s="517">
        <v>1</v>
      </c>
      <c r="S21" s="517"/>
      <c r="T21" s="98">
        <f t="shared" si="5"/>
        <v>0</v>
      </c>
      <c r="U21" s="99">
        <f t="shared" si="2"/>
        <v>0</v>
      </c>
    </row>
    <row r="22" spans="1:21" x14ac:dyDescent="0.25">
      <c r="A22" s="453" t="s">
        <v>111</v>
      </c>
      <c r="B22" s="453"/>
      <c r="C22" s="165">
        <v>0</v>
      </c>
      <c r="D22" s="165">
        <v>0</v>
      </c>
      <c r="E22" s="125">
        <f t="shared" si="3"/>
        <v>0</v>
      </c>
      <c r="F22" s="532">
        <f>'0664'!F22:G22</f>
        <v>5.4009999999999998</v>
      </c>
      <c r="G22" s="532"/>
      <c r="H22" s="83">
        <f t="shared" si="4"/>
        <v>0</v>
      </c>
      <c r="I22" s="104">
        <f t="shared" si="0"/>
        <v>0</v>
      </c>
      <c r="N22" s="479" t="s">
        <v>111</v>
      </c>
      <c r="O22" s="479"/>
      <c r="P22" s="513">
        <f t="shared" si="1"/>
        <v>0</v>
      </c>
      <c r="Q22" s="513"/>
      <c r="R22" s="517">
        <v>1</v>
      </c>
      <c r="S22" s="517"/>
      <c r="T22" s="98">
        <f t="shared" si="5"/>
        <v>0</v>
      </c>
      <c r="U22" s="99">
        <f t="shared" si="2"/>
        <v>0</v>
      </c>
    </row>
    <row r="23" spans="1:21" x14ac:dyDescent="0.25">
      <c r="A23" s="453" t="s">
        <v>112</v>
      </c>
      <c r="B23" s="453"/>
      <c r="C23" s="165">
        <v>0</v>
      </c>
      <c r="D23" s="165">
        <v>0</v>
      </c>
      <c r="E23" s="125">
        <f t="shared" si="3"/>
        <v>0</v>
      </c>
      <c r="F23" s="532">
        <f>'0664'!F23:G23</f>
        <v>5.4009999999999998</v>
      </c>
      <c r="G23" s="532"/>
      <c r="H23" s="83">
        <f t="shared" si="4"/>
        <v>0</v>
      </c>
      <c r="I23" s="104">
        <f t="shared" si="0"/>
        <v>0</v>
      </c>
      <c r="N23" s="479" t="s">
        <v>112</v>
      </c>
      <c r="O23" s="479"/>
      <c r="P23" s="513">
        <f t="shared" si="1"/>
        <v>0</v>
      </c>
      <c r="Q23" s="513"/>
      <c r="R23" s="517">
        <v>1</v>
      </c>
      <c r="S23" s="517"/>
      <c r="T23" s="98">
        <f t="shared" si="5"/>
        <v>0</v>
      </c>
      <c r="U23" s="99">
        <f t="shared" si="2"/>
        <v>0</v>
      </c>
    </row>
    <row r="24" spans="1:21" x14ac:dyDescent="0.25">
      <c r="A24" s="453" t="s">
        <v>113</v>
      </c>
      <c r="B24" s="453"/>
      <c r="C24" s="165">
        <v>0</v>
      </c>
      <c r="D24" s="165">
        <v>0</v>
      </c>
      <c r="E24" s="125">
        <f t="shared" si="3"/>
        <v>0</v>
      </c>
      <c r="F24" s="532">
        <f>'0664'!F24:G24</f>
        <v>5.4009999999999998</v>
      </c>
      <c r="G24" s="532"/>
      <c r="H24" s="83">
        <f t="shared" si="4"/>
        <v>0</v>
      </c>
      <c r="I24" s="104">
        <f t="shared" si="0"/>
        <v>0</v>
      </c>
      <c r="N24" s="479" t="s">
        <v>113</v>
      </c>
      <c r="O24" s="479"/>
      <c r="P24" s="513">
        <f t="shared" si="1"/>
        <v>0</v>
      </c>
      <c r="Q24" s="513"/>
      <c r="R24" s="517">
        <v>1</v>
      </c>
      <c r="S24" s="517"/>
      <c r="T24" s="98">
        <f t="shared" si="5"/>
        <v>0</v>
      </c>
      <c r="U24" s="99">
        <f t="shared" si="2"/>
        <v>0</v>
      </c>
    </row>
    <row r="25" spans="1:21" x14ac:dyDescent="0.25">
      <c r="A25" s="453" t="s">
        <v>114</v>
      </c>
      <c r="B25" s="453"/>
      <c r="C25" s="165">
        <v>13.71</v>
      </c>
      <c r="D25" s="165">
        <v>12.9</v>
      </c>
      <c r="E25" s="125">
        <f t="shared" si="3"/>
        <v>26.61</v>
      </c>
      <c r="F25" s="532">
        <f>'0664'!F25:G25</f>
        <v>1.206</v>
      </c>
      <c r="G25" s="532"/>
      <c r="H25" s="83">
        <f t="shared" si="4"/>
        <v>32.091700000000003</v>
      </c>
      <c r="I25" s="104">
        <f t="shared" si="0"/>
        <v>153665.59</v>
      </c>
      <c r="N25" s="479" t="s">
        <v>114</v>
      </c>
      <c r="O25" s="479"/>
      <c r="P25" s="513">
        <f t="shared" si="1"/>
        <v>0</v>
      </c>
      <c r="Q25" s="513"/>
      <c r="R25" s="517">
        <v>1</v>
      </c>
      <c r="S25" s="517"/>
      <c r="T25" s="98">
        <f t="shared" si="5"/>
        <v>0</v>
      </c>
      <c r="U25" s="99">
        <f t="shared" si="2"/>
        <v>0</v>
      </c>
    </row>
    <row r="26" spans="1:21" x14ac:dyDescent="0.25">
      <c r="A26" s="453" t="s">
        <v>115</v>
      </c>
      <c r="B26" s="453"/>
      <c r="C26" s="165">
        <v>1.98</v>
      </c>
      <c r="D26" s="165">
        <v>1.98</v>
      </c>
      <c r="E26" s="125">
        <f t="shared" si="3"/>
        <v>3.96</v>
      </c>
      <c r="F26" s="532">
        <f>'0664'!F26:G26</f>
        <v>1.206</v>
      </c>
      <c r="G26" s="532"/>
      <c r="H26" s="83">
        <f t="shared" si="4"/>
        <v>4.7758000000000003</v>
      </c>
      <c r="I26" s="104">
        <f t="shared" si="0"/>
        <v>22868.1</v>
      </c>
      <c r="N26" s="479" t="s">
        <v>115</v>
      </c>
      <c r="O26" s="479"/>
      <c r="P26" s="513">
        <f t="shared" si="1"/>
        <v>0</v>
      </c>
      <c r="Q26" s="513"/>
      <c r="R26" s="517">
        <v>1</v>
      </c>
      <c r="S26" s="517"/>
      <c r="T26" s="98">
        <f t="shared" si="5"/>
        <v>0</v>
      </c>
      <c r="U26" s="99">
        <f t="shared" si="2"/>
        <v>0</v>
      </c>
    </row>
    <row r="27" spans="1:21" x14ac:dyDescent="0.25">
      <c r="A27" s="453" t="s">
        <v>116</v>
      </c>
      <c r="B27" s="453"/>
      <c r="C27" s="165">
        <v>0</v>
      </c>
      <c r="D27" s="165">
        <v>0</v>
      </c>
      <c r="E27" s="125">
        <f t="shared" si="3"/>
        <v>0</v>
      </c>
      <c r="F27" s="532">
        <f>'0664'!F27:G27</f>
        <v>1.206</v>
      </c>
      <c r="G27" s="532"/>
      <c r="H27" s="83">
        <f t="shared" si="4"/>
        <v>0</v>
      </c>
      <c r="I27" s="104">
        <f t="shared" si="0"/>
        <v>0</v>
      </c>
      <c r="N27" s="479" t="s">
        <v>116</v>
      </c>
      <c r="O27" s="479"/>
      <c r="P27" s="513">
        <f t="shared" si="1"/>
        <v>0</v>
      </c>
      <c r="Q27" s="513"/>
      <c r="R27" s="517">
        <v>1</v>
      </c>
      <c r="S27" s="517"/>
      <c r="T27" s="98">
        <f t="shared" si="5"/>
        <v>0</v>
      </c>
      <c r="U27" s="99">
        <f t="shared" si="2"/>
        <v>0</v>
      </c>
    </row>
    <row r="28" spans="1:21" x14ac:dyDescent="0.25">
      <c r="A28" s="453" t="s">
        <v>117</v>
      </c>
      <c r="B28" s="453"/>
      <c r="C28" s="116">
        <v>0</v>
      </c>
      <c r="D28" s="116">
        <v>0</v>
      </c>
      <c r="E28" s="177">
        <f t="shared" si="3"/>
        <v>0</v>
      </c>
      <c r="F28" s="532">
        <f>'0664'!F28:G28</f>
        <v>0.999</v>
      </c>
      <c r="G28" s="532"/>
      <c r="H28" s="96">
        <f t="shared" si="4"/>
        <v>0</v>
      </c>
      <c r="I28" s="97">
        <f t="shared" si="0"/>
        <v>0</v>
      </c>
      <c r="N28" s="482" t="s">
        <v>117</v>
      </c>
      <c r="O28" s="482"/>
      <c r="P28" s="513">
        <f t="shared" si="1"/>
        <v>0</v>
      </c>
      <c r="Q28" s="513"/>
      <c r="R28" s="514">
        <v>1</v>
      </c>
      <c r="S28" s="514"/>
      <c r="T28" s="98">
        <f t="shared" si="5"/>
        <v>0</v>
      </c>
      <c r="U28" s="99">
        <f t="shared" si="2"/>
        <v>0</v>
      </c>
    </row>
    <row r="29" spans="1:21" x14ac:dyDescent="0.25">
      <c r="A29" s="461" t="s">
        <v>5</v>
      </c>
      <c r="B29" s="461"/>
      <c r="C29" s="97">
        <f>SUM(C13:C28)</f>
        <v>522.80000000000007</v>
      </c>
      <c r="D29" s="97">
        <f>SUM(D13:D28)</f>
        <v>523.72</v>
      </c>
      <c r="E29" s="97">
        <f>SUM(E13:E28)</f>
        <v>1046.52</v>
      </c>
      <c r="F29" s="457"/>
      <c r="G29" s="457"/>
      <c r="H29" s="102">
        <f>SUM(H13:H28)</f>
        <v>1109.9659999999999</v>
      </c>
      <c r="I29" s="97">
        <f>SUM(I13:I28)</f>
        <v>5314881.41</v>
      </c>
      <c r="N29" s="515" t="s">
        <v>5</v>
      </c>
      <c r="O29" s="515"/>
      <c r="P29" s="516">
        <f>SUM(P13:P28)</f>
        <v>0</v>
      </c>
      <c r="Q29" s="516"/>
      <c r="R29" s="508"/>
      <c r="S29" s="508"/>
      <c r="T29" s="103">
        <f>SUM(T13:T28)</f>
        <v>0</v>
      </c>
      <c r="U29" s="99">
        <f>SUM(U13:U28)</f>
        <v>0</v>
      </c>
    </row>
    <row r="30" spans="1:21" x14ac:dyDescent="0.25">
      <c r="A30" s="27"/>
      <c r="B30" s="27"/>
      <c r="C30" s="104"/>
      <c r="D30" s="104"/>
      <c r="E30" s="104"/>
      <c r="F30" s="28"/>
      <c r="G30" s="28"/>
      <c r="H30" s="83"/>
      <c r="I30" s="104"/>
      <c r="N30" s="29"/>
      <c r="O30" s="29"/>
      <c r="P30" s="30"/>
      <c r="Q30" s="30"/>
      <c r="R30" s="31"/>
      <c r="S30" s="31"/>
      <c r="T30" s="105"/>
      <c r="U30" s="106"/>
    </row>
    <row r="31" spans="1:21" x14ac:dyDescent="0.25">
      <c r="A31" s="168" t="s">
        <v>97</v>
      </c>
      <c r="B31" s="27"/>
      <c r="C31" s="104"/>
      <c r="D31" s="104"/>
      <c r="E31" s="104"/>
      <c r="F31" s="28"/>
      <c r="G31" s="28"/>
      <c r="H31" s="83"/>
      <c r="I31" s="104"/>
      <c r="N31" s="29"/>
      <c r="O31" s="29"/>
      <c r="P31" s="30"/>
      <c r="Q31" s="30"/>
      <c r="R31" s="31"/>
      <c r="S31" s="31"/>
      <c r="T31" s="105"/>
      <c r="U31" s="106"/>
    </row>
    <row r="32" spans="1:21" hidden="1" x14ac:dyDescent="0.25">
      <c r="A32" s="168"/>
      <c r="B32" s="27"/>
      <c r="C32" s="104"/>
      <c r="D32" s="104"/>
      <c r="E32" s="104"/>
      <c r="F32" s="28"/>
      <c r="G32" s="28"/>
      <c r="H32" s="83"/>
      <c r="I32" s="104"/>
      <c r="N32" s="29"/>
      <c r="O32" s="29"/>
      <c r="P32" s="30"/>
      <c r="Q32" s="30"/>
      <c r="R32" s="31"/>
      <c r="S32" s="31"/>
      <c r="T32" s="105"/>
      <c r="U32" s="106"/>
    </row>
    <row r="33" spans="1:21" hidden="1" x14ac:dyDescent="0.25">
      <c r="A33" s="168"/>
      <c r="B33" s="27"/>
      <c r="C33" s="104"/>
      <c r="D33" s="104"/>
      <c r="E33" s="104"/>
      <c r="F33" s="541" t="s">
        <v>282</v>
      </c>
      <c r="G33" s="541"/>
      <c r="H33" s="541"/>
      <c r="I33" s="104"/>
      <c r="N33" s="29"/>
      <c r="O33" s="29"/>
      <c r="P33" s="30"/>
      <c r="Q33" s="30"/>
      <c r="R33" s="31"/>
      <c r="S33" s="31"/>
      <c r="T33" s="105"/>
      <c r="U33" s="106"/>
    </row>
    <row r="34" spans="1:21" hidden="1" x14ac:dyDescent="0.25">
      <c r="A34" s="3"/>
      <c r="B34" s="72"/>
      <c r="C34" s="72"/>
      <c r="D34" s="72"/>
      <c r="E34" s="72"/>
      <c r="F34" s="541"/>
      <c r="G34" s="541"/>
      <c r="H34" s="541"/>
      <c r="I34" s="25" t="s">
        <v>74</v>
      </c>
      <c r="N34" s="485" t="s">
        <v>35</v>
      </c>
      <c r="O34" s="485"/>
      <c r="P34" s="485"/>
      <c r="Q34" s="485"/>
      <c r="R34" s="485"/>
      <c r="S34" s="485"/>
      <c r="T34" s="485"/>
      <c r="U34" s="26" t="s">
        <v>74</v>
      </c>
    </row>
    <row r="35" spans="1:21" hidden="1" x14ac:dyDescent="0.25">
      <c r="A35" s="27"/>
      <c r="B35" s="27"/>
      <c r="C35" s="91" t="s">
        <v>124</v>
      </c>
      <c r="D35" s="91" t="s">
        <v>125</v>
      </c>
      <c r="E35" s="92" t="s">
        <v>8</v>
      </c>
      <c r="F35" s="541"/>
      <c r="G35" s="541"/>
      <c r="H35" s="541"/>
      <c r="I35" s="25" t="s">
        <v>36</v>
      </c>
      <c r="N35" s="29"/>
      <c r="O35" s="29"/>
      <c r="P35" s="30"/>
      <c r="Q35" s="30"/>
      <c r="R35" s="31"/>
      <c r="S35" s="31"/>
      <c r="T35" s="105"/>
      <c r="U35" s="26" t="s">
        <v>36</v>
      </c>
    </row>
    <row r="36" spans="1:21" hidden="1" x14ac:dyDescent="0.25">
      <c r="A36" s="447" t="s">
        <v>63</v>
      </c>
      <c r="B36" s="447"/>
      <c r="C36" s="93" t="s">
        <v>2</v>
      </c>
      <c r="D36" s="93" t="s">
        <v>2</v>
      </c>
      <c r="E36" s="93" t="s">
        <v>2</v>
      </c>
      <c r="F36" s="542"/>
      <c r="G36" s="542"/>
      <c r="H36" s="542"/>
      <c r="I36" s="32" t="s">
        <v>75</v>
      </c>
      <c r="N36" s="510" t="s">
        <v>63</v>
      </c>
      <c r="O36" s="510"/>
      <c r="P36" s="511" t="s">
        <v>24</v>
      </c>
      <c r="Q36" s="511"/>
      <c r="R36" s="511"/>
      <c r="S36" s="511"/>
      <c r="T36" s="511"/>
      <c r="U36" s="20" t="s">
        <v>75</v>
      </c>
    </row>
    <row r="37" spans="1:21" hidden="1" x14ac:dyDescent="0.25">
      <c r="A37" s="451" t="s">
        <v>56</v>
      </c>
      <c r="B37" s="451"/>
      <c r="C37" s="169">
        <v>0</v>
      </c>
      <c r="D37" s="169">
        <v>0</v>
      </c>
      <c r="E37" s="210">
        <f t="shared" ref="E37:E42" si="6">IF(D$43=0,C37*2,C37+D37)</f>
        <v>0</v>
      </c>
      <c r="F37" s="170"/>
      <c r="G37" s="170"/>
      <c r="H37" s="170"/>
      <c r="I37" s="119">
        <f t="shared" ref="I37:I42" si="7">ROUND(ROUND(E37*$C$8,4)*($H$8),2)</f>
        <v>0</v>
      </c>
      <c r="N37" s="512" t="s">
        <v>56</v>
      </c>
      <c r="O37" s="512"/>
      <c r="P37" s="483">
        <f t="shared" ref="P37:P42" si="8">IF($H$120=1,E37,0)</f>
        <v>0</v>
      </c>
      <c r="Q37" s="483"/>
      <c r="R37" s="483"/>
      <c r="S37" s="483"/>
      <c r="T37" s="483"/>
      <c r="U37" s="101">
        <f t="shared" ref="U37:U42" si="9">ROUND(ROUND(P37*$C$8,4)*($H$8),0)</f>
        <v>0</v>
      </c>
    </row>
    <row r="38" spans="1:21" hidden="1" x14ac:dyDescent="0.25">
      <c r="A38" s="453" t="s">
        <v>57</v>
      </c>
      <c r="B38" s="453"/>
      <c r="C38" s="172">
        <v>0</v>
      </c>
      <c r="D38" s="172">
        <v>0</v>
      </c>
      <c r="E38" s="125">
        <f t="shared" si="6"/>
        <v>0</v>
      </c>
      <c r="F38" s="173"/>
      <c r="G38" s="173"/>
      <c r="H38" s="173"/>
      <c r="I38" s="104">
        <f t="shared" si="7"/>
        <v>0</v>
      </c>
      <c r="N38" s="479" t="s">
        <v>57</v>
      </c>
      <c r="O38" s="479"/>
      <c r="P38" s="483">
        <f t="shared" si="8"/>
        <v>0</v>
      </c>
      <c r="Q38" s="483"/>
      <c r="R38" s="483"/>
      <c r="S38" s="483"/>
      <c r="T38" s="483"/>
      <c r="U38" s="101">
        <f t="shared" si="9"/>
        <v>0</v>
      </c>
    </row>
    <row r="39" spans="1:21" hidden="1" x14ac:dyDescent="0.25">
      <c r="A39" s="458" t="s">
        <v>58</v>
      </c>
      <c r="B39" s="458"/>
      <c r="C39" s="172">
        <v>0</v>
      </c>
      <c r="D39" s="172">
        <v>0</v>
      </c>
      <c r="E39" s="125">
        <f t="shared" si="6"/>
        <v>0</v>
      </c>
      <c r="F39" s="173"/>
      <c r="G39" s="173"/>
      <c r="H39" s="173"/>
      <c r="I39" s="104">
        <f t="shared" si="7"/>
        <v>0</v>
      </c>
      <c r="N39" s="509" t="s">
        <v>58</v>
      </c>
      <c r="O39" s="509"/>
      <c r="P39" s="483">
        <f t="shared" si="8"/>
        <v>0</v>
      </c>
      <c r="Q39" s="483"/>
      <c r="R39" s="483"/>
      <c r="S39" s="483"/>
      <c r="T39" s="483"/>
      <c r="U39" s="101">
        <f t="shared" si="9"/>
        <v>0</v>
      </c>
    </row>
    <row r="40" spans="1:21" hidden="1" x14ac:dyDescent="0.25">
      <c r="A40" s="453" t="s">
        <v>59</v>
      </c>
      <c r="B40" s="453"/>
      <c r="C40" s="172">
        <v>0</v>
      </c>
      <c r="D40" s="172">
        <v>0</v>
      </c>
      <c r="E40" s="125">
        <f t="shared" si="6"/>
        <v>0</v>
      </c>
      <c r="F40" s="173"/>
      <c r="G40" s="173"/>
      <c r="H40" s="173"/>
      <c r="I40" s="104">
        <f t="shared" si="7"/>
        <v>0</v>
      </c>
      <c r="N40" s="479" t="s">
        <v>59</v>
      </c>
      <c r="O40" s="479"/>
      <c r="P40" s="483">
        <f t="shared" si="8"/>
        <v>0</v>
      </c>
      <c r="Q40" s="483"/>
      <c r="R40" s="483"/>
      <c r="S40" s="483"/>
      <c r="T40" s="483"/>
      <c r="U40" s="101">
        <f t="shared" si="9"/>
        <v>0</v>
      </c>
    </row>
    <row r="41" spans="1:21" hidden="1" x14ac:dyDescent="0.25">
      <c r="A41" s="453" t="s">
        <v>60</v>
      </c>
      <c r="B41" s="453"/>
      <c r="C41" s="172">
        <v>0</v>
      </c>
      <c r="D41" s="172">
        <v>0</v>
      </c>
      <c r="E41" s="125">
        <f t="shared" si="6"/>
        <v>0</v>
      </c>
      <c r="F41" s="173"/>
      <c r="G41" s="173"/>
      <c r="H41" s="173"/>
      <c r="I41" s="104">
        <f t="shared" si="7"/>
        <v>0</v>
      </c>
      <c r="N41" s="479" t="s">
        <v>60</v>
      </c>
      <c r="O41" s="479"/>
      <c r="P41" s="483">
        <f t="shared" si="8"/>
        <v>0</v>
      </c>
      <c r="Q41" s="483"/>
      <c r="R41" s="483"/>
      <c r="S41" s="483"/>
      <c r="T41" s="483"/>
      <c r="U41" s="101">
        <f t="shared" si="9"/>
        <v>0</v>
      </c>
    </row>
    <row r="42" spans="1:21" hidden="1" x14ac:dyDescent="0.25">
      <c r="A42" s="453" t="s">
        <v>52</v>
      </c>
      <c r="B42" s="453"/>
      <c r="C42" s="171">
        <v>0</v>
      </c>
      <c r="D42" s="171">
        <v>0</v>
      </c>
      <c r="E42" s="177">
        <f t="shared" si="6"/>
        <v>0</v>
      </c>
      <c r="F42" s="173"/>
      <c r="G42" s="173"/>
      <c r="H42" s="173"/>
      <c r="I42" s="97">
        <f t="shared" si="7"/>
        <v>0</v>
      </c>
      <c r="N42" s="482" t="s">
        <v>52</v>
      </c>
      <c r="O42" s="482"/>
      <c r="P42" s="483">
        <f t="shared" si="8"/>
        <v>0</v>
      </c>
      <c r="Q42" s="483"/>
      <c r="R42" s="483"/>
      <c r="S42" s="483"/>
      <c r="T42" s="483"/>
      <c r="U42" s="101">
        <f t="shared" si="9"/>
        <v>0</v>
      </c>
    </row>
    <row r="43" spans="1:21" hidden="1" x14ac:dyDescent="0.25">
      <c r="A43" s="3"/>
      <c r="B43" s="55" t="s">
        <v>126</v>
      </c>
      <c r="C43" s="100">
        <f>SUM(C37:C42)</f>
        <v>0</v>
      </c>
      <c r="D43" s="100">
        <f>SUM(D37:D42)</f>
        <v>0</v>
      </c>
      <c r="E43" s="100">
        <f>SUM(E37:E42)</f>
        <v>0</v>
      </c>
      <c r="F43" s="33"/>
      <c r="G43" s="109"/>
      <c r="H43" s="110" t="s">
        <v>128</v>
      </c>
      <c r="I43" s="100">
        <f>SUM(I37:I42)</f>
        <v>0</v>
      </c>
      <c r="N43" s="480" t="s">
        <v>54</v>
      </c>
      <c r="O43" s="480"/>
      <c r="P43" s="480"/>
      <c r="Q43" s="480"/>
      <c r="R43" s="34">
        <f>SUM(P37:R42)</f>
        <v>0</v>
      </c>
      <c r="S43" s="508" t="s">
        <v>64</v>
      </c>
      <c r="T43" s="508"/>
      <c r="U43" s="106">
        <f>SUM(U37:U42)</f>
        <v>0</v>
      </c>
    </row>
    <row r="44" spans="1:21" ht="16.5" hidden="1" thickBot="1" x14ac:dyDescent="0.3">
      <c r="A44" s="3"/>
      <c r="B44" s="55"/>
      <c r="C44" s="104"/>
      <c r="D44" s="104"/>
      <c r="E44" s="119"/>
      <c r="F44" s="33"/>
      <c r="G44" s="109"/>
      <c r="H44" s="110"/>
      <c r="I44" s="104"/>
      <c r="N44" s="29"/>
      <c r="O44" s="29"/>
      <c r="P44" s="29"/>
      <c r="Q44" s="29"/>
      <c r="R44" s="34"/>
      <c r="S44" s="31"/>
      <c r="T44" s="31"/>
      <c r="U44" s="106"/>
    </row>
    <row r="45" spans="1:21" ht="16.5" hidden="1" thickBot="1" x14ac:dyDescent="0.3">
      <c r="A45" s="3"/>
      <c r="B45" s="55" t="s">
        <v>127</v>
      </c>
      <c r="E45" s="174">
        <f>H29+E43</f>
        <v>1109.9659999999999</v>
      </c>
      <c r="F45" s="35"/>
      <c r="G45" s="109"/>
      <c r="H45" s="110" t="s">
        <v>129</v>
      </c>
      <c r="I45" s="97">
        <f>SUM(I43,I29)</f>
        <v>5314881.41</v>
      </c>
      <c r="N45" s="480" t="s">
        <v>55</v>
      </c>
      <c r="O45" s="480"/>
      <c r="P45" s="480"/>
      <c r="Q45" s="480"/>
      <c r="R45" s="36">
        <f>R43+T29</f>
        <v>0</v>
      </c>
      <c r="S45" s="508" t="s">
        <v>53</v>
      </c>
      <c r="T45" s="508"/>
      <c r="U45" s="111">
        <f>SUM(U43,U29)</f>
        <v>0</v>
      </c>
    </row>
    <row r="46" spans="1:21" hidden="1" x14ac:dyDescent="0.25">
      <c r="A46" s="27"/>
      <c r="B46" s="27"/>
      <c r="C46" s="27"/>
      <c r="D46" s="27"/>
      <c r="E46" s="27"/>
      <c r="F46" s="35"/>
      <c r="G46" s="28"/>
      <c r="H46" s="28"/>
      <c r="I46" s="104"/>
      <c r="N46" s="29"/>
      <c r="O46" s="29"/>
      <c r="P46" s="29"/>
      <c r="Q46" s="29"/>
      <c r="R46" s="36"/>
      <c r="S46" s="31"/>
      <c r="T46" s="31"/>
      <c r="U46" s="106"/>
    </row>
    <row r="47" spans="1:21" x14ac:dyDescent="0.25">
      <c r="A47" s="27"/>
      <c r="B47" s="55" t="s">
        <v>370</v>
      </c>
      <c r="C47" s="372" t="s">
        <v>370</v>
      </c>
      <c r="D47" s="372" t="s">
        <v>370</v>
      </c>
      <c r="E47" s="27"/>
      <c r="F47" s="35"/>
      <c r="G47" s="28"/>
      <c r="H47" s="28"/>
      <c r="I47" s="104"/>
      <c r="N47" s="29"/>
      <c r="O47" s="29"/>
      <c r="P47" s="29"/>
      <c r="Q47" s="29"/>
      <c r="R47" s="36"/>
      <c r="S47" s="31"/>
      <c r="T47" s="31"/>
      <c r="U47" s="106"/>
    </row>
    <row r="48" spans="1:21" x14ac:dyDescent="0.25">
      <c r="A48" s="27"/>
      <c r="B48" s="27"/>
      <c r="C48" s="91" t="s">
        <v>463</v>
      </c>
      <c r="D48" s="371" t="s">
        <v>464</v>
      </c>
      <c r="E48" s="92" t="s">
        <v>8</v>
      </c>
      <c r="F48" s="49" t="s">
        <v>130</v>
      </c>
      <c r="G48" s="112" t="s">
        <v>132</v>
      </c>
      <c r="H48" s="113" t="s">
        <v>133</v>
      </c>
      <c r="I48" s="104"/>
      <c r="N48" s="29"/>
      <c r="O48" s="29"/>
      <c r="P48" s="29"/>
      <c r="Q48" s="29"/>
      <c r="R48" s="36"/>
      <c r="S48" s="31"/>
      <c r="T48" s="31"/>
      <c r="U48" s="106"/>
    </row>
    <row r="49" spans="1:21" x14ac:dyDescent="0.25">
      <c r="A49" s="37" t="s">
        <v>87</v>
      </c>
      <c r="B49" s="37"/>
      <c r="C49" s="362" t="s">
        <v>2</v>
      </c>
      <c r="D49" s="362" t="s">
        <v>2</v>
      </c>
      <c r="E49" s="362" t="s">
        <v>2</v>
      </c>
      <c r="F49" s="95" t="s">
        <v>131</v>
      </c>
      <c r="G49" s="62" t="s">
        <v>131</v>
      </c>
      <c r="H49" s="114" t="s">
        <v>134</v>
      </c>
      <c r="I49" s="37"/>
      <c r="N49" s="482" t="s">
        <v>87</v>
      </c>
      <c r="O49" s="482"/>
      <c r="P49" s="503" t="s">
        <v>2</v>
      </c>
      <c r="Q49" s="503"/>
      <c r="R49" s="38" t="s">
        <v>25</v>
      </c>
      <c r="S49" s="63" t="s">
        <v>26</v>
      </c>
      <c r="T49" s="115" t="s">
        <v>27</v>
      </c>
      <c r="U49" s="38"/>
    </row>
    <row r="50" spans="1:21" x14ac:dyDescent="0.25">
      <c r="A50" s="459" t="s">
        <v>98</v>
      </c>
      <c r="B50" s="459"/>
      <c r="C50" s="165">
        <v>31.5</v>
      </c>
      <c r="D50" s="165">
        <v>39.75</v>
      </c>
      <c r="E50" s="125">
        <f>IF(D$59=0,C50*2,C50+D50)</f>
        <v>71.25</v>
      </c>
      <c r="F50" s="39" t="s">
        <v>21</v>
      </c>
      <c r="G50" s="39">
        <v>251</v>
      </c>
      <c r="H50" s="321">
        <f>'0664'!H50</f>
        <v>1047</v>
      </c>
      <c r="I50" s="104">
        <f>ROUND(E50*H50,2)</f>
        <v>74598.75</v>
      </c>
      <c r="N50" s="504" t="s">
        <v>28</v>
      </c>
      <c r="O50" s="504"/>
      <c r="P50" s="505"/>
      <c r="Q50" s="505"/>
      <c r="R50" s="40" t="s">
        <v>21</v>
      </c>
      <c r="S50" s="40">
        <v>251</v>
      </c>
      <c r="T50" s="117">
        <f>H50</f>
        <v>1047</v>
      </c>
      <c r="U50" s="118">
        <f>ROUND(P50*T50,0)</f>
        <v>0</v>
      </c>
    </row>
    <row r="51" spans="1:21" x14ac:dyDescent="0.25">
      <c r="A51" s="460"/>
      <c r="B51" s="460"/>
      <c r="C51" s="165">
        <v>2</v>
      </c>
      <c r="D51" s="165">
        <v>2.52</v>
      </c>
      <c r="E51" s="125">
        <f t="shared" ref="E51:E58" si="10">IF(D$59=0,C51*2,C51+D51)</f>
        <v>4.5199999999999996</v>
      </c>
      <c r="F51" s="39" t="s">
        <v>21</v>
      </c>
      <c r="G51" s="39">
        <v>252</v>
      </c>
      <c r="H51" s="321">
        <f>'0664'!H51</f>
        <v>3380</v>
      </c>
      <c r="I51" s="104">
        <f t="shared" ref="I51:I58" si="11">ROUND(E51*H51,2)</f>
        <v>15277.6</v>
      </c>
      <c r="N51" s="504"/>
      <c r="O51" s="504"/>
      <c r="P51" s="506"/>
      <c r="Q51" s="506"/>
      <c r="R51" s="40" t="s">
        <v>21</v>
      </c>
      <c r="S51" s="40">
        <v>252</v>
      </c>
      <c r="T51" s="117">
        <f t="shared" ref="T51:T58" si="12">H51</f>
        <v>3380</v>
      </c>
      <c r="U51" s="118">
        <f t="shared" ref="U51:U58" si="13">ROUND(P51*T51,0)</f>
        <v>0</v>
      </c>
    </row>
    <row r="52" spans="1:21" x14ac:dyDescent="0.25">
      <c r="A52" s="460"/>
      <c r="B52" s="460"/>
      <c r="C52" s="165">
        <v>0</v>
      </c>
      <c r="D52" s="165">
        <v>0</v>
      </c>
      <c r="E52" s="125">
        <f t="shared" si="10"/>
        <v>0</v>
      </c>
      <c r="F52" s="39" t="s">
        <v>21</v>
      </c>
      <c r="G52" s="39">
        <v>253</v>
      </c>
      <c r="H52" s="321">
        <f>'0664'!H52</f>
        <v>6896</v>
      </c>
      <c r="I52" s="104">
        <f t="shared" si="11"/>
        <v>0</v>
      </c>
      <c r="N52" s="504"/>
      <c r="O52" s="504"/>
      <c r="P52" s="506"/>
      <c r="Q52" s="506"/>
      <c r="R52" s="40" t="s">
        <v>21</v>
      </c>
      <c r="S52" s="40">
        <v>253</v>
      </c>
      <c r="T52" s="117">
        <f t="shared" si="12"/>
        <v>6896</v>
      </c>
      <c r="U52" s="118">
        <f t="shared" si="13"/>
        <v>0</v>
      </c>
    </row>
    <row r="53" spans="1:21" x14ac:dyDescent="0.25">
      <c r="A53" s="460"/>
      <c r="B53" s="460"/>
      <c r="C53" s="165">
        <v>55</v>
      </c>
      <c r="D53" s="165">
        <v>53.39</v>
      </c>
      <c r="E53" s="125">
        <f t="shared" si="10"/>
        <v>108.39</v>
      </c>
      <c r="F53" s="41" t="s">
        <v>14</v>
      </c>
      <c r="G53" s="39">
        <v>251</v>
      </c>
      <c r="H53" s="321">
        <f>'0664'!H53</f>
        <v>1173</v>
      </c>
      <c r="I53" s="104">
        <f t="shared" si="11"/>
        <v>127141.47</v>
      </c>
      <c r="N53" s="504"/>
      <c r="O53" s="504"/>
      <c r="P53" s="506"/>
      <c r="Q53" s="506"/>
      <c r="R53" s="42" t="s">
        <v>14</v>
      </c>
      <c r="S53" s="40">
        <v>251</v>
      </c>
      <c r="T53" s="117">
        <f t="shared" si="12"/>
        <v>1173</v>
      </c>
      <c r="U53" s="118">
        <f t="shared" si="13"/>
        <v>0</v>
      </c>
    </row>
    <row r="54" spans="1:21" x14ac:dyDescent="0.25">
      <c r="A54" s="460"/>
      <c r="B54" s="460"/>
      <c r="C54" s="165">
        <v>2</v>
      </c>
      <c r="D54" s="165">
        <v>1.94</v>
      </c>
      <c r="E54" s="125">
        <f t="shared" si="10"/>
        <v>3.94</v>
      </c>
      <c r="F54" s="41" t="s">
        <v>14</v>
      </c>
      <c r="G54" s="39">
        <v>252</v>
      </c>
      <c r="H54" s="321">
        <f>'0664'!H54</f>
        <v>3506</v>
      </c>
      <c r="I54" s="104">
        <f t="shared" si="11"/>
        <v>13813.64</v>
      </c>
      <c r="N54" s="504"/>
      <c r="O54" s="504"/>
      <c r="P54" s="506"/>
      <c r="Q54" s="506"/>
      <c r="R54" s="42" t="s">
        <v>14</v>
      </c>
      <c r="S54" s="40">
        <v>252</v>
      </c>
      <c r="T54" s="117">
        <f t="shared" si="12"/>
        <v>3506</v>
      </c>
      <c r="U54" s="118">
        <f t="shared" si="13"/>
        <v>0</v>
      </c>
    </row>
    <row r="55" spans="1:21" x14ac:dyDescent="0.25">
      <c r="A55" s="460"/>
      <c r="B55" s="460"/>
      <c r="C55" s="165">
        <v>0</v>
      </c>
      <c r="D55" s="165">
        <v>0</v>
      </c>
      <c r="E55" s="125">
        <f t="shared" si="10"/>
        <v>0</v>
      </c>
      <c r="F55" s="41" t="s">
        <v>14</v>
      </c>
      <c r="G55" s="39">
        <v>253</v>
      </c>
      <c r="H55" s="321">
        <f>'0664'!H55</f>
        <v>7023</v>
      </c>
      <c r="I55" s="104">
        <f t="shared" si="11"/>
        <v>0</v>
      </c>
      <c r="N55" s="504"/>
      <c r="O55" s="504"/>
      <c r="P55" s="506"/>
      <c r="Q55" s="506"/>
      <c r="R55" s="42" t="s">
        <v>14</v>
      </c>
      <c r="S55" s="40">
        <v>253</v>
      </c>
      <c r="T55" s="117">
        <f t="shared" si="12"/>
        <v>7023</v>
      </c>
      <c r="U55" s="118">
        <f t="shared" si="13"/>
        <v>0</v>
      </c>
    </row>
    <row r="56" spans="1:21" x14ac:dyDescent="0.25">
      <c r="A56" s="460"/>
      <c r="B56" s="460"/>
      <c r="C56" s="165">
        <v>0</v>
      </c>
      <c r="D56" s="165">
        <v>0</v>
      </c>
      <c r="E56" s="125">
        <f t="shared" si="10"/>
        <v>0</v>
      </c>
      <c r="F56" s="41" t="s">
        <v>15</v>
      </c>
      <c r="G56" s="39">
        <v>251</v>
      </c>
      <c r="H56" s="321">
        <f>'0664'!H56</f>
        <v>835</v>
      </c>
      <c r="I56" s="104">
        <f t="shared" si="11"/>
        <v>0</v>
      </c>
      <c r="N56" s="504"/>
      <c r="O56" s="504"/>
      <c r="P56" s="506"/>
      <c r="Q56" s="506"/>
      <c r="R56" s="42" t="s">
        <v>15</v>
      </c>
      <c r="S56" s="40">
        <v>251</v>
      </c>
      <c r="T56" s="117">
        <f t="shared" si="12"/>
        <v>835</v>
      </c>
      <c r="U56" s="118">
        <f t="shared" si="13"/>
        <v>0</v>
      </c>
    </row>
    <row r="57" spans="1:21" x14ac:dyDescent="0.25">
      <c r="A57" s="460"/>
      <c r="B57" s="460"/>
      <c r="C57" s="165">
        <v>0</v>
      </c>
      <c r="D57" s="165">
        <v>0</v>
      </c>
      <c r="E57" s="125">
        <f t="shared" si="10"/>
        <v>0</v>
      </c>
      <c r="F57" s="41" t="s">
        <v>15</v>
      </c>
      <c r="G57" s="39">
        <v>252</v>
      </c>
      <c r="H57" s="321">
        <f>'0664'!H57</f>
        <v>3168</v>
      </c>
      <c r="I57" s="104">
        <f t="shared" si="11"/>
        <v>0</v>
      </c>
      <c r="N57" s="504"/>
      <c r="O57" s="504"/>
      <c r="P57" s="506"/>
      <c r="Q57" s="506"/>
      <c r="R57" s="42" t="s">
        <v>15</v>
      </c>
      <c r="S57" s="40">
        <v>252</v>
      </c>
      <c r="T57" s="117">
        <f t="shared" si="12"/>
        <v>3168</v>
      </c>
      <c r="U57" s="118">
        <f t="shared" si="13"/>
        <v>0</v>
      </c>
    </row>
    <row r="58" spans="1:21" ht="16.5" thickBot="1" x14ac:dyDescent="0.3">
      <c r="A58" s="460"/>
      <c r="B58" s="460"/>
      <c r="C58" s="165">
        <v>0</v>
      </c>
      <c r="D58" s="165">
        <v>0</v>
      </c>
      <c r="E58" s="125">
        <f t="shared" si="10"/>
        <v>0</v>
      </c>
      <c r="F58" s="41" t="s">
        <v>15</v>
      </c>
      <c r="G58" s="39">
        <v>253</v>
      </c>
      <c r="H58" s="321">
        <f>'0664'!H58</f>
        <v>6685</v>
      </c>
      <c r="I58" s="104">
        <f t="shared" si="11"/>
        <v>0</v>
      </c>
      <c r="N58" s="504"/>
      <c r="O58" s="504"/>
      <c r="P58" s="507"/>
      <c r="Q58" s="507"/>
      <c r="R58" s="42" t="s">
        <v>15</v>
      </c>
      <c r="S58" s="40">
        <v>253</v>
      </c>
      <c r="T58" s="117">
        <f t="shared" si="12"/>
        <v>6685</v>
      </c>
      <c r="U58" s="120">
        <f t="shared" si="13"/>
        <v>0</v>
      </c>
    </row>
    <row r="59" spans="1:21" ht="16.5" thickBot="1" x14ac:dyDescent="0.3">
      <c r="A59" s="461" t="s">
        <v>16</v>
      </c>
      <c r="B59" s="461"/>
      <c r="C59" s="100">
        <f>SUM(C50:C58)</f>
        <v>90.5</v>
      </c>
      <c r="D59" s="100">
        <f>SUM(D50:D58)</f>
        <v>97.6</v>
      </c>
      <c r="E59" s="100">
        <f>SUM(E50:E58)</f>
        <v>188.1</v>
      </c>
      <c r="F59" s="461" t="s">
        <v>77</v>
      </c>
      <c r="G59" s="461"/>
      <c r="H59" s="461"/>
      <c r="I59" s="100">
        <f>SUM(I50:I58)</f>
        <v>230831.46000000002</v>
      </c>
      <c r="N59" s="480" t="s">
        <v>16</v>
      </c>
      <c r="O59" s="480"/>
      <c r="P59" s="502">
        <f>SUM(P50:P58)</f>
        <v>0</v>
      </c>
      <c r="Q59" s="502"/>
      <c r="R59" s="480" t="s">
        <v>77</v>
      </c>
      <c r="S59" s="480"/>
      <c r="T59" s="480"/>
      <c r="U59" s="111">
        <f>SUM(U50:U58)</f>
        <v>0</v>
      </c>
    </row>
    <row r="60" spans="1:21" x14ac:dyDescent="0.25">
      <c r="A60" s="462"/>
      <c r="B60" s="462"/>
      <c r="C60" s="462"/>
      <c r="D60" s="462"/>
      <c r="E60" s="462"/>
      <c r="F60" s="462"/>
      <c r="G60" s="462"/>
      <c r="H60" s="462"/>
      <c r="I60" s="462"/>
      <c r="N60" s="484"/>
      <c r="O60" s="484"/>
      <c r="P60" s="484"/>
      <c r="Q60" s="484"/>
      <c r="R60" s="484"/>
      <c r="S60" s="484"/>
      <c r="T60" s="484"/>
      <c r="U60" s="484"/>
    </row>
    <row r="61" spans="1:21" x14ac:dyDescent="0.25">
      <c r="A61" s="463" t="s">
        <v>136</v>
      </c>
      <c r="B61" s="453"/>
      <c r="C61" s="453"/>
      <c r="D61" s="453"/>
      <c r="E61" s="453"/>
      <c r="F61" s="453"/>
      <c r="G61" s="453"/>
      <c r="H61" s="453"/>
      <c r="I61" s="453"/>
      <c r="N61" s="479" t="s">
        <v>88</v>
      </c>
      <c r="O61" s="479"/>
      <c r="P61" s="479"/>
      <c r="Q61" s="479"/>
      <c r="R61" s="479"/>
      <c r="S61" s="479"/>
      <c r="T61" s="479"/>
      <c r="U61" s="479"/>
    </row>
    <row r="62" spans="1:21" x14ac:dyDescent="0.25">
      <c r="A62" s="463" t="s">
        <v>138</v>
      </c>
      <c r="B62" s="453"/>
      <c r="C62" s="121">
        <f>E29</f>
        <v>1046.52</v>
      </c>
      <c r="D62" s="464" t="s">
        <v>135</v>
      </c>
      <c r="E62" s="464"/>
      <c r="F62" s="464"/>
      <c r="G62" s="464"/>
      <c r="H62" s="335">
        <f>'0664'!H62</f>
        <v>193340.76</v>
      </c>
      <c r="I62" s="122"/>
      <c r="N62" s="478" t="s">
        <v>312</v>
      </c>
      <c r="O62" s="479"/>
      <c r="P62" s="43">
        <f>P29</f>
        <v>0</v>
      </c>
      <c r="Q62" s="498" t="s">
        <v>78</v>
      </c>
      <c r="R62" s="498"/>
      <c r="S62" s="498"/>
      <c r="T62" s="497">
        <f>H62</f>
        <v>193340.76</v>
      </c>
      <c r="U62" s="497"/>
    </row>
    <row r="63" spans="1:21" x14ac:dyDescent="0.25">
      <c r="B63" s="72"/>
      <c r="G63" s="44" t="s">
        <v>13</v>
      </c>
      <c r="H63" s="123">
        <f>ROUND(C62/H62,6)</f>
        <v>5.4130000000000003E-3</v>
      </c>
      <c r="I63" s="124"/>
      <c r="N63" s="479" t="s">
        <v>19</v>
      </c>
      <c r="O63" s="479"/>
      <c r="P63" s="479"/>
      <c r="Q63" s="479"/>
      <c r="R63" s="479"/>
      <c r="S63" s="479"/>
      <c r="T63" s="501">
        <f>ROUND(P62/T62,6)</f>
        <v>0</v>
      </c>
      <c r="U63" s="501"/>
    </row>
    <row r="64" spans="1:21" x14ac:dyDescent="0.25">
      <c r="A64" s="463" t="s">
        <v>137</v>
      </c>
      <c r="B64" s="453"/>
      <c r="C64" s="453"/>
      <c r="D64" s="453"/>
      <c r="E64" s="453"/>
      <c r="F64" s="453"/>
      <c r="G64" s="453"/>
      <c r="H64" s="453"/>
      <c r="I64" s="453"/>
      <c r="N64" s="479" t="s">
        <v>89</v>
      </c>
      <c r="O64" s="479"/>
      <c r="P64" s="479"/>
      <c r="Q64" s="479"/>
      <c r="R64" s="479"/>
      <c r="S64" s="479"/>
      <c r="T64" s="479"/>
      <c r="U64" s="479"/>
    </row>
    <row r="65" spans="1:21" x14ac:dyDescent="0.25">
      <c r="A65" s="463" t="s">
        <v>139</v>
      </c>
      <c r="B65" s="453"/>
      <c r="C65" s="121">
        <f>E45</f>
        <v>1109.9659999999999</v>
      </c>
      <c r="D65" s="464" t="s">
        <v>140</v>
      </c>
      <c r="E65" s="464"/>
      <c r="F65" s="464"/>
      <c r="G65" s="464"/>
      <c r="H65" s="336">
        <f>'0664'!H65</f>
        <v>216845.88</v>
      </c>
      <c r="I65" s="125"/>
      <c r="N65" s="479" t="s">
        <v>80</v>
      </c>
      <c r="O65" s="479"/>
      <c r="P65" s="43">
        <f>R45</f>
        <v>0</v>
      </c>
      <c r="Q65" s="498" t="s">
        <v>79</v>
      </c>
      <c r="R65" s="498"/>
      <c r="S65" s="498"/>
      <c r="T65" s="497">
        <f>H65</f>
        <v>216845.88</v>
      </c>
      <c r="U65" s="497"/>
    </row>
    <row r="66" spans="1:21" s="37" customFormat="1" x14ac:dyDescent="0.25">
      <c r="A66" s="126"/>
      <c r="G66" s="45" t="s">
        <v>13</v>
      </c>
      <c r="H66" s="127">
        <f>ROUND(C65/H65,6)</f>
        <v>5.1190000000000003E-3</v>
      </c>
      <c r="I66" s="127"/>
      <c r="N66" s="482" t="s">
        <v>20</v>
      </c>
      <c r="O66" s="482"/>
      <c r="P66" s="482"/>
      <c r="Q66" s="482"/>
      <c r="R66" s="482"/>
      <c r="S66" s="482"/>
      <c r="T66" s="500">
        <f>ROUND(P65/T65,6)</f>
        <v>0</v>
      </c>
      <c r="U66" s="500"/>
    </row>
    <row r="67" spans="1:21" x14ac:dyDescent="0.25">
      <c r="G67" s="44"/>
      <c r="H67" s="123"/>
      <c r="I67" s="123"/>
      <c r="N67" s="48"/>
      <c r="O67" s="48"/>
      <c r="P67" s="48"/>
      <c r="Q67" s="48"/>
      <c r="R67" s="128"/>
      <c r="S67" s="48"/>
      <c r="T67" s="129"/>
      <c r="U67" s="130"/>
    </row>
    <row r="68" spans="1:21" x14ac:dyDescent="0.25">
      <c r="A68" s="453" t="s">
        <v>85</v>
      </c>
      <c r="B68" s="453"/>
      <c r="C68" s="453"/>
      <c r="D68" s="72"/>
      <c r="E68" s="46" t="s">
        <v>3</v>
      </c>
      <c r="F68" s="337">
        <f>'0664'!F68</f>
        <v>42465042</v>
      </c>
      <c r="G68" s="39" t="s">
        <v>6</v>
      </c>
      <c r="H68" s="131">
        <f>H63</f>
        <v>5.4130000000000003E-3</v>
      </c>
      <c r="I68" s="104">
        <f>ROUND(F68*H68,2)</f>
        <v>229863.27</v>
      </c>
      <c r="N68" s="479" t="s">
        <v>85</v>
      </c>
      <c r="O68" s="479"/>
      <c r="P68" s="479"/>
      <c r="Q68" s="47"/>
      <c r="R68" s="132">
        <f>F68</f>
        <v>42465042</v>
      </c>
      <c r="S68" s="40" t="s">
        <v>6</v>
      </c>
      <c r="T68" s="133">
        <f>T63</f>
        <v>0</v>
      </c>
      <c r="U68" s="99">
        <f>ROUND(R68*T68,0)</f>
        <v>0</v>
      </c>
    </row>
    <row r="69" spans="1:21" x14ac:dyDescent="0.25">
      <c r="A69" s="458" t="s">
        <v>96</v>
      </c>
      <c r="B69" s="453"/>
      <c r="C69" s="453"/>
      <c r="D69" s="72"/>
      <c r="E69" s="46"/>
      <c r="F69" s="136"/>
      <c r="G69" s="39"/>
      <c r="H69" s="131"/>
      <c r="I69" s="104"/>
      <c r="N69" s="479" t="s">
        <v>84</v>
      </c>
      <c r="O69" s="479"/>
      <c r="P69" s="479"/>
      <c r="Q69" s="54"/>
      <c r="R69" s="54"/>
      <c r="S69" s="54"/>
      <c r="T69" s="54"/>
      <c r="U69" s="54"/>
    </row>
    <row r="70" spans="1:21" x14ac:dyDescent="0.25">
      <c r="A70" s="465" t="s">
        <v>141</v>
      </c>
      <c r="B70" s="453"/>
      <c r="C70" s="453"/>
      <c r="D70" s="72"/>
      <c r="E70" s="46" t="s">
        <v>3</v>
      </c>
      <c r="F70" s="337">
        <f>'0664'!F70</f>
        <v>0</v>
      </c>
      <c r="G70" s="39" t="s">
        <v>6</v>
      </c>
      <c r="H70" s="131">
        <f>H63</f>
        <v>5.4130000000000003E-3</v>
      </c>
      <c r="I70" s="104">
        <f>ROUND(F70*H70,2)</f>
        <v>0</v>
      </c>
      <c r="N70" s="48"/>
      <c r="O70" s="48"/>
      <c r="P70" s="48"/>
      <c r="Q70" s="47"/>
      <c r="R70" s="132">
        <f>F70</f>
        <v>0</v>
      </c>
      <c r="S70" s="40" t="s">
        <v>6</v>
      </c>
      <c r="T70" s="133">
        <f>T63</f>
        <v>0</v>
      </c>
      <c r="U70" s="99">
        <f>ROUND(R70*T70,0)</f>
        <v>0</v>
      </c>
    </row>
    <row r="71" spans="1:21" x14ac:dyDescent="0.25">
      <c r="A71" s="463" t="s">
        <v>433</v>
      </c>
      <c r="B71" s="453"/>
      <c r="C71" s="453"/>
      <c r="D71" s="72"/>
      <c r="E71" s="46" t="s">
        <v>3</v>
      </c>
      <c r="F71" s="337">
        <f>'0664'!F71</f>
        <v>13414654</v>
      </c>
      <c r="G71" s="39" t="s">
        <v>6</v>
      </c>
      <c r="H71" s="131">
        <f>H63</f>
        <v>5.4130000000000003E-3</v>
      </c>
      <c r="I71" s="104">
        <f>ROUND(F71*H71,2)</f>
        <v>72613.52</v>
      </c>
      <c r="N71" s="479" t="s">
        <v>83</v>
      </c>
      <c r="O71" s="479"/>
      <c r="P71" s="479"/>
      <c r="Q71" s="47"/>
      <c r="R71" s="132">
        <f>F71</f>
        <v>13414654</v>
      </c>
      <c r="S71" s="40" t="s">
        <v>6</v>
      </c>
      <c r="T71" s="133">
        <f>T63</f>
        <v>0</v>
      </c>
      <c r="U71" s="99">
        <f>ROUND(R71*T71,0)</f>
        <v>0</v>
      </c>
    </row>
    <row r="72" spans="1:21" x14ac:dyDescent="0.25">
      <c r="A72" s="463" t="s">
        <v>434</v>
      </c>
      <c r="B72" s="453"/>
      <c r="C72" s="453"/>
      <c r="D72" s="72"/>
      <c r="E72" s="46" t="s">
        <v>3</v>
      </c>
      <c r="F72" s="337">
        <f>'0664'!F72</f>
        <v>14708421</v>
      </c>
      <c r="G72" s="39" t="s">
        <v>6</v>
      </c>
      <c r="H72" s="131">
        <f>H63</f>
        <v>5.4130000000000003E-3</v>
      </c>
      <c r="I72" s="104">
        <f>ROUND(F72*H72,2)</f>
        <v>79616.679999999993</v>
      </c>
      <c r="N72" s="479" t="s">
        <v>82</v>
      </c>
      <c r="O72" s="479"/>
      <c r="P72" s="479"/>
      <c r="Q72" s="47"/>
      <c r="R72" s="134">
        <f>F72</f>
        <v>14708421</v>
      </c>
      <c r="S72" s="40" t="s">
        <v>6</v>
      </c>
      <c r="T72" s="133">
        <f>T63</f>
        <v>0</v>
      </c>
      <c r="U72" s="99">
        <f>ROUND(R72*T72,0)</f>
        <v>0</v>
      </c>
    </row>
    <row r="73" spans="1:21" x14ac:dyDescent="0.25">
      <c r="A73" s="263" t="s">
        <v>99</v>
      </c>
      <c r="D73" s="72"/>
      <c r="E73" s="41" t="s">
        <v>353</v>
      </c>
      <c r="F73" s="466"/>
      <c r="G73" s="466"/>
      <c r="H73" s="466"/>
      <c r="I73" s="104">
        <v>0</v>
      </c>
      <c r="N73" s="499" t="s">
        <v>118</v>
      </c>
      <c r="O73" s="499"/>
      <c r="P73" s="499"/>
      <c r="Q73" s="499"/>
      <c r="R73" s="499"/>
      <c r="S73" s="499"/>
      <c r="T73" s="499"/>
      <c r="U73" s="99">
        <f>IF($H$120=1,I73,0)</f>
        <v>0</v>
      </c>
    </row>
    <row r="74" spans="1:21" x14ac:dyDescent="0.25">
      <c r="A74" s="264" t="s">
        <v>142</v>
      </c>
      <c r="I74" s="104"/>
      <c r="N74" s="499" t="s">
        <v>43</v>
      </c>
      <c r="O74" s="499"/>
      <c r="P74" s="499"/>
      <c r="Q74" s="499"/>
      <c r="R74" s="499"/>
      <c r="S74" s="499"/>
      <c r="T74" s="499"/>
      <c r="U74" s="99">
        <f>IF($H$120=1,I74,0)</f>
        <v>0</v>
      </c>
    </row>
    <row r="75" spans="1:21" x14ac:dyDescent="0.25">
      <c r="A75" s="324" t="s">
        <v>101</v>
      </c>
      <c r="B75" s="72"/>
      <c r="C75" s="72"/>
      <c r="D75" s="72"/>
      <c r="E75" s="72"/>
      <c r="F75" s="72"/>
      <c r="G75" s="72"/>
      <c r="H75" s="72"/>
      <c r="I75" s="135"/>
      <c r="N75" s="382" t="s">
        <v>44</v>
      </c>
      <c r="O75" s="48"/>
      <c r="P75" s="48"/>
      <c r="Q75" s="48"/>
      <c r="R75" s="48"/>
      <c r="S75" s="48"/>
      <c r="T75" s="48"/>
      <c r="U75" s="106"/>
    </row>
    <row r="76" spans="1:21" x14ac:dyDescent="0.25">
      <c r="A76" s="463" t="s">
        <v>435</v>
      </c>
      <c r="B76" s="453"/>
      <c r="C76" s="453"/>
      <c r="D76" s="72"/>
      <c r="E76" s="46" t="s">
        <v>3</v>
      </c>
      <c r="F76" s="337">
        <f>'0664'!F76</f>
        <v>8720092</v>
      </c>
      <c r="G76" s="39" t="s">
        <v>6</v>
      </c>
      <c r="H76" s="131">
        <f>H63</f>
        <v>5.4130000000000003E-3</v>
      </c>
      <c r="I76" s="104">
        <f t="shared" ref="I76:I85" si="14">ROUND(F76*H76,2)</f>
        <v>47201.86</v>
      </c>
      <c r="N76" s="478" t="s">
        <v>366</v>
      </c>
      <c r="O76" s="479"/>
      <c r="P76" s="479"/>
      <c r="Q76" s="47"/>
      <c r="R76" s="134">
        <f t="shared" ref="R76:R85" si="15">F76</f>
        <v>8720092</v>
      </c>
      <c r="S76" s="40" t="s">
        <v>6</v>
      </c>
      <c r="T76" s="133">
        <f>T63</f>
        <v>0</v>
      </c>
      <c r="U76" s="99">
        <f t="shared" ref="U76:U85" si="16">ROUND(R76*T76,0)</f>
        <v>0</v>
      </c>
    </row>
    <row r="77" spans="1:21" x14ac:dyDescent="0.25">
      <c r="A77" s="463" t="s">
        <v>436</v>
      </c>
      <c r="B77" s="453"/>
      <c r="C77" s="453"/>
      <c r="D77" s="72"/>
      <c r="E77" s="46" t="s">
        <v>3</v>
      </c>
      <c r="F77" s="337">
        <f>'0664'!F77</f>
        <v>0</v>
      </c>
      <c r="G77" s="39" t="s">
        <v>6</v>
      </c>
      <c r="H77" s="131">
        <f>H63</f>
        <v>5.4130000000000003E-3</v>
      </c>
      <c r="I77" s="104">
        <f t="shared" si="14"/>
        <v>0</v>
      </c>
      <c r="N77" s="479" t="s">
        <v>367</v>
      </c>
      <c r="O77" s="479"/>
      <c r="P77" s="479"/>
      <c r="Q77" s="47"/>
      <c r="R77" s="134">
        <f t="shared" si="15"/>
        <v>0</v>
      </c>
      <c r="S77" s="40" t="s">
        <v>6</v>
      </c>
      <c r="T77" s="133">
        <f>T63</f>
        <v>0</v>
      </c>
      <c r="U77" s="99">
        <f t="shared" si="16"/>
        <v>0</v>
      </c>
    </row>
    <row r="78" spans="1:21" x14ac:dyDescent="0.25">
      <c r="A78" s="463" t="s">
        <v>437</v>
      </c>
      <c r="B78" s="453"/>
      <c r="C78" s="453"/>
      <c r="D78" s="72"/>
      <c r="E78" s="46" t="s">
        <v>4</v>
      </c>
      <c r="F78" s="337">
        <f>'0664'!F78</f>
        <v>0</v>
      </c>
      <c r="G78" s="39" t="s">
        <v>6</v>
      </c>
      <c r="H78" s="131">
        <f>H66</f>
        <v>5.1190000000000003E-3</v>
      </c>
      <c r="I78" s="104">
        <f t="shared" si="14"/>
        <v>0</v>
      </c>
      <c r="N78" s="478" t="s">
        <v>392</v>
      </c>
      <c r="O78" s="479"/>
      <c r="P78" s="479"/>
      <c r="Q78" s="47"/>
      <c r="R78" s="134">
        <f t="shared" si="15"/>
        <v>0</v>
      </c>
      <c r="S78" s="40" t="s">
        <v>6</v>
      </c>
      <c r="T78" s="133">
        <f>T66</f>
        <v>0</v>
      </c>
      <c r="U78" s="99">
        <f t="shared" si="16"/>
        <v>0</v>
      </c>
    </row>
    <row r="79" spans="1:21" x14ac:dyDescent="0.25">
      <c r="A79" s="463" t="s">
        <v>438</v>
      </c>
      <c r="B79" s="453"/>
      <c r="C79" s="453"/>
      <c r="D79" s="72"/>
      <c r="E79" s="46" t="s">
        <v>4</v>
      </c>
      <c r="F79" s="337">
        <f>'0664'!F79</f>
        <v>11278687</v>
      </c>
      <c r="G79" s="39" t="s">
        <v>6</v>
      </c>
      <c r="H79" s="131">
        <f>H66</f>
        <v>5.1190000000000003E-3</v>
      </c>
      <c r="I79" s="104">
        <f t="shared" si="14"/>
        <v>57735.6</v>
      </c>
      <c r="N79" s="478" t="s">
        <v>393</v>
      </c>
      <c r="O79" s="479"/>
      <c r="P79" s="479"/>
      <c r="Q79" s="47"/>
      <c r="R79" s="134">
        <f t="shared" si="15"/>
        <v>11278687</v>
      </c>
      <c r="S79" s="40" t="s">
        <v>6</v>
      </c>
      <c r="T79" s="133">
        <f>T66</f>
        <v>0</v>
      </c>
      <c r="U79" s="99">
        <f t="shared" si="16"/>
        <v>0</v>
      </c>
    </row>
    <row r="80" spans="1:21" x14ac:dyDescent="0.25">
      <c r="A80" s="463" t="s">
        <v>439</v>
      </c>
      <c r="B80" s="453"/>
      <c r="C80" s="453"/>
      <c r="D80" s="72"/>
      <c r="E80" s="46" t="s">
        <v>4</v>
      </c>
      <c r="F80" s="337">
        <f>'0664'!F80</f>
        <v>206284749</v>
      </c>
      <c r="G80" s="39" t="s">
        <v>6</v>
      </c>
      <c r="H80" s="131">
        <f>H66</f>
        <v>5.1190000000000003E-3</v>
      </c>
      <c r="I80" s="104">
        <f t="shared" si="14"/>
        <v>1055971.6299999999</v>
      </c>
      <c r="N80" s="478" t="s">
        <v>397</v>
      </c>
      <c r="O80" s="479"/>
      <c r="P80" s="479"/>
      <c r="Q80" s="47"/>
      <c r="R80" s="134">
        <f t="shared" si="15"/>
        <v>206284749</v>
      </c>
      <c r="S80" s="40" t="s">
        <v>6</v>
      </c>
      <c r="T80" s="133">
        <f>T66</f>
        <v>0</v>
      </c>
      <c r="U80" s="99">
        <f t="shared" si="16"/>
        <v>0</v>
      </c>
    </row>
    <row r="81" spans="1:21" x14ac:dyDescent="0.25">
      <c r="A81" s="84" t="s">
        <v>440</v>
      </c>
      <c r="B81" s="72"/>
      <c r="C81" s="72"/>
      <c r="D81" s="72"/>
      <c r="E81" s="46"/>
      <c r="F81" s="337"/>
      <c r="G81" s="39"/>
      <c r="H81" s="131"/>
      <c r="I81" s="104"/>
      <c r="N81" s="419" t="s">
        <v>440</v>
      </c>
      <c r="O81" s="48"/>
      <c r="P81" s="48"/>
      <c r="Q81" s="47"/>
      <c r="R81" s="423"/>
      <c r="S81" s="40"/>
      <c r="T81" s="133"/>
      <c r="U81" s="120"/>
    </row>
    <row r="82" spans="1:21" x14ac:dyDescent="0.25">
      <c r="A82" s="264" t="s">
        <v>441</v>
      </c>
      <c r="B82" s="72"/>
      <c r="C82" s="72"/>
      <c r="D82" s="72"/>
      <c r="E82" s="46" t="s">
        <v>442</v>
      </c>
      <c r="F82" s="337">
        <f>'0664'!F82</f>
        <v>0</v>
      </c>
      <c r="G82" s="39" t="s">
        <v>6</v>
      </c>
      <c r="H82" s="131">
        <f>H66</f>
        <v>5.1190000000000003E-3</v>
      </c>
      <c r="I82" s="104">
        <v>194588.98</v>
      </c>
      <c r="N82" s="422" t="s">
        <v>441</v>
      </c>
      <c r="O82" s="48"/>
      <c r="P82" s="48"/>
      <c r="Q82" s="47"/>
      <c r="R82" s="134">
        <f t="shared" si="15"/>
        <v>0</v>
      </c>
      <c r="S82" s="40"/>
      <c r="T82" s="133"/>
      <c r="U82" s="99">
        <f t="shared" si="16"/>
        <v>0</v>
      </c>
    </row>
    <row r="83" spans="1:21" x14ac:dyDescent="0.25">
      <c r="A83" s="264" t="s">
        <v>443</v>
      </c>
      <c r="B83" s="72"/>
      <c r="C83" s="72"/>
      <c r="D83" s="72"/>
      <c r="E83" s="46" t="s">
        <v>442</v>
      </c>
      <c r="F83" s="337">
        <f>'0664'!F83</f>
        <v>0</v>
      </c>
      <c r="G83" s="39" t="s">
        <v>6</v>
      </c>
      <c r="H83" s="131">
        <f>H66</f>
        <v>5.1190000000000003E-3</v>
      </c>
      <c r="I83" s="104">
        <v>88449.54</v>
      </c>
      <c r="N83" s="422" t="s">
        <v>443</v>
      </c>
      <c r="O83" s="48"/>
      <c r="P83" s="48"/>
      <c r="Q83" s="47"/>
      <c r="R83" s="134">
        <f t="shared" si="15"/>
        <v>0</v>
      </c>
      <c r="S83" s="40"/>
      <c r="T83" s="133"/>
      <c r="U83" s="99">
        <f t="shared" si="16"/>
        <v>0</v>
      </c>
    </row>
    <row r="84" spans="1:21" x14ac:dyDescent="0.25">
      <c r="A84" s="420" t="s">
        <v>444</v>
      </c>
      <c r="B84" s="72"/>
      <c r="C84" s="72"/>
      <c r="D84" s="72"/>
      <c r="E84" s="46"/>
      <c r="F84" s="337"/>
      <c r="G84" s="39"/>
      <c r="H84" s="131"/>
      <c r="I84" s="104">
        <f>I82+I83</f>
        <v>283038.52</v>
      </c>
      <c r="N84" s="421" t="s">
        <v>444</v>
      </c>
      <c r="O84" s="48"/>
      <c r="P84" s="48"/>
      <c r="Q84" s="47"/>
      <c r="R84" s="423"/>
      <c r="S84" s="40"/>
      <c r="T84" s="133"/>
      <c r="U84" s="99">
        <f>U82+U83</f>
        <v>0</v>
      </c>
    </row>
    <row r="85" spans="1:21" x14ac:dyDescent="0.25">
      <c r="A85" s="463" t="s">
        <v>398</v>
      </c>
      <c r="B85" s="453"/>
      <c r="C85" s="453"/>
      <c r="D85" s="72"/>
      <c r="E85" s="46" t="s">
        <v>4</v>
      </c>
      <c r="F85" s="337">
        <f>'0664'!F85</f>
        <v>0</v>
      </c>
      <c r="G85" s="39" t="s">
        <v>6</v>
      </c>
      <c r="H85" s="131">
        <f>H66</f>
        <v>5.1190000000000003E-3</v>
      </c>
      <c r="I85" s="104">
        <f t="shared" si="14"/>
        <v>0</v>
      </c>
      <c r="N85" s="478" t="s">
        <v>398</v>
      </c>
      <c r="O85" s="479"/>
      <c r="P85" s="479"/>
      <c r="Q85" s="47"/>
      <c r="R85" s="132">
        <f t="shared" si="15"/>
        <v>0</v>
      </c>
      <c r="S85" s="40" t="s">
        <v>6</v>
      </c>
      <c r="T85" s="133">
        <f>T66</f>
        <v>0</v>
      </c>
      <c r="U85" s="99">
        <f t="shared" si="16"/>
        <v>0</v>
      </c>
    </row>
    <row r="86" spans="1:21" x14ac:dyDescent="0.25">
      <c r="B86" s="72"/>
      <c r="C86" s="72"/>
      <c r="D86" s="72"/>
      <c r="E86" s="46"/>
      <c r="F86" s="136"/>
      <c r="G86" s="39"/>
      <c r="H86" s="131"/>
      <c r="I86" s="104"/>
      <c r="N86" s="48"/>
      <c r="O86" s="48"/>
      <c r="P86" s="48"/>
      <c r="Q86" s="47"/>
      <c r="R86" s="137"/>
      <c r="S86" s="40"/>
      <c r="T86" s="133"/>
      <c r="U86" s="106"/>
    </row>
    <row r="87" spans="1:21" x14ac:dyDescent="0.25">
      <c r="A87" s="463" t="s">
        <v>445</v>
      </c>
      <c r="B87" s="453"/>
      <c r="C87" s="453"/>
      <c r="D87" s="453"/>
      <c r="E87" s="453"/>
      <c r="F87" s="453"/>
      <c r="G87" s="453"/>
      <c r="H87" s="453"/>
      <c r="I87" s="453"/>
      <c r="N87" s="478" t="s">
        <v>429</v>
      </c>
      <c r="O87" s="479"/>
      <c r="P87" s="479"/>
      <c r="Q87" s="479"/>
      <c r="R87" s="479"/>
      <c r="S87" s="479"/>
      <c r="T87" s="479"/>
      <c r="U87" s="479"/>
    </row>
    <row r="88" spans="1:21" x14ac:dyDescent="0.25">
      <c r="B88" s="72"/>
      <c r="C88" s="466" t="s">
        <v>73</v>
      </c>
      <c r="D88" s="466"/>
      <c r="E88" s="72"/>
      <c r="F88" s="41" t="s">
        <v>37</v>
      </c>
      <c r="G88" s="72"/>
      <c r="H88" s="72"/>
      <c r="I88" s="72"/>
      <c r="N88" s="48"/>
      <c r="O88" s="48"/>
      <c r="P88" s="48"/>
      <c r="Q88" s="48"/>
      <c r="R88" s="48"/>
      <c r="S88" s="48"/>
      <c r="T88" s="48"/>
      <c r="U88" s="48"/>
    </row>
    <row r="89" spans="1:21" x14ac:dyDescent="0.25">
      <c r="A89" s="3"/>
      <c r="B89" s="138"/>
      <c r="C89" s="462" t="s">
        <v>144</v>
      </c>
      <c r="D89" s="462"/>
      <c r="E89" s="139" t="s">
        <v>150</v>
      </c>
      <c r="F89" s="140" t="s">
        <v>149</v>
      </c>
      <c r="G89" s="141"/>
      <c r="H89" s="141"/>
      <c r="I89" s="141"/>
      <c r="N89" s="495" t="s">
        <v>46</v>
      </c>
      <c r="O89" s="495"/>
      <c r="P89" s="496" t="s">
        <v>119</v>
      </c>
      <c r="Q89" s="496"/>
      <c r="R89" s="497" t="s">
        <v>40</v>
      </c>
      <c r="S89" s="497"/>
      <c r="T89" s="497"/>
      <c r="U89" s="497"/>
    </row>
    <row r="90" spans="1:21" x14ac:dyDescent="0.25">
      <c r="A90" s="27"/>
      <c r="B90" s="55" t="s">
        <v>148</v>
      </c>
      <c r="C90" s="467">
        <f>H13+H14+H19+H22+H25</f>
        <v>542.80020000000002</v>
      </c>
      <c r="D90" s="467"/>
      <c r="E90" s="49">
        <f>H8</f>
        <v>1.0438000000000001</v>
      </c>
      <c r="F90" s="338">
        <f>'0664'!F90</f>
        <v>957.94</v>
      </c>
      <c r="G90" s="41" t="s">
        <v>13</v>
      </c>
      <c r="H90" s="104">
        <f>ROUND(C90*E90*F90,2)</f>
        <v>542744.71</v>
      </c>
      <c r="I90" s="107"/>
      <c r="N90" s="29" t="s">
        <v>22</v>
      </c>
      <c r="O90" s="50">
        <f>T13+T14+T19+T22+T25</f>
        <v>0</v>
      </c>
      <c r="P90" s="490">
        <f>T8</f>
        <v>1.0438000000000001</v>
      </c>
      <c r="Q90" s="490"/>
      <c r="R90" s="51">
        <f>F90</f>
        <v>957.94</v>
      </c>
      <c r="S90" s="42" t="s">
        <v>13</v>
      </c>
      <c r="T90" s="134">
        <f>ROUND(O90*P90*R90,0)</f>
        <v>0</v>
      </c>
      <c r="U90" s="105"/>
    </row>
    <row r="91" spans="1:21" x14ac:dyDescent="0.25">
      <c r="A91" s="52"/>
      <c r="B91" s="52" t="s">
        <v>147</v>
      </c>
      <c r="C91" s="467">
        <f>H15+H16+H20+H23+H26</f>
        <v>567.16579999999999</v>
      </c>
      <c r="D91" s="467"/>
      <c r="E91" s="49">
        <f>H8</f>
        <v>1.0438000000000001</v>
      </c>
      <c r="F91" s="338">
        <f>'0664'!F91</f>
        <v>914.63</v>
      </c>
      <c r="G91" s="41" t="s">
        <v>13</v>
      </c>
      <c r="H91" s="104">
        <f>ROUND(C91*E91*F91,2)</f>
        <v>541467.97</v>
      </c>
      <c r="N91" s="53" t="s">
        <v>14</v>
      </c>
      <c r="O91" s="50">
        <f>T15+T16+T20+T23+T26</f>
        <v>0</v>
      </c>
      <c r="P91" s="490">
        <f>T8</f>
        <v>1.0438000000000001</v>
      </c>
      <c r="Q91" s="490"/>
      <c r="R91" s="51">
        <f>F91</f>
        <v>914.63</v>
      </c>
      <c r="S91" s="42" t="s">
        <v>13</v>
      </c>
      <c r="T91" s="134">
        <f>ROUND(O91*P91*R91,0)</f>
        <v>0</v>
      </c>
      <c r="U91" s="54"/>
    </row>
    <row r="92" spans="1:21" ht="16.5" thickBot="1" x14ac:dyDescent="0.3">
      <c r="A92" s="55"/>
      <c r="B92" s="55" t="s">
        <v>146</v>
      </c>
      <c r="C92" s="467">
        <f>H17+H18+H21+H24+H27+H28</f>
        <v>0</v>
      </c>
      <c r="D92" s="467"/>
      <c r="E92" s="49">
        <f>H8</f>
        <v>1.0438000000000001</v>
      </c>
      <c r="F92" s="338">
        <f>'0664'!F92</f>
        <v>916.84</v>
      </c>
      <c r="G92" s="41" t="s">
        <v>13</v>
      </c>
      <c r="H92" s="97">
        <f>ROUND(C92*E92*F92,2)</f>
        <v>0</v>
      </c>
      <c r="N92" s="56" t="s">
        <v>15</v>
      </c>
      <c r="O92" s="57">
        <f>T17+T18+T21+T24+T27+T28</f>
        <v>0</v>
      </c>
      <c r="P92" s="490">
        <f>T8</f>
        <v>1.0438000000000001</v>
      </c>
      <c r="Q92" s="490"/>
      <c r="R92" s="51">
        <f>F92</f>
        <v>916.84</v>
      </c>
      <c r="S92" s="42" t="s">
        <v>13</v>
      </c>
      <c r="T92" s="134">
        <f>ROUND(O92*P92*R92,0)</f>
        <v>0</v>
      </c>
      <c r="U92" s="54"/>
    </row>
    <row r="93" spans="1:21" ht="16.5" thickBot="1" x14ac:dyDescent="0.3">
      <c r="A93" s="58"/>
      <c r="B93" s="142" t="s">
        <v>145</v>
      </c>
      <c r="C93" s="469">
        <f>SUM(C90:C92)</f>
        <v>1109.9659999999999</v>
      </c>
      <c r="D93" s="469"/>
      <c r="E93" s="143"/>
      <c r="F93" s="143"/>
      <c r="G93" s="143"/>
      <c r="H93" s="144" t="s">
        <v>143</v>
      </c>
      <c r="I93" s="104">
        <f>IF(A1=75,0,H92+H91+H90)</f>
        <v>1084212.68</v>
      </c>
      <c r="N93" s="59" t="s">
        <v>120</v>
      </c>
      <c r="O93" s="60">
        <f>SUM(O90:O92)</f>
        <v>0</v>
      </c>
      <c r="P93" s="491" t="s">
        <v>18</v>
      </c>
      <c r="Q93" s="492"/>
      <c r="R93" s="492"/>
      <c r="S93" s="492"/>
      <c r="T93" s="492"/>
      <c r="U93" s="99">
        <f>IF(N1=75,0,T92+T91+T90)</f>
        <v>0</v>
      </c>
    </row>
    <row r="94" spans="1:21" ht="16.5" thickTop="1" x14ac:dyDescent="0.25">
      <c r="A94" s="540" t="s">
        <v>90</v>
      </c>
      <c r="B94" s="540"/>
      <c r="C94" s="540"/>
      <c r="D94" s="540"/>
      <c r="E94" s="540"/>
      <c r="F94" s="540"/>
      <c r="G94" s="540"/>
      <c r="H94" s="540"/>
      <c r="I94" s="540"/>
      <c r="N94" s="493" t="s">
        <v>90</v>
      </c>
      <c r="O94" s="493"/>
      <c r="P94" s="493"/>
      <c r="Q94" s="493"/>
      <c r="R94" s="493"/>
      <c r="S94" s="493"/>
      <c r="T94" s="493"/>
      <c r="U94" s="493"/>
    </row>
    <row r="95" spans="1:21" x14ac:dyDescent="0.25">
      <c r="A95" s="145"/>
      <c r="B95" s="145"/>
      <c r="C95" s="145"/>
      <c r="D95" s="145"/>
      <c r="E95" s="145"/>
      <c r="F95" s="145"/>
      <c r="G95" s="145"/>
      <c r="H95" s="145"/>
      <c r="I95" s="145"/>
      <c r="N95" s="146"/>
      <c r="O95" s="146"/>
      <c r="P95" s="146"/>
      <c r="Q95" s="146"/>
      <c r="R95" s="146"/>
      <c r="S95" s="146"/>
      <c r="T95" s="146"/>
      <c r="U95" s="146"/>
    </row>
    <row r="96" spans="1:21" x14ac:dyDescent="0.25">
      <c r="A96" s="84" t="s">
        <v>446</v>
      </c>
      <c r="C96" s="46"/>
      <c r="D96" s="72"/>
      <c r="E96" s="46" t="s">
        <v>100</v>
      </c>
      <c r="F96" s="471"/>
      <c r="G96" s="471"/>
      <c r="H96" s="471"/>
      <c r="I96" s="471"/>
      <c r="N96" s="478" t="s">
        <v>426</v>
      </c>
      <c r="O96" s="479"/>
      <c r="P96" s="479"/>
      <c r="Q96" s="494"/>
      <c r="R96" s="494"/>
      <c r="S96" s="494"/>
      <c r="T96" s="494"/>
      <c r="U96" s="106"/>
    </row>
    <row r="97" spans="1:21" x14ac:dyDescent="0.25">
      <c r="B97" s="72"/>
      <c r="C97" s="91" t="s">
        <v>409</v>
      </c>
      <c r="D97" s="371" t="s">
        <v>410</v>
      </c>
      <c r="E97" s="92" t="s">
        <v>151</v>
      </c>
      <c r="F97" s="46"/>
      <c r="G97" s="46"/>
      <c r="H97" s="46"/>
      <c r="I97" s="46"/>
      <c r="N97" s="48"/>
      <c r="O97" s="48"/>
      <c r="P97" s="48"/>
      <c r="Q97" s="147"/>
      <c r="R97" s="147"/>
      <c r="S97" s="147"/>
      <c r="T97" s="147"/>
      <c r="U97" s="106"/>
    </row>
    <row r="98" spans="1:21" x14ac:dyDescent="0.25">
      <c r="B98" s="72"/>
      <c r="C98" s="362" t="s">
        <v>2</v>
      </c>
      <c r="D98" s="362" t="s">
        <v>2</v>
      </c>
      <c r="E98" s="362" t="s">
        <v>2</v>
      </c>
      <c r="F98" s="46"/>
      <c r="G98" s="46"/>
      <c r="H98" s="46"/>
      <c r="I98" s="46"/>
      <c r="N98" s="48"/>
      <c r="O98" s="48"/>
      <c r="P98" s="48"/>
      <c r="Q98" s="147"/>
      <c r="R98" s="147"/>
      <c r="S98" s="147"/>
      <c r="T98" s="147"/>
      <c r="U98" s="106"/>
    </row>
    <row r="99" spans="1:21" x14ac:dyDescent="0.25">
      <c r="A99" s="536" t="s">
        <v>470</v>
      </c>
      <c r="B99" s="461"/>
      <c r="C99" s="165">
        <v>71</v>
      </c>
      <c r="D99" s="165">
        <v>0</v>
      </c>
      <c r="E99" s="125">
        <f>C99</f>
        <v>71</v>
      </c>
      <c r="F99" s="148" t="s">
        <v>39</v>
      </c>
      <c r="G99" s="339">
        <f>'0664'!G99</f>
        <v>558</v>
      </c>
      <c r="I99" s="104">
        <f>ROUND(G99*E99,2)</f>
        <v>39618</v>
      </c>
      <c r="N99" s="488" t="s">
        <v>65</v>
      </c>
      <c r="O99" s="488"/>
      <c r="P99" s="489">
        <f>IF(H120=1,E99,0)</f>
        <v>0</v>
      </c>
      <c r="Q99" s="489"/>
      <c r="R99" s="489"/>
      <c r="S99" s="86" t="s">
        <v>39</v>
      </c>
      <c r="T99" s="61">
        <f>G99</f>
        <v>558</v>
      </c>
      <c r="U99" s="99">
        <f>ROUND(T99*P99,0)</f>
        <v>0</v>
      </c>
    </row>
    <row r="100" spans="1:21" x14ac:dyDescent="0.25">
      <c r="A100" s="536" t="s">
        <v>471</v>
      </c>
      <c r="B100" s="461"/>
      <c r="C100" s="165">
        <v>0</v>
      </c>
      <c r="D100" s="165">
        <v>0</v>
      </c>
      <c r="E100" s="125">
        <f>C100</f>
        <v>0</v>
      </c>
      <c r="F100" s="148" t="s">
        <v>39</v>
      </c>
      <c r="G100" s="339">
        <f>'0664'!G100</f>
        <v>1707</v>
      </c>
      <c r="I100" s="104">
        <f>ROUND(G100*E100,2)</f>
        <v>0</v>
      </c>
      <c r="N100" s="488" t="s">
        <v>81</v>
      </c>
      <c r="O100" s="488"/>
      <c r="P100" s="483"/>
      <c r="Q100" s="483"/>
      <c r="R100" s="483"/>
      <c r="S100" s="86" t="s">
        <v>39</v>
      </c>
      <c r="T100" s="61">
        <f>G100</f>
        <v>1707</v>
      </c>
      <c r="U100" s="99">
        <f>ROUND(T100*P100,0)</f>
        <v>0</v>
      </c>
    </row>
    <row r="101" spans="1:21" x14ac:dyDescent="0.25">
      <c r="A101" s="149"/>
      <c r="B101" s="149"/>
      <c r="C101" s="68"/>
      <c r="D101" s="68"/>
      <c r="E101" s="68"/>
      <c r="F101" s="68"/>
      <c r="G101" s="150"/>
      <c r="H101" s="151"/>
      <c r="I101" s="104"/>
      <c r="N101" s="152"/>
      <c r="O101" s="152"/>
      <c r="P101" s="153"/>
      <c r="Q101" s="153"/>
      <c r="R101" s="153"/>
      <c r="S101" s="86"/>
      <c r="T101" s="61"/>
      <c r="U101" s="106"/>
    </row>
    <row r="102" spans="1:21" x14ac:dyDescent="0.25">
      <c r="A102" s="149"/>
      <c r="B102" s="149"/>
      <c r="C102" s="68"/>
      <c r="D102" s="68"/>
      <c r="E102" s="68"/>
      <c r="F102" s="68"/>
      <c r="G102" s="150"/>
      <c r="H102" s="151"/>
      <c r="I102" s="104"/>
      <c r="N102" s="152"/>
      <c r="O102" s="152"/>
      <c r="P102" s="153"/>
      <c r="Q102" s="153"/>
      <c r="R102" s="153"/>
      <c r="S102" s="86"/>
      <c r="T102" s="61"/>
      <c r="U102" s="106"/>
    </row>
    <row r="103" spans="1:21" hidden="1" x14ac:dyDescent="0.25">
      <c r="A103" s="463" t="s">
        <v>447</v>
      </c>
      <c r="B103" s="453"/>
      <c r="C103" s="453"/>
      <c r="D103" s="72"/>
      <c r="E103" s="41" t="s">
        <v>41</v>
      </c>
      <c r="F103" s="466"/>
      <c r="G103" s="466"/>
      <c r="H103" s="466"/>
      <c r="I103" s="466"/>
      <c r="N103" s="478" t="s">
        <v>362</v>
      </c>
      <c r="O103" s="479"/>
      <c r="P103" s="479"/>
      <c r="Q103" s="479"/>
      <c r="R103" s="479"/>
      <c r="S103" s="479"/>
      <c r="T103" s="479"/>
      <c r="U103" s="479"/>
    </row>
    <row r="104" spans="1:21" hidden="1" x14ac:dyDescent="0.25">
      <c r="B104" s="72"/>
      <c r="C104" s="462" t="s">
        <v>91</v>
      </c>
      <c r="D104" s="462"/>
      <c r="E104" s="462"/>
      <c r="F104" s="39"/>
      <c r="G104" s="39"/>
      <c r="H104" s="41" t="s">
        <v>152</v>
      </c>
      <c r="I104" s="39"/>
      <c r="N104" s="48"/>
      <c r="O104" s="48"/>
      <c r="P104" s="48"/>
      <c r="Q104" s="48"/>
      <c r="R104" s="48"/>
      <c r="S104" s="48"/>
      <c r="T104" s="48"/>
      <c r="U104" s="48"/>
    </row>
    <row r="105" spans="1:21" hidden="1" x14ac:dyDescent="0.25">
      <c r="B105" s="72"/>
      <c r="C105" s="91" t="s">
        <v>371</v>
      </c>
      <c r="D105" s="91" t="s">
        <v>351</v>
      </c>
      <c r="E105" s="159" t="s">
        <v>8</v>
      </c>
      <c r="F105" s="464" t="s">
        <v>153</v>
      </c>
      <c r="G105" s="466"/>
      <c r="H105" s="39" t="s">
        <v>38</v>
      </c>
      <c r="I105" s="39"/>
      <c r="N105" s="48"/>
      <c r="O105" s="48"/>
      <c r="P105" s="48"/>
      <c r="Q105" s="48"/>
      <c r="R105" s="48"/>
      <c r="S105" s="48"/>
      <c r="T105" s="48"/>
      <c r="U105" s="48"/>
    </row>
    <row r="106" spans="1:21" hidden="1" x14ac:dyDescent="0.25">
      <c r="A106" s="462" t="s">
        <v>94</v>
      </c>
      <c r="B106" s="462"/>
      <c r="C106" s="93" t="s">
        <v>2</v>
      </c>
      <c r="D106" s="93" t="s">
        <v>2</v>
      </c>
      <c r="E106" s="62" t="s">
        <v>2</v>
      </c>
      <c r="F106" s="462" t="s">
        <v>37</v>
      </c>
      <c r="G106" s="462"/>
      <c r="H106" s="62" t="s">
        <v>37</v>
      </c>
      <c r="I106" s="62" t="s">
        <v>8</v>
      </c>
      <c r="N106" s="484" t="s">
        <v>66</v>
      </c>
      <c r="O106" s="484"/>
      <c r="P106" s="489" t="s">
        <v>91</v>
      </c>
      <c r="Q106" s="489"/>
      <c r="R106" s="484" t="s">
        <v>67</v>
      </c>
      <c r="S106" s="484"/>
      <c r="T106" s="63" t="s">
        <v>68</v>
      </c>
      <c r="U106" s="63" t="s">
        <v>8</v>
      </c>
    </row>
    <row r="107" spans="1:21" hidden="1" x14ac:dyDescent="0.25">
      <c r="A107" s="473" t="s">
        <v>69</v>
      </c>
      <c r="B107" s="473"/>
      <c r="C107" s="163">
        <v>0</v>
      </c>
      <c r="D107" s="163">
        <v>0</v>
      </c>
      <c r="E107" s="210">
        <f>IF(D$59=0,C107*2,C107+D107)</f>
        <v>0</v>
      </c>
      <c r="F107" s="474">
        <v>0</v>
      </c>
      <c r="G107" s="474"/>
      <c r="H107" s="250">
        <f>IF(C107=0,0,125)</f>
        <v>0</v>
      </c>
      <c r="I107" s="104">
        <f>ROUND((H107+F107)*E107,2)</f>
        <v>0</v>
      </c>
      <c r="N107" s="479" t="s">
        <v>69</v>
      </c>
      <c r="O107" s="479"/>
      <c r="P107" s="483">
        <f>IF(H$120=1,C107,0)</f>
        <v>0</v>
      </c>
      <c r="Q107" s="483"/>
      <c r="R107" s="486">
        <f>F107</f>
        <v>0</v>
      </c>
      <c r="S107" s="486"/>
      <c r="T107" s="65">
        <f>H107</f>
        <v>0</v>
      </c>
      <c r="U107" s="99">
        <f>ROUND((T107+R107)*P107,0)</f>
        <v>0</v>
      </c>
    </row>
    <row r="108" spans="1:21" hidden="1" x14ac:dyDescent="0.25">
      <c r="A108" s="456" t="s">
        <v>70</v>
      </c>
      <c r="B108" s="456"/>
      <c r="C108" s="165">
        <v>0</v>
      </c>
      <c r="D108" s="165">
        <v>0</v>
      </c>
      <c r="E108" s="125">
        <f>IF(D$59=0,C108*2,C108+D108)</f>
        <v>0</v>
      </c>
      <c r="F108" s="468">
        <f>ROUND(F107/2,2)</f>
        <v>0</v>
      </c>
      <c r="G108" s="468"/>
      <c r="H108" s="250">
        <f>IF(C108=0,0,62.5)</f>
        <v>0</v>
      </c>
      <c r="I108" s="104">
        <f>ROUND((H108+F108)*E108,2)</f>
        <v>0</v>
      </c>
      <c r="N108" s="479" t="s">
        <v>70</v>
      </c>
      <c r="O108" s="479"/>
      <c r="P108" s="483">
        <f>IF(H$120=1,C108,0)</f>
        <v>0</v>
      </c>
      <c r="Q108" s="483"/>
      <c r="R108" s="487">
        <f>ROUND(R107/2,2)</f>
        <v>0</v>
      </c>
      <c r="S108" s="487"/>
      <c r="T108" s="65">
        <f>H108</f>
        <v>0</v>
      </c>
      <c r="U108" s="99">
        <f>ROUND((T108+R108)*P108,0)</f>
        <v>0</v>
      </c>
    </row>
    <row r="109" spans="1:21" ht="16.5" hidden="1" thickBot="1" x14ac:dyDescent="0.3">
      <c r="A109" s="456" t="s">
        <v>71</v>
      </c>
      <c r="B109" s="456"/>
      <c r="C109" s="165">
        <v>0</v>
      </c>
      <c r="D109" s="165">
        <v>0</v>
      </c>
      <c r="E109" s="125">
        <f>IF(D$59=0,C109*2,C109+D109)</f>
        <v>0</v>
      </c>
      <c r="F109" s="475"/>
      <c r="G109" s="475"/>
      <c r="H109" s="251">
        <f>IF(H107&gt;0,436,0)</f>
        <v>0</v>
      </c>
      <c r="I109" s="104">
        <f>ROUND(H109*E109,2)</f>
        <v>0</v>
      </c>
      <c r="N109" s="482" t="s">
        <v>71</v>
      </c>
      <c r="O109" s="482"/>
      <c r="P109" s="483">
        <f>IF(H$120=1,C109,0)</f>
        <v>0</v>
      </c>
      <c r="Q109" s="483"/>
      <c r="R109" s="484"/>
      <c r="S109" s="484"/>
      <c r="T109" s="67">
        <f>H109</f>
        <v>0</v>
      </c>
      <c r="U109" s="106">
        <f>ROUND(T109*P109,0)</f>
        <v>0</v>
      </c>
    </row>
    <row r="110" spans="1:21" ht="16.5" hidden="1" thickBot="1" x14ac:dyDescent="0.3">
      <c r="A110" s="466" t="s">
        <v>8</v>
      </c>
      <c r="B110" s="466"/>
      <c r="C110" s="68"/>
      <c r="D110" s="68"/>
      <c r="E110" s="68"/>
      <c r="F110" s="68"/>
      <c r="G110" s="68"/>
      <c r="H110" s="68"/>
      <c r="I110" s="100">
        <f>SUM(I107:I109)</f>
        <v>0</v>
      </c>
      <c r="N110" s="485" t="s">
        <v>8</v>
      </c>
      <c r="O110" s="485"/>
      <c r="P110" s="69"/>
      <c r="Q110" s="69"/>
      <c r="R110" s="69"/>
      <c r="S110" s="69"/>
      <c r="T110" s="69"/>
      <c r="U110" s="70">
        <f>SUM(U107:U109)</f>
        <v>0</v>
      </c>
    </row>
    <row r="111" spans="1:21" hidden="1" x14ac:dyDescent="0.25">
      <c r="A111" s="39"/>
      <c r="B111" s="39"/>
      <c r="C111" s="68"/>
      <c r="D111" s="68"/>
      <c r="E111" s="68"/>
      <c r="F111" s="68"/>
      <c r="G111" s="68"/>
      <c r="H111" s="68"/>
      <c r="I111" s="104"/>
      <c r="N111" s="40"/>
      <c r="O111" s="40"/>
      <c r="P111" s="69"/>
      <c r="Q111" s="69"/>
      <c r="R111" s="69"/>
      <c r="S111" s="69"/>
      <c r="T111" s="69"/>
      <c r="U111" s="160"/>
    </row>
    <row r="112" spans="1:21" x14ac:dyDescent="0.25">
      <c r="A112" s="463" t="s">
        <v>448</v>
      </c>
      <c r="B112" s="453"/>
      <c r="C112" s="453"/>
      <c r="D112" s="72"/>
      <c r="E112" s="71" t="s">
        <v>354</v>
      </c>
      <c r="F112" s="472"/>
      <c r="G112" s="472"/>
      <c r="H112" s="472"/>
      <c r="I112" s="125">
        <v>0</v>
      </c>
      <c r="N112" s="478" t="s">
        <v>427</v>
      </c>
      <c r="O112" s="479"/>
      <c r="P112" s="479"/>
      <c r="Q112" s="341"/>
      <c r="R112" s="341"/>
      <c r="S112" s="341"/>
      <c r="T112" s="341"/>
      <c r="U112" s="99">
        <f>IF($H$120=1,I112,0)</f>
        <v>0</v>
      </c>
    </row>
    <row r="113" spans="1:21" x14ac:dyDescent="0.25">
      <c r="A113" s="463" t="s">
        <v>449</v>
      </c>
      <c r="B113" s="453"/>
      <c r="C113" s="453"/>
      <c r="D113" s="72"/>
      <c r="E113" s="71" t="s">
        <v>45</v>
      </c>
      <c r="F113" s="472"/>
      <c r="G113" s="472"/>
      <c r="H113" s="472"/>
      <c r="I113" s="177">
        <v>0</v>
      </c>
      <c r="N113" s="478" t="s">
        <v>428</v>
      </c>
      <c r="O113" s="479"/>
      <c r="P113" s="479"/>
      <c r="Q113" s="341"/>
      <c r="R113" s="341"/>
      <c r="S113" s="341"/>
      <c r="T113" s="341"/>
      <c r="U113" s="99">
        <f>IF($H$120=1,I113,0)</f>
        <v>0</v>
      </c>
    </row>
    <row r="114" spans="1:21" ht="16.5" thickBot="1" x14ac:dyDescent="0.3">
      <c r="B114" s="72"/>
      <c r="C114" s="72"/>
      <c r="D114" s="72"/>
      <c r="E114" s="71"/>
      <c r="F114" s="71"/>
      <c r="G114" s="71"/>
      <c r="H114" s="71"/>
      <c r="I114" s="125"/>
      <c r="N114" s="480" t="s">
        <v>42</v>
      </c>
      <c r="O114" s="480"/>
      <c r="P114" s="480"/>
      <c r="Q114" s="480"/>
      <c r="R114" s="480"/>
      <c r="S114" s="480"/>
      <c r="T114" s="480"/>
      <c r="U114" s="154">
        <f>SUM(U112,U110,U100,U99,U93,U77,U76,U74,U73,U72,U71,U70,U68,U59,U45,U78,U79,U80,U85,U113)</f>
        <v>0</v>
      </c>
    </row>
    <row r="115" spans="1:21" ht="16.5" thickTop="1" x14ac:dyDescent="0.25">
      <c r="A115" s="461" t="s">
        <v>8</v>
      </c>
      <c r="B115" s="461"/>
      <c r="C115" s="461"/>
      <c r="D115" s="461"/>
      <c r="E115" s="461"/>
      <c r="F115" s="461"/>
      <c r="G115" s="461"/>
      <c r="H115" s="461"/>
      <c r="I115" s="97">
        <f>SUM(I113,I112,I110,I100,I99,I93,I85,I84,I80,I79,I78,I77,I76,I74,I73,I72,I71,I70,I68,I59,I45)</f>
        <v>8495584.6300000008</v>
      </c>
      <c r="N115" s="29"/>
      <c r="O115" s="29"/>
      <c r="P115" s="29"/>
      <c r="Q115" s="29"/>
      <c r="R115" s="29"/>
      <c r="S115" s="29"/>
      <c r="T115" s="29"/>
      <c r="U115" s="160"/>
    </row>
    <row r="116" spans="1:21" x14ac:dyDescent="0.25">
      <c r="A116" s="27"/>
      <c r="B116" s="27"/>
      <c r="C116" s="27"/>
      <c r="D116" s="27"/>
      <c r="E116" s="27"/>
      <c r="F116" s="27"/>
      <c r="G116" s="27"/>
      <c r="H116" s="27"/>
      <c r="I116" s="104"/>
      <c r="N116" s="29"/>
      <c r="O116" s="29"/>
      <c r="P116" s="29"/>
      <c r="Q116" s="29"/>
      <c r="R116" s="29"/>
      <c r="S116" s="29"/>
      <c r="T116" s="29"/>
      <c r="U116" s="160"/>
    </row>
    <row r="117" spans="1:21" x14ac:dyDescent="0.25">
      <c r="A117" s="432" t="s">
        <v>467</v>
      </c>
      <c r="B117" s="27"/>
      <c r="C117" s="27"/>
      <c r="D117" s="27"/>
      <c r="E117" s="27"/>
      <c r="F117" s="27"/>
      <c r="G117" s="27"/>
      <c r="H117" s="27"/>
      <c r="I117" s="104">
        <f>I115-I84</f>
        <v>8212546.1100000013</v>
      </c>
      <c r="N117" s="29"/>
      <c r="O117" s="29"/>
      <c r="P117" s="29"/>
      <c r="Q117" s="29"/>
      <c r="R117" s="29"/>
      <c r="S117" s="29"/>
      <c r="T117" s="29"/>
      <c r="U117" s="160"/>
    </row>
    <row r="118" spans="1:21" x14ac:dyDescent="0.25">
      <c r="A118" s="27"/>
      <c r="B118" s="27"/>
      <c r="C118" s="27"/>
      <c r="D118" s="27"/>
      <c r="E118" s="27"/>
      <c r="F118" s="27"/>
      <c r="G118" s="27"/>
      <c r="H118" s="27"/>
      <c r="I118" s="104"/>
      <c r="N118" s="29"/>
      <c r="O118" s="29"/>
      <c r="P118" s="29"/>
      <c r="Q118" s="29"/>
      <c r="R118" s="29"/>
      <c r="S118" s="29"/>
      <c r="T118" s="29"/>
      <c r="U118" s="160"/>
    </row>
    <row r="119" spans="1:21" x14ac:dyDescent="0.25">
      <c r="A119" s="463" t="s">
        <v>468</v>
      </c>
      <c r="B119" s="453"/>
      <c r="C119" s="453"/>
      <c r="D119" s="453"/>
      <c r="E119" s="453"/>
      <c r="F119" s="453"/>
      <c r="G119" s="453"/>
      <c r="H119" s="84" t="s">
        <v>394</v>
      </c>
      <c r="I119" s="156"/>
      <c r="N119" s="481"/>
      <c r="O119" s="481"/>
      <c r="P119" s="481"/>
      <c r="Q119" s="481"/>
      <c r="R119" s="481"/>
      <c r="S119" s="481"/>
      <c r="T119" s="481"/>
      <c r="U119" s="481"/>
    </row>
    <row r="120" spans="1:21" x14ac:dyDescent="0.25">
      <c r="A120" s="453" t="s">
        <v>95</v>
      </c>
      <c r="B120" s="453"/>
      <c r="C120" s="453"/>
      <c r="D120" s="453"/>
      <c r="E120" s="453"/>
      <c r="F120" s="453"/>
      <c r="G120" s="453"/>
      <c r="H120" s="73" t="str">
        <f>IF(E29=0,"",IF((E14+E16+SUM(E18:E24))/E29&gt;0.75,1,""))</f>
        <v/>
      </c>
      <c r="I120" s="125">
        <f>U114</f>
        <v>0</v>
      </c>
      <c r="N120" s="476" t="s">
        <v>7</v>
      </c>
      <c r="O120" s="476"/>
      <c r="P120" s="476"/>
      <c r="Q120" s="476"/>
      <c r="R120" s="476"/>
      <c r="S120" s="476"/>
      <c r="T120" s="476"/>
      <c r="U120" s="476"/>
    </row>
    <row r="121" spans="1:21" x14ac:dyDescent="0.25">
      <c r="B121" s="72"/>
      <c r="C121" s="72"/>
      <c r="D121" s="72"/>
      <c r="E121" s="72"/>
      <c r="F121" s="72"/>
      <c r="G121" s="72"/>
      <c r="H121" s="68"/>
      <c r="I121" s="104"/>
      <c r="N121" s="74" t="s">
        <v>106</v>
      </c>
      <c r="O121" s="74"/>
      <c r="P121" s="74"/>
      <c r="Q121" s="74"/>
      <c r="R121" s="74"/>
      <c r="S121" s="74"/>
      <c r="T121" s="74"/>
      <c r="U121" s="74"/>
    </row>
    <row r="122" spans="1:21" x14ac:dyDescent="0.25">
      <c r="A122" s="3" t="s">
        <v>102</v>
      </c>
      <c r="B122" s="72"/>
      <c r="C122" s="72"/>
      <c r="D122" s="72"/>
      <c r="E122" s="72"/>
      <c r="F122" s="72"/>
      <c r="G122" s="287" t="s">
        <v>290</v>
      </c>
      <c r="H122" s="161">
        <f>IF(H120=1,I120,I117)</f>
        <v>8212546.1100000013</v>
      </c>
      <c r="I122" s="97">
        <f>ROUND(IF(E29=0,0,IF(E29&gt;250,-(((250/E29)*H122)*IF(G122="H",0.02,0.05)),IF(G122="H",-0.02*H122,-0.05*H122))),2)</f>
        <v>-39237.410000000003</v>
      </c>
      <c r="N122" s="75" t="s">
        <v>107</v>
      </c>
      <c r="O122" s="74"/>
      <c r="P122" s="74"/>
      <c r="Q122" s="74"/>
      <c r="R122" s="74"/>
      <c r="S122" s="74"/>
      <c r="T122" s="74"/>
      <c r="U122" s="74"/>
    </row>
    <row r="123" spans="1:21" x14ac:dyDescent="0.25">
      <c r="B123" s="72"/>
      <c r="C123" s="72"/>
      <c r="D123" s="72"/>
      <c r="E123" s="72"/>
      <c r="F123" s="72"/>
      <c r="G123" s="72"/>
      <c r="H123" s="68"/>
      <c r="I123" s="104"/>
      <c r="N123" s="76"/>
      <c r="O123" s="76"/>
      <c r="P123" s="76"/>
      <c r="Q123" s="76"/>
      <c r="R123" s="76"/>
      <c r="S123" s="76"/>
      <c r="T123" s="76"/>
      <c r="U123" s="76"/>
    </row>
    <row r="124" spans="1:21" x14ac:dyDescent="0.25">
      <c r="A124" s="345" t="s">
        <v>103</v>
      </c>
      <c r="B124" s="346"/>
      <c r="C124" s="346"/>
      <c r="D124" s="346"/>
      <c r="E124" s="346"/>
      <c r="F124" s="346"/>
      <c r="G124" s="346"/>
      <c r="H124" s="347"/>
      <c r="I124" s="348">
        <f>I115+I122</f>
        <v>8456347.2200000007</v>
      </c>
      <c r="N124" s="76"/>
      <c r="O124" s="76"/>
      <c r="P124" s="76"/>
      <c r="Q124" s="76"/>
      <c r="R124" s="76"/>
      <c r="S124" s="76"/>
      <c r="T124" s="76"/>
      <c r="U124" s="76"/>
    </row>
    <row r="125" spans="1:21" x14ac:dyDescent="0.25">
      <c r="B125" s="72"/>
      <c r="C125" s="72"/>
      <c r="D125" s="72"/>
      <c r="E125" s="72"/>
      <c r="F125" s="72"/>
      <c r="G125" s="72"/>
      <c r="H125" s="68"/>
      <c r="I125" s="104"/>
      <c r="N125" s="76"/>
      <c r="O125" s="76"/>
      <c r="P125" s="76"/>
      <c r="Q125" s="76"/>
      <c r="R125" s="76"/>
      <c r="S125" s="76"/>
      <c r="T125" s="76"/>
      <c r="U125" s="76"/>
    </row>
    <row r="126" spans="1:21" x14ac:dyDescent="0.25">
      <c r="A126" s="3" t="s">
        <v>104</v>
      </c>
      <c r="B126" s="72"/>
      <c r="C126" s="162"/>
      <c r="D126" s="72"/>
      <c r="F126" s="72"/>
      <c r="G126" s="72"/>
      <c r="H126" s="68"/>
      <c r="I126" s="302">
        <v>-6314947.3600000003</v>
      </c>
      <c r="N126" s="76"/>
      <c r="O126" s="76"/>
      <c r="P126" s="76"/>
      <c r="Q126" s="76"/>
      <c r="R126" s="76"/>
      <c r="S126" s="76"/>
      <c r="T126" s="76"/>
      <c r="U126" s="76"/>
    </row>
    <row r="127" spans="1:21" x14ac:dyDescent="0.25">
      <c r="B127" s="72"/>
      <c r="C127" s="72"/>
      <c r="D127" s="72"/>
      <c r="E127" s="72"/>
      <c r="F127" s="72"/>
      <c r="G127" s="72"/>
      <c r="H127" s="68"/>
      <c r="I127" s="104"/>
      <c r="N127" s="76"/>
      <c r="O127" s="76"/>
      <c r="P127" s="76"/>
      <c r="Q127" s="76"/>
      <c r="R127" s="76"/>
      <c r="S127" s="76"/>
      <c r="T127" s="76"/>
      <c r="U127" s="76"/>
    </row>
    <row r="128" spans="1:21" x14ac:dyDescent="0.25">
      <c r="A128" s="84" t="s">
        <v>297</v>
      </c>
      <c r="B128" s="72"/>
      <c r="C128" s="72"/>
      <c r="D128" s="72"/>
      <c r="E128" s="72"/>
      <c r="F128" s="72"/>
      <c r="G128" s="72"/>
      <c r="H128" s="68"/>
      <c r="I128" s="104">
        <f>I124+I126</f>
        <v>2141399.8600000003</v>
      </c>
      <c r="N128" s="76"/>
      <c r="O128" s="76"/>
      <c r="P128" s="76"/>
      <c r="Q128" s="76"/>
      <c r="R128" s="76"/>
      <c r="S128" s="76"/>
      <c r="T128" s="76"/>
      <c r="U128" s="76"/>
    </row>
    <row r="129" spans="1:21" x14ac:dyDescent="0.25">
      <c r="A129" s="84"/>
      <c r="B129" s="72"/>
      <c r="C129" s="72"/>
      <c r="D129" s="72"/>
      <c r="E129" s="72"/>
      <c r="F129" s="72"/>
      <c r="G129" s="72"/>
      <c r="H129" s="68"/>
      <c r="I129" s="104"/>
      <c r="N129" s="76"/>
      <c r="O129" s="76"/>
      <c r="P129" s="76"/>
      <c r="Q129" s="76"/>
      <c r="R129" s="76"/>
      <c r="S129" s="76"/>
      <c r="T129" s="76"/>
      <c r="U129" s="76"/>
    </row>
    <row r="130" spans="1:21" x14ac:dyDescent="0.25">
      <c r="A130" s="84" t="s">
        <v>298</v>
      </c>
      <c r="B130" s="72"/>
      <c r="C130" s="72"/>
      <c r="D130" s="72"/>
      <c r="E130" s="72"/>
      <c r="F130" s="72"/>
      <c r="G130" s="72"/>
      <c r="H130" s="68"/>
      <c r="I130" s="303">
        <f>'0664'!I130</f>
        <v>3</v>
      </c>
      <c r="N130" s="76"/>
      <c r="O130" s="76"/>
      <c r="P130" s="76"/>
      <c r="Q130" s="76"/>
      <c r="R130" s="76"/>
      <c r="S130" s="76"/>
      <c r="T130" s="76"/>
      <c r="U130" s="76"/>
    </row>
    <row r="131" spans="1:21" x14ac:dyDescent="0.25">
      <c r="B131" s="72"/>
      <c r="C131" s="72"/>
      <c r="D131" s="72"/>
      <c r="E131" s="72"/>
      <c r="F131" s="72"/>
      <c r="G131" s="72"/>
      <c r="H131" s="68"/>
      <c r="I131" s="104"/>
      <c r="N131" s="76"/>
      <c r="O131" s="76"/>
      <c r="P131" s="76"/>
      <c r="Q131" s="76"/>
      <c r="R131" s="76"/>
      <c r="S131" s="76"/>
      <c r="T131" s="76"/>
      <c r="U131" s="76"/>
    </row>
    <row r="132" spans="1:21" ht="16.5" thickBot="1" x14ac:dyDescent="0.3">
      <c r="A132" s="3" t="s">
        <v>105</v>
      </c>
      <c r="B132" s="72"/>
      <c r="C132" s="72"/>
      <c r="D132" s="72"/>
      <c r="E132" s="72"/>
      <c r="F132" s="72"/>
      <c r="G132" s="72"/>
      <c r="H132" s="68"/>
      <c r="I132" s="178">
        <f>ROUND(I128/I130,2)</f>
        <v>713799.95</v>
      </c>
      <c r="N132" s="76"/>
      <c r="O132" s="76"/>
      <c r="P132" s="76"/>
      <c r="Q132" s="76"/>
      <c r="R132" s="76"/>
      <c r="S132" s="76"/>
      <c r="T132" s="76"/>
      <c r="U132" s="76"/>
    </row>
    <row r="133" spans="1:21" ht="16.5" thickTop="1" x14ac:dyDescent="0.25">
      <c r="B133" s="72"/>
      <c r="C133" s="72"/>
      <c r="D133" s="72"/>
      <c r="E133" s="72"/>
      <c r="F133" s="72"/>
      <c r="G133" s="72"/>
      <c r="H133" s="68"/>
      <c r="I133" s="104"/>
      <c r="N133" s="76"/>
      <c r="O133" s="76"/>
      <c r="P133" s="76"/>
      <c r="Q133" s="76"/>
      <c r="R133" s="76"/>
      <c r="S133" s="76"/>
      <c r="T133" s="76"/>
      <c r="U133" s="76"/>
    </row>
    <row r="134" spans="1:21" ht="16.5" thickBot="1" x14ac:dyDescent="0.3">
      <c r="A134" s="3" t="s">
        <v>121</v>
      </c>
      <c r="B134" s="72"/>
      <c r="C134" s="72"/>
      <c r="D134" s="72"/>
      <c r="E134" s="72"/>
      <c r="F134" s="72"/>
      <c r="G134" s="72"/>
      <c r="H134" s="68"/>
      <c r="I134" s="155">
        <f>ROUND(IF(G122="H",(H122*0.02)+I122,(H122*0.05)+I122),2)</f>
        <v>125013.51</v>
      </c>
      <c r="N134" s="76"/>
      <c r="O134" s="76"/>
      <c r="P134" s="76"/>
      <c r="Q134" s="76"/>
      <c r="R134" s="76"/>
      <c r="S134" s="76"/>
      <c r="T134" s="76"/>
      <c r="U134" s="76"/>
    </row>
    <row r="135" spans="1:21" ht="16.5" thickTop="1" x14ac:dyDescent="0.25">
      <c r="B135" s="72"/>
      <c r="C135" s="72"/>
      <c r="D135" s="72"/>
      <c r="E135" s="72"/>
      <c r="F135" s="72"/>
      <c r="G135" s="72"/>
      <c r="H135" s="68"/>
      <c r="I135" s="156"/>
      <c r="N135" s="76"/>
      <c r="O135" s="76"/>
      <c r="P135" s="76"/>
      <c r="Q135" s="76"/>
      <c r="R135" s="76"/>
      <c r="S135" s="76"/>
      <c r="T135" s="76"/>
      <c r="U135" s="76"/>
    </row>
    <row r="136" spans="1:21" x14ac:dyDescent="0.25">
      <c r="B136" s="72"/>
      <c r="C136" s="72"/>
      <c r="D136" s="72"/>
      <c r="E136" s="72"/>
      <c r="F136" s="72"/>
      <c r="G136" s="72"/>
      <c r="H136" s="68"/>
      <c r="I136" s="104"/>
      <c r="N136" s="76"/>
      <c r="O136" s="76"/>
      <c r="P136" s="76"/>
      <c r="Q136" s="76"/>
      <c r="R136" s="76"/>
      <c r="S136" s="76"/>
      <c r="T136" s="76"/>
      <c r="U136" s="76"/>
    </row>
    <row r="137" spans="1:21" x14ac:dyDescent="0.25">
      <c r="B137" s="72"/>
      <c r="C137" s="72"/>
      <c r="D137" s="72"/>
      <c r="E137" s="72"/>
      <c r="F137" s="72"/>
      <c r="G137" s="72"/>
      <c r="H137" s="68"/>
      <c r="I137" s="156"/>
      <c r="N137" s="76"/>
      <c r="O137" s="76"/>
      <c r="P137" s="76"/>
      <c r="Q137" s="76"/>
      <c r="R137" s="76"/>
      <c r="S137" s="76"/>
      <c r="T137" s="76"/>
      <c r="U137" s="76"/>
    </row>
    <row r="138" spans="1:21" x14ac:dyDescent="0.25">
      <c r="A138" s="281" t="s">
        <v>7</v>
      </c>
      <c r="B138" s="281"/>
      <c r="C138" s="281"/>
      <c r="D138" s="281"/>
      <c r="E138" s="281"/>
      <c r="F138" s="281"/>
      <c r="G138" s="281"/>
      <c r="H138" s="281"/>
      <c r="I138" s="281"/>
      <c r="J138" s="156"/>
      <c r="N138" s="76"/>
      <c r="O138" s="76"/>
      <c r="P138" s="76"/>
      <c r="Q138" s="76"/>
      <c r="R138" s="76"/>
      <c r="S138" s="76"/>
      <c r="T138" s="76"/>
      <c r="U138" s="76"/>
    </row>
    <row r="139" spans="1:21" ht="15.75" customHeight="1" x14ac:dyDescent="0.25">
      <c r="A139" s="356" t="str">
        <f>'0664'!A139</f>
        <v>(a) Additional FTE includes FTE earned through Advanced Placement, International Baccalaureate, Advanced International Certificate of Education, Industry Certified Career</v>
      </c>
      <c r="B139" s="357"/>
      <c r="C139" s="357"/>
      <c r="D139" s="357"/>
      <c r="E139" s="357"/>
      <c r="F139" s="357"/>
      <c r="G139" s="357"/>
      <c r="H139" s="357"/>
      <c r="I139" s="357"/>
      <c r="J139" s="80"/>
      <c r="K139" s="79"/>
      <c r="L139" s="79"/>
      <c r="M139" s="79"/>
      <c r="N139" s="477"/>
      <c r="O139" s="477"/>
      <c r="P139" s="477"/>
      <c r="Q139" s="477"/>
      <c r="R139" s="477"/>
      <c r="S139" s="477"/>
      <c r="T139" s="477"/>
      <c r="U139" s="477"/>
    </row>
    <row r="140" spans="1:21" ht="15.75" customHeight="1" x14ac:dyDescent="0.25">
      <c r="A140" s="390" t="str">
        <f>'0664'!A140</f>
        <v xml:space="preserve">Education (CAPE), Early High School Graduation and the small district ESE Supplement, pursuant to s. 1011.62(1)(l-p), F.S. </v>
      </c>
      <c r="B140" s="357"/>
      <c r="C140" s="357"/>
      <c r="D140" s="357"/>
      <c r="E140" s="357"/>
      <c r="F140" s="357"/>
      <c r="G140" s="357"/>
      <c r="H140" s="357"/>
      <c r="I140" s="357"/>
      <c r="J140" s="80"/>
      <c r="K140" s="79"/>
      <c r="L140" s="79"/>
      <c r="M140" s="79"/>
      <c r="N140" s="76"/>
      <c r="O140" s="76"/>
      <c r="P140" s="76"/>
      <c r="Q140" s="76"/>
      <c r="R140" s="76"/>
      <c r="S140" s="76"/>
      <c r="T140" s="76"/>
      <c r="U140" s="76"/>
    </row>
    <row r="141" spans="1:21" x14ac:dyDescent="0.25">
      <c r="A141" s="356" t="str">
        <f>'0664'!A141</f>
        <v>(b) District allocations multiplied by percentage from item 3A.</v>
      </c>
      <c r="B141" s="281"/>
      <c r="C141" s="281"/>
      <c r="D141" s="281"/>
      <c r="E141" s="281"/>
      <c r="F141" s="281"/>
      <c r="G141" s="281"/>
      <c r="H141" s="281"/>
      <c r="I141" s="281"/>
      <c r="J141" s="79"/>
      <c r="K141" s="79"/>
      <c r="L141" s="79"/>
      <c r="M141" s="79"/>
      <c r="N141" s="81"/>
      <c r="O141" s="82"/>
      <c r="P141" s="82"/>
      <c r="Q141" s="82"/>
      <c r="R141" s="82"/>
      <c r="S141" s="82"/>
      <c r="T141" s="82"/>
      <c r="U141" s="82"/>
    </row>
    <row r="142" spans="1:21" s="79" customFormat="1" x14ac:dyDescent="0.2">
      <c r="A142" s="356" t="str">
        <f>'0664'!A142</f>
        <v>(c) District allocations multiplied by percentage from item 3B.</v>
      </c>
      <c r="B142" s="281"/>
      <c r="C142" s="281"/>
      <c r="D142" s="281"/>
      <c r="E142" s="281"/>
      <c r="F142" s="281"/>
      <c r="G142" s="281"/>
      <c r="H142" s="281"/>
      <c r="I142" s="281"/>
      <c r="N142" s="81"/>
    </row>
    <row r="143" spans="1:21" s="79" customFormat="1" ht="15.75" customHeight="1" x14ac:dyDescent="0.2">
      <c r="A143" s="356" t="str">
        <f>'0664'!A143</f>
        <v>(d) The Digital Classroom Allocation is provided pursuant to s. 1011.62(12), F.S.</v>
      </c>
      <c r="B143" s="281"/>
      <c r="C143" s="281"/>
      <c r="D143" s="281"/>
      <c r="E143" s="281"/>
      <c r="F143" s="281"/>
      <c r="G143" s="281"/>
      <c r="H143" s="281"/>
      <c r="I143" s="281"/>
      <c r="N143" s="81"/>
    </row>
    <row r="144" spans="1:21" s="79" customFormat="1" ht="15.75" customHeight="1" x14ac:dyDescent="0.2">
      <c r="A144" s="356" t="str">
        <f>'0664'!A144</f>
        <v>(e) School districts are required to pay for instructional materials used for the instruction of public high school students who are earning credit toward high school</v>
      </c>
      <c r="B144" s="281"/>
      <c r="C144" s="281"/>
      <c r="D144" s="281"/>
      <c r="E144" s="281"/>
      <c r="F144" s="281"/>
      <c r="G144" s="281"/>
      <c r="H144" s="281"/>
      <c r="I144" s="281"/>
      <c r="N144" s="81"/>
    </row>
    <row r="145" spans="1:14" s="79" customFormat="1" ht="15.75" customHeight="1" x14ac:dyDescent="0.2">
      <c r="A145" s="390" t="str">
        <f>'0664'!A145</f>
        <v xml:space="preserve">graduation under the dual enrollment program as provided in s. 1011.62(l)(i), F.S.  </v>
      </c>
      <c r="B145" s="281"/>
      <c r="C145" s="281"/>
      <c r="D145" s="281"/>
      <c r="E145" s="281"/>
      <c r="F145" s="281"/>
      <c r="G145" s="281"/>
      <c r="H145" s="281"/>
      <c r="I145" s="281"/>
      <c r="N145" s="81"/>
    </row>
    <row r="146" spans="1:14" s="79" customFormat="1" x14ac:dyDescent="0.2">
      <c r="A146" s="356" t="str">
        <f>'0664'!A146</f>
        <v>(f) This allocation will be frozen as of the 2021-22 FEFP Second Calculation and will not be recalculated throughout the year. Charter school allocations should be</v>
      </c>
      <c r="B146" s="281"/>
      <c r="C146" s="281"/>
      <c r="D146" s="281"/>
      <c r="E146" s="281"/>
      <c r="F146" s="281"/>
      <c r="G146" s="281"/>
      <c r="H146" s="281"/>
      <c r="I146" s="281"/>
      <c r="N146" s="81"/>
    </row>
    <row r="147" spans="1:14" s="79" customFormat="1" x14ac:dyDescent="0.2">
      <c r="A147" s="358" t="str">
        <f>'0664'!A147</f>
        <v xml:space="preserve">distributed on weighted FTE (or base funding as is done in the FEFP) and should not be recalculated with fluctuations in student enrollment later in the year. </v>
      </c>
      <c r="B147" s="281"/>
      <c r="C147" s="281"/>
      <c r="D147" s="281"/>
      <c r="E147" s="281"/>
      <c r="F147" s="281"/>
      <c r="G147" s="281"/>
      <c r="H147" s="281"/>
      <c r="I147" s="281"/>
      <c r="N147" s="81"/>
    </row>
    <row r="148" spans="1:14" s="79" customFormat="1" x14ac:dyDescent="0.2">
      <c r="A148" s="356" t="str">
        <f>'0664'!A148</f>
        <v>(g) Numbers entered here will be multiplied by the district level transportation funding per rider. "All Adjusted Fundable Riders" should include both basic and ESE Riders.</v>
      </c>
      <c r="B148" s="281"/>
      <c r="C148" s="281"/>
      <c r="D148" s="281"/>
      <c r="E148" s="281"/>
      <c r="F148" s="281"/>
      <c r="G148" s="281"/>
      <c r="H148" s="281"/>
      <c r="I148" s="281"/>
      <c r="N148" s="81"/>
    </row>
    <row r="149" spans="1:14" s="79" customFormat="1" x14ac:dyDescent="0.2">
      <c r="A149" s="390" t="str">
        <f>'0664'!A149</f>
        <v>"All Adjusted ESE Riders" should include only ESE Riders.</v>
      </c>
      <c r="B149" s="281"/>
      <c r="C149" s="281"/>
      <c r="D149" s="281"/>
      <c r="E149" s="281"/>
      <c r="F149" s="281"/>
      <c r="G149" s="281"/>
      <c r="H149" s="281"/>
      <c r="I149" s="281"/>
      <c r="N149" s="81"/>
    </row>
    <row r="150" spans="1:14" s="79" customFormat="1" x14ac:dyDescent="0.2">
      <c r="A150" s="356" t="str">
        <f>'0664'!A150</f>
        <v xml:space="preserve">(h) The Federally Connected Student Supplement provides additional funding for students on federal lands that receive Section 8003 impact aide pursuant to s. 1011.62(13), F.S. </v>
      </c>
      <c r="B150" s="281"/>
      <c r="C150" s="281"/>
      <c r="D150" s="281"/>
      <c r="E150" s="281"/>
      <c r="F150" s="281"/>
      <c r="G150" s="281"/>
      <c r="H150" s="281"/>
      <c r="I150" s="281"/>
      <c r="N150" s="81"/>
    </row>
    <row r="151" spans="1:14" s="79" customFormat="1" x14ac:dyDescent="0.2">
      <c r="A151" s="356" t="str">
        <f>'0664'!A151</f>
        <v>(i) Teacher Classroom Supply Assistance Program allocation pursuant to s. 1012.71, F.S., for certified teachers employed by a public school district or public charter school</v>
      </c>
      <c r="B151" s="281"/>
      <c r="C151" s="281"/>
      <c r="D151" s="281"/>
      <c r="E151" s="281"/>
      <c r="F151" s="281"/>
      <c r="G151" s="281"/>
      <c r="H151" s="281"/>
      <c r="I151" s="281"/>
      <c r="N151" s="81"/>
    </row>
    <row r="152" spans="1:14" s="79" customFormat="1" x14ac:dyDescent="0.2">
      <c r="A152" s="358" t="str">
        <f>'0664'!A152</f>
        <v xml:space="preserve">before September 1 of each year whose full-time or job-share responsibility is the classroom instruction of students in prekindergarten through grade 12, including </v>
      </c>
      <c r="B152" s="281"/>
      <c r="C152" s="281"/>
      <c r="D152" s="281"/>
      <c r="E152" s="281"/>
      <c r="F152" s="281"/>
      <c r="G152" s="281"/>
      <c r="H152" s="281"/>
      <c r="I152" s="281"/>
      <c r="N152" s="81"/>
    </row>
    <row r="153" spans="1:14" s="79" customFormat="1" ht="15.75" customHeight="1" x14ac:dyDescent="0.2">
      <c r="A153" s="358" t="str">
        <f>'0664'!A153</f>
        <v>full-time media specialists and certified school counselors serving students in prekindergarten through grade 12, who are funded through the FEFP.</v>
      </c>
      <c r="B153" s="281"/>
      <c r="C153" s="281"/>
      <c r="D153" s="281"/>
      <c r="E153" s="281"/>
      <c r="F153" s="281"/>
      <c r="G153" s="281"/>
      <c r="H153" s="281"/>
      <c r="I153" s="281"/>
      <c r="N153" s="81"/>
    </row>
    <row r="154" spans="1:14" s="79" customFormat="1" ht="15.75" customHeight="1" x14ac:dyDescent="0.2">
      <c r="A154" s="356" t="str">
        <f>'0664'!A154</f>
        <v xml:space="preserve">(j) Funding based on student eligibility and meals provided, if participating in the National School Lunch Program. </v>
      </c>
      <c r="B154" s="328"/>
      <c r="C154" s="328"/>
      <c r="D154" s="328"/>
      <c r="E154" s="328"/>
      <c r="F154" s="328"/>
      <c r="G154" s="328"/>
      <c r="H154" s="328"/>
      <c r="I154" s="328"/>
      <c r="N154" s="81"/>
    </row>
    <row r="155" spans="1:14" s="79" customFormat="1" ht="15.75" customHeight="1" x14ac:dyDescent="0.2">
      <c r="A155" s="356" t="str">
        <f>'0664'!A155</f>
        <v>(k) Consistent with s. 1002.33(20)(a), F.S., for charter schools with a population of 75% or more ESE students, the administrative fee shall be calculated based on</v>
      </c>
      <c r="B155" s="381"/>
      <c r="C155" s="381"/>
      <c r="D155" s="381"/>
      <c r="E155" s="381"/>
      <c r="F155" s="381"/>
      <c r="G155" s="381"/>
      <c r="H155" s="381"/>
      <c r="I155" s="381"/>
      <c r="N155" s="81"/>
    </row>
    <row r="156" spans="1:14" s="79" customFormat="1" ht="15.75" customHeight="1" x14ac:dyDescent="0.2">
      <c r="A156" s="390" t="str">
        <f>'0664'!A156</f>
        <v xml:space="preserve">unweighted full-time equivalent students. </v>
      </c>
      <c r="B156" s="381"/>
      <c r="C156" s="381"/>
      <c r="D156" s="381"/>
      <c r="E156" s="381"/>
      <c r="F156" s="381"/>
      <c r="G156" s="381"/>
      <c r="H156" s="381"/>
      <c r="I156" s="381"/>
      <c r="N156" s="81"/>
    </row>
    <row r="157" spans="1:14" s="79" customFormat="1" ht="15.75" customHeight="1" x14ac:dyDescent="0.2">
      <c r="A157" s="356"/>
      <c r="B157" s="381"/>
      <c r="C157" s="381"/>
      <c r="D157" s="381"/>
      <c r="E157" s="381"/>
      <c r="F157" s="381"/>
      <c r="G157" s="381"/>
      <c r="H157" s="381"/>
      <c r="I157" s="381"/>
      <c r="N157" s="81"/>
    </row>
    <row r="158" spans="1:14" s="79" customFormat="1" ht="15.75" customHeight="1" x14ac:dyDescent="0.25">
      <c r="A158" s="398" t="str">
        <f>'0664'!A158</f>
        <v>Administrative fees:</v>
      </c>
      <c r="B158" s="328"/>
      <c r="C158" s="328"/>
      <c r="D158" s="328"/>
      <c r="E158" s="328"/>
      <c r="F158" s="328"/>
      <c r="G158" s="328"/>
      <c r="H158" s="328"/>
      <c r="I158" s="328"/>
      <c r="J158" s="3"/>
      <c r="K158" s="3"/>
      <c r="L158" s="3"/>
      <c r="M158" s="3"/>
      <c r="N158" s="81"/>
    </row>
    <row r="159" spans="1:14" s="79" customFormat="1" ht="15.75" customHeight="1" x14ac:dyDescent="0.25">
      <c r="A159" s="399" t="str">
        <f>'0664'!A159</f>
        <v xml:space="preserve">Administrative fees charged by the school district pursuant to s. 1002.33(20)(a), F.S., shall be calculated based upon 5% of available funds from the FEFP and categorical </v>
      </c>
      <c r="B159" s="328"/>
      <c r="C159" s="328"/>
      <c r="D159" s="328"/>
      <c r="E159" s="328"/>
      <c r="F159" s="328"/>
      <c r="G159" s="328"/>
      <c r="H159" s="328"/>
      <c r="I159" s="328"/>
      <c r="J159" s="3"/>
      <c r="K159" s="3"/>
      <c r="L159" s="3"/>
      <c r="M159" s="3"/>
      <c r="N159" s="81"/>
    </row>
    <row r="160" spans="1:14" s="79" customFormat="1" ht="15.75" customHeight="1" x14ac:dyDescent="0.25">
      <c r="A160" s="400" t="str">
        <f>'0664'!A160</f>
        <v>funding for which charter students may be eligible.  To calculate the administrative fee to be withheld for schools with more than 250 students, divide the school</v>
      </c>
      <c r="B160" s="328"/>
      <c r="C160" s="328"/>
      <c r="D160" s="328"/>
      <c r="E160" s="328"/>
      <c r="F160" s="328"/>
      <c r="G160" s="328"/>
      <c r="H160" s="328"/>
      <c r="I160" s="328"/>
      <c r="J160" s="3"/>
      <c r="K160" s="3"/>
      <c r="L160" s="3"/>
      <c r="M160" s="3"/>
      <c r="N160" s="81"/>
    </row>
    <row r="161" spans="1:21" s="79" customFormat="1" ht="15.75" customHeight="1" x14ac:dyDescent="0.25">
      <c r="A161" s="400" t="str">
        <f>'0664'!A161</f>
        <v xml:space="preserve">population into 250. Multiply that fraction times the funds available, then times 5%.  </v>
      </c>
      <c r="B161" s="328"/>
      <c r="C161" s="328"/>
      <c r="D161" s="328"/>
      <c r="E161" s="328"/>
      <c r="F161" s="328"/>
      <c r="G161" s="328"/>
      <c r="H161" s="328"/>
      <c r="I161" s="328"/>
      <c r="J161" s="3"/>
      <c r="K161" s="3"/>
      <c r="L161" s="3"/>
      <c r="M161" s="3"/>
      <c r="N161" s="81"/>
    </row>
    <row r="162" spans="1:21" s="79" customFormat="1" ht="15.75" customHeight="1" x14ac:dyDescent="0.25">
      <c r="A162" s="399"/>
      <c r="B162" s="394"/>
      <c r="C162" s="394"/>
      <c r="D162" s="394"/>
      <c r="E162" s="394"/>
      <c r="F162" s="394"/>
      <c r="G162" s="394"/>
      <c r="H162" s="394"/>
      <c r="I162" s="394"/>
      <c r="N162" s="77"/>
      <c r="O162" s="3"/>
      <c r="P162" s="3"/>
      <c r="Q162" s="3"/>
      <c r="R162" s="3"/>
      <c r="S162" s="3"/>
      <c r="T162" s="3"/>
      <c r="U162" s="3"/>
    </row>
    <row r="163" spans="1:21" ht="15.75" customHeight="1" x14ac:dyDescent="0.25">
      <c r="A163" s="399" t="str">
        <f>'0664'!A163</f>
        <v xml:space="preserve">For high performing charter schools, administrative fees charged by the school district shall be calculated based upon 2% of available funds from the FEFP and categorical </v>
      </c>
      <c r="B163" s="328"/>
      <c r="C163" s="328"/>
      <c r="D163" s="328"/>
      <c r="E163" s="328"/>
      <c r="F163" s="328"/>
      <c r="G163" s="328"/>
      <c r="H163" s="328"/>
      <c r="I163" s="328"/>
      <c r="J163" s="79"/>
      <c r="K163" s="79"/>
      <c r="L163" s="79"/>
      <c r="M163" s="79"/>
      <c r="N163" s="81"/>
      <c r="O163" s="79"/>
      <c r="P163" s="79"/>
      <c r="Q163" s="79"/>
      <c r="R163" s="79"/>
      <c r="S163" s="79"/>
      <c r="T163" s="79"/>
      <c r="U163" s="79"/>
    </row>
    <row r="164" spans="1:21" ht="15.75" customHeight="1" x14ac:dyDescent="0.25">
      <c r="A164" s="400" t="str">
        <f>'0664'!A164</f>
        <v>funding for which charter students may be eligible.  To calculate the administrative fee to be withheld for schools with more than 250 students, divide the school</v>
      </c>
      <c r="B164" s="381"/>
      <c r="C164" s="381"/>
      <c r="D164" s="381"/>
      <c r="E164" s="381"/>
      <c r="F164" s="381"/>
      <c r="G164" s="381"/>
      <c r="H164" s="381"/>
      <c r="I164" s="381"/>
      <c r="J164" s="79"/>
      <c r="K164" s="79"/>
      <c r="L164" s="79"/>
      <c r="M164" s="79"/>
      <c r="N164" s="81"/>
      <c r="O164" s="79"/>
      <c r="P164" s="79"/>
      <c r="Q164" s="79"/>
      <c r="R164" s="79"/>
      <c r="S164" s="79"/>
      <c r="T164" s="79"/>
      <c r="U164" s="79"/>
    </row>
    <row r="165" spans="1:21" s="79" customFormat="1" ht="15.75" customHeight="1" x14ac:dyDescent="0.2">
      <c r="A165" s="400" t="str">
        <f>'0664'!A165</f>
        <v xml:space="preserve">population into 250. Multiply that fraction times the funds available, then times 2%.  </v>
      </c>
      <c r="B165" s="328"/>
      <c r="C165" s="328"/>
      <c r="D165" s="328"/>
      <c r="E165" s="328"/>
      <c r="F165" s="328"/>
      <c r="G165" s="328"/>
      <c r="H165" s="328"/>
      <c r="I165" s="328"/>
      <c r="N165" s="81"/>
    </row>
    <row r="166" spans="1:21" x14ac:dyDescent="0.25">
      <c r="A166" s="356"/>
      <c r="N166" s="77"/>
    </row>
    <row r="167" spans="1:21" x14ac:dyDescent="0.25">
      <c r="A167" s="398" t="str">
        <f>'0664'!A167</f>
        <v>Other:</v>
      </c>
      <c r="N167" s="77"/>
    </row>
    <row r="168" spans="1:21" x14ac:dyDescent="0.25">
      <c r="A168" s="399" t="str">
        <f>'0664'!A168</f>
        <v>FEFP and categorical funding are recalculated during the year to reflect the revised number of full-time equivalent students reported during the survey periods designated</v>
      </c>
      <c r="N168" s="77"/>
    </row>
    <row r="169" spans="1:21" x14ac:dyDescent="0.25">
      <c r="A169" s="402" t="str">
        <f>'0664'!A169</f>
        <v>by the Commissioner of Education.</v>
      </c>
      <c r="N169" s="77"/>
    </row>
    <row r="170" spans="1:21" x14ac:dyDescent="0.25">
      <c r="A170" s="399" t="str">
        <f>'0664'!A170</f>
        <v>Revenues flow to districts from state sources and from county tax collectors on various distribution schedules.</v>
      </c>
      <c r="N170" s="77"/>
    </row>
    <row r="171" spans="1:21" x14ac:dyDescent="0.25">
      <c r="A171" s="77"/>
      <c r="N171" s="77"/>
    </row>
    <row r="172" spans="1:21" x14ac:dyDescent="0.25">
      <c r="A172" s="77"/>
      <c r="N172" s="77"/>
    </row>
    <row r="173" spans="1:21" x14ac:dyDescent="0.25">
      <c r="A173" s="77"/>
      <c r="N173" s="77"/>
    </row>
    <row r="174" spans="1:21" x14ac:dyDescent="0.25">
      <c r="A174" s="77"/>
      <c r="N174" s="77"/>
    </row>
    <row r="175" spans="1:21" x14ac:dyDescent="0.25">
      <c r="A175" s="77"/>
      <c r="N175" s="77"/>
    </row>
    <row r="176" spans="1:21" x14ac:dyDescent="0.25">
      <c r="A176" s="77"/>
      <c r="N176" s="77"/>
    </row>
    <row r="177" spans="1:14" x14ac:dyDescent="0.25">
      <c r="A177" s="77"/>
      <c r="N177" s="77"/>
    </row>
    <row r="178" spans="1:14" x14ac:dyDescent="0.25">
      <c r="A178" s="77"/>
      <c r="N178" s="77"/>
    </row>
    <row r="179" spans="1:14" x14ac:dyDescent="0.25">
      <c r="A179" s="77"/>
      <c r="N179" s="77"/>
    </row>
    <row r="180" spans="1:14" x14ac:dyDescent="0.25">
      <c r="A180" s="77"/>
      <c r="N180" s="77"/>
    </row>
    <row r="181" spans="1:14" x14ac:dyDescent="0.25">
      <c r="A181" s="77"/>
      <c r="N181" s="77"/>
    </row>
    <row r="182" spans="1:14" x14ac:dyDescent="0.25">
      <c r="A182" s="77"/>
      <c r="N182" s="77"/>
    </row>
    <row r="183" spans="1:14" x14ac:dyDescent="0.25">
      <c r="A183" s="77"/>
      <c r="N183" s="77"/>
    </row>
    <row r="184" spans="1:14" x14ac:dyDescent="0.25">
      <c r="A184" s="77"/>
      <c r="N184" s="77"/>
    </row>
    <row r="185" spans="1:14" x14ac:dyDescent="0.25">
      <c r="A185" s="77"/>
      <c r="N185" s="77"/>
    </row>
    <row r="186" spans="1:14" x14ac:dyDescent="0.25">
      <c r="A186" s="77"/>
      <c r="N186" s="77"/>
    </row>
    <row r="187" spans="1:14" x14ac:dyDescent="0.25">
      <c r="A187" s="77"/>
      <c r="N187" s="77"/>
    </row>
    <row r="188" spans="1:14" x14ac:dyDescent="0.25">
      <c r="A188" s="77"/>
    </row>
    <row r="189" spans="1:14" x14ac:dyDescent="0.25">
      <c r="A189" s="77"/>
    </row>
    <row r="190" spans="1:14" x14ac:dyDescent="0.25">
      <c r="A190" s="77"/>
    </row>
    <row r="191" spans="1:14" x14ac:dyDescent="0.25">
      <c r="A191" s="77"/>
    </row>
    <row r="192" spans="1:14" x14ac:dyDescent="0.25">
      <c r="A192" s="77"/>
    </row>
    <row r="193" spans="1:1" x14ac:dyDescent="0.25">
      <c r="A193" s="77"/>
    </row>
    <row r="194" spans="1:1" x14ac:dyDescent="0.25">
      <c r="A194" s="77"/>
    </row>
    <row r="195" spans="1:1" x14ac:dyDescent="0.25">
      <c r="A195" s="77"/>
    </row>
    <row r="196" spans="1:1" x14ac:dyDescent="0.25">
      <c r="A196" s="77"/>
    </row>
    <row r="197" spans="1:1" x14ac:dyDescent="0.25">
      <c r="A197" s="77"/>
    </row>
    <row r="198" spans="1:1" x14ac:dyDescent="0.25">
      <c r="A198" s="77"/>
    </row>
    <row r="199" spans="1:1" x14ac:dyDescent="0.25">
      <c r="A199" s="77"/>
    </row>
    <row r="200" spans="1:1" x14ac:dyDescent="0.25">
      <c r="A200" s="77"/>
    </row>
    <row r="201" spans="1:1" x14ac:dyDescent="0.25">
      <c r="A201" s="77"/>
    </row>
    <row r="202" spans="1:1" x14ac:dyDescent="0.25">
      <c r="A202" s="77"/>
    </row>
    <row r="203" spans="1:1" x14ac:dyDescent="0.25">
      <c r="A203" s="77"/>
    </row>
    <row r="204" spans="1:1" x14ac:dyDescent="0.25">
      <c r="A204" s="77"/>
    </row>
    <row r="205" spans="1:1" x14ac:dyDescent="0.25">
      <c r="A205" s="77"/>
    </row>
    <row r="206" spans="1:1" x14ac:dyDescent="0.25">
      <c r="A206" s="77"/>
    </row>
  </sheetData>
  <mergeCells count="266">
    <mergeCell ref="A112:C112"/>
    <mergeCell ref="F112:H112"/>
    <mergeCell ref="N112:P112"/>
    <mergeCell ref="A109:B109"/>
    <mergeCell ref="F109:G109"/>
    <mergeCell ref="N109:O109"/>
    <mergeCell ref="P109:Q109"/>
    <mergeCell ref="N139:U139"/>
    <mergeCell ref="N119:U119"/>
    <mergeCell ref="N113:P113"/>
    <mergeCell ref="A113:C113"/>
    <mergeCell ref="F113:H113"/>
    <mergeCell ref="N114:T114"/>
    <mergeCell ref="A115:H115"/>
    <mergeCell ref="A119:G119"/>
    <mergeCell ref="N120:U120"/>
    <mergeCell ref="A120:G120"/>
    <mergeCell ref="R109:S109"/>
    <mergeCell ref="A110:B110"/>
    <mergeCell ref="N110:O110"/>
    <mergeCell ref="A107:B107"/>
    <mergeCell ref="F107:G107"/>
    <mergeCell ref="N107:O107"/>
    <mergeCell ref="P107:Q107"/>
    <mergeCell ref="R107:S107"/>
    <mergeCell ref="A108:B108"/>
    <mergeCell ref="F108:G108"/>
    <mergeCell ref="N108:O108"/>
    <mergeCell ref="P108:Q108"/>
    <mergeCell ref="R108:S108"/>
    <mergeCell ref="A103:C103"/>
    <mergeCell ref="F103:I103"/>
    <mergeCell ref="N103:U103"/>
    <mergeCell ref="C104:E104"/>
    <mergeCell ref="F105:G105"/>
    <mergeCell ref="A106:B106"/>
    <mergeCell ref="F106:G106"/>
    <mergeCell ref="N106:O106"/>
    <mergeCell ref="P106:Q106"/>
    <mergeCell ref="R106:S106"/>
    <mergeCell ref="A99:B99"/>
    <mergeCell ref="N99:O99"/>
    <mergeCell ref="P99:R99"/>
    <mergeCell ref="A100:B100"/>
    <mergeCell ref="N100:O100"/>
    <mergeCell ref="P100:R100"/>
    <mergeCell ref="C91:D91"/>
    <mergeCell ref="P91:Q91"/>
    <mergeCell ref="C92:D92"/>
    <mergeCell ref="P92:Q92"/>
    <mergeCell ref="C93:D93"/>
    <mergeCell ref="P93:T93"/>
    <mergeCell ref="A94:I94"/>
    <mergeCell ref="N94:U94"/>
    <mergeCell ref="F96:I96"/>
    <mergeCell ref="N96:P96"/>
    <mergeCell ref="Q96:T96"/>
    <mergeCell ref="A87:I87"/>
    <mergeCell ref="N87:U87"/>
    <mergeCell ref="C88:D88"/>
    <mergeCell ref="C89:D89"/>
    <mergeCell ref="N89:O89"/>
    <mergeCell ref="P89:Q89"/>
    <mergeCell ref="R89:U89"/>
    <mergeCell ref="C90:D90"/>
    <mergeCell ref="P90:Q90"/>
    <mergeCell ref="A80:C80"/>
    <mergeCell ref="N80:P80"/>
    <mergeCell ref="A85:C85"/>
    <mergeCell ref="N85:P85"/>
    <mergeCell ref="F73:H73"/>
    <mergeCell ref="N73:T73"/>
    <mergeCell ref="N74:T74"/>
    <mergeCell ref="A78:C78"/>
    <mergeCell ref="N78:P78"/>
    <mergeCell ref="A79:C79"/>
    <mergeCell ref="A69:C69"/>
    <mergeCell ref="N69:P69"/>
    <mergeCell ref="N79:P79"/>
    <mergeCell ref="A76:C76"/>
    <mergeCell ref="N76:P76"/>
    <mergeCell ref="A77:C77"/>
    <mergeCell ref="A70:C70"/>
    <mergeCell ref="A71:C71"/>
    <mergeCell ref="N71:P71"/>
    <mergeCell ref="A72:C72"/>
    <mergeCell ref="N77:P77"/>
    <mergeCell ref="N72:P72"/>
    <mergeCell ref="A65:B65"/>
    <mergeCell ref="D65:G65"/>
    <mergeCell ref="N65:O65"/>
    <mergeCell ref="Q65:S65"/>
    <mergeCell ref="T65:U65"/>
    <mergeCell ref="N66:S66"/>
    <mergeCell ref="T66:U66"/>
    <mergeCell ref="A68:C68"/>
    <mergeCell ref="N68:P68"/>
    <mergeCell ref="A62:B62"/>
    <mergeCell ref="D62:G62"/>
    <mergeCell ref="N62:O62"/>
    <mergeCell ref="Q62:S62"/>
    <mergeCell ref="T62:U62"/>
    <mergeCell ref="N63:S63"/>
    <mergeCell ref="T63:U63"/>
    <mergeCell ref="A64:I64"/>
    <mergeCell ref="N64:U64"/>
    <mergeCell ref="A59:B59"/>
    <mergeCell ref="F59:H59"/>
    <mergeCell ref="N59:O59"/>
    <mergeCell ref="P59:Q59"/>
    <mergeCell ref="R59:T59"/>
    <mergeCell ref="A60:I60"/>
    <mergeCell ref="N60:U60"/>
    <mergeCell ref="A61:I61"/>
    <mergeCell ref="N61:U61"/>
    <mergeCell ref="A50:B58"/>
    <mergeCell ref="N50:O58"/>
    <mergeCell ref="P50:Q50"/>
    <mergeCell ref="P51:Q51"/>
    <mergeCell ref="P52:Q52"/>
    <mergeCell ref="P53:Q53"/>
    <mergeCell ref="P54:Q54"/>
    <mergeCell ref="P55:Q55"/>
    <mergeCell ref="P56:Q56"/>
    <mergeCell ref="P57:Q57"/>
    <mergeCell ref="P58:Q58"/>
    <mergeCell ref="A42:B42"/>
    <mergeCell ref="N42:O42"/>
    <mergeCell ref="P42:T42"/>
    <mergeCell ref="N43:Q43"/>
    <mergeCell ref="S43:T43"/>
    <mergeCell ref="N45:Q45"/>
    <mergeCell ref="S45:T45"/>
    <mergeCell ref="N49:O49"/>
    <mergeCell ref="P49:Q49"/>
    <mergeCell ref="A39:B39"/>
    <mergeCell ref="N39:O39"/>
    <mergeCell ref="P39:T39"/>
    <mergeCell ref="A40:B40"/>
    <mergeCell ref="N40:O40"/>
    <mergeCell ref="P40:T40"/>
    <mergeCell ref="A41:B41"/>
    <mergeCell ref="N41:O41"/>
    <mergeCell ref="P41:T41"/>
    <mergeCell ref="N34:T34"/>
    <mergeCell ref="A36:B36"/>
    <mergeCell ref="N36:O36"/>
    <mergeCell ref="P36:T36"/>
    <mergeCell ref="A37:B37"/>
    <mergeCell ref="N37:O37"/>
    <mergeCell ref="P37:T37"/>
    <mergeCell ref="F33:H36"/>
    <mergeCell ref="A38:B38"/>
    <mergeCell ref="N38:O38"/>
    <mergeCell ref="P38:T38"/>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A20:B20"/>
    <mergeCell ref="F20:G20"/>
    <mergeCell ref="N20:O20"/>
    <mergeCell ref="P20:Q20"/>
    <mergeCell ref="R20:S20"/>
    <mergeCell ref="A21:B21"/>
    <mergeCell ref="F21:G21"/>
    <mergeCell ref="N21:O21"/>
    <mergeCell ref="P21:Q21"/>
    <mergeCell ref="R21:S21"/>
    <mergeCell ref="A18:B18"/>
    <mergeCell ref="F18:G18"/>
    <mergeCell ref="N18:O18"/>
    <mergeCell ref="P18:Q18"/>
    <mergeCell ref="R18:S18"/>
    <mergeCell ref="A19:B19"/>
    <mergeCell ref="F19:G19"/>
    <mergeCell ref="N19:O19"/>
    <mergeCell ref="P19:Q19"/>
    <mergeCell ref="R19:S19"/>
    <mergeCell ref="A16:B16"/>
    <mergeCell ref="F16:G16"/>
    <mergeCell ref="N16:O16"/>
    <mergeCell ref="P16:Q16"/>
    <mergeCell ref="R16:S16"/>
    <mergeCell ref="A17:B17"/>
    <mergeCell ref="F17:G17"/>
    <mergeCell ref="N17:O17"/>
    <mergeCell ref="P17:Q17"/>
    <mergeCell ref="R17:S17"/>
    <mergeCell ref="A14:B14"/>
    <mergeCell ref="F14:G14"/>
    <mergeCell ref="N14:O14"/>
    <mergeCell ref="P14:Q14"/>
    <mergeCell ref="R14:S14"/>
    <mergeCell ref="A15:B15"/>
    <mergeCell ref="F15:G15"/>
    <mergeCell ref="N15:O15"/>
    <mergeCell ref="P15:Q15"/>
    <mergeCell ref="R15:S15"/>
    <mergeCell ref="A12:B12"/>
    <mergeCell ref="F12:G12"/>
    <mergeCell ref="N12:O12"/>
    <mergeCell ref="P12:Q12"/>
    <mergeCell ref="R12:S12"/>
    <mergeCell ref="A13:B13"/>
    <mergeCell ref="F13:G13"/>
    <mergeCell ref="N13:O13"/>
    <mergeCell ref="P13:Q13"/>
    <mergeCell ref="R13:S13"/>
    <mergeCell ref="N8:O8"/>
    <mergeCell ref="P8:Q8"/>
    <mergeCell ref="R8:S8"/>
    <mergeCell ref="T8:U8"/>
    <mergeCell ref="F10:G10"/>
    <mergeCell ref="R10:S10"/>
    <mergeCell ref="A11:B11"/>
    <mergeCell ref="F11:G11"/>
    <mergeCell ref="N11:O11"/>
    <mergeCell ref="P11:Q11"/>
    <mergeCell ref="R11:S11"/>
    <mergeCell ref="B1:I1"/>
    <mergeCell ref="O1:U1"/>
    <mergeCell ref="N2:U2"/>
    <mergeCell ref="N3:U3"/>
    <mergeCell ref="A4:B4"/>
    <mergeCell ref="C4:E4"/>
    <mergeCell ref="N4:O4"/>
    <mergeCell ref="P4:Q4"/>
    <mergeCell ref="A7:I7"/>
    <mergeCell ref="N7:U7"/>
  </mergeCells>
  <pageMargins left="0.1" right="0.1" top="0.5" bottom="0.5" header="0" footer="0.1"/>
  <pageSetup scale="70" fitToHeight="3" orientation="portrait" r:id="rId1"/>
  <headerFooter alignWithMargins="0">
    <oddFooter>&amp;R&amp;P of &amp;N</oddFooter>
  </headerFooter>
  <rowBreaks count="1" manualBreakCount="1">
    <brk id="138" max="16383" man="1"/>
  </rowBreaks>
  <colBreaks count="1" manualBreakCount="1">
    <brk id="9" max="1048575" man="1"/>
  </col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tabColor rgb="FFCCFFCC"/>
  </sheetPr>
  <dimension ref="A1:U206"/>
  <sheetViews>
    <sheetView showGridLines="0" zoomScaleNormal="100" workbookViewId="0">
      <pane ySplit="1" topLeftCell="A23" activePane="bottomLeft" state="frozen"/>
      <selection activeCell="I9" sqref="I9"/>
      <selection pane="bottomLeft" activeCell="D50" sqref="D50:D58"/>
    </sheetView>
  </sheetViews>
  <sheetFormatPr defaultRowHeight="15.75" x14ac:dyDescent="0.25"/>
  <cols>
    <col min="1" max="1" width="10.28515625" style="72"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72"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5">
        <v>50</v>
      </c>
      <c r="B1" s="441" t="s">
        <v>17</v>
      </c>
      <c r="C1" s="442"/>
      <c r="D1" s="442"/>
      <c r="E1" s="442"/>
      <c r="F1" s="442"/>
      <c r="G1" s="442"/>
      <c r="H1" s="442"/>
      <c r="I1" s="442"/>
      <c r="J1" s="157"/>
      <c r="K1" s="157"/>
      <c r="L1" s="157"/>
      <c r="N1" s="85">
        <f>A1</f>
        <v>50</v>
      </c>
      <c r="O1" s="527" t="s">
        <v>17</v>
      </c>
      <c r="P1" s="528"/>
      <c r="Q1" s="528"/>
      <c r="R1" s="528"/>
      <c r="S1" s="528"/>
      <c r="T1" s="528"/>
      <c r="U1" s="528"/>
    </row>
    <row r="2" spans="1:21" ht="21" x14ac:dyDescent="0.35">
      <c r="A2" s="1" t="s">
        <v>162</v>
      </c>
      <c r="B2" s="2"/>
      <c r="C2" s="2"/>
      <c r="D2" s="2"/>
      <c r="E2" s="2"/>
      <c r="F2" s="2"/>
      <c r="G2" s="2"/>
      <c r="H2" s="2"/>
      <c r="I2" s="2"/>
      <c r="N2" s="529" t="s">
        <v>23</v>
      </c>
      <c r="O2" s="529"/>
      <c r="P2" s="529"/>
      <c r="Q2" s="529"/>
      <c r="R2" s="529"/>
      <c r="S2" s="529"/>
      <c r="T2" s="529"/>
      <c r="U2" s="529"/>
    </row>
    <row r="3" spans="1:21" x14ac:dyDescent="0.25">
      <c r="A3" s="84" t="str">
        <f>'0664'!A3</f>
        <v>Based on the FLDOE 2022-23 FEFP Third Calculation</v>
      </c>
      <c r="N3" s="485" t="str">
        <f>A3</f>
        <v>Based on the FLDOE 2022-23 FEFP Third Calculation</v>
      </c>
      <c r="O3" s="485"/>
      <c r="P3" s="485"/>
      <c r="Q3" s="485"/>
      <c r="R3" s="485"/>
      <c r="S3" s="485"/>
      <c r="T3" s="485"/>
      <c r="U3" s="485"/>
    </row>
    <row r="4" spans="1:21" x14ac:dyDescent="0.25">
      <c r="A4" s="443" t="s">
        <v>0</v>
      </c>
      <c r="B4" s="443"/>
      <c r="C4" s="444" t="s">
        <v>9</v>
      </c>
      <c r="D4" s="444"/>
      <c r="E4" s="444"/>
      <c r="F4" s="4" t="str">
        <f>'0664'!F4</f>
        <v>Apr 2023</v>
      </c>
      <c r="G4" s="4"/>
      <c r="H4" s="4"/>
      <c r="I4" s="4"/>
      <c r="N4" s="530" t="s">
        <v>0</v>
      </c>
      <c r="O4" s="530"/>
      <c r="P4" s="531" t="str">
        <f>C4</f>
        <v>Palm Beach</v>
      </c>
      <c r="Q4" s="531"/>
      <c r="R4" s="5"/>
      <c r="S4" s="5"/>
      <c r="T4" s="5"/>
      <c r="U4" s="5"/>
    </row>
    <row r="5" spans="1:21" ht="12" customHeight="1" thickBot="1" x14ac:dyDescent="0.3">
      <c r="A5" s="262"/>
      <c r="B5" s="262"/>
      <c r="C5" s="253"/>
      <c r="D5" s="253"/>
      <c r="E5" s="253"/>
      <c r="F5" s="254"/>
      <c r="G5" s="254"/>
      <c r="H5" s="254"/>
      <c r="I5" s="254"/>
      <c r="N5" s="86"/>
      <c r="O5" s="86"/>
      <c r="P5" s="6"/>
      <c r="Q5" s="6"/>
      <c r="R5" s="5"/>
      <c r="S5" s="5"/>
      <c r="T5" s="5"/>
      <c r="U5" s="5"/>
    </row>
    <row r="6" spans="1:21" ht="12" customHeight="1" x14ac:dyDescent="0.25">
      <c r="A6" s="150"/>
      <c r="B6" s="150"/>
      <c r="C6" s="261"/>
      <c r="D6" s="261"/>
      <c r="E6" s="261"/>
      <c r="F6" s="4"/>
      <c r="G6" s="4"/>
      <c r="H6" s="4"/>
      <c r="I6" s="4"/>
      <c r="N6" s="86"/>
      <c r="O6" s="86"/>
      <c r="P6" s="6"/>
      <c r="Q6" s="6"/>
      <c r="R6" s="5"/>
      <c r="S6" s="5"/>
      <c r="T6" s="5"/>
      <c r="U6" s="5"/>
    </row>
    <row r="7" spans="1:21" x14ac:dyDescent="0.25">
      <c r="A7" s="445" t="str">
        <f>'0664'!A7:I7</f>
        <v>1.   2022-23 FEFP State and Local Funding</v>
      </c>
      <c r="B7" s="533"/>
      <c r="C7" s="533"/>
      <c r="D7" s="533"/>
      <c r="E7" s="533"/>
      <c r="F7" s="533"/>
      <c r="G7" s="533"/>
      <c r="H7" s="533"/>
      <c r="I7" s="533"/>
      <c r="N7" s="530" t="s">
        <v>86</v>
      </c>
      <c r="O7" s="530"/>
      <c r="P7" s="530"/>
      <c r="Q7" s="530"/>
      <c r="R7" s="530"/>
      <c r="S7" s="530"/>
      <c r="T7" s="530"/>
      <c r="U7" s="530"/>
    </row>
    <row r="8" spans="1:21" x14ac:dyDescent="0.25">
      <c r="A8" s="87"/>
      <c r="B8" s="88" t="s">
        <v>123</v>
      </c>
      <c r="C8" s="334">
        <f>'0664'!C8</f>
        <v>4587.3999999999996</v>
      </c>
      <c r="D8" s="89"/>
      <c r="E8" s="90"/>
      <c r="F8" s="87"/>
      <c r="G8" s="88" t="s">
        <v>122</v>
      </c>
      <c r="H8" s="320">
        <f>'0664'!H8</f>
        <v>1.0438000000000001</v>
      </c>
      <c r="I8" s="78"/>
      <c r="N8" s="534" t="s">
        <v>10</v>
      </c>
      <c r="O8" s="534"/>
      <c r="P8" s="535">
        <v>4154.45</v>
      </c>
      <c r="Q8" s="535"/>
      <c r="R8" s="518" t="s">
        <v>11</v>
      </c>
      <c r="S8" s="518"/>
      <c r="T8" s="519">
        <f>H8</f>
        <v>1.0438000000000001</v>
      </c>
      <c r="U8" s="519"/>
    </row>
    <row r="9" spans="1:21" x14ac:dyDescent="0.25">
      <c r="A9" s="7"/>
      <c r="B9" s="44" t="s">
        <v>370</v>
      </c>
      <c r="C9" s="41" t="s">
        <v>370</v>
      </c>
      <c r="D9" s="91" t="s">
        <v>370</v>
      </c>
      <c r="E9" s="8"/>
      <c r="F9" s="9"/>
      <c r="G9" s="9"/>
      <c r="H9" s="10"/>
      <c r="I9" s="340" t="str">
        <f>'0664'!I9</f>
        <v>2022-23</v>
      </c>
      <c r="N9" s="12"/>
      <c r="O9" s="12"/>
      <c r="P9" s="13"/>
      <c r="Q9" s="13"/>
      <c r="R9" s="14"/>
      <c r="S9" s="14"/>
      <c r="T9" s="15"/>
      <c r="U9" s="405" t="s">
        <v>405</v>
      </c>
    </row>
    <row r="10" spans="1:21" x14ac:dyDescent="0.25">
      <c r="A10" s="7"/>
      <c r="B10" s="7"/>
      <c r="C10" s="91" t="s">
        <v>463</v>
      </c>
      <c r="D10" s="371" t="s">
        <v>464</v>
      </c>
      <c r="E10" s="92" t="s">
        <v>8</v>
      </c>
      <c r="F10" s="446" t="s">
        <v>1</v>
      </c>
      <c r="G10" s="446"/>
      <c r="H10" s="10" t="s">
        <v>73</v>
      </c>
      <c r="I10" s="11" t="s">
        <v>36</v>
      </c>
      <c r="N10" s="12"/>
      <c r="O10" s="12"/>
      <c r="P10" s="13"/>
      <c r="Q10" s="13"/>
      <c r="R10" s="520" t="s">
        <v>1</v>
      </c>
      <c r="S10" s="520"/>
      <c r="T10" s="15" t="s">
        <v>73</v>
      </c>
      <c r="U10" s="16" t="s">
        <v>36</v>
      </c>
    </row>
    <row r="11" spans="1:21" x14ac:dyDescent="0.25">
      <c r="A11" s="447" t="s">
        <v>1</v>
      </c>
      <c r="B11" s="447"/>
      <c r="C11" s="362" t="s">
        <v>2</v>
      </c>
      <c r="D11" s="362" t="s">
        <v>2</v>
      </c>
      <c r="E11" s="362" t="s">
        <v>2</v>
      </c>
      <c r="F11" s="448" t="s">
        <v>76</v>
      </c>
      <c r="G11" s="448"/>
      <c r="H11" s="17" t="s">
        <v>72</v>
      </c>
      <c r="I11" s="18" t="s">
        <v>75</v>
      </c>
      <c r="N11" s="510" t="s">
        <v>1</v>
      </c>
      <c r="O11" s="510"/>
      <c r="P11" s="521" t="s">
        <v>24</v>
      </c>
      <c r="Q11" s="521"/>
      <c r="R11" s="522" t="s">
        <v>76</v>
      </c>
      <c r="S11" s="522"/>
      <c r="T11" s="19" t="s">
        <v>72</v>
      </c>
      <c r="U11" s="20" t="s">
        <v>75</v>
      </c>
    </row>
    <row r="12" spans="1:21" x14ac:dyDescent="0.25">
      <c r="A12" s="449" t="s">
        <v>47</v>
      </c>
      <c r="B12" s="449"/>
      <c r="C12" s="94"/>
      <c r="D12" s="94"/>
      <c r="E12" s="95" t="s">
        <v>48</v>
      </c>
      <c r="F12" s="450" t="s">
        <v>49</v>
      </c>
      <c r="G12" s="450"/>
      <c r="H12" s="21" t="s">
        <v>50</v>
      </c>
      <c r="I12" s="22" t="s">
        <v>51</v>
      </c>
      <c r="N12" s="523" t="s">
        <v>47</v>
      </c>
      <c r="O12" s="523"/>
      <c r="P12" s="524" t="s">
        <v>48</v>
      </c>
      <c r="Q12" s="524"/>
      <c r="R12" s="525" t="s">
        <v>49</v>
      </c>
      <c r="S12" s="525"/>
      <c r="T12" s="23" t="s">
        <v>50</v>
      </c>
      <c r="U12" s="24" t="s">
        <v>51</v>
      </c>
    </row>
    <row r="13" spans="1:21" x14ac:dyDescent="0.25">
      <c r="A13" s="451" t="s">
        <v>29</v>
      </c>
      <c r="B13" s="451"/>
      <c r="C13" s="165">
        <v>51.08</v>
      </c>
      <c r="D13" s="163">
        <v>49.85</v>
      </c>
      <c r="E13" s="210">
        <f>IF(D$29=0,C13*2,C13+D13)</f>
        <v>100.93</v>
      </c>
      <c r="F13" s="537">
        <f>'0664'!F13:G13</f>
        <v>1.1259999999999999</v>
      </c>
      <c r="G13" s="537"/>
      <c r="H13" s="167">
        <f>ROUND(E13*F13,4)</f>
        <v>113.6472</v>
      </c>
      <c r="I13" s="119">
        <f t="shared" ref="I13:I28" si="0">ROUND(ROUND(H13*$C$8,4)*($H$8),2)</f>
        <v>544180.07999999996</v>
      </c>
      <c r="N13" s="512" t="s">
        <v>29</v>
      </c>
      <c r="O13" s="512"/>
      <c r="P13" s="513">
        <f t="shared" ref="P13:P28" si="1">IF($H$120=1,E13,0)</f>
        <v>0</v>
      </c>
      <c r="Q13" s="513"/>
      <c r="R13" s="526">
        <v>1</v>
      </c>
      <c r="S13" s="526"/>
      <c r="T13" s="98">
        <f>ROUND(P13*R13,4)</f>
        <v>0</v>
      </c>
      <c r="U13" s="99">
        <f t="shared" ref="U13:U28" si="2">ROUND(ROUND(T13*$C$8,4)*($H$8),0)</f>
        <v>0</v>
      </c>
    </row>
    <row r="14" spans="1:21" x14ac:dyDescent="0.25">
      <c r="A14" s="453" t="s">
        <v>30</v>
      </c>
      <c r="B14" s="453"/>
      <c r="C14" s="165">
        <v>7</v>
      </c>
      <c r="D14" s="165">
        <v>7.91</v>
      </c>
      <c r="E14" s="125">
        <f t="shared" ref="E14:E28" si="3">IF(D$29=0,C14*2,C14+D14)</f>
        <v>14.91</v>
      </c>
      <c r="F14" s="532">
        <f>'0664'!F14:G14</f>
        <v>1.1259999999999999</v>
      </c>
      <c r="G14" s="532"/>
      <c r="H14" s="83">
        <f t="shared" ref="H14:H28" si="4">ROUND(E14*F14,4)</f>
        <v>16.788699999999999</v>
      </c>
      <c r="I14" s="104">
        <f t="shared" si="0"/>
        <v>80389.8</v>
      </c>
      <c r="J14" s="68" t="str">
        <f>IF(ROUND(E14,2)=ROUND(SUM(E50:E52),2)," ","CHECK PK-3 LINES BELOW")</f>
        <v xml:space="preserve"> </v>
      </c>
      <c r="N14" s="479" t="s">
        <v>30</v>
      </c>
      <c r="O14" s="479"/>
      <c r="P14" s="513">
        <f t="shared" si="1"/>
        <v>0</v>
      </c>
      <c r="Q14" s="513"/>
      <c r="R14" s="517">
        <v>1</v>
      </c>
      <c r="S14" s="517"/>
      <c r="T14" s="98">
        <f t="shared" ref="T14:T28" si="5">ROUND(P14*R14,4)</f>
        <v>0</v>
      </c>
      <c r="U14" s="99">
        <f t="shared" si="2"/>
        <v>0</v>
      </c>
    </row>
    <row r="15" spans="1:21" x14ac:dyDescent="0.25">
      <c r="A15" s="453" t="s">
        <v>31</v>
      </c>
      <c r="B15" s="453"/>
      <c r="C15" s="165">
        <v>60</v>
      </c>
      <c r="D15" s="165">
        <v>60.58</v>
      </c>
      <c r="E15" s="125">
        <f t="shared" si="3"/>
        <v>120.58</v>
      </c>
      <c r="F15" s="532">
        <f>'0664'!F15:G15</f>
        <v>1</v>
      </c>
      <c r="G15" s="532"/>
      <c r="H15" s="83">
        <f t="shared" si="4"/>
        <v>120.58</v>
      </c>
      <c r="I15" s="104">
        <f t="shared" si="0"/>
        <v>577376.6</v>
      </c>
      <c r="N15" s="479" t="s">
        <v>31</v>
      </c>
      <c r="O15" s="479"/>
      <c r="P15" s="513">
        <f t="shared" si="1"/>
        <v>0</v>
      </c>
      <c r="Q15" s="513"/>
      <c r="R15" s="517">
        <v>1</v>
      </c>
      <c r="S15" s="517"/>
      <c r="T15" s="98">
        <f t="shared" si="5"/>
        <v>0</v>
      </c>
      <c r="U15" s="99">
        <f t="shared" si="2"/>
        <v>0</v>
      </c>
    </row>
    <row r="16" spans="1:21" x14ac:dyDescent="0.25">
      <c r="A16" s="453" t="s">
        <v>32</v>
      </c>
      <c r="B16" s="453"/>
      <c r="C16" s="165">
        <v>12</v>
      </c>
      <c r="D16" s="165">
        <v>11</v>
      </c>
      <c r="E16" s="125">
        <f t="shared" si="3"/>
        <v>23</v>
      </c>
      <c r="F16" s="532">
        <f>'0664'!F16:G16</f>
        <v>1</v>
      </c>
      <c r="G16" s="532"/>
      <c r="H16" s="83">
        <f t="shared" si="4"/>
        <v>23</v>
      </c>
      <c r="I16" s="104">
        <f t="shared" si="0"/>
        <v>110131.55</v>
      </c>
      <c r="J16" s="68" t="str">
        <f>IF(ROUND(E16,2)=ROUND(SUM(E53:E55),2)," ","CHECK 4-8 LINES BELOW")</f>
        <v xml:space="preserve"> </v>
      </c>
      <c r="N16" s="479" t="s">
        <v>32</v>
      </c>
      <c r="O16" s="479"/>
      <c r="P16" s="513">
        <f t="shared" si="1"/>
        <v>0</v>
      </c>
      <c r="Q16" s="513"/>
      <c r="R16" s="517">
        <v>1</v>
      </c>
      <c r="S16" s="517"/>
      <c r="T16" s="98">
        <f t="shared" si="5"/>
        <v>0</v>
      </c>
      <c r="U16" s="99">
        <f t="shared" si="2"/>
        <v>0</v>
      </c>
    </row>
    <row r="17" spans="1:21" x14ac:dyDescent="0.25">
      <c r="A17" s="453" t="s">
        <v>33</v>
      </c>
      <c r="B17" s="453"/>
      <c r="C17" s="165">
        <v>0</v>
      </c>
      <c r="D17" s="165">
        <v>0</v>
      </c>
      <c r="E17" s="125">
        <f t="shared" si="3"/>
        <v>0</v>
      </c>
      <c r="F17" s="532">
        <f>'0664'!F17:G17</f>
        <v>0.999</v>
      </c>
      <c r="G17" s="532"/>
      <c r="H17" s="83">
        <f t="shared" si="4"/>
        <v>0</v>
      </c>
      <c r="I17" s="104">
        <f t="shared" si="0"/>
        <v>0</v>
      </c>
      <c r="N17" s="479" t="s">
        <v>33</v>
      </c>
      <c r="O17" s="479"/>
      <c r="P17" s="513">
        <f t="shared" si="1"/>
        <v>0</v>
      </c>
      <c r="Q17" s="513"/>
      <c r="R17" s="517">
        <v>1</v>
      </c>
      <c r="S17" s="517"/>
      <c r="T17" s="98">
        <f t="shared" si="5"/>
        <v>0</v>
      </c>
      <c r="U17" s="99">
        <f t="shared" si="2"/>
        <v>0</v>
      </c>
    </row>
    <row r="18" spans="1:21" x14ac:dyDescent="0.25">
      <c r="A18" s="453" t="s">
        <v>34</v>
      </c>
      <c r="B18" s="453"/>
      <c r="C18" s="165">
        <v>0</v>
      </c>
      <c r="D18" s="165">
        <v>0</v>
      </c>
      <c r="E18" s="125">
        <f t="shared" si="3"/>
        <v>0</v>
      </c>
      <c r="F18" s="532">
        <f>'0664'!F18:G18</f>
        <v>0.999</v>
      </c>
      <c r="G18" s="532"/>
      <c r="H18" s="83">
        <f t="shared" si="4"/>
        <v>0</v>
      </c>
      <c r="I18" s="104">
        <f t="shared" si="0"/>
        <v>0</v>
      </c>
      <c r="J18" s="68" t="str">
        <f>IF(ROUND(E18,2)=ROUND(SUM(E56:E58),2)," ","CHECK 4-8 LINES BELOW")</f>
        <v xml:space="preserve"> </v>
      </c>
      <c r="N18" s="479" t="s">
        <v>34</v>
      </c>
      <c r="O18" s="479"/>
      <c r="P18" s="513">
        <f t="shared" si="1"/>
        <v>0</v>
      </c>
      <c r="Q18" s="513"/>
      <c r="R18" s="517">
        <v>1</v>
      </c>
      <c r="S18" s="517"/>
      <c r="T18" s="98">
        <f t="shared" si="5"/>
        <v>0</v>
      </c>
      <c r="U18" s="101">
        <f t="shared" si="2"/>
        <v>0</v>
      </c>
    </row>
    <row r="19" spans="1:21" x14ac:dyDescent="0.25">
      <c r="A19" s="453" t="s">
        <v>108</v>
      </c>
      <c r="B19" s="453"/>
      <c r="C19" s="165">
        <v>0</v>
      </c>
      <c r="D19" s="165">
        <v>0</v>
      </c>
      <c r="E19" s="125">
        <f t="shared" si="3"/>
        <v>0</v>
      </c>
      <c r="F19" s="532">
        <f>'0664'!F19:G19</f>
        <v>3.6739999999999999</v>
      </c>
      <c r="G19" s="532"/>
      <c r="H19" s="83">
        <f t="shared" si="4"/>
        <v>0</v>
      </c>
      <c r="I19" s="104">
        <f t="shared" si="0"/>
        <v>0</v>
      </c>
      <c r="N19" s="479" t="s">
        <v>108</v>
      </c>
      <c r="O19" s="479"/>
      <c r="P19" s="513">
        <f t="shared" si="1"/>
        <v>0</v>
      </c>
      <c r="Q19" s="513"/>
      <c r="R19" s="517">
        <v>1</v>
      </c>
      <c r="S19" s="517"/>
      <c r="T19" s="98">
        <f t="shared" si="5"/>
        <v>0</v>
      </c>
      <c r="U19" s="99">
        <f t="shared" si="2"/>
        <v>0</v>
      </c>
    </row>
    <row r="20" spans="1:21" x14ac:dyDescent="0.25">
      <c r="A20" s="453" t="s">
        <v>109</v>
      </c>
      <c r="B20" s="453"/>
      <c r="C20" s="165">
        <v>0</v>
      </c>
      <c r="D20" s="165">
        <v>0</v>
      </c>
      <c r="E20" s="125">
        <f t="shared" si="3"/>
        <v>0</v>
      </c>
      <c r="F20" s="532">
        <f>'0664'!F20:G20</f>
        <v>3.6739999999999999</v>
      </c>
      <c r="G20" s="532"/>
      <c r="H20" s="83">
        <f t="shared" si="4"/>
        <v>0</v>
      </c>
      <c r="I20" s="104">
        <f t="shared" si="0"/>
        <v>0</v>
      </c>
      <c r="N20" s="479" t="s">
        <v>109</v>
      </c>
      <c r="O20" s="479"/>
      <c r="P20" s="513">
        <f t="shared" si="1"/>
        <v>0</v>
      </c>
      <c r="Q20" s="513"/>
      <c r="R20" s="517">
        <v>1</v>
      </c>
      <c r="S20" s="517"/>
      <c r="T20" s="98">
        <f t="shared" si="5"/>
        <v>0</v>
      </c>
      <c r="U20" s="99">
        <f t="shared" si="2"/>
        <v>0</v>
      </c>
    </row>
    <row r="21" spans="1:21" x14ac:dyDescent="0.25">
      <c r="A21" s="453" t="s">
        <v>110</v>
      </c>
      <c r="B21" s="453"/>
      <c r="C21" s="165">
        <v>0</v>
      </c>
      <c r="D21" s="165">
        <v>0</v>
      </c>
      <c r="E21" s="125">
        <f t="shared" si="3"/>
        <v>0</v>
      </c>
      <c r="F21" s="532">
        <f>'0664'!F21:G21</f>
        <v>3.6739999999999999</v>
      </c>
      <c r="G21" s="532"/>
      <c r="H21" s="83">
        <f t="shared" si="4"/>
        <v>0</v>
      </c>
      <c r="I21" s="104">
        <f t="shared" si="0"/>
        <v>0</v>
      </c>
      <c r="N21" s="479" t="s">
        <v>110</v>
      </c>
      <c r="O21" s="479"/>
      <c r="P21" s="513">
        <f t="shared" si="1"/>
        <v>0</v>
      </c>
      <c r="Q21" s="513"/>
      <c r="R21" s="517">
        <v>1</v>
      </c>
      <c r="S21" s="517"/>
      <c r="T21" s="98">
        <f t="shared" si="5"/>
        <v>0</v>
      </c>
      <c r="U21" s="99">
        <f t="shared" si="2"/>
        <v>0</v>
      </c>
    </row>
    <row r="22" spans="1:21" x14ac:dyDescent="0.25">
      <c r="A22" s="453" t="s">
        <v>111</v>
      </c>
      <c r="B22" s="453"/>
      <c r="C22" s="165">
        <v>0</v>
      </c>
      <c r="D22" s="165">
        <v>0</v>
      </c>
      <c r="E22" s="125">
        <f t="shared" si="3"/>
        <v>0</v>
      </c>
      <c r="F22" s="532">
        <f>'0664'!F22:G22</f>
        <v>5.4009999999999998</v>
      </c>
      <c r="G22" s="532"/>
      <c r="H22" s="83">
        <f t="shared" si="4"/>
        <v>0</v>
      </c>
      <c r="I22" s="104">
        <f t="shared" si="0"/>
        <v>0</v>
      </c>
      <c r="N22" s="479" t="s">
        <v>111</v>
      </c>
      <c r="O22" s="479"/>
      <c r="P22" s="513">
        <f t="shared" si="1"/>
        <v>0</v>
      </c>
      <c r="Q22" s="513"/>
      <c r="R22" s="517">
        <v>1</v>
      </c>
      <c r="S22" s="517"/>
      <c r="T22" s="98">
        <f t="shared" si="5"/>
        <v>0</v>
      </c>
      <c r="U22" s="99">
        <f t="shared" si="2"/>
        <v>0</v>
      </c>
    </row>
    <row r="23" spans="1:21" x14ac:dyDescent="0.25">
      <c r="A23" s="453" t="s">
        <v>112</v>
      </c>
      <c r="B23" s="453"/>
      <c r="C23" s="165">
        <v>0</v>
      </c>
      <c r="D23" s="165">
        <v>0</v>
      </c>
      <c r="E23" s="125">
        <f t="shared" si="3"/>
        <v>0</v>
      </c>
      <c r="F23" s="532">
        <f>'0664'!F23:G23</f>
        <v>5.4009999999999998</v>
      </c>
      <c r="G23" s="532"/>
      <c r="H23" s="83">
        <f t="shared" si="4"/>
        <v>0</v>
      </c>
      <c r="I23" s="104">
        <f t="shared" si="0"/>
        <v>0</v>
      </c>
      <c r="N23" s="479" t="s">
        <v>112</v>
      </c>
      <c r="O23" s="479"/>
      <c r="P23" s="513">
        <f t="shared" si="1"/>
        <v>0</v>
      </c>
      <c r="Q23" s="513"/>
      <c r="R23" s="517">
        <v>1</v>
      </c>
      <c r="S23" s="517"/>
      <c r="T23" s="98">
        <f t="shared" si="5"/>
        <v>0</v>
      </c>
      <c r="U23" s="99">
        <f t="shared" si="2"/>
        <v>0</v>
      </c>
    </row>
    <row r="24" spans="1:21" x14ac:dyDescent="0.25">
      <c r="A24" s="453" t="s">
        <v>113</v>
      </c>
      <c r="B24" s="453"/>
      <c r="C24" s="165">
        <v>0</v>
      </c>
      <c r="D24" s="165">
        <v>0</v>
      </c>
      <c r="E24" s="125">
        <f t="shared" si="3"/>
        <v>0</v>
      </c>
      <c r="F24" s="532">
        <f>'0664'!F24:G24</f>
        <v>5.4009999999999998</v>
      </c>
      <c r="G24" s="532"/>
      <c r="H24" s="83">
        <f t="shared" si="4"/>
        <v>0</v>
      </c>
      <c r="I24" s="104">
        <f t="shared" si="0"/>
        <v>0</v>
      </c>
      <c r="N24" s="479" t="s">
        <v>113</v>
      </c>
      <c r="O24" s="479"/>
      <c r="P24" s="513">
        <f t="shared" si="1"/>
        <v>0</v>
      </c>
      <c r="Q24" s="513"/>
      <c r="R24" s="517">
        <v>1</v>
      </c>
      <c r="S24" s="517"/>
      <c r="T24" s="98">
        <f t="shared" si="5"/>
        <v>0</v>
      </c>
      <c r="U24" s="99">
        <f t="shared" si="2"/>
        <v>0</v>
      </c>
    </row>
    <row r="25" spans="1:21" x14ac:dyDescent="0.25">
      <c r="A25" s="453" t="s">
        <v>114</v>
      </c>
      <c r="B25" s="453"/>
      <c r="C25" s="165">
        <v>0.92</v>
      </c>
      <c r="D25" s="165">
        <v>0.92</v>
      </c>
      <c r="E25" s="125">
        <f t="shared" si="3"/>
        <v>1.84</v>
      </c>
      <c r="F25" s="532">
        <f>'0664'!F25:G25</f>
        <v>1.206</v>
      </c>
      <c r="G25" s="532"/>
      <c r="H25" s="83">
        <f t="shared" si="4"/>
        <v>2.2189999999999999</v>
      </c>
      <c r="I25" s="104">
        <f t="shared" si="0"/>
        <v>10625.3</v>
      </c>
      <c r="N25" s="479" t="s">
        <v>114</v>
      </c>
      <c r="O25" s="479"/>
      <c r="P25" s="513">
        <f t="shared" si="1"/>
        <v>0</v>
      </c>
      <c r="Q25" s="513"/>
      <c r="R25" s="517">
        <v>1</v>
      </c>
      <c r="S25" s="517"/>
      <c r="T25" s="98">
        <f t="shared" si="5"/>
        <v>0</v>
      </c>
      <c r="U25" s="99">
        <f t="shared" si="2"/>
        <v>0</v>
      </c>
    </row>
    <row r="26" spans="1:21" x14ac:dyDescent="0.25">
      <c r="A26" s="453" t="s">
        <v>115</v>
      </c>
      <c r="B26" s="453"/>
      <c r="C26" s="165">
        <v>2.5</v>
      </c>
      <c r="D26" s="165">
        <v>0.42</v>
      </c>
      <c r="E26" s="125">
        <f t="shared" si="3"/>
        <v>2.92</v>
      </c>
      <c r="F26" s="532">
        <f>'0664'!F26:G26</f>
        <v>1.206</v>
      </c>
      <c r="G26" s="532"/>
      <c r="H26" s="83">
        <f t="shared" si="4"/>
        <v>3.5215000000000001</v>
      </c>
      <c r="I26" s="104">
        <f t="shared" si="0"/>
        <v>16862.099999999999</v>
      </c>
      <c r="N26" s="479" t="s">
        <v>115</v>
      </c>
      <c r="O26" s="479"/>
      <c r="P26" s="513">
        <f t="shared" si="1"/>
        <v>0</v>
      </c>
      <c r="Q26" s="513"/>
      <c r="R26" s="517">
        <v>1</v>
      </c>
      <c r="S26" s="517"/>
      <c r="T26" s="98">
        <f t="shared" si="5"/>
        <v>0</v>
      </c>
      <c r="U26" s="99">
        <f t="shared" si="2"/>
        <v>0</v>
      </c>
    </row>
    <row r="27" spans="1:21" x14ac:dyDescent="0.25">
      <c r="A27" s="453" t="s">
        <v>116</v>
      </c>
      <c r="B27" s="453"/>
      <c r="C27" s="165">
        <v>0</v>
      </c>
      <c r="D27" s="165">
        <v>0</v>
      </c>
      <c r="E27" s="125">
        <f t="shared" si="3"/>
        <v>0</v>
      </c>
      <c r="F27" s="532">
        <f>'0664'!F27:G27</f>
        <v>1.206</v>
      </c>
      <c r="G27" s="532"/>
      <c r="H27" s="83">
        <f t="shared" si="4"/>
        <v>0</v>
      </c>
      <c r="I27" s="104">
        <f t="shared" si="0"/>
        <v>0</v>
      </c>
      <c r="N27" s="479" t="s">
        <v>116</v>
      </c>
      <c r="O27" s="479"/>
      <c r="P27" s="513">
        <f t="shared" si="1"/>
        <v>0</v>
      </c>
      <c r="Q27" s="513"/>
      <c r="R27" s="517">
        <v>1</v>
      </c>
      <c r="S27" s="517"/>
      <c r="T27" s="98">
        <f t="shared" si="5"/>
        <v>0</v>
      </c>
      <c r="U27" s="99">
        <f t="shared" si="2"/>
        <v>0</v>
      </c>
    </row>
    <row r="28" spans="1:21" x14ac:dyDescent="0.25">
      <c r="A28" s="453" t="s">
        <v>117</v>
      </c>
      <c r="B28" s="453"/>
      <c r="C28" s="116">
        <v>0</v>
      </c>
      <c r="D28" s="116">
        <v>0</v>
      </c>
      <c r="E28" s="177">
        <f t="shared" si="3"/>
        <v>0</v>
      </c>
      <c r="F28" s="532">
        <f>'0664'!F28:G28</f>
        <v>0.999</v>
      </c>
      <c r="G28" s="532"/>
      <c r="H28" s="96">
        <f t="shared" si="4"/>
        <v>0</v>
      </c>
      <c r="I28" s="97">
        <f t="shared" si="0"/>
        <v>0</v>
      </c>
      <c r="N28" s="482" t="s">
        <v>117</v>
      </c>
      <c r="O28" s="482"/>
      <c r="P28" s="513">
        <f t="shared" si="1"/>
        <v>0</v>
      </c>
      <c r="Q28" s="513"/>
      <c r="R28" s="514">
        <v>1</v>
      </c>
      <c r="S28" s="514"/>
      <c r="T28" s="98">
        <f t="shared" si="5"/>
        <v>0</v>
      </c>
      <c r="U28" s="99">
        <f t="shared" si="2"/>
        <v>0</v>
      </c>
    </row>
    <row r="29" spans="1:21" x14ac:dyDescent="0.25">
      <c r="A29" s="461" t="s">
        <v>5</v>
      </c>
      <c r="B29" s="461"/>
      <c r="C29" s="97">
        <f>SUM(C13:C28)</f>
        <v>133.49999999999997</v>
      </c>
      <c r="D29" s="97">
        <f>SUM(D13:D28)</f>
        <v>130.67999999999998</v>
      </c>
      <c r="E29" s="97">
        <f>SUM(E13:E28)</f>
        <v>264.18</v>
      </c>
      <c r="F29" s="457"/>
      <c r="G29" s="457"/>
      <c r="H29" s="102">
        <f>SUM(H13:H28)</f>
        <v>279.75639999999999</v>
      </c>
      <c r="I29" s="97">
        <f>SUM(I13:I28)</f>
        <v>1339565.4300000002</v>
      </c>
      <c r="N29" s="515" t="s">
        <v>5</v>
      </c>
      <c r="O29" s="515"/>
      <c r="P29" s="516">
        <f>SUM(P13:P28)</f>
        <v>0</v>
      </c>
      <c r="Q29" s="516"/>
      <c r="R29" s="508"/>
      <c r="S29" s="508"/>
      <c r="T29" s="103">
        <f>SUM(T13:T28)</f>
        <v>0</v>
      </c>
      <c r="U29" s="99">
        <f>SUM(U13:U28)</f>
        <v>0</v>
      </c>
    </row>
    <row r="30" spans="1:21" x14ac:dyDescent="0.25">
      <c r="A30" s="27"/>
      <c r="B30" s="27"/>
      <c r="C30" s="104"/>
      <c r="D30" s="104"/>
      <c r="E30" s="104"/>
      <c r="F30" s="28"/>
      <c r="G30" s="28"/>
      <c r="H30" s="83"/>
      <c r="I30" s="104"/>
      <c r="N30" s="29"/>
      <c r="O30" s="29"/>
      <c r="P30" s="30"/>
      <c r="Q30" s="30"/>
      <c r="R30" s="31"/>
      <c r="S30" s="31"/>
      <c r="T30" s="105"/>
      <c r="U30" s="106"/>
    </row>
    <row r="31" spans="1:21" x14ac:dyDescent="0.25">
      <c r="A31" s="168" t="s">
        <v>97</v>
      </c>
      <c r="B31" s="27"/>
      <c r="C31" s="104"/>
      <c r="D31" s="104"/>
      <c r="E31" s="104"/>
      <c r="F31" s="28"/>
      <c r="G31" s="28"/>
      <c r="H31" s="83"/>
      <c r="I31" s="104"/>
      <c r="N31" s="29"/>
      <c r="O31" s="29"/>
      <c r="P31" s="30"/>
      <c r="Q31" s="30"/>
      <c r="R31" s="31"/>
      <c r="S31" s="31"/>
      <c r="T31" s="105"/>
      <c r="U31" s="106"/>
    </row>
    <row r="32" spans="1:21" hidden="1" x14ac:dyDescent="0.25">
      <c r="A32" s="168"/>
      <c r="B32" s="27"/>
      <c r="C32" s="104"/>
      <c r="D32" s="104"/>
      <c r="E32" s="104"/>
      <c r="F32" s="28"/>
      <c r="G32" s="28"/>
      <c r="H32" s="83"/>
      <c r="I32" s="104"/>
      <c r="N32" s="29"/>
      <c r="O32" s="29"/>
      <c r="P32" s="30"/>
      <c r="Q32" s="30"/>
      <c r="R32" s="31"/>
      <c r="S32" s="31"/>
      <c r="T32" s="105"/>
      <c r="U32" s="106"/>
    </row>
    <row r="33" spans="1:21" hidden="1" x14ac:dyDescent="0.25">
      <c r="A33" s="168"/>
      <c r="B33" s="27"/>
      <c r="C33" s="104"/>
      <c r="D33" s="104"/>
      <c r="E33" s="104"/>
      <c r="F33" s="541" t="s">
        <v>282</v>
      </c>
      <c r="G33" s="541"/>
      <c r="H33" s="541"/>
      <c r="I33" s="104"/>
      <c r="N33" s="29"/>
      <c r="O33" s="29"/>
      <c r="P33" s="30"/>
      <c r="Q33" s="30"/>
      <c r="R33" s="31"/>
      <c r="S33" s="31"/>
      <c r="T33" s="105"/>
      <c r="U33" s="106"/>
    </row>
    <row r="34" spans="1:21" hidden="1" x14ac:dyDescent="0.25">
      <c r="A34" s="3"/>
      <c r="B34" s="72"/>
      <c r="C34" s="72"/>
      <c r="D34" s="72"/>
      <c r="E34" s="72"/>
      <c r="F34" s="541"/>
      <c r="G34" s="541"/>
      <c r="H34" s="541"/>
      <c r="I34" s="25" t="s">
        <v>74</v>
      </c>
      <c r="N34" s="485" t="s">
        <v>35</v>
      </c>
      <c r="O34" s="485"/>
      <c r="P34" s="485"/>
      <c r="Q34" s="485"/>
      <c r="R34" s="485"/>
      <c r="S34" s="485"/>
      <c r="T34" s="485"/>
      <c r="U34" s="26" t="s">
        <v>74</v>
      </c>
    </row>
    <row r="35" spans="1:21" hidden="1" x14ac:dyDescent="0.25">
      <c r="A35" s="27"/>
      <c r="B35" s="27"/>
      <c r="C35" s="91" t="s">
        <v>124</v>
      </c>
      <c r="D35" s="91" t="s">
        <v>125</v>
      </c>
      <c r="E35" s="92" t="s">
        <v>8</v>
      </c>
      <c r="F35" s="541"/>
      <c r="G35" s="541"/>
      <c r="H35" s="541"/>
      <c r="I35" s="25" t="s">
        <v>36</v>
      </c>
      <c r="N35" s="29"/>
      <c r="O35" s="29"/>
      <c r="P35" s="30"/>
      <c r="Q35" s="30"/>
      <c r="R35" s="31"/>
      <c r="S35" s="31"/>
      <c r="T35" s="105"/>
      <c r="U35" s="26" t="s">
        <v>36</v>
      </c>
    </row>
    <row r="36" spans="1:21" hidden="1" x14ac:dyDescent="0.25">
      <c r="A36" s="447" t="s">
        <v>63</v>
      </c>
      <c r="B36" s="447"/>
      <c r="C36" s="93" t="s">
        <v>2</v>
      </c>
      <c r="D36" s="93" t="s">
        <v>2</v>
      </c>
      <c r="E36" s="93" t="s">
        <v>2</v>
      </c>
      <c r="F36" s="542"/>
      <c r="G36" s="542"/>
      <c r="H36" s="542"/>
      <c r="I36" s="32" t="s">
        <v>75</v>
      </c>
      <c r="N36" s="510" t="s">
        <v>63</v>
      </c>
      <c r="O36" s="510"/>
      <c r="P36" s="511" t="s">
        <v>24</v>
      </c>
      <c r="Q36" s="511"/>
      <c r="R36" s="511"/>
      <c r="S36" s="511"/>
      <c r="T36" s="511"/>
      <c r="U36" s="20" t="s">
        <v>75</v>
      </c>
    </row>
    <row r="37" spans="1:21" hidden="1" x14ac:dyDescent="0.25">
      <c r="A37" s="451" t="s">
        <v>56</v>
      </c>
      <c r="B37" s="451"/>
      <c r="C37" s="169">
        <v>0</v>
      </c>
      <c r="D37" s="169">
        <v>0</v>
      </c>
      <c r="E37" s="210">
        <f t="shared" ref="E37:E42" si="6">IF(D$43=0,C37*2,C37+D37)</f>
        <v>0</v>
      </c>
      <c r="F37" s="170"/>
      <c r="G37" s="170"/>
      <c r="H37" s="170"/>
      <c r="I37" s="119">
        <f t="shared" ref="I37:I42" si="7">ROUND(ROUND(E37*$C$8,4)*($H$8),2)</f>
        <v>0</v>
      </c>
      <c r="N37" s="512" t="s">
        <v>56</v>
      </c>
      <c r="O37" s="512"/>
      <c r="P37" s="483">
        <f t="shared" ref="P37:P42" si="8">IF($H$120=1,E37,0)</f>
        <v>0</v>
      </c>
      <c r="Q37" s="483"/>
      <c r="R37" s="483"/>
      <c r="S37" s="483"/>
      <c r="T37" s="483"/>
      <c r="U37" s="101">
        <f t="shared" ref="U37:U42" si="9">ROUND(ROUND(P37*$C$8,4)*($H$8),0)</f>
        <v>0</v>
      </c>
    </row>
    <row r="38" spans="1:21" hidden="1" x14ac:dyDescent="0.25">
      <c r="A38" s="453" t="s">
        <v>57</v>
      </c>
      <c r="B38" s="453"/>
      <c r="C38" s="172">
        <v>0</v>
      </c>
      <c r="D38" s="172">
        <v>0</v>
      </c>
      <c r="E38" s="125">
        <f t="shared" si="6"/>
        <v>0</v>
      </c>
      <c r="F38" s="173"/>
      <c r="G38" s="173"/>
      <c r="H38" s="173"/>
      <c r="I38" s="104">
        <f t="shared" si="7"/>
        <v>0</v>
      </c>
      <c r="N38" s="479" t="s">
        <v>57</v>
      </c>
      <c r="O38" s="479"/>
      <c r="P38" s="483">
        <f t="shared" si="8"/>
        <v>0</v>
      </c>
      <c r="Q38" s="483"/>
      <c r="R38" s="483"/>
      <c r="S38" s="483"/>
      <c r="T38" s="483"/>
      <c r="U38" s="101">
        <f t="shared" si="9"/>
        <v>0</v>
      </c>
    </row>
    <row r="39" spans="1:21" hidden="1" x14ac:dyDescent="0.25">
      <c r="A39" s="458" t="s">
        <v>58</v>
      </c>
      <c r="B39" s="458"/>
      <c r="C39" s="172">
        <v>0</v>
      </c>
      <c r="D39" s="172">
        <v>0</v>
      </c>
      <c r="E39" s="125">
        <f t="shared" si="6"/>
        <v>0</v>
      </c>
      <c r="F39" s="173"/>
      <c r="G39" s="173"/>
      <c r="H39" s="173"/>
      <c r="I39" s="104">
        <f t="shared" si="7"/>
        <v>0</v>
      </c>
      <c r="N39" s="509" t="s">
        <v>58</v>
      </c>
      <c r="O39" s="509"/>
      <c r="P39" s="483">
        <f t="shared" si="8"/>
        <v>0</v>
      </c>
      <c r="Q39" s="483"/>
      <c r="R39" s="483"/>
      <c r="S39" s="483"/>
      <c r="T39" s="483"/>
      <c r="U39" s="101">
        <f t="shared" si="9"/>
        <v>0</v>
      </c>
    </row>
    <row r="40" spans="1:21" hidden="1" x14ac:dyDescent="0.25">
      <c r="A40" s="453" t="s">
        <v>59</v>
      </c>
      <c r="B40" s="453"/>
      <c r="C40" s="172">
        <v>0</v>
      </c>
      <c r="D40" s="172">
        <v>0</v>
      </c>
      <c r="E40" s="125">
        <f t="shared" si="6"/>
        <v>0</v>
      </c>
      <c r="F40" s="173"/>
      <c r="G40" s="173"/>
      <c r="H40" s="173"/>
      <c r="I40" s="104">
        <f t="shared" si="7"/>
        <v>0</v>
      </c>
      <c r="N40" s="479" t="s">
        <v>59</v>
      </c>
      <c r="O40" s="479"/>
      <c r="P40" s="483">
        <f t="shared" si="8"/>
        <v>0</v>
      </c>
      <c r="Q40" s="483"/>
      <c r="R40" s="483"/>
      <c r="S40" s="483"/>
      <c r="T40" s="483"/>
      <c r="U40" s="101">
        <f t="shared" si="9"/>
        <v>0</v>
      </c>
    </row>
    <row r="41" spans="1:21" hidden="1" x14ac:dyDescent="0.25">
      <c r="A41" s="453" t="s">
        <v>60</v>
      </c>
      <c r="B41" s="453"/>
      <c r="C41" s="172">
        <v>0</v>
      </c>
      <c r="D41" s="172">
        <v>0</v>
      </c>
      <c r="E41" s="125">
        <f t="shared" si="6"/>
        <v>0</v>
      </c>
      <c r="F41" s="173"/>
      <c r="G41" s="173"/>
      <c r="H41" s="173"/>
      <c r="I41" s="104">
        <f t="shared" si="7"/>
        <v>0</v>
      </c>
      <c r="N41" s="479" t="s">
        <v>60</v>
      </c>
      <c r="O41" s="479"/>
      <c r="P41" s="483">
        <f t="shared" si="8"/>
        <v>0</v>
      </c>
      <c r="Q41" s="483"/>
      <c r="R41" s="483"/>
      <c r="S41" s="483"/>
      <c r="T41" s="483"/>
      <c r="U41" s="101">
        <f t="shared" si="9"/>
        <v>0</v>
      </c>
    </row>
    <row r="42" spans="1:21" hidden="1" x14ac:dyDescent="0.25">
      <c r="A42" s="453" t="s">
        <v>52</v>
      </c>
      <c r="B42" s="453"/>
      <c r="C42" s="171">
        <v>0</v>
      </c>
      <c r="D42" s="171">
        <v>0</v>
      </c>
      <c r="E42" s="177">
        <f t="shared" si="6"/>
        <v>0</v>
      </c>
      <c r="F42" s="173"/>
      <c r="G42" s="173"/>
      <c r="H42" s="173"/>
      <c r="I42" s="97">
        <f t="shared" si="7"/>
        <v>0</v>
      </c>
      <c r="N42" s="482" t="s">
        <v>52</v>
      </c>
      <c r="O42" s="482"/>
      <c r="P42" s="483">
        <f t="shared" si="8"/>
        <v>0</v>
      </c>
      <c r="Q42" s="483"/>
      <c r="R42" s="483"/>
      <c r="S42" s="483"/>
      <c r="T42" s="483"/>
      <c r="U42" s="101">
        <f t="shared" si="9"/>
        <v>0</v>
      </c>
    </row>
    <row r="43" spans="1:21" hidden="1" x14ac:dyDescent="0.25">
      <c r="A43" s="3"/>
      <c r="B43" s="55" t="s">
        <v>126</v>
      </c>
      <c r="C43" s="100">
        <f>SUM(C37:C42)</f>
        <v>0</v>
      </c>
      <c r="D43" s="100">
        <f>SUM(D37:D42)</f>
        <v>0</v>
      </c>
      <c r="E43" s="100">
        <f>SUM(E37:E42)</f>
        <v>0</v>
      </c>
      <c r="F43" s="33"/>
      <c r="G43" s="109"/>
      <c r="H43" s="110" t="s">
        <v>128</v>
      </c>
      <c r="I43" s="100">
        <f>SUM(I37:I42)</f>
        <v>0</v>
      </c>
      <c r="N43" s="480" t="s">
        <v>54</v>
      </c>
      <c r="O43" s="480"/>
      <c r="P43" s="480"/>
      <c r="Q43" s="480"/>
      <c r="R43" s="34">
        <f>SUM(P37:R42)</f>
        <v>0</v>
      </c>
      <c r="S43" s="508" t="s">
        <v>64</v>
      </c>
      <c r="T43" s="508"/>
      <c r="U43" s="106">
        <f>SUM(U37:U42)</f>
        <v>0</v>
      </c>
    </row>
    <row r="44" spans="1:21" ht="16.5" hidden="1" thickBot="1" x14ac:dyDescent="0.3">
      <c r="A44" s="3"/>
      <c r="B44" s="55"/>
      <c r="C44" s="104"/>
      <c r="D44" s="104"/>
      <c r="E44" s="119"/>
      <c r="F44" s="33"/>
      <c r="G44" s="109"/>
      <c r="H44" s="110"/>
      <c r="I44" s="104"/>
      <c r="N44" s="29"/>
      <c r="O44" s="29"/>
      <c r="P44" s="29"/>
      <c r="Q44" s="29"/>
      <c r="R44" s="34"/>
      <c r="S44" s="31"/>
      <c r="T44" s="31"/>
      <c r="U44" s="106"/>
    </row>
    <row r="45" spans="1:21" ht="16.5" hidden="1" thickBot="1" x14ac:dyDescent="0.3">
      <c r="A45" s="3"/>
      <c r="B45" s="55" t="s">
        <v>127</v>
      </c>
      <c r="E45" s="174">
        <f>H29+E43</f>
        <v>279.75639999999999</v>
      </c>
      <c r="F45" s="35"/>
      <c r="G45" s="109"/>
      <c r="H45" s="110" t="s">
        <v>129</v>
      </c>
      <c r="I45" s="97">
        <f>SUM(I43,I29)</f>
        <v>1339565.4300000002</v>
      </c>
      <c r="N45" s="480" t="s">
        <v>55</v>
      </c>
      <c r="O45" s="480"/>
      <c r="P45" s="480"/>
      <c r="Q45" s="480"/>
      <c r="R45" s="36">
        <f>R43+T29</f>
        <v>0</v>
      </c>
      <c r="S45" s="508" t="s">
        <v>53</v>
      </c>
      <c r="T45" s="508"/>
      <c r="U45" s="111">
        <f>SUM(U43,U29)</f>
        <v>0</v>
      </c>
    </row>
    <row r="46" spans="1:21" hidden="1" x14ac:dyDescent="0.25">
      <c r="A46" s="27"/>
      <c r="B46" s="27"/>
      <c r="C46" s="27"/>
      <c r="D46" s="27"/>
      <c r="E46" s="27"/>
      <c r="F46" s="35"/>
      <c r="G46" s="28"/>
      <c r="H46" s="28"/>
      <c r="I46" s="104"/>
      <c r="N46" s="29"/>
      <c r="O46" s="29"/>
      <c r="P46" s="29"/>
      <c r="Q46" s="29"/>
      <c r="R46" s="36"/>
      <c r="S46" s="31"/>
      <c r="T46" s="31"/>
      <c r="U46" s="106"/>
    </row>
    <row r="47" spans="1:21" x14ac:dyDescent="0.25">
      <c r="A47" s="27"/>
      <c r="B47" s="55" t="s">
        <v>370</v>
      </c>
      <c r="C47" s="41" t="s">
        <v>370</v>
      </c>
      <c r="D47" s="91" t="s">
        <v>370</v>
      </c>
      <c r="E47" s="27"/>
      <c r="F47" s="35"/>
      <c r="G47" s="28"/>
      <c r="H47" s="28"/>
      <c r="I47" s="104"/>
      <c r="N47" s="29"/>
      <c r="O47" s="29"/>
      <c r="P47" s="29"/>
      <c r="Q47" s="29"/>
      <c r="R47" s="36"/>
      <c r="S47" s="31"/>
      <c r="T47" s="31"/>
      <c r="U47" s="106"/>
    </row>
    <row r="48" spans="1:21" x14ac:dyDescent="0.25">
      <c r="A48" s="27"/>
      <c r="B48" s="27"/>
      <c r="C48" s="91" t="s">
        <v>463</v>
      </c>
      <c r="D48" s="371" t="s">
        <v>464</v>
      </c>
      <c r="E48" s="92" t="s">
        <v>8</v>
      </c>
      <c r="F48" s="49" t="s">
        <v>130</v>
      </c>
      <c r="G48" s="112" t="s">
        <v>132</v>
      </c>
      <c r="H48" s="113" t="s">
        <v>133</v>
      </c>
      <c r="I48" s="104"/>
      <c r="N48" s="29"/>
      <c r="O48" s="29"/>
      <c r="P48" s="29"/>
      <c r="Q48" s="29"/>
      <c r="R48" s="36"/>
      <c r="S48" s="31"/>
      <c r="T48" s="31"/>
      <c r="U48" s="106"/>
    </row>
    <row r="49" spans="1:21" x14ac:dyDescent="0.25">
      <c r="A49" s="37" t="s">
        <v>87</v>
      </c>
      <c r="B49" s="37"/>
      <c r="C49" s="362" t="s">
        <v>2</v>
      </c>
      <c r="D49" s="362" t="s">
        <v>2</v>
      </c>
      <c r="E49" s="362" t="s">
        <v>2</v>
      </c>
      <c r="F49" s="95" t="s">
        <v>131</v>
      </c>
      <c r="G49" s="62" t="s">
        <v>131</v>
      </c>
      <c r="H49" s="114" t="s">
        <v>134</v>
      </c>
      <c r="I49" s="37"/>
      <c r="N49" s="482" t="s">
        <v>87</v>
      </c>
      <c r="O49" s="482"/>
      <c r="P49" s="503" t="s">
        <v>2</v>
      </c>
      <c r="Q49" s="503"/>
      <c r="R49" s="38" t="s">
        <v>25</v>
      </c>
      <c r="S49" s="63" t="s">
        <v>26</v>
      </c>
      <c r="T49" s="115" t="s">
        <v>27</v>
      </c>
      <c r="U49" s="38"/>
    </row>
    <row r="50" spans="1:21" x14ac:dyDescent="0.25">
      <c r="A50" s="459" t="s">
        <v>98</v>
      </c>
      <c r="B50" s="459"/>
      <c r="C50" s="165">
        <v>7</v>
      </c>
      <c r="D50" s="165">
        <v>7.91</v>
      </c>
      <c r="E50" s="125">
        <f>IF(D$59=0,C50*2,C50+D50)</f>
        <v>14.91</v>
      </c>
      <c r="F50" s="39" t="s">
        <v>21</v>
      </c>
      <c r="G50" s="39">
        <v>251</v>
      </c>
      <c r="H50" s="321">
        <f>'0664'!H50</f>
        <v>1047</v>
      </c>
      <c r="I50" s="104">
        <f>ROUND(E50*H50,2)</f>
        <v>15610.77</v>
      </c>
      <c r="N50" s="504" t="s">
        <v>28</v>
      </c>
      <c r="O50" s="504"/>
      <c r="P50" s="505"/>
      <c r="Q50" s="505"/>
      <c r="R50" s="40" t="s">
        <v>21</v>
      </c>
      <c r="S50" s="40">
        <v>251</v>
      </c>
      <c r="T50" s="117">
        <f>H50</f>
        <v>1047</v>
      </c>
      <c r="U50" s="118">
        <f>ROUND(P50*T50,0)</f>
        <v>0</v>
      </c>
    </row>
    <row r="51" spans="1:21" x14ac:dyDescent="0.25">
      <c r="A51" s="460"/>
      <c r="B51" s="460"/>
      <c r="C51" s="165">
        <v>0</v>
      </c>
      <c r="D51" s="165">
        <v>0</v>
      </c>
      <c r="E51" s="125">
        <f t="shared" ref="E51:E58" si="10">IF(D$59=0,C51*2,C51+D51)</f>
        <v>0</v>
      </c>
      <c r="F51" s="39" t="s">
        <v>21</v>
      </c>
      <c r="G51" s="39">
        <v>252</v>
      </c>
      <c r="H51" s="321">
        <f>'0664'!H51</f>
        <v>3380</v>
      </c>
      <c r="I51" s="104">
        <f t="shared" ref="I51:I58" si="11">ROUND(E51*H51,2)</f>
        <v>0</v>
      </c>
      <c r="N51" s="504"/>
      <c r="O51" s="504"/>
      <c r="P51" s="506"/>
      <c r="Q51" s="506"/>
      <c r="R51" s="40" t="s">
        <v>21</v>
      </c>
      <c r="S51" s="40">
        <v>252</v>
      </c>
      <c r="T51" s="117">
        <f t="shared" ref="T51:T58" si="12">H51</f>
        <v>3380</v>
      </c>
      <c r="U51" s="118">
        <f t="shared" ref="U51:U58" si="13">ROUND(P51*T51,0)</f>
        <v>0</v>
      </c>
    </row>
    <row r="52" spans="1:21" x14ac:dyDescent="0.25">
      <c r="A52" s="460"/>
      <c r="B52" s="460"/>
      <c r="C52" s="165">
        <v>0</v>
      </c>
      <c r="D52" s="165">
        <v>0</v>
      </c>
      <c r="E52" s="125">
        <f t="shared" si="10"/>
        <v>0</v>
      </c>
      <c r="F52" s="39" t="s">
        <v>21</v>
      </c>
      <c r="G52" s="39">
        <v>253</v>
      </c>
      <c r="H52" s="321">
        <f>'0664'!H52</f>
        <v>6896</v>
      </c>
      <c r="I52" s="104">
        <f t="shared" si="11"/>
        <v>0</v>
      </c>
      <c r="N52" s="504"/>
      <c r="O52" s="504"/>
      <c r="P52" s="506"/>
      <c r="Q52" s="506"/>
      <c r="R52" s="40" t="s">
        <v>21</v>
      </c>
      <c r="S52" s="40">
        <v>253</v>
      </c>
      <c r="T52" s="117">
        <f t="shared" si="12"/>
        <v>6896</v>
      </c>
      <c r="U52" s="118">
        <f t="shared" si="13"/>
        <v>0</v>
      </c>
    </row>
    <row r="53" spans="1:21" x14ac:dyDescent="0.25">
      <c r="A53" s="460"/>
      <c r="B53" s="460"/>
      <c r="C53" s="165">
        <v>12</v>
      </c>
      <c r="D53" s="165">
        <v>11</v>
      </c>
      <c r="E53" s="125">
        <f t="shared" si="10"/>
        <v>23</v>
      </c>
      <c r="F53" s="41" t="s">
        <v>14</v>
      </c>
      <c r="G53" s="39">
        <v>251</v>
      </c>
      <c r="H53" s="321">
        <f>'0664'!H53</f>
        <v>1173</v>
      </c>
      <c r="I53" s="104">
        <f t="shared" si="11"/>
        <v>26979</v>
      </c>
      <c r="N53" s="504"/>
      <c r="O53" s="504"/>
      <c r="P53" s="506"/>
      <c r="Q53" s="506"/>
      <c r="R53" s="42" t="s">
        <v>14</v>
      </c>
      <c r="S53" s="40">
        <v>251</v>
      </c>
      <c r="T53" s="117">
        <f t="shared" si="12"/>
        <v>1173</v>
      </c>
      <c r="U53" s="118">
        <f t="shared" si="13"/>
        <v>0</v>
      </c>
    </row>
    <row r="54" spans="1:21" x14ac:dyDescent="0.25">
      <c r="A54" s="460"/>
      <c r="B54" s="460"/>
      <c r="C54" s="165">
        <v>0</v>
      </c>
      <c r="D54" s="165">
        <v>0</v>
      </c>
      <c r="E54" s="125">
        <f>IF(D$59=0,C54*2,C54+D54)</f>
        <v>0</v>
      </c>
      <c r="F54" s="41" t="s">
        <v>14</v>
      </c>
      <c r="G54" s="39">
        <v>252</v>
      </c>
      <c r="H54" s="321">
        <f>'0664'!H54</f>
        <v>3506</v>
      </c>
      <c r="I54" s="104">
        <f t="shared" si="11"/>
        <v>0</v>
      </c>
      <c r="N54" s="504"/>
      <c r="O54" s="504"/>
      <c r="P54" s="506"/>
      <c r="Q54" s="506"/>
      <c r="R54" s="42" t="s">
        <v>14</v>
      </c>
      <c r="S54" s="40">
        <v>252</v>
      </c>
      <c r="T54" s="117">
        <f t="shared" si="12"/>
        <v>3506</v>
      </c>
      <c r="U54" s="118">
        <f t="shared" si="13"/>
        <v>0</v>
      </c>
    </row>
    <row r="55" spans="1:21" x14ac:dyDescent="0.25">
      <c r="A55" s="460"/>
      <c r="B55" s="460"/>
      <c r="C55" s="165">
        <v>0</v>
      </c>
      <c r="D55" s="165">
        <v>0</v>
      </c>
      <c r="E55" s="125">
        <f t="shared" si="10"/>
        <v>0</v>
      </c>
      <c r="F55" s="41" t="s">
        <v>14</v>
      </c>
      <c r="G55" s="39">
        <v>253</v>
      </c>
      <c r="H55" s="321">
        <f>'0664'!H55</f>
        <v>7023</v>
      </c>
      <c r="I55" s="104">
        <f t="shared" si="11"/>
        <v>0</v>
      </c>
      <c r="N55" s="504"/>
      <c r="O55" s="504"/>
      <c r="P55" s="506"/>
      <c r="Q55" s="506"/>
      <c r="R55" s="42" t="s">
        <v>14</v>
      </c>
      <c r="S55" s="40">
        <v>253</v>
      </c>
      <c r="T55" s="117">
        <f t="shared" si="12"/>
        <v>7023</v>
      </c>
      <c r="U55" s="118">
        <f t="shared" si="13"/>
        <v>0</v>
      </c>
    </row>
    <row r="56" spans="1:21" x14ac:dyDescent="0.25">
      <c r="A56" s="460"/>
      <c r="B56" s="460"/>
      <c r="C56" s="165">
        <v>0</v>
      </c>
      <c r="D56" s="165">
        <v>0</v>
      </c>
      <c r="E56" s="125">
        <f t="shared" si="10"/>
        <v>0</v>
      </c>
      <c r="F56" s="41" t="s">
        <v>15</v>
      </c>
      <c r="G56" s="39">
        <v>251</v>
      </c>
      <c r="H56" s="321">
        <f>'0664'!H56</f>
        <v>835</v>
      </c>
      <c r="I56" s="104">
        <f t="shared" si="11"/>
        <v>0</v>
      </c>
      <c r="N56" s="504"/>
      <c r="O56" s="504"/>
      <c r="P56" s="506"/>
      <c r="Q56" s="506"/>
      <c r="R56" s="42" t="s">
        <v>15</v>
      </c>
      <c r="S56" s="40">
        <v>251</v>
      </c>
      <c r="T56" s="117">
        <f t="shared" si="12"/>
        <v>835</v>
      </c>
      <c r="U56" s="118">
        <f t="shared" si="13"/>
        <v>0</v>
      </c>
    </row>
    <row r="57" spans="1:21" x14ac:dyDescent="0.25">
      <c r="A57" s="460"/>
      <c r="B57" s="460"/>
      <c r="C57" s="165">
        <v>0</v>
      </c>
      <c r="D57" s="165">
        <v>0</v>
      </c>
      <c r="E57" s="125">
        <f t="shared" si="10"/>
        <v>0</v>
      </c>
      <c r="F57" s="41" t="s">
        <v>15</v>
      </c>
      <c r="G57" s="39">
        <v>252</v>
      </c>
      <c r="H57" s="321">
        <f>'0664'!H57</f>
        <v>3168</v>
      </c>
      <c r="I57" s="104">
        <f t="shared" si="11"/>
        <v>0</v>
      </c>
      <c r="N57" s="504"/>
      <c r="O57" s="504"/>
      <c r="P57" s="506"/>
      <c r="Q57" s="506"/>
      <c r="R57" s="42" t="s">
        <v>15</v>
      </c>
      <c r="S57" s="40">
        <v>252</v>
      </c>
      <c r="T57" s="117">
        <f t="shared" si="12"/>
        <v>3168</v>
      </c>
      <c r="U57" s="118">
        <f t="shared" si="13"/>
        <v>0</v>
      </c>
    </row>
    <row r="58" spans="1:21" ht="16.5" thickBot="1" x14ac:dyDescent="0.3">
      <c r="A58" s="460"/>
      <c r="B58" s="460"/>
      <c r="C58" s="165">
        <v>0</v>
      </c>
      <c r="D58" s="165">
        <v>0</v>
      </c>
      <c r="E58" s="125">
        <f t="shared" si="10"/>
        <v>0</v>
      </c>
      <c r="F58" s="41" t="s">
        <v>15</v>
      </c>
      <c r="G58" s="39">
        <v>253</v>
      </c>
      <c r="H58" s="321">
        <f>'0664'!H58</f>
        <v>6685</v>
      </c>
      <c r="I58" s="104">
        <f t="shared" si="11"/>
        <v>0</v>
      </c>
      <c r="N58" s="504"/>
      <c r="O58" s="504"/>
      <c r="P58" s="507"/>
      <c r="Q58" s="507"/>
      <c r="R58" s="42" t="s">
        <v>15</v>
      </c>
      <c r="S58" s="40">
        <v>253</v>
      </c>
      <c r="T58" s="117">
        <f t="shared" si="12"/>
        <v>6685</v>
      </c>
      <c r="U58" s="120">
        <f t="shared" si="13"/>
        <v>0</v>
      </c>
    </row>
    <row r="59" spans="1:21" ht="16.5" thickBot="1" x14ac:dyDescent="0.3">
      <c r="A59" s="461" t="s">
        <v>16</v>
      </c>
      <c r="B59" s="461"/>
      <c r="C59" s="100">
        <f>SUM(C50:C58)</f>
        <v>19</v>
      </c>
      <c r="D59" s="100">
        <f>SUM(D50:D58)</f>
        <v>18.91</v>
      </c>
      <c r="E59" s="100">
        <f>SUM(E50:E58)</f>
        <v>37.909999999999997</v>
      </c>
      <c r="F59" s="461" t="s">
        <v>77</v>
      </c>
      <c r="G59" s="461"/>
      <c r="H59" s="461"/>
      <c r="I59" s="100">
        <f>SUM(I50:I58)</f>
        <v>42589.770000000004</v>
      </c>
      <c r="N59" s="480" t="s">
        <v>16</v>
      </c>
      <c r="O59" s="480"/>
      <c r="P59" s="502">
        <f>SUM(P50:P58)</f>
        <v>0</v>
      </c>
      <c r="Q59" s="502"/>
      <c r="R59" s="480" t="s">
        <v>77</v>
      </c>
      <c r="S59" s="480"/>
      <c r="T59" s="480"/>
      <c r="U59" s="111">
        <f>SUM(U50:U58)</f>
        <v>0</v>
      </c>
    </row>
    <row r="60" spans="1:21" x14ac:dyDescent="0.25">
      <c r="A60" s="462"/>
      <c r="B60" s="462"/>
      <c r="C60" s="462"/>
      <c r="D60" s="462"/>
      <c r="E60" s="462"/>
      <c r="F60" s="462"/>
      <c r="G60" s="462"/>
      <c r="H60" s="462"/>
      <c r="I60" s="462"/>
      <c r="N60" s="484"/>
      <c r="O60" s="484"/>
      <c r="P60" s="484"/>
      <c r="Q60" s="484"/>
      <c r="R60" s="484"/>
      <c r="S60" s="484"/>
      <c r="T60" s="484"/>
      <c r="U60" s="484"/>
    </row>
    <row r="61" spans="1:21" x14ac:dyDescent="0.25">
      <c r="A61" s="463" t="s">
        <v>136</v>
      </c>
      <c r="B61" s="453"/>
      <c r="C61" s="453"/>
      <c r="D61" s="453"/>
      <c r="E61" s="453"/>
      <c r="F61" s="453"/>
      <c r="G61" s="453"/>
      <c r="H61" s="453"/>
      <c r="I61" s="453"/>
      <c r="N61" s="479" t="s">
        <v>88</v>
      </c>
      <c r="O61" s="479"/>
      <c r="P61" s="479"/>
      <c r="Q61" s="479"/>
      <c r="R61" s="479"/>
      <c r="S61" s="479"/>
      <c r="T61" s="479"/>
      <c r="U61" s="479"/>
    </row>
    <row r="62" spans="1:21" x14ac:dyDescent="0.25">
      <c r="A62" s="463" t="s">
        <v>138</v>
      </c>
      <c r="B62" s="453"/>
      <c r="C62" s="121">
        <f>E29</f>
        <v>264.18</v>
      </c>
      <c r="D62" s="464" t="s">
        <v>135</v>
      </c>
      <c r="E62" s="464"/>
      <c r="F62" s="464"/>
      <c r="G62" s="464"/>
      <c r="H62" s="335">
        <f>'0664'!H62</f>
        <v>193340.76</v>
      </c>
      <c r="I62" s="122"/>
      <c r="N62" s="478" t="s">
        <v>312</v>
      </c>
      <c r="O62" s="479"/>
      <c r="P62" s="43">
        <f>P29</f>
        <v>0</v>
      </c>
      <c r="Q62" s="498" t="s">
        <v>78</v>
      </c>
      <c r="R62" s="498"/>
      <c r="S62" s="498"/>
      <c r="T62" s="497">
        <f>H62</f>
        <v>193340.76</v>
      </c>
      <c r="U62" s="497"/>
    </row>
    <row r="63" spans="1:21" x14ac:dyDescent="0.25">
      <c r="B63" s="72"/>
      <c r="G63" s="44" t="s">
        <v>13</v>
      </c>
      <c r="H63" s="123">
        <f>ROUND(C62/H62,6)</f>
        <v>1.366E-3</v>
      </c>
      <c r="I63" s="124"/>
      <c r="N63" s="479" t="s">
        <v>19</v>
      </c>
      <c r="O63" s="479"/>
      <c r="P63" s="479"/>
      <c r="Q63" s="479"/>
      <c r="R63" s="479"/>
      <c r="S63" s="479"/>
      <c r="T63" s="501">
        <f>ROUND(P62/T62,6)</f>
        <v>0</v>
      </c>
      <c r="U63" s="501"/>
    </row>
    <row r="64" spans="1:21" x14ac:dyDescent="0.25">
      <c r="A64" s="463" t="s">
        <v>137</v>
      </c>
      <c r="B64" s="453"/>
      <c r="C64" s="453"/>
      <c r="D64" s="453"/>
      <c r="E64" s="453"/>
      <c r="F64" s="453"/>
      <c r="G64" s="453"/>
      <c r="H64" s="453"/>
      <c r="I64" s="453"/>
      <c r="N64" s="479" t="s">
        <v>89</v>
      </c>
      <c r="O64" s="479"/>
      <c r="P64" s="479"/>
      <c r="Q64" s="479"/>
      <c r="R64" s="479"/>
      <c r="S64" s="479"/>
      <c r="T64" s="479"/>
      <c r="U64" s="479"/>
    </row>
    <row r="65" spans="1:21" x14ac:dyDescent="0.25">
      <c r="A65" s="463" t="s">
        <v>139</v>
      </c>
      <c r="B65" s="453"/>
      <c r="C65" s="121">
        <f>E45</f>
        <v>279.75639999999999</v>
      </c>
      <c r="D65" s="464" t="s">
        <v>140</v>
      </c>
      <c r="E65" s="464"/>
      <c r="F65" s="464"/>
      <c r="G65" s="464"/>
      <c r="H65" s="336">
        <f>'0664'!H65</f>
        <v>216845.88</v>
      </c>
      <c r="I65" s="125"/>
      <c r="N65" s="479" t="s">
        <v>80</v>
      </c>
      <c r="O65" s="479"/>
      <c r="P65" s="43">
        <f>R45</f>
        <v>0</v>
      </c>
      <c r="Q65" s="498" t="s">
        <v>79</v>
      </c>
      <c r="R65" s="498"/>
      <c r="S65" s="498"/>
      <c r="T65" s="497">
        <f>H65</f>
        <v>216845.88</v>
      </c>
      <c r="U65" s="497"/>
    </row>
    <row r="66" spans="1:21" s="37" customFormat="1" x14ac:dyDescent="0.25">
      <c r="A66" s="126"/>
      <c r="G66" s="45" t="s">
        <v>13</v>
      </c>
      <c r="H66" s="127">
        <f>ROUND(C65/H65,6)</f>
        <v>1.2899999999999999E-3</v>
      </c>
      <c r="I66" s="127"/>
      <c r="N66" s="482" t="s">
        <v>20</v>
      </c>
      <c r="O66" s="482"/>
      <c r="P66" s="482"/>
      <c r="Q66" s="482"/>
      <c r="R66" s="482"/>
      <c r="S66" s="482"/>
      <c r="T66" s="500">
        <f>ROUND(P65/T65,6)</f>
        <v>0</v>
      </c>
      <c r="U66" s="500"/>
    </row>
    <row r="67" spans="1:21" x14ac:dyDescent="0.25">
      <c r="G67" s="44"/>
      <c r="H67" s="123"/>
      <c r="I67" s="123"/>
      <c r="N67" s="48"/>
      <c r="O67" s="48"/>
      <c r="P67" s="48"/>
      <c r="Q67" s="48"/>
      <c r="R67" s="128"/>
      <c r="S67" s="48"/>
      <c r="T67" s="129"/>
      <c r="U67" s="130"/>
    </row>
    <row r="68" spans="1:21" x14ac:dyDescent="0.25">
      <c r="A68" s="453" t="s">
        <v>85</v>
      </c>
      <c r="B68" s="453"/>
      <c r="C68" s="453"/>
      <c r="D68" s="72"/>
      <c r="E68" s="46" t="s">
        <v>3</v>
      </c>
      <c r="F68" s="337">
        <f>'0664'!F68</f>
        <v>42465042</v>
      </c>
      <c r="G68" s="39" t="s">
        <v>6</v>
      </c>
      <c r="H68" s="131">
        <f>H63</f>
        <v>1.366E-3</v>
      </c>
      <c r="I68" s="104">
        <f>ROUND(F68*H68,2)</f>
        <v>58007.25</v>
      </c>
      <c r="N68" s="479" t="s">
        <v>85</v>
      </c>
      <c r="O68" s="479"/>
      <c r="P68" s="479"/>
      <c r="Q68" s="47"/>
      <c r="R68" s="132">
        <f>F68</f>
        <v>42465042</v>
      </c>
      <c r="S68" s="40" t="s">
        <v>6</v>
      </c>
      <c r="T68" s="133">
        <f>T63</f>
        <v>0</v>
      </c>
      <c r="U68" s="99">
        <f>ROUND(R68*T68,0)</f>
        <v>0</v>
      </c>
    </row>
    <row r="69" spans="1:21" x14ac:dyDescent="0.25">
      <c r="A69" s="458" t="s">
        <v>96</v>
      </c>
      <c r="B69" s="453"/>
      <c r="C69" s="453"/>
      <c r="D69" s="72"/>
      <c r="E69" s="46"/>
      <c r="F69" s="136"/>
      <c r="G69" s="39"/>
      <c r="H69" s="131"/>
      <c r="I69" s="104"/>
      <c r="N69" s="479" t="s">
        <v>84</v>
      </c>
      <c r="O69" s="479"/>
      <c r="P69" s="479"/>
      <c r="Q69" s="54"/>
      <c r="R69" s="54"/>
      <c r="S69" s="54"/>
      <c r="T69" s="54"/>
      <c r="U69" s="54"/>
    </row>
    <row r="70" spans="1:21" x14ac:dyDescent="0.25">
      <c r="A70" s="465" t="s">
        <v>141</v>
      </c>
      <c r="B70" s="453"/>
      <c r="C70" s="453"/>
      <c r="D70" s="72"/>
      <c r="E70" s="46" t="s">
        <v>3</v>
      </c>
      <c r="F70" s="337">
        <f>'0664'!F70</f>
        <v>0</v>
      </c>
      <c r="G70" s="39" t="s">
        <v>6</v>
      </c>
      <c r="H70" s="131">
        <f>H63</f>
        <v>1.366E-3</v>
      </c>
      <c r="I70" s="104">
        <f>ROUND(F70*H70,2)</f>
        <v>0</v>
      </c>
      <c r="N70" s="48"/>
      <c r="O70" s="48"/>
      <c r="P70" s="48"/>
      <c r="Q70" s="47"/>
      <c r="R70" s="132">
        <f>F70</f>
        <v>0</v>
      </c>
      <c r="S70" s="40" t="s">
        <v>6</v>
      </c>
      <c r="T70" s="133">
        <f>T63</f>
        <v>0</v>
      </c>
      <c r="U70" s="99">
        <f>ROUND(R70*T70,0)</f>
        <v>0</v>
      </c>
    </row>
    <row r="71" spans="1:21" x14ac:dyDescent="0.25">
      <c r="A71" s="463" t="s">
        <v>433</v>
      </c>
      <c r="B71" s="453"/>
      <c r="C71" s="453"/>
      <c r="D71" s="72"/>
      <c r="E71" s="46" t="s">
        <v>3</v>
      </c>
      <c r="F71" s="337">
        <f>'0664'!F71</f>
        <v>13414654</v>
      </c>
      <c r="G71" s="39" t="s">
        <v>6</v>
      </c>
      <c r="H71" s="131">
        <f>H63</f>
        <v>1.366E-3</v>
      </c>
      <c r="I71" s="104">
        <f>ROUND(F71*H71,2)</f>
        <v>18324.419999999998</v>
      </c>
      <c r="N71" s="479" t="s">
        <v>83</v>
      </c>
      <c r="O71" s="479"/>
      <c r="P71" s="479"/>
      <c r="Q71" s="47"/>
      <c r="R71" s="132">
        <f>F71</f>
        <v>13414654</v>
      </c>
      <c r="S71" s="40" t="s">
        <v>6</v>
      </c>
      <c r="T71" s="133">
        <f>T63</f>
        <v>0</v>
      </c>
      <c r="U71" s="99">
        <f>ROUND(R71*T71,0)</f>
        <v>0</v>
      </c>
    </row>
    <row r="72" spans="1:21" x14ac:dyDescent="0.25">
      <c r="A72" s="463" t="s">
        <v>434</v>
      </c>
      <c r="B72" s="453"/>
      <c r="C72" s="453"/>
      <c r="D72" s="72"/>
      <c r="E72" s="46" t="s">
        <v>3</v>
      </c>
      <c r="F72" s="337">
        <f>'0664'!F72</f>
        <v>14708421</v>
      </c>
      <c r="G72" s="39" t="s">
        <v>6</v>
      </c>
      <c r="H72" s="131">
        <f>H63</f>
        <v>1.366E-3</v>
      </c>
      <c r="I72" s="104">
        <f>ROUND(F72*H72,2)</f>
        <v>20091.7</v>
      </c>
      <c r="N72" s="479" t="s">
        <v>82</v>
      </c>
      <c r="O72" s="479"/>
      <c r="P72" s="479"/>
      <c r="Q72" s="47"/>
      <c r="R72" s="134">
        <f>F72</f>
        <v>14708421</v>
      </c>
      <c r="S72" s="40" t="s">
        <v>6</v>
      </c>
      <c r="T72" s="133">
        <f>T63</f>
        <v>0</v>
      </c>
      <c r="U72" s="99">
        <f>ROUND(R72*T72,0)</f>
        <v>0</v>
      </c>
    </row>
    <row r="73" spans="1:21" x14ac:dyDescent="0.25">
      <c r="A73" s="263" t="s">
        <v>99</v>
      </c>
      <c r="D73" s="72"/>
      <c r="E73" s="41" t="s">
        <v>353</v>
      </c>
      <c r="F73" s="466"/>
      <c r="G73" s="466"/>
      <c r="H73" s="466"/>
      <c r="I73" s="104">
        <v>0</v>
      </c>
      <c r="N73" s="499" t="s">
        <v>118</v>
      </c>
      <c r="O73" s="499"/>
      <c r="P73" s="499"/>
      <c r="Q73" s="499"/>
      <c r="R73" s="499"/>
      <c r="S73" s="499"/>
      <c r="T73" s="499"/>
      <c r="U73" s="99">
        <f>IF($H$120=1,I73,0)</f>
        <v>0</v>
      </c>
    </row>
    <row r="74" spans="1:21" x14ac:dyDescent="0.25">
      <c r="A74" s="264" t="s">
        <v>142</v>
      </c>
      <c r="I74" s="104"/>
      <c r="N74" s="499" t="s">
        <v>43</v>
      </c>
      <c r="O74" s="499"/>
      <c r="P74" s="499"/>
      <c r="Q74" s="499"/>
      <c r="R74" s="499"/>
      <c r="S74" s="499"/>
      <c r="T74" s="499"/>
      <c r="U74" s="99">
        <f>IF($H$120=1,I74,0)</f>
        <v>0</v>
      </c>
    </row>
    <row r="75" spans="1:21" x14ac:dyDescent="0.25">
      <c r="A75" s="324" t="s">
        <v>101</v>
      </c>
      <c r="B75" s="72"/>
      <c r="C75" s="72"/>
      <c r="D75" s="72"/>
      <c r="E75" s="72"/>
      <c r="F75" s="72"/>
      <c r="G75" s="72"/>
      <c r="H75" s="72"/>
      <c r="I75" s="135"/>
      <c r="N75" s="382" t="s">
        <v>44</v>
      </c>
      <c r="O75" s="48"/>
      <c r="P75" s="48"/>
      <c r="Q75" s="48"/>
      <c r="R75" s="48"/>
      <c r="S75" s="48"/>
      <c r="T75" s="48"/>
      <c r="U75" s="106"/>
    </row>
    <row r="76" spans="1:21" x14ac:dyDescent="0.25">
      <c r="A76" s="463" t="s">
        <v>435</v>
      </c>
      <c r="B76" s="453"/>
      <c r="C76" s="453"/>
      <c r="D76" s="72"/>
      <c r="E76" s="46" t="s">
        <v>3</v>
      </c>
      <c r="F76" s="337">
        <f>'0664'!F76</f>
        <v>8720092</v>
      </c>
      <c r="G76" s="39" t="s">
        <v>6</v>
      </c>
      <c r="H76" s="131">
        <f>H63</f>
        <v>1.366E-3</v>
      </c>
      <c r="I76" s="104">
        <f t="shared" ref="I76:I85" si="14">ROUND(F76*H76,2)</f>
        <v>11911.65</v>
      </c>
      <c r="N76" s="478" t="s">
        <v>366</v>
      </c>
      <c r="O76" s="479"/>
      <c r="P76" s="479"/>
      <c r="Q76" s="47"/>
      <c r="R76" s="134">
        <f t="shared" ref="R76:R85" si="15">F76</f>
        <v>8720092</v>
      </c>
      <c r="S76" s="40" t="s">
        <v>6</v>
      </c>
      <c r="T76" s="133">
        <f>T63</f>
        <v>0</v>
      </c>
      <c r="U76" s="99">
        <f t="shared" ref="U76:U85" si="16">ROUND(R76*T76,0)</f>
        <v>0</v>
      </c>
    </row>
    <row r="77" spans="1:21" x14ac:dyDescent="0.25">
      <c r="A77" s="463" t="s">
        <v>436</v>
      </c>
      <c r="B77" s="453"/>
      <c r="C77" s="453"/>
      <c r="D77" s="72"/>
      <c r="E77" s="46" t="s">
        <v>3</v>
      </c>
      <c r="F77" s="337">
        <f>'0664'!F77</f>
        <v>0</v>
      </c>
      <c r="G77" s="39" t="s">
        <v>6</v>
      </c>
      <c r="H77" s="131">
        <f>H63</f>
        <v>1.366E-3</v>
      </c>
      <c r="I77" s="104">
        <f t="shared" si="14"/>
        <v>0</v>
      </c>
      <c r="N77" s="479" t="s">
        <v>367</v>
      </c>
      <c r="O77" s="479"/>
      <c r="P77" s="479"/>
      <c r="Q77" s="47"/>
      <c r="R77" s="134">
        <f t="shared" si="15"/>
        <v>0</v>
      </c>
      <c r="S77" s="40" t="s">
        <v>6</v>
      </c>
      <c r="T77" s="133">
        <f>T63</f>
        <v>0</v>
      </c>
      <c r="U77" s="99">
        <f t="shared" si="16"/>
        <v>0</v>
      </c>
    </row>
    <row r="78" spans="1:21" x14ac:dyDescent="0.25">
      <c r="A78" s="463" t="s">
        <v>437</v>
      </c>
      <c r="B78" s="453"/>
      <c r="C78" s="453"/>
      <c r="D78" s="72"/>
      <c r="E78" s="46" t="s">
        <v>4</v>
      </c>
      <c r="F78" s="337">
        <f>'0664'!F78</f>
        <v>0</v>
      </c>
      <c r="G78" s="39" t="s">
        <v>6</v>
      </c>
      <c r="H78" s="131">
        <f>H66</f>
        <v>1.2899999999999999E-3</v>
      </c>
      <c r="I78" s="104">
        <f t="shared" si="14"/>
        <v>0</v>
      </c>
      <c r="N78" s="478" t="s">
        <v>392</v>
      </c>
      <c r="O78" s="479"/>
      <c r="P78" s="479"/>
      <c r="Q78" s="47"/>
      <c r="R78" s="134">
        <f t="shared" si="15"/>
        <v>0</v>
      </c>
      <c r="S78" s="40" t="s">
        <v>6</v>
      </c>
      <c r="T78" s="133">
        <f>T66</f>
        <v>0</v>
      </c>
      <c r="U78" s="99">
        <f t="shared" si="16"/>
        <v>0</v>
      </c>
    </row>
    <row r="79" spans="1:21" x14ac:dyDescent="0.25">
      <c r="A79" s="463" t="s">
        <v>438</v>
      </c>
      <c r="B79" s="453"/>
      <c r="C79" s="453"/>
      <c r="D79" s="72"/>
      <c r="E79" s="46" t="s">
        <v>4</v>
      </c>
      <c r="F79" s="337">
        <f>'0664'!F79</f>
        <v>11278687</v>
      </c>
      <c r="G79" s="39" t="s">
        <v>6</v>
      </c>
      <c r="H79" s="131">
        <f>H66</f>
        <v>1.2899999999999999E-3</v>
      </c>
      <c r="I79" s="104">
        <f t="shared" si="14"/>
        <v>14549.51</v>
      </c>
      <c r="N79" s="478" t="s">
        <v>393</v>
      </c>
      <c r="O79" s="479"/>
      <c r="P79" s="479"/>
      <c r="Q79" s="47"/>
      <c r="R79" s="134">
        <f t="shared" si="15"/>
        <v>11278687</v>
      </c>
      <c r="S79" s="40" t="s">
        <v>6</v>
      </c>
      <c r="T79" s="133">
        <f>T66</f>
        <v>0</v>
      </c>
      <c r="U79" s="99">
        <f t="shared" si="16"/>
        <v>0</v>
      </c>
    </row>
    <row r="80" spans="1:21" x14ac:dyDescent="0.25">
      <c r="A80" s="463" t="s">
        <v>439</v>
      </c>
      <c r="B80" s="453"/>
      <c r="C80" s="453"/>
      <c r="D80" s="72"/>
      <c r="E80" s="46" t="s">
        <v>4</v>
      </c>
      <c r="F80" s="337">
        <f>'0664'!F80</f>
        <v>206284749</v>
      </c>
      <c r="G80" s="39" t="s">
        <v>6</v>
      </c>
      <c r="H80" s="131">
        <f>H66</f>
        <v>1.2899999999999999E-3</v>
      </c>
      <c r="I80" s="104">
        <f t="shared" si="14"/>
        <v>266107.33</v>
      </c>
      <c r="N80" s="478" t="s">
        <v>397</v>
      </c>
      <c r="O80" s="479"/>
      <c r="P80" s="479"/>
      <c r="Q80" s="47"/>
      <c r="R80" s="134">
        <f t="shared" si="15"/>
        <v>206284749</v>
      </c>
      <c r="S80" s="40" t="s">
        <v>6</v>
      </c>
      <c r="T80" s="133">
        <f>T66</f>
        <v>0</v>
      </c>
      <c r="U80" s="99">
        <f t="shared" si="16"/>
        <v>0</v>
      </c>
    </row>
    <row r="81" spans="1:21" x14ac:dyDescent="0.25">
      <c r="A81" s="84" t="s">
        <v>440</v>
      </c>
      <c r="B81" s="72"/>
      <c r="C81" s="72"/>
      <c r="D81" s="72"/>
      <c r="E81" s="46"/>
      <c r="F81" s="337"/>
      <c r="G81" s="39"/>
      <c r="H81" s="131"/>
      <c r="I81" s="104"/>
      <c r="N81" s="419" t="s">
        <v>440</v>
      </c>
      <c r="O81" s="48"/>
      <c r="P81" s="48"/>
      <c r="Q81" s="47"/>
      <c r="R81" s="423"/>
      <c r="S81" s="40"/>
      <c r="T81" s="133"/>
      <c r="U81" s="120"/>
    </row>
    <row r="82" spans="1:21" x14ac:dyDescent="0.25">
      <c r="A82" s="264" t="s">
        <v>441</v>
      </c>
      <c r="B82" s="72"/>
      <c r="C82" s="72"/>
      <c r="D82" s="72"/>
      <c r="E82" s="46" t="s">
        <v>442</v>
      </c>
      <c r="F82" s="337">
        <f>'0664'!F82</f>
        <v>0</v>
      </c>
      <c r="G82" s="39" t="s">
        <v>6</v>
      </c>
      <c r="H82" s="131">
        <f>H66</f>
        <v>1.2899999999999999E-3</v>
      </c>
      <c r="I82" s="104">
        <v>47037.2</v>
      </c>
      <c r="N82" s="422" t="s">
        <v>441</v>
      </c>
      <c r="O82" s="48"/>
      <c r="P82" s="48"/>
      <c r="Q82" s="47"/>
      <c r="R82" s="134">
        <f t="shared" si="15"/>
        <v>0</v>
      </c>
      <c r="S82" s="40"/>
      <c r="T82" s="133"/>
      <c r="U82" s="99">
        <f t="shared" si="16"/>
        <v>0</v>
      </c>
    </row>
    <row r="83" spans="1:21" x14ac:dyDescent="0.25">
      <c r="A83" s="264" t="s">
        <v>443</v>
      </c>
      <c r="B83" s="72"/>
      <c r="C83" s="72"/>
      <c r="D83" s="72"/>
      <c r="E83" s="46" t="s">
        <v>442</v>
      </c>
      <c r="F83" s="337">
        <f>'0664'!F83</f>
        <v>0</v>
      </c>
      <c r="G83" s="39" t="s">
        <v>6</v>
      </c>
      <c r="H83" s="131">
        <f>H66</f>
        <v>1.2899999999999999E-3</v>
      </c>
      <c r="I83" s="104">
        <v>21380.54</v>
      </c>
      <c r="N83" s="422" t="s">
        <v>443</v>
      </c>
      <c r="O83" s="48"/>
      <c r="P83" s="48"/>
      <c r="Q83" s="47"/>
      <c r="R83" s="134">
        <f t="shared" si="15"/>
        <v>0</v>
      </c>
      <c r="S83" s="40"/>
      <c r="T83" s="133"/>
      <c r="U83" s="99">
        <f t="shared" si="16"/>
        <v>0</v>
      </c>
    </row>
    <row r="84" spans="1:21" x14ac:dyDescent="0.25">
      <c r="A84" s="420" t="s">
        <v>444</v>
      </c>
      <c r="B84" s="72"/>
      <c r="C84" s="72"/>
      <c r="D84" s="72"/>
      <c r="E84" s="46"/>
      <c r="F84" s="337"/>
      <c r="G84" s="39"/>
      <c r="H84" s="131"/>
      <c r="I84" s="104">
        <f>I82+I83</f>
        <v>68417.739999999991</v>
      </c>
      <c r="N84" s="421" t="s">
        <v>444</v>
      </c>
      <c r="O84" s="48"/>
      <c r="P84" s="48"/>
      <c r="Q84" s="47"/>
      <c r="R84" s="423"/>
      <c r="S84" s="40"/>
      <c r="T84" s="133"/>
      <c r="U84" s="99">
        <f>U82+U83</f>
        <v>0</v>
      </c>
    </row>
    <row r="85" spans="1:21" x14ac:dyDescent="0.25">
      <c r="A85" s="463" t="s">
        <v>398</v>
      </c>
      <c r="B85" s="453"/>
      <c r="C85" s="453"/>
      <c r="D85" s="72"/>
      <c r="E85" s="46" t="s">
        <v>4</v>
      </c>
      <c r="F85" s="337">
        <f>'0664'!F85</f>
        <v>0</v>
      </c>
      <c r="G85" s="39" t="s">
        <v>6</v>
      </c>
      <c r="H85" s="131">
        <f>H66</f>
        <v>1.2899999999999999E-3</v>
      </c>
      <c r="I85" s="104">
        <f t="shared" si="14"/>
        <v>0</v>
      </c>
      <c r="N85" s="478" t="s">
        <v>398</v>
      </c>
      <c r="O85" s="479"/>
      <c r="P85" s="479"/>
      <c r="Q85" s="47"/>
      <c r="R85" s="132">
        <f t="shared" si="15"/>
        <v>0</v>
      </c>
      <c r="S85" s="40" t="s">
        <v>6</v>
      </c>
      <c r="T85" s="133">
        <f>T66</f>
        <v>0</v>
      </c>
      <c r="U85" s="99">
        <f t="shared" si="16"/>
        <v>0</v>
      </c>
    </row>
    <row r="86" spans="1:21" x14ac:dyDescent="0.25">
      <c r="B86" s="72"/>
      <c r="C86" s="72"/>
      <c r="D86" s="72"/>
      <c r="E86" s="46"/>
      <c r="F86" s="136"/>
      <c r="G86" s="39"/>
      <c r="H86" s="131"/>
      <c r="I86" s="104"/>
      <c r="N86" s="48"/>
      <c r="O86" s="48"/>
      <c r="P86" s="48"/>
      <c r="Q86" s="47"/>
      <c r="R86" s="137"/>
      <c r="S86" s="40"/>
      <c r="T86" s="133"/>
      <c r="U86" s="106"/>
    </row>
    <row r="87" spans="1:21" x14ac:dyDescent="0.25">
      <c r="A87" s="463" t="s">
        <v>445</v>
      </c>
      <c r="B87" s="453"/>
      <c r="C87" s="453"/>
      <c r="D87" s="453"/>
      <c r="E87" s="453"/>
      <c r="F87" s="453"/>
      <c r="G87" s="453"/>
      <c r="H87" s="453"/>
      <c r="I87" s="453"/>
      <c r="N87" s="478" t="s">
        <v>429</v>
      </c>
      <c r="O87" s="479"/>
      <c r="P87" s="479"/>
      <c r="Q87" s="479"/>
      <c r="R87" s="479"/>
      <c r="S87" s="479"/>
      <c r="T87" s="479"/>
      <c r="U87" s="479"/>
    </row>
    <row r="88" spans="1:21" x14ac:dyDescent="0.25">
      <c r="B88" s="72"/>
      <c r="C88" s="466" t="s">
        <v>73</v>
      </c>
      <c r="D88" s="466"/>
      <c r="E88" s="72"/>
      <c r="F88" s="41" t="s">
        <v>37</v>
      </c>
      <c r="G88" s="72"/>
      <c r="H88" s="72"/>
      <c r="I88" s="72"/>
      <c r="N88" s="48"/>
      <c r="O88" s="48"/>
      <c r="P88" s="48"/>
      <c r="Q88" s="48"/>
      <c r="R88" s="48"/>
      <c r="S88" s="48"/>
      <c r="T88" s="48"/>
      <c r="U88" s="48"/>
    </row>
    <row r="89" spans="1:21" x14ac:dyDescent="0.25">
      <c r="A89" s="3"/>
      <c r="B89" s="138"/>
      <c r="C89" s="462" t="s">
        <v>144</v>
      </c>
      <c r="D89" s="462"/>
      <c r="E89" s="139" t="s">
        <v>150</v>
      </c>
      <c r="F89" s="140" t="s">
        <v>149</v>
      </c>
      <c r="G89" s="141"/>
      <c r="H89" s="141"/>
      <c r="I89" s="141"/>
      <c r="N89" s="495" t="s">
        <v>46</v>
      </c>
      <c r="O89" s="495"/>
      <c r="P89" s="496" t="s">
        <v>119</v>
      </c>
      <c r="Q89" s="496"/>
      <c r="R89" s="497" t="s">
        <v>40</v>
      </c>
      <c r="S89" s="497"/>
      <c r="T89" s="497"/>
      <c r="U89" s="497"/>
    </row>
    <row r="90" spans="1:21" x14ac:dyDescent="0.25">
      <c r="A90" s="27"/>
      <c r="B90" s="55" t="s">
        <v>148</v>
      </c>
      <c r="C90" s="467">
        <f>H13+H14+H19+H22+H25</f>
        <v>132.6549</v>
      </c>
      <c r="D90" s="467"/>
      <c r="E90" s="49">
        <f>H8</f>
        <v>1.0438000000000001</v>
      </c>
      <c r="F90" s="338">
        <f>'0664'!F90</f>
        <v>957.94</v>
      </c>
      <c r="G90" s="41" t="s">
        <v>13</v>
      </c>
      <c r="H90" s="104">
        <f>ROUND(C90*E90*F90,2)</f>
        <v>132641.34</v>
      </c>
      <c r="I90" s="107"/>
      <c r="N90" s="29" t="s">
        <v>22</v>
      </c>
      <c r="O90" s="50">
        <f>T13+T14+T19+T22+T25</f>
        <v>0</v>
      </c>
      <c r="P90" s="490">
        <f>T8</f>
        <v>1.0438000000000001</v>
      </c>
      <c r="Q90" s="490"/>
      <c r="R90" s="51">
        <f>F90</f>
        <v>957.94</v>
      </c>
      <c r="S90" s="42" t="s">
        <v>13</v>
      </c>
      <c r="T90" s="134">
        <f>ROUND(O90*P90*R90,0)</f>
        <v>0</v>
      </c>
      <c r="U90" s="105"/>
    </row>
    <row r="91" spans="1:21" x14ac:dyDescent="0.25">
      <c r="A91" s="52"/>
      <c r="B91" s="52" t="s">
        <v>147</v>
      </c>
      <c r="C91" s="467">
        <f>H15+H16+H20+H23+H26</f>
        <v>147.10149999999999</v>
      </c>
      <c r="D91" s="467"/>
      <c r="E91" s="49">
        <f>H8</f>
        <v>1.0438000000000001</v>
      </c>
      <c r="F91" s="338">
        <f>'0664'!F91</f>
        <v>914.63</v>
      </c>
      <c r="G91" s="41" t="s">
        <v>13</v>
      </c>
      <c r="H91" s="104">
        <f>ROUND(C91*E91*F91,2)</f>
        <v>140436.45000000001</v>
      </c>
      <c r="N91" s="53" t="s">
        <v>14</v>
      </c>
      <c r="O91" s="50">
        <f>T15+T16+T20+T23+T26</f>
        <v>0</v>
      </c>
      <c r="P91" s="490">
        <f>T8</f>
        <v>1.0438000000000001</v>
      </c>
      <c r="Q91" s="490"/>
      <c r="R91" s="51">
        <f>F91</f>
        <v>914.63</v>
      </c>
      <c r="S91" s="42" t="s">
        <v>13</v>
      </c>
      <c r="T91" s="134">
        <f>ROUND(O91*P91*R91,0)</f>
        <v>0</v>
      </c>
      <c r="U91" s="54"/>
    </row>
    <row r="92" spans="1:21" ht="16.5" thickBot="1" x14ac:dyDescent="0.3">
      <c r="A92" s="55"/>
      <c r="B92" s="55" t="s">
        <v>146</v>
      </c>
      <c r="C92" s="467">
        <f>H17+H18+H21+H24+H27+H28</f>
        <v>0</v>
      </c>
      <c r="D92" s="467"/>
      <c r="E92" s="49">
        <f>H8</f>
        <v>1.0438000000000001</v>
      </c>
      <c r="F92" s="338">
        <f>'0664'!F92</f>
        <v>916.84</v>
      </c>
      <c r="G92" s="41" t="s">
        <v>13</v>
      </c>
      <c r="H92" s="97">
        <f>ROUND(C92*E92*F92,2)</f>
        <v>0</v>
      </c>
      <c r="N92" s="56" t="s">
        <v>15</v>
      </c>
      <c r="O92" s="57">
        <f>T17+T18+T21+T24+T27+T28</f>
        <v>0</v>
      </c>
      <c r="P92" s="490">
        <f>T8</f>
        <v>1.0438000000000001</v>
      </c>
      <c r="Q92" s="490"/>
      <c r="R92" s="51">
        <f>F92</f>
        <v>916.84</v>
      </c>
      <c r="S92" s="42" t="s">
        <v>13</v>
      </c>
      <c r="T92" s="134">
        <f>ROUND(O92*P92*R92,0)</f>
        <v>0</v>
      </c>
      <c r="U92" s="54"/>
    </row>
    <row r="93" spans="1:21" ht="16.5" thickBot="1" x14ac:dyDescent="0.3">
      <c r="A93" s="58"/>
      <c r="B93" s="142" t="s">
        <v>145</v>
      </c>
      <c r="C93" s="469">
        <f>SUM(C90:C92)</f>
        <v>279.75639999999999</v>
      </c>
      <c r="D93" s="469"/>
      <c r="E93" s="143"/>
      <c r="F93" s="143"/>
      <c r="G93" s="143"/>
      <c r="H93" s="144" t="s">
        <v>143</v>
      </c>
      <c r="I93" s="104">
        <f>IF(A1=75,0,H92+H91+H90)</f>
        <v>273077.79000000004</v>
      </c>
      <c r="N93" s="59" t="s">
        <v>120</v>
      </c>
      <c r="O93" s="60">
        <f>SUM(O90:O92)</f>
        <v>0</v>
      </c>
      <c r="P93" s="491" t="s">
        <v>18</v>
      </c>
      <c r="Q93" s="492"/>
      <c r="R93" s="492"/>
      <c r="S93" s="492"/>
      <c r="T93" s="492"/>
      <c r="U93" s="99">
        <f>IF(N1=75,0,T92+T91+T90)</f>
        <v>0</v>
      </c>
    </row>
    <row r="94" spans="1:21" ht="16.5" thickTop="1" x14ac:dyDescent="0.25">
      <c r="A94" s="540" t="s">
        <v>90</v>
      </c>
      <c r="B94" s="540"/>
      <c r="C94" s="540"/>
      <c r="D94" s="540"/>
      <c r="E94" s="540"/>
      <c r="F94" s="540"/>
      <c r="G94" s="540"/>
      <c r="H94" s="540"/>
      <c r="I94" s="540"/>
      <c r="N94" s="493" t="s">
        <v>90</v>
      </c>
      <c r="O94" s="493"/>
      <c r="P94" s="493"/>
      <c r="Q94" s="493"/>
      <c r="R94" s="493"/>
      <c r="S94" s="493"/>
      <c r="T94" s="493"/>
      <c r="U94" s="493"/>
    </row>
    <row r="95" spans="1:21" x14ac:dyDescent="0.25">
      <c r="A95" s="145"/>
      <c r="B95" s="145"/>
      <c r="C95" s="145"/>
      <c r="D95" s="145"/>
      <c r="E95" s="145"/>
      <c r="F95" s="145"/>
      <c r="G95" s="145"/>
      <c r="H95" s="145"/>
      <c r="I95" s="145"/>
      <c r="N95" s="146"/>
      <c r="O95" s="146"/>
      <c r="P95" s="146"/>
      <c r="Q95" s="146"/>
      <c r="R95" s="146"/>
      <c r="S95" s="146"/>
      <c r="T95" s="146"/>
      <c r="U95" s="146"/>
    </row>
    <row r="96" spans="1:21" x14ac:dyDescent="0.25">
      <c r="A96" s="84" t="s">
        <v>446</v>
      </c>
      <c r="C96" s="46"/>
      <c r="D96" s="72"/>
      <c r="E96" s="46" t="s">
        <v>100</v>
      </c>
      <c r="F96" s="471"/>
      <c r="G96" s="471"/>
      <c r="H96" s="471"/>
      <c r="I96" s="471"/>
      <c r="N96" s="478" t="s">
        <v>426</v>
      </c>
      <c r="O96" s="479"/>
      <c r="P96" s="479"/>
      <c r="Q96" s="494"/>
      <c r="R96" s="494"/>
      <c r="S96" s="494"/>
      <c r="T96" s="494"/>
      <c r="U96" s="106"/>
    </row>
    <row r="97" spans="1:21" x14ac:dyDescent="0.25">
      <c r="B97" s="72"/>
      <c r="C97" s="91" t="s">
        <v>409</v>
      </c>
      <c r="D97" s="371" t="s">
        <v>410</v>
      </c>
      <c r="E97" s="92" t="s">
        <v>151</v>
      </c>
      <c r="F97" s="46"/>
      <c r="G97" s="46"/>
      <c r="H97" s="46"/>
      <c r="I97" s="46"/>
      <c r="N97" s="48"/>
      <c r="O97" s="48"/>
      <c r="P97" s="48"/>
      <c r="Q97" s="147"/>
      <c r="R97" s="147"/>
      <c r="S97" s="147"/>
      <c r="T97" s="147"/>
      <c r="U97" s="106"/>
    </row>
    <row r="98" spans="1:21" x14ac:dyDescent="0.25">
      <c r="B98" s="72"/>
      <c r="C98" s="362" t="s">
        <v>2</v>
      </c>
      <c r="D98" s="362" t="s">
        <v>2</v>
      </c>
      <c r="E98" s="362" t="s">
        <v>2</v>
      </c>
      <c r="F98" s="46"/>
      <c r="G98" s="46"/>
      <c r="H98" s="46"/>
      <c r="I98" s="46"/>
      <c r="N98" s="48"/>
      <c r="O98" s="48"/>
      <c r="P98" s="48"/>
      <c r="Q98" s="147"/>
      <c r="R98" s="147"/>
      <c r="S98" s="147"/>
      <c r="T98" s="147"/>
      <c r="U98" s="106"/>
    </row>
    <row r="99" spans="1:21" x14ac:dyDescent="0.25">
      <c r="A99" s="536" t="s">
        <v>470</v>
      </c>
      <c r="B99" s="461"/>
      <c r="C99" s="165">
        <v>0</v>
      </c>
      <c r="D99" s="165">
        <v>0</v>
      </c>
      <c r="E99" s="125">
        <f>C99</f>
        <v>0</v>
      </c>
      <c r="F99" s="148" t="s">
        <v>39</v>
      </c>
      <c r="G99" s="339">
        <f>'0664'!G99</f>
        <v>558</v>
      </c>
      <c r="I99" s="104">
        <f>ROUND(G99*E99,2)</f>
        <v>0</v>
      </c>
      <c r="N99" s="488" t="s">
        <v>65</v>
      </c>
      <c r="O99" s="488"/>
      <c r="P99" s="489">
        <f>IF(H120=1,E99,0)</f>
        <v>0</v>
      </c>
      <c r="Q99" s="489"/>
      <c r="R99" s="489"/>
      <c r="S99" s="86" t="s">
        <v>39</v>
      </c>
      <c r="T99" s="61">
        <f>G99</f>
        <v>558</v>
      </c>
      <c r="U99" s="99">
        <f>ROUND(T99*P99,0)</f>
        <v>0</v>
      </c>
    </row>
    <row r="100" spans="1:21" x14ac:dyDescent="0.25">
      <c r="A100" s="536" t="s">
        <v>471</v>
      </c>
      <c r="B100" s="461"/>
      <c r="C100" s="165">
        <v>0</v>
      </c>
      <c r="D100" s="165">
        <v>0</v>
      </c>
      <c r="E100" s="125">
        <f>C100</f>
        <v>0</v>
      </c>
      <c r="F100" s="148" t="s">
        <v>39</v>
      </c>
      <c r="G100" s="339">
        <f>'0664'!G100</f>
        <v>1707</v>
      </c>
      <c r="I100" s="104">
        <f>ROUND(G100*E100,2)</f>
        <v>0</v>
      </c>
      <c r="N100" s="488" t="s">
        <v>81</v>
      </c>
      <c r="O100" s="488"/>
      <c r="P100" s="483"/>
      <c r="Q100" s="483"/>
      <c r="R100" s="483"/>
      <c r="S100" s="86" t="s">
        <v>39</v>
      </c>
      <c r="T100" s="61">
        <f>G100</f>
        <v>1707</v>
      </c>
      <c r="U100" s="99">
        <f>ROUND(T100*P100,0)</f>
        <v>0</v>
      </c>
    </row>
    <row r="101" spans="1:21" x14ac:dyDescent="0.25">
      <c r="A101" s="149"/>
      <c r="B101" s="149"/>
      <c r="C101" s="68"/>
      <c r="D101" s="68"/>
      <c r="E101" s="68"/>
      <c r="F101" s="68"/>
      <c r="G101" s="150"/>
      <c r="H101" s="151"/>
      <c r="I101" s="104"/>
      <c r="N101" s="152"/>
      <c r="O101" s="152"/>
      <c r="P101" s="153"/>
      <c r="Q101" s="153"/>
      <c r="R101" s="153"/>
      <c r="S101" s="86"/>
      <c r="T101" s="61"/>
      <c r="U101" s="106"/>
    </row>
    <row r="102" spans="1:21" x14ac:dyDescent="0.25">
      <c r="A102" s="149"/>
      <c r="B102" s="149"/>
      <c r="C102" s="68"/>
      <c r="D102" s="68"/>
      <c r="E102" s="68"/>
      <c r="F102" s="68"/>
      <c r="G102" s="150"/>
      <c r="H102" s="151"/>
      <c r="I102" s="104"/>
      <c r="N102" s="152"/>
      <c r="O102" s="152"/>
      <c r="P102" s="153"/>
      <c r="Q102" s="153"/>
      <c r="R102" s="153"/>
      <c r="S102" s="86"/>
      <c r="T102" s="61"/>
      <c r="U102" s="106"/>
    </row>
    <row r="103" spans="1:21" hidden="1" x14ac:dyDescent="0.25">
      <c r="A103" s="463" t="s">
        <v>447</v>
      </c>
      <c r="B103" s="453"/>
      <c r="C103" s="453"/>
      <c r="D103" s="72"/>
      <c r="E103" s="41" t="s">
        <v>41</v>
      </c>
      <c r="F103" s="466"/>
      <c r="G103" s="466"/>
      <c r="H103" s="466"/>
      <c r="I103" s="466"/>
      <c r="N103" s="478" t="s">
        <v>362</v>
      </c>
      <c r="O103" s="479"/>
      <c r="P103" s="479"/>
      <c r="Q103" s="479"/>
      <c r="R103" s="479"/>
      <c r="S103" s="479"/>
      <c r="T103" s="479"/>
      <c r="U103" s="479"/>
    </row>
    <row r="104" spans="1:21" hidden="1" x14ac:dyDescent="0.25">
      <c r="B104" s="72"/>
      <c r="C104" s="462" t="s">
        <v>91</v>
      </c>
      <c r="D104" s="462"/>
      <c r="E104" s="462"/>
      <c r="F104" s="39"/>
      <c r="G104" s="39"/>
      <c r="H104" s="41" t="s">
        <v>152</v>
      </c>
      <c r="I104" s="39"/>
      <c r="N104" s="48"/>
      <c r="O104" s="48"/>
      <c r="P104" s="48"/>
      <c r="Q104" s="48"/>
      <c r="R104" s="48"/>
      <c r="S104" s="48"/>
      <c r="T104" s="48"/>
      <c r="U104" s="48"/>
    </row>
    <row r="105" spans="1:21" hidden="1" x14ac:dyDescent="0.25">
      <c r="B105" s="72"/>
      <c r="C105" s="91" t="s">
        <v>371</v>
      </c>
      <c r="D105" s="91" t="s">
        <v>351</v>
      </c>
      <c r="E105" s="159" t="s">
        <v>8</v>
      </c>
      <c r="F105" s="464" t="s">
        <v>153</v>
      </c>
      <c r="G105" s="466"/>
      <c r="H105" s="39" t="s">
        <v>38</v>
      </c>
      <c r="I105" s="39"/>
      <c r="N105" s="48"/>
      <c r="O105" s="48"/>
      <c r="P105" s="48"/>
      <c r="Q105" s="48"/>
      <c r="R105" s="48"/>
      <c r="S105" s="48"/>
      <c r="T105" s="48"/>
      <c r="U105" s="48"/>
    </row>
    <row r="106" spans="1:21" hidden="1" x14ac:dyDescent="0.25">
      <c r="A106" s="462" t="s">
        <v>94</v>
      </c>
      <c r="B106" s="462"/>
      <c r="C106" s="93" t="s">
        <v>2</v>
      </c>
      <c r="D106" s="93" t="s">
        <v>2</v>
      </c>
      <c r="E106" s="62" t="s">
        <v>2</v>
      </c>
      <c r="F106" s="462" t="s">
        <v>37</v>
      </c>
      <c r="G106" s="462"/>
      <c r="H106" s="62" t="s">
        <v>37</v>
      </c>
      <c r="I106" s="62" t="s">
        <v>8</v>
      </c>
      <c r="N106" s="484" t="s">
        <v>66</v>
      </c>
      <c r="O106" s="484"/>
      <c r="P106" s="489" t="s">
        <v>91</v>
      </c>
      <c r="Q106" s="489"/>
      <c r="R106" s="484" t="s">
        <v>67</v>
      </c>
      <c r="S106" s="484"/>
      <c r="T106" s="63" t="s">
        <v>68</v>
      </c>
      <c r="U106" s="63" t="s">
        <v>8</v>
      </c>
    </row>
    <row r="107" spans="1:21" hidden="1" x14ac:dyDescent="0.25">
      <c r="A107" s="473" t="s">
        <v>69</v>
      </c>
      <c r="B107" s="473"/>
      <c r="C107" s="163">
        <v>0</v>
      </c>
      <c r="D107" s="163">
        <v>0</v>
      </c>
      <c r="E107" s="210">
        <f>IF(D$59=0,C107*2,C107+D107)</f>
        <v>0</v>
      </c>
      <c r="F107" s="474">
        <v>0</v>
      </c>
      <c r="G107" s="474"/>
      <c r="H107" s="250">
        <f>IF(C107=0,0,125)</f>
        <v>0</v>
      </c>
      <c r="I107" s="104">
        <f>ROUND((H107+F107)*E107,2)</f>
        <v>0</v>
      </c>
      <c r="N107" s="479" t="s">
        <v>69</v>
      </c>
      <c r="O107" s="479"/>
      <c r="P107" s="483">
        <f>IF(H$120=1,C107,0)</f>
        <v>0</v>
      </c>
      <c r="Q107" s="483"/>
      <c r="R107" s="486">
        <f>F107</f>
        <v>0</v>
      </c>
      <c r="S107" s="486"/>
      <c r="T107" s="65">
        <f>H107</f>
        <v>0</v>
      </c>
      <c r="U107" s="99">
        <f>ROUND((T107+R107)*P107,0)</f>
        <v>0</v>
      </c>
    </row>
    <row r="108" spans="1:21" hidden="1" x14ac:dyDescent="0.25">
      <c r="A108" s="456" t="s">
        <v>70</v>
      </c>
      <c r="B108" s="456"/>
      <c r="C108" s="165">
        <v>0</v>
      </c>
      <c r="D108" s="165">
        <v>0</v>
      </c>
      <c r="E108" s="125">
        <f>IF(D$59=0,C108*2,C108+D108)</f>
        <v>0</v>
      </c>
      <c r="F108" s="468">
        <f>ROUND(F107/2,2)</f>
        <v>0</v>
      </c>
      <c r="G108" s="468"/>
      <c r="H108" s="250">
        <f>IF(C108=0,0,62.5)</f>
        <v>0</v>
      </c>
      <c r="I108" s="104">
        <f>ROUND((H108+F108)*E108,2)</f>
        <v>0</v>
      </c>
      <c r="N108" s="479" t="s">
        <v>70</v>
      </c>
      <c r="O108" s="479"/>
      <c r="P108" s="483">
        <f>IF(H$120=1,C108,0)</f>
        <v>0</v>
      </c>
      <c r="Q108" s="483"/>
      <c r="R108" s="487">
        <f>ROUND(R107/2,2)</f>
        <v>0</v>
      </c>
      <c r="S108" s="487"/>
      <c r="T108" s="65">
        <f>H108</f>
        <v>0</v>
      </c>
      <c r="U108" s="99">
        <f>ROUND((T108+R108)*P108,0)</f>
        <v>0</v>
      </c>
    </row>
    <row r="109" spans="1:21" ht="16.5" hidden="1" thickBot="1" x14ac:dyDescent="0.3">
      <c r="A109" s="456" t="s">
        <v>71</v>
      </c>
      <c r="B109" s="456"/>
      <c r="C109" s="165">
        <v>0</v>
      </c>
      <c r="D109" s="165">
        <v>0</v>
      </c>
      <c r="E109" s="125">
        <f>IF(D$59=0,C109*2,C109+D109)</f>
        <v>0</v>
      </c>
      <c r="F109" s="475"/>
      <c r="G109" s="475"/>
      <c r="H109" s="251">
        <f>IF(H107&gt;0,436,0)</f>
        <v>0</v>
      </c>
      <c r="I109" s="104">
        <f>ROUND(H109*E109,2)</f>
        <v>0</v>
      </c>
      <c r="N109" s="482" t="s">
        <v>71</v>
      </c>
      <c r="O109" s="482"/>
      <c r="P109" s="483">
        <f>IF(H$120=1,C109,0)</f>
        <v>0</v>
      </c>
      <c r="Q109" s="483"/>
      <c r="R109" s="484"/>
      <c r="S109" s="484"/>
      <c r="T109" s="67">
        <f>H109</f>
        <v>0</v>
      </c>
      <c r="U109" s="106">
        <f>ROUND(T109*P109,0)</f>
        <v>0</v>
      </c>
    </row>
    <row r="110" spans="1:21" ht="16.5" hidden="1" thickBot="1" x14ac:dyDescent="0.3">
      <c r="A110" s="466" t="s">
        <v>8</v>
      </c>
      <c r="B110" s="466"/>
      <c r="C110" s="68"/>
      <c r="D110" s="68"/>
      <c r="E110" s="68"/>
      <c r="F110" s="68"/>
      <c r="G110" s="68"/>
      <c r="H110" s="68"/>
      <c r="I110" s="100">
        <f>SUM(I107:I109)</f>
        <v>0</v>
      </c>
      <c r="N110" s="485" t="s">
        <v>8</v>
      </c>
      <c r="O110" s="485"/>
      <c r="P110" s="69"/>
      <c r="Q110" s="69"/>
      <c r="R110" s="69"/>
      <c r="S110" s="69"/>
      <c r="T110" s="69"/>
      <c r="U110" s="70">
        <f>SUM(U107:U109)</f>
        <v>0</v>
      </c>
    </row>
    <row r="111" spans="1:21" hidden="1" x14ac:dyDescent="0.25">
      <c r="A111" s="39"/>
      <c r="B111" s="39"/>
      <c r="C111" s="68"/>
      <c r="D111" s="68"/>
      <c r="E111" s="68"/>
      <c r="F111" s="68"/>
      <c r="G111" s="68"/>
      <c r="H111" s="68"/>
      <c r="I111" s="104"/>
      <c r="N111" s="40"/>
      <c r="O111" s="40"/>
      <c r="P111" s="69"/>
      <c r="Q111" s="69"/>
      <c r="R111" s="69"/>
      <c r="S111" s="69"/>
      <c r="T111" s="69"/>
      <c r="U111" s="160"/>
    </row>
    <row r="112" spans="1:21" x14ac:dyDescent="0.25">
      <c r="A112" s="463" t="s">
        <v>448</v>
      </c>
      <c r="B112" s="453"/>
      <c r="C112" s="453"/>
      <c r="D112" s="72"/>
      <c r="E112" s="71" t="s">
        <v>354</v>
      </c>
      <c r="F112" s="472"/>
      <c r="G112" s="472"/>
      <c r="H112" s="472"/>
      <c r="I112" s="125">
        <v>0</v>
      </c>
      <c r="N112" s="478" t="s">
        <v>427</v>
      </c>
      <c r="O112" s="479"/>
      <c r="P112" s="479"/>
      <c r="Q112" s="341"/>
      <c r="R112" s="341"/>
      <c r="S112" s="341"/>
      <c r="T112" s="341"/>
      <c r="U112" s="99">
        <f>IF($H$120=1,I112,0)</f>
        <v>0</v>
      </c>
    </row>
    <row r="113" spans="1:21" x14ac:dyDescent="0.25">
      <c r="A113" s="463" t="s">
        <v>449</v>
      </c>
      <c r="B113" s="453"/>
      <c r="C113" s="453"/>
      <c r="D113" s="72"/>
      <c r="E113" s="71" t="s">
        <v>45</v>
      </c>
      <c r="F113" s="472"/>
      <c r="G113" s="472"/>
      <c r="H113" s="472"/>
      <c r="I113" s="177">
        <v>0</v>
      </c>
      <c r="N113" s="478" t="s">
        <v>428</v>
      </c>
      <c r="O113" s="479"/>
      <c r="P113" s="479"/>
      <c r="Q113" s="341"/>
      <c r="R113" s="341"/>
      <c r="S113" s="341"/>
      <c r="T113" s="341"/>
      <c r="U113" s="99">
        <f>IF($H$120=1,I113,0)</f>
        <v>0</v>
      </c>
    </row>
    <row r="114" spans="1:21" ht="16.5" thickBot="1" x14ac:dyDescent="0.3">
      <c r="B114" s="72"/>
      <c r="C114" s="72"/>
      <c r="D114" s="72"/>
      <c r="E114" s="71"/>
      <c r="F114" s="71"/>
      <c r="G114" s="71"/>
      <c r="H114" s="71"/>
      <c r="I114" s="125"/>
      <c r="N114" s="480" t="s">
        <v>42</v>
      </c>
      <c r="O114" s="480"/>
      <c r="P114" s="480"/>
      <c r="Q114" s="480"/>
      <c r="R114" s="480"/>
      <c r="S114" s="480"/>
      <c r="T114" s="480"/>
      <c r="U114" s="154">
        <f>SUM(U112,U110,U100,U99,U93,U77,U76,U74,U73,U72,U71,U70,U68,U59,U45,U78,U79,U80,U85,U113)</f>
        <v>0</v>
      </c>
    </row>
    <row r="115" spans="1:21" ht="16.5" thickTop="1" x14ac:dyDescent="0.25">
      <c r="A115" s="461" t="s">
        <v>8</v>
      </c>
      <c r="B115" s="461"/>
      <c r="C115" s="461"/>
      <c r="D115" s="461"/>
      <c r="E115" s="461"/>
      <c r="F115" s="461"/>
      <c r="G115" s="461"/>
      <c r="H115" s="461"/>
      <c r="I115" s="97">
        <f>SUM(I113,I112,I110,I100,I99,I93,I85,I84,I80,I79,I78,I77,I76,I74,I73,I72,I71,I70,I68,I59,I45)</f>
        <v>2112642.5900000003</v>
      </c>
      <c r="N115" s="29"/>
      <c r="O115" s="29"/>
      <c r="P115" s="29"/>
      <c r="Q115" s="29"/>
      <c r="R115" s="29"/>
      <c r="S115" s="29"/>
      <c r="T115" s="29"/>
      <c r="U115" s="160"/>
    </row>
    <row r="116" spans="1:21" x14ac:dyDescent="0.25">
      <c r="A116" s="27"/>
      <c r="B116" s="27"/>
      <c r="C116" s="27"/>
      <c r="D116" s="27"/>
      <c r="E116" s="27"/>
      <c r="F116" s="27"/>
      <c r="G116" s="27"/>
      <c r="H116" s="27"/>
      <c r="I116" s="104"/>
      <c r="N116" s="29"/>
      <c r="O116" s="29"/>
      <c r="P116" s="29"/>
      <c r="Q116" s="29"/>
      <c r="R116" s="29"/>
      <c r="S116" s="29"/>
      <c r="T116" s="29"/>
      <c r="U116" s="160"/>
    </row>
    <row r="117" spans="1:21" x14ac:dyDescent="0.25">
      <c r="A117" s="432" t="s">
        <v>467</v>
      </c>
      <c r="B117" s="27"/>
      <c r="C117" s="27"/>
      <c r="D117" s="27"/>
      <c r="E117" s="27"/>
      <c r="F117" s="27"/>
      <c r="G117" s="27"/>
      <c r="H117" s="27"/>
      <c r="I117" s="104">
        <f>I115-I84</f>
        <v>2044224.8500000003</v>
      </c>
      <c r="N117" s="29"/>
      <c r="O117" s="29"/>
      <c r="P117" s="29"/>
      <c r="Q117" s="29"/>
      <c r="R117" s="29"/>
      <c r="S117" s="29"/>
      <c r="T117" s="29"/>
      <c r="U117" s="160"/>
    </row>
    <row r="118" spans="1:21" x14ac:dyDescent="0.25">
      <c r="A118" s="27"/>
      <c r="B118" s="27"/>
      <c r="C118" s="27"/>
      <c r="D118" s="27"/>
      <c r="E118" s="27"/>
      <c r="F118" s="27"/>
      <c r="G118" s="27"/>
      <c r="H118" s="27"/>
      <c r="I118" s="104"/>
      <c r="N118" s="29"/>
      <c r="O118" s="29"/>
      <c r="P118" s="29"/>
      <c r="Q118" s="29"/>
      <c r="R118" s="29"/>
      <c r="S118" s="29"/>
      <c r="T118" s="29"/>
      <c r="U118" s="160"/>
    </row>
    <row r="119" spans="1:21" x14ac:dyDescent="0.25">
      <c r="A119" s="463" t="s">
        <v>468</v>
      </c>
      <c r="B119" s="453"/>
      <c r="C119" s="453"/>
      <c r="D119" s="453"/>
      <c r="E119" s="453"/>
      <c r="F119" s="453"/>
      <c r="G119" s="453"/>
      <c r="H119" s="84" t="s">
        <v>394</v>
      </c>
      <c r="I119" s="156"/>
      <c r="N119" s="481"/>
      <c r="O119" s="481"/>
      <c r="P119" s="481"/>
      <c r="Q119" s="481"/>
      <c r="R119" s="481"/>
      <c r="S119" s="481"/>
      <c r="T119" s="481"/>
      <c r="U119" s="481"/>
    </row>
    <row r="120" spans="1:21" x14ac:dyDescent="0.25">
      <c r="A120" s="453" t="s">
        <v>95</v>
      </c>
      <c r="B120" s="453"/>
      <c r="C120" s="453"/>
      <c r="D120" s="453"/>
      <c r="E120" s="453"/>
      <c r="F120" s="453"/>
      <c r="G120" s="453"/>
      <c r="H120" s="73" t="str">
        <f>IF(E29=0,"",IF((E14+E16+SUM(E18:E24))/E29&gt;0.75,1,""))</f>
        <v/>
      </c>
      <c r="I120" s="125">
        <f>U114</f>
        <v>0</v>
      </c>
      <c r="N120" s="476" t="s">
        <v>7</v>
      </c>
      <c r="O120" s="476"/>
      <c r="P120" s="476"/>
      <c r="Q120" s="476"/>
      <c r="R120" s="476"/>
      <c r="S120" s="476"/>
      <c r="T120" s="476"/>
      <c r="U120" s="476"/>
    </row>
    <row r="121" spans="1:21" x14ac:dyDescent="0.25">
      <c r="B121" s="72"/>
      <c r="C121" s="72"/>
      <c r="D121" s="72"/>
      <c r="E121" s="72"/>
      <c r="F121" s="72"/>
      <c r="G121" s="72"/>
      <c r="H121" s="68"/>
      <c r="I121" s="104"/>
      <c r="N121" s="74" t="s">
        <v>106</v>
      </c>
      <c r="O121" s="74"/>
      <c r="P121" s="74"/>
      <c r="Q121" s="74"/>
      <c r="R121" s="74"/>
      <c r="S121" s="74"/>
      <c r="T121" s="74"/>
      <c r="U121" s="74"/>
    </row>
    <row r="122" spans="1:21" x14ac:dyDescent="0.25">
      <c r="A122" s="3" t="s">
        <v>102</v>
      </c>
      <c r="B122" s="72"/>
      <c r="C122" s="72"/>
      <c r="D122" s="72"/>
      <c r="E122" s="72"/>
      <c r="F122" s="72"/>
      <c r="G122" s="286"/>
      <c r="H122" s="161">
        <f>IF(H120=1,I120,I117)</f>
        <v>2044224.8500000003</v>
      </c>
      <c r="I122" s="97">
        <f>ROUND(IF(E29=0,0,IF(E29&gt;250,-(((250/E29)*H122)*IF(G122="H",0.02,0.05)),IF(G122="H",-0.02*H122,-0.05*H122))),2)</f>
        <v>-96725</v>
      </c>
      <c r="N122" s="75" t="s">
        <v>107</v>
      </c>
      <c r="O122" s="74"/>
      <c r="P122" s="74"/>
      <c r="Q122" s="74"/>
      <c r="R122" s="74"/>
      <c r="S122" s="74"/>
      <c r="T122" s="74"/>
      <c r="U122" s="74"/>
    </row>
    <row r="123" spans="1:21" x14ac:dyDescent="0.25">
      <c r="B123" s="72"/>
      <c r="C123" s="72"/>
      <c r="D123" s="72"/>
      <c r="E123" s="72"/>
      <c r="F123" s="72"/>
      <c r="G123" s="72"/>
      <c r="H123" s="68"/>
      <c r="I123" s="104"/>
      <c r="N123" s="76"/>
      <c r="O123" s="76"/>
      <c r="P123" s="76"/>
      <c r="Q123" s="76"/>
      <c r="R123" s="76"/>
      <c r="S123" s="76"/>
      <c r="T123" s="76"/>
      <c r="U123" s="76"/>
    </row>
    <row r="124" spans="1:21" x14ac:dyDescent="0.25">
      <c r="A124" s="345" t="s">
        <v>103</v>
      </c>
      <c r="B124" s="346"/>
      <c r="C124" s="346"/>
      <c r="D124" s="346"/>
      <c r="E124" s="346"/>
      <c r="F124" s="346"/>
      <c r="G124" s="346"/>
      <c r="H124" s="347"/>
      <c r="I124" s="348">
        <f>I115+I122</f>
        <v>2015917.5900000003</v>
      </c>
      <c r="N124" s="76"/>
      <c r="O124" s="76"/>
      <c r="P124" s="76"/>
      <c r="Q124" s="76"/>
      <c r="R124" s="76"/>
      <c r="S124" s="76"/>
      <c r="T124" s="76"/>
      <c r="U124" s="76"/>
    </row>
    <row r="125" spans="1:21" x14ac:dyDescent="0.25">
      <c r="B125" s="72"/>
      <c r="C125" s="72"/>
      <c r="D125" s="72"/>
      <c r="E125" s="72"/>
      <c r="F125" s="72"/>
      <c r="G125" s="72"/>
      <c r="H125" s="68"/>
      <c r="I125" s="104"/>
      <c r="N125" s="76"/>
      <c r="O125" s="76"/>
      <c r="P125" s="76"/>
      <c r="Q125" s="76"/>
      <c r="R125" s="76"/>
      <c r="S125" s="76"/>
      <c r="T125" s="76"/>
      <c r="U125" s="76"/>
    </row>
    <row r="126" spans="1:21" x14ac:dyDescent="0.25">
      <c r="A126" s="3" t="s">
        <v>104</v>
      </c>
      <c r="B126" s="72"/>
      <c r="C126" s="162"/>
      <c r="D126" s="72"/>
      <c r="F126" s="72"/>
      <c r="G126" s="72"/>
      <c r="H126" s="68"/>
      <c r="I126" s="302">
        <v>-1541848.73</v>
      </c>
      <c r="N126" s="76"/>
      <c r="O126" s="76"/>
      <c r="P126" s="76"/>
      <c r="Q126" s="76"/>
      <c r="R126" s="76"/>
      <c r="S126" s="76"/>
      <c r="T126" s="76"/>
      <c r="U126" s="76"/>
    </row>
    <row r="127" spans="1:21" x14ac:dyDescent="0.25">
      <c r="B127" s="72"/>
      <c r="C127" s="72"/>
      <c r="D127" s="72"/>
      <c r="E127" s="72"/>
      <c r="F127" s="72"/>
      <c r="G127" s="72"/>
      <c r="H127" s="68"/>
      <c r="I127" s="104"/>
      <c r="N127" s="76"/>
      <c r="O127" s="76"/>
      <c r="P127" s="76"/>
      <c r="Q127" s="76"/>
      <c r="R127" s="76"/>
      <c r="S127" s="76"/>
      <c r="T127" s="76"/>
      <c r="U127" s="76"/>
    </row>
    <row r="128" spans="1:21" x14ac:dyDescent="0.25">
      <c r="A128" s="84" t="s">
        <v>297</v>
      </c>
      <c r="B128" s="72"/>
      <c r="C128" s="72"/>
      <c r="D128" s="72"/>
      <c r="E128" s="72"/>
      <c r="F128" s="72"/>
      <c r="G128" s="72"/>
      <c r="H128" s="68"/>
      <c r="I128" s="104">
        <f>I124+I126</f>
        <v>474068.86000000034</v>
      </c>
      <c r="N128" s="76"/>
      <c r="O128" s="76"/>
      <c r="P128" s="76"/>
      <c r="Q128" s="76"/>
      <c r="R128" s="76"/>
      <c r="S128" s="76"/>
      <c r="T128" s="76"/>
      <c r="U128" s="76"/>
    </row>
    <row r="129" spans="1:21" x14ac:dyDescent="0.25">
      <c r="A129" s="84"/>
      <c r="B129" s="72"/>
      <c r="C129" s="72"/>
      <c r="D129" s="72"/>
      <c r="E129" s="72"/>
      <c r="F129" s="72"/>
      <c r="G129" s="72"/>
      <c r="H129" s="68"/>
      <c r="I129" s="104"/>
      <c r="N129" s="76"/>
      <c r="O129" s="76"/>
      <c r="P129" s="76"/>
      <c r="Q129" s="76"/>
      <c r="R129" s="76"/>
      <c r="S129" s="76"/>
      <c r="T129" s="76"/>
      <c r="U129" s="76"/>
    </row>
    <row r="130" spans="1:21" x14ac:dyDescent="0.25">
      <c r="A130" s="84" t="s">
        <v>298</v>
      </c>
      <c r="B130" s="72"/>
      <c r="C130" s="72"/>
      <c r="D130" s="72"/>
      <c r="E130" s="72"/>
      <c r="F130" s="72"/>
      <c r="G130" s="72"/>
      <c r="H130" s="68"/>
      <c r="I130" s="303">
        <f>'0664'!I130</f>
        <v>3</v>
      </c>
      <c r="N130" s="76"/>
      <c r="O130" s="76"/>
      <c r="P130" s="76"/>
      <c r="Q130" s="76"/>
      <c r="R130" s="76"/>
      <c r="S130" s="76"/>
      <c r="T130" s="76"/>
      <c r="U130" s="76"/>
    </row>
    <row r="131" spans="1:21" x14ac:dyDescent="0.25">
      <c r="B131" s="72"/>
      <c r="C131" s="72"/>
      <c r="D131" s="72"/>
      <c r="E131" s="72"/>
      <c r="F131" s="72"/>
      <c r="G131" s="72"/>
      <c r="H131" s="68"/>
      <c r="I131" s="104"/>
      <c r="N131" s="76"/>
      <c r="O131" s="76"/>
      <c r="P131" s="76"/>
      <c r="Q131" s="76"/>
      <c r="R131" s="76"/>
      <c r="S131" s="76"/>
      <c r="T131" s="76"/>
      <c r="U131" s="76"/>
    </row>
    <row r="132" spans="1:21" ht="16.5" thickBot="1" x14ac:dyDescent="0.3">
      <c r="A132" s="3" t="s">
        <v>105</v>
      </c>
      <c r="B132" s="72"/>
      <c r="C132" s="72"/>
      <c r="D132" s="72"/>
      <c r="E132" s="72"/>
      <c r="F132" s="72"/>
      <c r="G132" s="72"/>
      <c r="H132" s="68"/>
      <c r="I132" s="178">
        <f>ROUND(I128/I130,2)</f>
        <v>158022.95000000001</v>
      </c>
      <c r="N132" s="76"/>
      <c r="O132" s="76"/>
      <c r="P132" s="76"/>
      <c r="Q132" s="76"/>
      <c r="R132" s="76"/>
      <c r="S132" s="76"/>
      <c r="T132" s="76"/>
      <c r="U132" s="76"/>
    </row>
    <row r="133" spans="1:21" ht="16.5" thickTop="1" x14ac:dyDescent="0.25">
      <c r="B133" s="72"/>
      <c r="C133" s="72"/>
      <c r="D133" s="72"/>
      <c r="E133" s="72"/>
      <c r="F133" s="72"/>
      <c r="G133" s="72"/>
      <c r="H133" s="68"/>
      <c r="I133" s="104"/>
      <c r="N133" s="76"/>
      <c r="O133" s="76"/>
      <c r="P133" s="76"/>
      <c r="Q133" s="76"/>
      <c r="R133" s="76"/>
      <c r="S133" s="76"/>
      <c r="T133" s="76"/>
      <c r="U133" s="76"/>
    </row>
    <row r="134" spans="1:21" ht="16.5" thickBot="1" x14ac:dyDescent="0.3">
      <c r="A134" s="3" t="s">
        <v>121</v>
      </c>
      <c r="B134" s="72"/>
      <c r="C134" s="72"/>
      <c r="D134" s="72"/>
      <c r="E134" s="72"/>
      <c r="F134" s="72"/>
      <c r="G134" s="72"/>
      <c r="H134" s="68"/>
      <c r="I134" s="155">
        <f>ROUND(IF(G122="H",(H122*0.02)+I122,(H122*0.05)+I122),2)</f>
        <v>5486.24</v>
      </c>
      <c r="N134" s="76"/>
      <c r="O134" s="76"/>
      <c r="P134" s="76"/>
      <c r="Q134" s="76"/>
      <c r="R134" s="76"/>
      <c r="S134" s="76"/>
      <c r="T134" s="76"/>
      <c r="U134" s="76"/>
    </row>
    <row r="135" spans="1:21" ht="16.5" thickTop="1" x14ac:dyDescent="0.25">
      <c r="B135" s="72"/>
      <c r="C135" s="72"/>
      <c r="D135" s="72"/>
      <c r="E135" s="72"/>
      <c r="F135" s="72"/>
      <c r="G135" s="72"/>
      <c r="H135" s="68"/>
      <c r="I135" s="156"/>
      <c r="N135" s="76"/>
      <c r="O135" s="76"/>
      <c r="P135" s="76"/>
      <c r="Q135" s="76"/>
      <c r="R135" s="76"/>
      <c r="S135" s="76"/>
      <c r="T135" s="76"/>
      <c r="U135" s="76"/>
    </row>
    <row r="136" spans="1:21" x14ac:dyDescent="0.25">
      <c r="B136" s="72"/>
      <c r="C136" s="72"/>
      <c r="D136" s="72"/>
      <c r="E136" s="72"/>
      <c r="F136" s="72"/>
      <c r="G136" s="72"/>
      <c r="H136" s="68"/>
      <c r="I136" s="104"/>
      <c r="N136" s="76"/>
      <c r="O136" s="76"/>
      <c r="P136" s="76"/>
      <c r="Q136" s="76"/>
      <c r="R136" s="76"/>
      <c r="S136" s="76"/>
      <c r="T136" s="76"/>
      <c r="U136" s="76"/>
    </row>
    <row r="137" spans="1:21" x14ac:dyDescent="0.25">
      <c r="B137" s="72"/>
      <c r="C137" s="72"/>
      <c r="D137" s="72"/>
      <c r="E137" s="72"/>
      <c r="F137" s="72"/>
      <c r="G137" s="72"/>
      <c r="H137" s="68"/>
      <c r="I137" s="156"/>
      <c r="N137" s="76"/>
      <c r="O137" s="76"/>
      <c r="P137" s="76"/>
      <c r="Q137" s="76"/>
      <c r="R137" s="76"/>
      <c r="S137" s="76"/>
      <c r="T137" s="76"/>
      <c r="U137" s="76"/>
    </row>
    <row r="138" spans="1:21" x14ac:dyDescent="0.25">
      <c r="A138" s="281" t="s">
        <v>7</v>
      </c>
      <c r="B138" s="281"/>
      <c r="C138" s="281"/>
      <c r="D138" s="281"/>
      <c r="E138" s="281"/>
      <c r="F138" s="281"/>
      <c r="G138" s="281"/>
      <c r="H138" s="281"/>
      <c r="I138" s="281"/>
      <c r="J138" s="156"/>
      <c r="N138" s="76"/>
      <c r="O138" s="76"/>
      <c r="P138" s="76"/>
      <c r="Q138" s="76"/>
      <c r="R138" s="76"/>
      <c r="S138" s="76"/>
      <c r="T138" s="76"/>
      <c r="U138" s="76"/>
    </row>
    <row r="139" spans="1:21" ht="15.75" customHeight="1" x14ac:dyDescent="0.25">
      <c r="A139" s="356" t="str">
        <f>'0664'!A139</f>
        <v>(a) Additional FTE includes FTE earned through Advanced Placement, International Baccalaureate, Advanced International Certificate of Education, Industry Certified Career</v>
      </c>
      <c r="B139" s="357"/>
      <c r="C139" s="357"/>
      <c r="D139" s="357"/>
      <c r="E139" s="357"/>
      <c r="F139" s="357"/>
      <c r="G139" s="357"/>
      <c r="H139" s="357"/>
      <c r="I139" s="357"/>
      <c r="J139" s="80"/>
      <c r="K139" s="79"/>
      <c r="L139" s="79"/>
      <c r="M139" s="79"/>
      <c r="N139" s="477"/>
      <c r="O139" s="477"/>
      <c r="P139" s="477"/>
      <c r="Q139" s="477"/>
      <c r="R139" s="477"/>
      <c r="S139" s="477"/>
      <c r="T139" s="477"/>
      <c r="U139" s="477"/>
    </row>
    <row r="140" spans="1:21" ht="15.75" customHeight="1" x14ac:dyDescent="0.25">
      <c r="A140" s="390" t="str">
        <f>'0664'!A140</f>
        <v xml:space="preserve">Education (CAPE), Early High School Graduation and the small district ESE Supplement, pursuant to s. 1011.62(1)(l-p), F.S. </v>
      </c>
      <c r="B140" s="357"/>
      <c r="C140" s="357"/>
      <c r="D140" s="357"/>
      <c r="E140" s="357"/>
      <c r="F140" s="357"/>
      <c r="G140" s="357"/>
      <c r="H140" s="357"/>
      <c r="I140" s="357"/>
      <c r="J140" s="80"/>
      <c r="K140" s="79"/>
      <c r="L140" s="79"/>
      <c r="M140" s="79"/>
      <c r="N140" s="76"/>
      <c r="O140" s="76"/>
      <c r="P140" s="76"/>
      <c r="Q140" s="76"/>
      <c r="R140" s="76"/>
      <c r="S140" s="76"/>
      <c r="T140" s="76"/>
      <c r="U140" s="76"/>
    </row>
    <row r="141" spans="1:21" x14ac:dyDescent="0.25">
      <c r="A141" s="356" t="str">
        <f>'0664'!A141</f>
        <v>(b) District allocations multiplied by percentage from item 3A.</v>
      </c>
      <c r="B141" s="281"/>
      <c r="C141" s="281"/>
      <c r="D141" s="281"/>
      <c r="E141" s="281"/>
      <c r="F141" s="281"/>
      <c r="G141" s="281"/>
      <c r="H141" s="281"/>
      <c r="I141" s="281"/>
      <c r="J141" s="79"/>
      <c r="K141" s="79"/>
      <c r="L141" s="79"/>
      <c r="M141" s="79"/>
      <c r="N141" s="81"/>
      <c r="O141" s="82"/>
      <c r="P141" s="82"/>
      <c r="Q141" s="82"/>
      <c r="R141" s="82"/>
      <c r="S141" s="82"/>
      <c r="T141" s="82"/>
      <c r="U141" s="82"/>
    </row>
    <row r="142" spans="1:21" s="79" customFormat="1" x14ac:dyDescent="0.2">
      <c r="A142" s="356" t="str">
        <f>'0664'!A142</f>
        <v>(c) District allocations multiplied by percentage from item 3B.</v>
      </c>
      <c r="B142" s="281"/>
      <c r="C142" s="281"/>
      <c r="D142" s="281"/>
      <c r="E142" s="281"/>
      <c r="F142" s="281"/>
      <c r="G142" s="281"/>
      <c r="H142" s="281"/>
      <c r="I142" s="281"/>
      <c r="N142" s="81"/>
    </row>
    <row r="143" spans="1:21" s="79" customFormat="1" ht="15.75" customHeight="1" x14ac:dyDescent="0.2">
      <c r="A143" s="356" t="str">
        <f>'0664'!A143</f>
        <v>(d) The Digital Classroom Allocation is provided pursuant to s. 1011.62(12), F.S.</v>
      </c>
      <c r="B143" s="281"/>
      <c r="C143" s="281"/>
      <c r="D143" s="281"/>
      <c r="E143" s="281"/>
      <c r="F143" s="281"/>
      <c r="G143" s="281"/>
      <c r="H143" s="281"/>
      <c r="I143" s="281"/>
      <c r="N143" s="81"/>
    </row>
    <row r="144" spans="1:21" s="79" customFormat="1" ht="15.75" customHeight="1" x14ac:dyDescent="0.2">
      <c r="A144" s="356" t="str">
        <f>'0664'!A144</f>
        <v>(e) School districts are required to pay for instructional materials used for the instruction of public high school students who are earning credit toward high school</v>
      </c>
      <c r="B144" s="281"/>
      <c r="C144" s="281"/>
      <c r="D144" s="281"/>
      <c r="E144" s="281"/>
      <c r="F144" s="281"/>
      <c r="G144" s="281"/>
      <c r="H144" s="281"/>
      <c r="I144" s="281"/>
      <c r="N144" s="81"/>
    </row>
    <row r="145" spans="1:14" s="79" customFormat="1" ht="15.75" customHeight="1" x14ac:dyDescent="0.2">
      <c r="A145" s="390" t="str">
        <f>'0664'!A145</f>
        <v xml:space="preserve">graduation under the dual enrollment program as provided in s. 1011.62(l)(i), F.S.  </v>
      </c>
      <c r="B145" s="281"/>
      <c r="C145" s="281"/>
      <c r="D145" s="281"/>
      <c r="E145" s="281"/>
      <c r="F145" s="281"/>
      <c r="G145" s="281"/>
      <c r="H145" s="281"/>
      <c r="I145" s="281"/>
      <c r="N145" s="81"/>
    </row>
    <row r="146" spans="1:14" s="79" customFormat="1" x14ac:dyDescent="0.2">
      <c r="A146" s="356" t="str">
        <f>'0664'!A146</f>
        <v>(f) This allocation will be frozen as of the 2021-22 FEFP Second Calculation and will not be recalculated throughout the year. Charter school allocations should be</v>
      </c>
      <c r="B146" s="281"/>
      <c r="C146" s="281"/>
      <c r="D146" s="281"/>
      <c r="E146" s="281"/>
      <c r="F146" s="281"/>
      <c r="G146" s="281"/>
      <c r="H146" s="281"/>
      <c r="I146" s="281"/>
      <c r="N146" s="81"/>
    </row>
    <row r="147" spans="1:14" s="79" customFormat="1" x14ac:dyDescent="0.2">
      <c r="A147" s="358" t="str">
        <f>'0664'!A147</f>
        <v xml:space="preserve">distributed on weighted FTE (or base funding as is done in the FEFP) and should not be recalculated with fluctuations in student enrollment later in the year. </v>
      </c>
      <c r="B147" s="281"/>
      <c r="C147" s="281"/>
      <c r="D147" s="281"/>
      <c r="E147" s="281"/>
      <c r="F147" s="281"/>
      <c r="G147" s="281"/>
      <c r="H147" s="281"/>
      <c r="I147" s="281"/>
      <c r="N147" s="81"/>
    </row>
    <row r="148" spans="1:14" s="79" customFormat="1" x14ac:dyDescent="0.2">
      <c r="A148" s="356" t="str">
        <f>'0664'!A148</f>
        <v>(g) Numbers entered here will be multiplied by the district level transportation funding per rider. "All Adjusted Fundable Riders" should include both basic and ESE Riders.</v>
      </c>
      <c r="B148" s="281"/>
      <c r="C148" s="281"/>
      <c r="D148" s="281"/>
      <c r="E148" s="281"/>
      <c r="F148" s="281"/>
      <c r="G148" s="281"/>
      <c r="H148" s="281"/>
      <c r="I148" s="281"/>
      <c r="N148" s="81"/>
    </row>
    <row r="149" spans="1:14" s="79" customFormat="1" x14ac:dyDescent="0.2">
      <c r="A149" s="390" t="str">
        <f>'0664'!A149</f>
        <v>"All Adjusted ESE Riders" should include only ESE Riders.</v>
      </c>
      <c r="B149" s="281"/>
      <c r="C149" s="281"/>
      <c r="D149" s="281"/>
      <c r="E149" s="281"/>
      <c r="F149" s="281"/>
      <c r="G149" s="281"/>
      <c r="H149" s="281"/>
      <c r="I149" s="281"/>
      <c r="N149" s="81"/>
    </row>
    <row r="150" spans="1:14" s="79" customFormat="1" x14ac:dyDescent="0.2">
      <c r="A150" s="356" t="str">
        <f>'0664'!A150</f>
        <v xml:space="preserve">(h) The Federally Connected Student Supplement provides additional funding for students on federal lands that receive Section 8003 impact aide pursuant to s. 1011.62(13), F.S. </v>
      </c>
      <c r="B150" s="281"/>
      <c r="C150" s="281"/>
      <c r="D150" s="281"/>
      <c r="E150" s="281"/>
      <c r="F150" s="281"/>
      <c r="G150" s="281"/>
      <c r="H150" s="281"/>
      <c r="I150" s="281"/>
      <c r="N150" s="81"/>
    </row>
    <row r="151" spans="1:14" s="79" customFormat="1" x14ac:dyDescent="0.2">
      <c r="A151" s="356" t="str">
        <f>'0664'!A151</f>
        <v>(i) Teacher Classroom Supply Assistance Program allocation pursuant to s. 1012.71, F.S., for certified teachers employed by a public school district or public charter school</v>
      </c>
      <c r="B151" s="281"/>
      <c r="C151" s="281"/>
      <c r="D151" s="281"/>
      <c r="E151" s="281"/>
      <c r="F151" s="281"/>
      <c r="G151" s="281"/>
      <c r="H151" s="281"/>
      <c r="I151" s="281"/>
      <c r="N151" s="81"/>
    </row>
    <row r="152" spans="1:14" s="79" customFormat="1" x14ac:dyDescent="0.2">
      <c r="A152" s="358" t="str">
        <f>'0664'!A152</f>
        <v xml:space="preserve">before September 1 of each year whose full-time or job-share responsibility is the classroom instruction of students in prekindergarten through grade 12, including </v>
      </c>
      <c r="B152" s="281"/>
      <c r="C152" s="281"/>
      <c r="D152" s="281"/>
      <c r="E152" s="281"/>
      <c r="F152" s="281"/>
      <c r="G152" s="281"/>
      <c r="H152" s="281"/>
      <c r="I152" s="281"/>
      <c r="N152" s="81"/>
    </row>
    <row r="153" spans="1:14" s="79" customFormat="1" ht="15.75" customHeight="1" x14ac:dyDescent="0.2">
      <c r="A153" s="358" t="str">
        <f>'0664'!A153</f>
        <v>full-time media specialists and certified school counselors serving students in prekindergarten through grade 12, who are funded through the FEFP.</v>
      </c>
      <c r="B153" s="281"/>
      <c r="C153" s="281"/>
      <c r="D153" s="281"/>
      <c r="E153" s="281"/>
      <c r="F153" s="281"/>
      <c r="G153" s="281"/>
      <c r="H153" s="281"/>
      <c r="I153" s="281"/>
      <c r="N153" s="81"/>
    </row>
    <row r="154" spans="1:14" s="79" customFormat="1" ht="15.75" customHeight="1" x14ac:dyDescent="0.2">
      <c r="A154" s="356" t="str">
        <f>'0664'!A154</f>
        <v xml:space="preserve">(j) Funding based on student eligibility and meals provided, if participating in the National School Lunch Program. </v>
      </c>
      <c r="B154" s="328"/>
      <c r="C154" s="328"/>
      <c r="D154" s="328"/>
      <c r="E154" s="328"/>
      <c r="F154" s="328"/>
      <c r="G154" s="328"/>
      <c r="H154" s="328"/>
      <c r="I154" s="328"/>
      <c r="N154" s="81"/>
    </row>
    <row r="155" spans="1:14" s="79" customFormat="1" ht="15.75" customHeight="1" x14ac:dyDescent="0.2">
      <c r="A155" s="356" t="str">
        <f>'0664'!A155</f>
        <v>(k) Consistent with s. 1002.33(20)(a), F.S., for charter schools with a population of 75% or more ESE students, the administrative fee shall be calculated based on</v>
      </c>
      <c r="B155" s="381"/>
      <c r="C155" s="381"/>
      <c r="D155" s="381"/>
      <c r="E155" s="381"/>
      <c r="F155" s="381"/>
      <c r="G155" s="381"/>
      <c r="H155" s="381"/>
      <c r="I155" s="381"/>
      <c r="N155" s="81"/>
    </row>
    <row r="156" spans="1:14" s="79" customFormat="1" ht="15.75" customHeight="1" x14ac:dyDescent="0.2">
      <c r="A156" s="390" t="str">
        <f>'0664'!A156</f>
        <v xml:space="preserve">unweighted full-time equivalent students. </v>
      </c>
      <c r="B156" s="381"/>
      <c r="C156" s="381"/>
      <c r="D156" s="381"/>
      <c r="E156" s="381"/>
      <c r="F156" s="381"/>
      <c r="G156" s="381"/>
      <c r="H156" s="381"/>
      <c r="I156" s="381"/>
      <c r="N156" s="81"/>
    </row>
    <row r="157" spans="1:14" s="79" customFormat="1" ht="15.75" customHeight="1" x14ac:dyDescent="0.2">
      <c r="A157" s="356"/>
      <c r="B157" s="381"/>
      <c r="C157" s="381"/>
      <c r="D157" s="381"/>
      <c r="E157" s="381"/>
      <c r="F157" s="381"/>
      <c r="G157" s="381"/>
      <c r="H157" s="381"/>
      <c r="I157" s="381"/>
      <c r="N157" s="81"/>
    </row>
    <row r="158" spans="1:14" s="79" customFormat="1" ht="15.75" customHeight="1" x14ac:dyDescent="0.25">
      <c r="A158" s="398" t="str">
        <f>'0664'!A158</f>
        <v>Administrative fees:</v>
      </c>
      <c r="B158" s="328"/>
      <c r="C158" s="328"/>
      <c r="D158" s="328"/>
      <c r="E158" s="328"/>
      <c r="F158" s="328"/>
      <c r="G158" s="328"/>
      <c r="H158" s="328"/>
      <c r="I158" s="328"/>
      <c r="J158" s="3"/>
      <c r="K158" s="3"/>
      <c r="L158" s="3"/>
      <c r="M158" s="3"/>
      <c r="N158" s="81"/>
    </row>
    <row r="159" spans="1:14" s="79" customFormat="1" ht="15.75" customHeight="1" x14ac:dyDescent="0.25">
      <c r="A159" s="399" t="str">
        <f>'0664'!A159</f>
        <v xml:space="preserve">Administrative fees charged by the school district pursuant to s. 1002.33(20)(a), F.S., shall be calculated based upon 5% of available funds from the FEFP and categorical </v>
      </c>
      <c r="B159" s="328"/>
      <c r="C159" s="328"/>
      <c r="D159" s="328"/>
      <c r="E159" s="328"/>
      <c r="F159" s="328"/>
      <c r="G159" s="328"/>
      <c r="H159" s="328"/>
      <c r="I159" s="328"/>
      <c r="J159" s="3"/>
      <c r="K159" s="3"/>
      <c r="L159" s="3"/>
      <c r="M159" s="3"/>
      <c r="N159" s="81"/>
    </row>
    <row r="160" spans="1:14" s="79" customFormat="1" ht="15.75" customHeight="1" x14ac:dyDescent="0.25">
      <c r="A160" s="400" t="str">
        <f>'0664'!A160</f>
        <v>funding for which charter students may be eligible.  To calculate the administrative fee to be withheld for schools with more than 250 students, divide the school</v>
      </c>
      <c r="B160" s="328"/>
      <c r="C160" s="328"/>
      <c r="D160" s="328"/>
      <c r="E160" s="328"/>
      <c r="F160" s="328"/>
      <c r="G160" s="328"/>
      <c r="H160" s="328"/>
      <c r="I160" s="328"/>
      <c r="J160" s="3"/>
      <c r="K160" s="3"/>
      <c r="L160" s="3"/>
      <c r="M160" s="3"/>
      <c r="N160" s="81"/>
    </row>
    <row r="161" spans="1:21" s="79" customFormat="1" ht="15.75" customHeight="1" x14ac:dyDescent="0.25">
      <c r="A161" s="400" t="str">
        <f>'0664'!A161</f>
        <v xml:space="preserve">population into 250. Multiply that fraction times the funds available, then times 5%.  </v>
      </c>
      <c r="B161" s="328"/>
      <c r="C161" s="328"/>
      <c r="D161" s="328"/>
      <c r="E161" s="328"/>
      <c r="F161" s="328"/>
      <c r="G161" s="328"/>
      <c r="H161" s="328"/>
      <c r="I161" s="328"/>
      <c r="J161" s="3"/>
      <c r="K161" s="3"/>
      <c r="L161" s="3"/>
      <c r="M161" s="3"/>
      <c r="N161" s="81"/>
    </row>
    <row r="162" spans="1:21" s="79" customFormat="1" ht="15.75" customHeight="1" x14ac:dyDescent="0.25">
      <c r="A162" s="399"/>
      <c r="B162" s="394"/>
      <c r="C162" s="394"/>
      <c r="D162" s="394"/>
      <c r="E162" s="394"/>
      <c r="F162" s="394"/>
      <c r="G162" s="394"/>
      <c r="H162" s="394"/>
      <c r="I162" s="394"/>
      <c r="N162" s="77"/>
      <c r="O162" s="3"/>
      <c r="P162" s="3"/>
      <c r="Q162" s="3"/>
      <c r="R162" s="3"/>
      <c r="S162" s="3"/>
      <c r="T162" s="3"/>
      <c r="U162" s="3"/>
    </row>
    <row r="163" spans="1:21" ht="15.75" customHeight="1" x14ac:dyDescent="0.25">
      <c r="A163" s="399" t="str">
        <f>'0664'!A163</f>
        <v xml:space="preserve">For high performing charter schools, administrative fees charged by the school district shall be calculated based upon 2% of available funds from the FEFP and categorical </v>
      </c>
      <c r="B163" s="328"/>
      <c r="C163" s="328"/>
      <c r="D163" s="328"/>
      <c r="E163" s="328"/>
      <c r="F163" s="328"/>
      <c r="G163" s="328"/>
      <c r="H163" s="328"/>
      <c r="I163" s="328"/>
      <c r="J163" s="79"/>
      <c r="K163" s="79"/>
      <c r="L163" s="79"/>
      <c r="M163" s="79"/>
      <c r="N163" s="81"/>
      <c r="O163" s="79"/>
      <c r="P163" s="79"/>
      <c r="Q163" s="79"/>
      <c r="R163" s="79"/>
      <c r="S163" s="79"/>
      <c r="T163" s="79"/>
      <c r="U163" s="79"/>
    </row>
    <row r="164" spans="1:21" ht="15.75" customHeight="1" x14ac:dyDescent="0.25">
      <c r="A164" s="400" t="str">
        <f>'0664'!A164</f>
        <v>funding for which charter students may be eligible.  To calculate the administrative fee to be withheld for schools with more than 250 students, divide the school</v>
      </c>
      <c r="B164" s="381"/>
      <c r="C164" s="381"/>
      <c r="D164" s="381"/>
      <c r="E164" s="381"/>
      <c r="F164" s="381"/>
      <c r="G164" s="381"/>
      <c r="H164" s="381"/>
      <c r="I164" s="381"/>
      <c r="J164" s="79"/>
      <c r="K164" s="79"/>
      <c r="L164" s="79"/>
      <c r="M164" s="79"/>
      <c r="N164" s="81"/>
      <c r="O164" s="79"/>
      <c r="P164" s="79"/>
      <c r="Q164" s="79"/>
      <c r="R164" s="79"/>
      <c r="S164" s="79"/>
      <c r="T164" s="79"/>
      <c r="U164" s="79"/>
    </row>
    <row r="165" spans="1:21" s="79" customFormat="1" ht="15.75" customHeight="1" x14ac:dyDescent="0.2">
      <c r="A165" s="400" t="str">
        <f>'0664'!A165</f>
        <v xml:space="preserve">population into 250. Multiply that fraction times the funds available, then times 2%.  </v>
      </c>
      <c r="B165" s="328"/>
      <c r="C165" s="328"/>
      <c r="D165" s="328"/>
      <c r="E165" s="328"/>
      <c r="F165" s="328"/>
      <c r="G165" s="328"/>
      <c r="H165" s="328"/>
      <c r="I165" s="328"/>
      <c r="N165" s="81"/>
    </row>
    <row r="166" spans="1:21" x14ac:dyDescent="0.25">
      <c r="A166" s="356"/>
      <c r="N166" s="77"/>
    </row>
    <row r="167" spans="1:21" x14ac:dyDescent="0.25">
      <c r="A167" s="398" t="str">
        <f>'0664'!A167</f>
        <v>Other:</v>
      </c>
      <c r="N167" s="77"/>
    </row>
    <row r="168" spans="1:21" x14ac:dyDescent="0.25">
      <c r="A168" s="399" t="str">
        <f>'0664'!A168</f>
        <v>FEFP and categorical funding are recalculated during the year to reflect the revised number of full-time equivalent students reported during the survey periods designated</v>
      </c>
      <c r="N168" s="77"/>
    </row>
    <row r="169" spans="1:21" x14ac:dyDescent="0.25">
      <c r="A169" s="402" t="str">
        <f>'0664'!A169</f>
        <v>by the Commissioner of Education.</v>
      </c>
      <c r="N169" s="77"/>
    </row>
    <row r="170" spans="1:21" x14ac:dyDescent="0.25">
      <c r="A170" s="399" t="str">
        <f>'0664'!A170</f>
        <v>Revenues flow to districts from state sources and from county tax collectors on various distribution schedules.</v>
      </c>
      <c r="N170" s="77"/>
    </row>
    <row r="171" spans="1:21" x14ac:dyDescent="0.25">
      <c r="A171" s="77"/>
      <c r="N171" s="77"/>
    </row>
    <row r="172" spans="1:21" x14ac:dyDescent="0.25">
      <c r="A172" s="77"/>
      <c r="N172" s="77"/>
    </row>
    <row r="173" spans="1:21" x14ac:dyDescent="0.25">
      <c r="A173" s="77"/>
      <c r="N173" s="77"/>
    </row>
    <row r="174" spans="1:21" x14ac:dyDescent="0.25">
      <c r="A174" s="77"/>
      <c r="N174" s="77"/>
    </row>
    <row r="175" spans="1:21" x14ac:dyDescent="0.25">
      <c r="A175" s="77"/>
      <c r="N175" s="77"/>
    </row>
    <row r="176" spans="1:21" x14ac:dyDescent="0.25">
      <c r="A176" s="77"/>
      <c r="N176" s="77"/>
    </row>
    <row r="177" spans="1:14" x14ac:dyDescent="0.25">
      <c r="A177" s="77"/>
      <c r="N177" s="77"/>
    </row>
    <row r="178" spans="1:14" x14ac:dyDescent="0.25">
      <c r="A178" s="77"/>
      <c r="N178" s="77"/>
    </row>
    <row r="179" spans="1:14" x14ac:dyDescent="0.25">
      <c r="A179" s="77"/>
      <c r="N179" s="77"/>
    </row>
    <row r="180" spans="1:14" x14ac:dyDescent="0.25">
      <c r="A180" s="77"/>
      <c r="N180" s="77"/>
    </row>
    <row r="181" spans="1:14" x14ac:dyDescent="0.25">
      <c r="A181" s="77"/>
      <c r="N181" s="77"/>
    </row>
    <row r="182" spans="1:14" x14ac:dyDescent="0.25">
      <c r="A182" s="77"/>
      <c r="N182" s="77"/>
    </row>
    <row r="183" spans="1:14" x14ac:dyDescent="0.25">
      <c r="A183" s="77"/>
      <c r="N183" s="77"/>
    </row>
    <row r="184" spans="1:14" x14ac:dyDescent="0.25">
      <c r="A184" s="77"/>
      <c r="N184" s="77"/>
    </row>
    <row r="185" spans="1:14" x14ac:dyDescent="0.25">
      <c r="A185" s="77"/>
      <c r="N185" s="77"/>
    </row>
    <row r="186" spans="1:14" x14ac:dyDescent="0.25">
      <c r="A186" s="77"/>
      <c r="N186" s="77"/>
    </row>
    <row r="187" spans="1:14" x14ac:dyDescent="0.25">
      <c r="A187" s="77"/>
      <c r="N187" s="77"/>
    </row>
    <row r="188" spans="1:14" x14ac:dyDescent="0.25">
      <c r="A188" s="77"/>
    </row>
    <row r="189" spans="1:14" x14ac:dyDescent="0.25">
      <c r="A189" s="77"/>
    </row>
    <row r="190" spans="1:14" x14ac:dyDescent="0.25">
      <c r="A190" s="77"/>
    </row>
    <row r="191" spans="1:14" x14ac:dyDescent="0.25">
      <c r="A191" s="77"/>
    </row>
    <row r="192" spans="1:14" x14ac:dyDescent="0.25">
      <c r="A192" s="77"/>
    </row>
    <row r="193" spans="1:1" x14ac:dyDescent="0.25">
      <c r="A193" s="77"/>
    </row>
    <row r="194" spans="1:1" x14ac:dyDescent="0.25">
      <c r="A194" s="77"/>
    </row>
    <row r="195" spans="1:1" x14ac:dyDescent="0.25">
      <c r="A195" s="77"/>
    </row>
    <row r="196" spans="1:1" x14ac:dyDescent="0.25">
      <c r="A196" s="77"/>
    </row>
    <row r="197" spans="1:1" x14ac:dyDescent="0.25">
      <c r="A197" s="77"/>
    </row>
    <row r="198" spans="1:1" x14ac:dyDescent="0.25">
      <c r="A198" s="77"/>
    </row>
    <row r="199" spans="1:1" x14ac:dyDescent="0.25">
      <c r="A199" s="77"/>
    </row>
    <row r="200" spans="1:1" x14ac:dyDescent="0.25">
      <c r="A200" s="77"/>
    </row>
    <row r="201" spans="1:1" x14ac:dyDescent="0.25">
      <c r="A201" s="77"/>
    </row>
    <row r="202" spans="1:1" x14ac:dyDescent="0.25">
      <c r="A202" s="77"/>
    </row>
    <row r="203" spans="1:1" x14ac:dyDescent="0.25">
      <c r="A203" s="77"/>
    </row>
    <row r="204" spans="1:1" x14ac:dyDescent="0.25">
      <c r="A204" s="77"/>
    </row>
    <row r="205" spans="1:1" x14ac:dyDescent="0.25">
      <c r="A205" s="77"/>
    </row>
    <row r="206" spans="1:1" x14ac:dyDescent="0.25">
      <c r="A206" s="77"/>
    </row>
  </sheetData>
  <mergeCells count="266">
    <mergeCell ref="R109:S109"/>
    <mergeCell ref="A110:B110"/>
    <mergeCell ref="N110:O110"/>
    <mergeCell ref="N139:U139"/>
    <mergeCell ref="N119:U119"/>
    <mergeCell ref="N113:P113"/>
    <mergeCell ref="A113:C113"/>
    <mergeCell ref="F113:H113"/>
    <mergeCell ref="N114:T114"/>
    <mergeCell ref="A115:H115"/>
    <mergeCell ref="A119:G119"/>
    <mergeCell ref="N120:U120"/>
    <mergeCell ref="A120:G120"/>
    <mergeCell ref="N108:O108"/>
    <mergeCell ref="P108:Q108"/>
    <mergeCell ref="A112:C112"/>
    <mergeCell ref="F112:H112"/>
    <mergeCell ref="N112:P112"/>
    <mergeCell ref="A109:B109"/>
    <mergeCell ref="F109:G109"/>
    <mergeCell ref="N109:O109"/>
    <mergeCell ref="P109:Q109"/>
    <mergeCell ref="R106:S106"/>
    <mergeCell ref="A99:B99"/>
    <mergeCell ref="N99:O99"/>
    <mergeCell ref="P99:R99"/>
    <mergeCell ref="A100:B100"/>
    <mergeCell ref="N100:O100"/>
    <mergeCell ref="P100:R100"/>
    <mergeCell ref="R108:S108"/>
    <mergeCell ref="A103:C103"/>
    <mergeCell ref="F103:I103"/>
    <mergeCell ref="N103:U103"/>
    <mergeCell ref="C104:E104"/>
    <mergeCell ref="F105:G105"/>
    <mergeCell ref="A106:B106"/>
    <mergeCell ref="F106:G106"/>
    <mergeCell ref="N106:O106"/>
    <mergeCell ref="P106:Q106"/>
    <mergeCell ref="A107:B107"/>
    <mergeCell ref="F107:G107"/>
    <mergeCell ref="N107:O107"/>
    <mergeCell ref="P107:Q107"/>
    <mergeCell ref="R107:S107"/>
    <mergeCell ref="A108:B108"/>
    <mergeCell ref="F108:G108"/>
    <mergeCell ref="C91:D91"/>
    <mergeCell ref="P91:Q91"/>
    <mergeCell ref="C92:D92"/>
    <mergeCell ref="P92:Q92"/>
    <mergeCell ref="C93:D93"/>
    <mergeCell ref="P93:T93"/>
    <mergeCell ref="A94:I94"/>
    <mergeCell ref="N94:U94"/>
    <mergeCell ref="F96:I96"/>
    <mergeCell ref="N96:P96"/>
    <mergeCell ref="Q96:T96"/>
    <mergeCell ref="A87:I87"/>
    <mergeCell ref="N87:U87"/>
    <mergeCell ref="C88:D88"/>
    <mergeCell ref="C89:D89"/>
    <mergeCell ref="N89:O89"/>
    <mergeCell ref="P89:Q89"/>
    <mergeCell ref="R89:U89"/>
    <mergeCell ref="C90:D90"/>
    <mergeCell ref="P90:Q90"/>
    <mergeCell ref="A80:C80"/>
    <mergeCell ref="N80:P80"/>
    <mergeCell ref="A85:C85"/>
    <mergeCell ref="N85:P85"/>
    <mergeCell ref="F73:H73"/>
    <mergeCell ref="N73:T73"/>
    <mergeCell ref="N74:T74"/>
    <mergeCell ref="A78:C78"/>
    <mergeCell ref="N78:P78"/>
    <mergeCell ref="A79:C79"/>
    <mergeCell ref="A69:C69"/>
    <mergeCell ref="N69:P69"/>
    <mergeCell ref="N79:P79"/>
    <mergeCell ref="A76:C76"/>
    <mergeCell ref="N76:P76"/>
    <mergeCell ref="A77:C77"/>
    <mergeCell ref="A70:C70"/>
    <mergeCell ref="A71:C71"/>
    <mergeCell ref="N71:P71"/>
    <mergeCell ref="A72:C72"/>
    <mergeCell ref="N77:P77"/>
    <mergeCell ref="N72:P72"/>
    <mergeCell ref="A65:B65"/>
    <mergeCell ref="D65:G65"/>
    <mergeCell ref="N65:O65"/>
    <mergeCell ref="Q65:S65"/>
    <mergeCell ref="T65:U65"/>
    <mergeCell ref="N66:S66"/>
    <mergeCell ref="T66:U66"/>
    <mergeCell ref="A68:C68"/>
    <mergeCell ref="N68:P68"/>
    <mergeCell ref="A62:B62"/>
    <mergeCell ref="D62:G62"/>
    <mergeCell ref="N62:O62"/>
    <mergeCell ref="Q62:S62"/>
    <mergeCell ref="T62:U62"/>
    <mergeCell ref="N63:S63"/>
    <mergeCell ref="T63:U63"/>
    <mergeCell ref="A64:I64"/>
    <mergeCell ref="N64:U64"/>
    <mergeCell ref="A59:B59"/>
    <mergeCell ref="F59:H59"/>
    <mergeCell ref="N59:O59"/>
    <mergeCell ref="P59:Q59"/>
    <mergeCell ref="R59:T59"/>
    <mergeCell ref="A60:I60"/>
    <mergeCell ref="N60:U60"/>
    <mergeCell ref="A61:I61"/>
    <mergeCell ref="N61:U61"/>
    <mergeCell ref="A50:B58"/>
    <mergeCell ref="N50:O58"/>
    <mergeCell ref="P50:Q50"/>
    <mergeCell ref="P51:Q51"/>
    <mergeCell ref="P52:Q52"/>
    <mergeCell ref="P53:Q53"/>
    <mergeCell ref="P54:Q54"/>
    <mergeCell ref="P55:Q55"/>
    <mergeCell ref="P56:Q56"/>
    <mergeCell ref="P57:Q57"/>
    <mergeCell ref="P58:Q58"/>
    <mergeCell ref="A42:B42"/>
    <mergeCell ref="N42:O42"/>
    <mergeCell ref="P42:T42"/>
    <mergeCell ref="N43:Q43"/>
    <mergeCell ref="S43:T43"/>
    <mergeCell ref="N45:Q45"/>
    <mergeCell ref="S45:T45"/>
    <mergeCell ref="N49:O49"/>
    <mergeCell ref="P49:Q49"/>
    <mergeCell ref="A39:B39"/>
    <mergeCell ref="N39:O39"/>
    <mergeCell ref="P39:T39"/>
    <mergeCell ref="A40:B40"/>
    <mergeCell ref="N40:O40"/>
    <mergeCell ref="P40:T40"/>
    <mergeCell ref="A41:B41"/>
    <mergeCell ref="N41:O41"/>
    <mergeCell ref="P41:T41"/>
    <mergeCell ref="N34:T34"/>
    <mergeCell ref="A36:B36"/>
    <mergeCell ref="N36:O36"/>
    <mergeCell ref="P36:T36"/>
    <mergeCell ref="A37:B37"/>
    <mergeCell ref="N37:O37"/>
    <mergeCell ref="P37:T37"/>
    <mergeCell ref="F33:H36"/>
    <mergeCell ref="A38:B38"/>
    <mergeCell ref="N38:O38"/>
    <mergeCell ref="P38:T38"/>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A20:B20"/>
    <mergeCell ref="F20:G20"/>
    <mergeCell ref="N20:O20"/>
    <mergeCell ref="P20:Q20"/>
    <mergeCell ref="R20:S20"/>
    <mergeCell ref="A19:B19"/>
    <mergeCell ref="A21:B21"/>
    <mergeCell ref="F21:G21"/>
    <mergeCell ref="N21:O21"/>
    <mergeCell ref="P21:Q21"/>
    <mergeCell ref="R21:S21"/>
    <mergeCell ref="A18:B18"/>
    <mergeCell ref="F18:G18"/>
    <mergeCell ref="N18:O18"/>
    <mergeCell ref="P18:Q18"/>
    <mergeCell ref="R18:S18"/>
    <mergeCell ref="A17:B17"/>
    <mergeCell ref="F17:G17"/>
    <mergeCell ref="F19:G19"/>
    <mergeCell ref="N19:O19"/>
    <mergeCell ref="P19:Q19"/>
    <mergeCell ref="R19:S19"/>
    <mergeCell ref="A16:B16"/>
    <mergeCell ref="F16:G16"/>
    <mergeCell ref="N16:O16"/>
    <mergeCell ref="P16:Q16"/>
    <mergeCell ref="R16:S16"/>
    <mergeCell ref="A15:B15"/>
    <mergeCell ref="F15:G15"/>
    <mergeCell ref="N17:O17"/>
    <mergeCell ref="P17:Q17"/>
    <mergeCell ref="R17:S17"/>
    <mergeCell ref="A14:B14"/>
    <mergeCell ref="F14:G14"/>
    <mergeCell ref="N14:O14"/>
    <mergeCell ref="P14:Q14"/>
    <mergeCell ref="R14:S14"/>
    <mergeCell ref="A13:B13"/>
    <mergeCell ref="F13:G13"/>
    <mergeCell ref="N15:O15"/>
    <mergeCell ref="P15:Q15"/>
    <mergeCell ref="R15:S15"/>
    <mergeCell ref="A12:B12"/>
    <mergeCell ref="F12:G12"/>
    <mergeCell ref="N12:O12"/>
    <mergeCell ref="P12:Q12"/>
    <mergeCell ref="R12:S12"/>
    <mergeCell ref="A11:B11"/>
    <mergeCell ref="F11:G11"/>
    <mergeCell ref="N13:O13"/>
    <mergeCell ref="P13:Q13"/>
    <mergeCell ref="R13:S13"/>
    <mergeCell ref="N8:O8"/>
    <mergeCell ref="P8:Q8"/>
    <mergeCell ref="R8:S8"/>
    <mergeCell ref="T8:U8"/>
    <mergeCell ref="F10:G10"/>
    <mergeCell ref="R10:S10"/>
    <mergeCell ref="A7:I7"/>
    <mergeCell ref="N11:O11"/>
    <mergeCell ref="P11:Q11"/>
    <mergeCell ref="R11:S11"/>
    <mergeCell ref="B1:I1"/>
    <mergeCell ref="O1:U1"/>
    <mergeCell ref="N2:U2"/>
    <mergeCell ref="N3:U3"/>
    <mergeCell ref="A4:B4"/>
    <mergeCell ref="C4:E4"/>
    <mergeCell ref="N4:O4"/>
    <mergeCell ref="P4:Q4"/>
    <mergeCell ref="N7:U7"/>
  </mergeCells>
  <pageMargins left="0.1" right="0.1" top="0.5" bottom="0.5" header="0" footer="0.1"/>
  <pageSetup scale="70" fitToHeight="3" orientation="portrait" r:id="rId1"/>
  <headerFooter alignWithMargins="0">
    <oddFooter>&amp;R&amp;P of &amp;N</oddFooter>
  </headerFooter>
  <rowBreaks count="1" manualBreakCount="1">
    <brk id="138" max="16383" man="1"/>
  </rowBreaks>
  <colBreaks count="1" manualBreakCount="1">
    <brk id="9" max="1048575" man="1"/>
  </col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CCFFCC"/>
  </sheetPr>
  <dimension ref="A1:U206"/>
  <sheetViews>
    <sheetView showGridLines="0" zoomScaleNormal="100" workbookViewId="0">
      <pane ySplit="1" topLeftCell="A20" activePane="bottomLeft" state="frozen"/>
      <selection activeCell="I9" sqref="I9"/>
      <selection pane="bottomLeft" activeCell="D50" sqref="D50:D58"/>
    </sheetView>
  </sheetViews>
  <sheetFormatPr defaultRowHeight="15.75" x14ac:dyDescent="0.25"/>
  <cols>
    <col min="1" max="1" width="10.28515625" style="72"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72"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5">
        <v>50</v>
      </c>
      <c r="B1" s="441" t="s">
        <v>17</v>
      </c>
      <c r="C1" s="442"/>
      <c r="D1" s="442"/>
      <c r="E1" s="442"/>
      <c r="F1" s="442"/>
      <c r="G1" s="442"/>
      <c r="H1" s="442"/>
      <c r="I1" s="442"/>
      <c r="J1" s="157"/>
      <c r="K1" s="157"/>
      <c r="L1" s="157"/>
      <c r="N1" s="85">
        <f>A1</f>
        <v>50</v>
      </c>
      <c r="O1" s="527" t="s">
        <v>17</v>
      </c>
      <c r="P1" s="528"/>
      <c r="Q1" s="528"/>
      <c r="R1" s="528"/>
      <c r="S1" s="528"/>
      <c r="T1" s="528"/>
      <c r="U1" s="528"/>
    </row>
    <row r="2" spans="1:21" ht="21" x14ac:dyDescent="0.35">
      <c r="A2" s="1" t="s">
        <v>163</v>
      </c>
      <c r="B2" s="2"/>
      <c r="C2" s="2"/>
      <c r="D2" s="2"/>
      <c r="E2" s="2"/>
      <c r="F2" s="2"/>
      <c r="G2" s="2"/>
      <c r="H2" s="2"/>
      <c r="I2" s="2"/>
      <c r="N2" s="529" t="s">
        <v>23</v>
      </c>
      <c r="O2" s="529"/>
      <c r="P2" s="529"/>
      <c r="Q2" s="529"/>
      <c r="R2" s="529"/>
      <c r="S2" s="529"/>
      <c r="T2" s="529"/>
      <c r="U2" s="529"/>
    </row>
    <row r="3" spans="1:21" x14ac:dyDescent="0.25">
      <c r="A3" s="84" t="str">
        <f>'0664'!A3</f>
        <v>Based on the FLDOE 2022-23 FEFP Third Calculation</v>
      </c>
      <c r="N3" s="485" t="str">
        <f>A3</f>
        <v>Based on the FLDOE 2022-23 FEFP Third Calculation</v>
      </c>
      <c r="O3" s="485"/>
      <c r="P3" s="485"/>
      <c r="Q3" s="485"/>
      <c r="R3" s="485"/>
      <c r="S3" s="485"/>
      <c r="T3" s="485"/>
      <c r="U3" s="485"/>
    </row>
    <row r="4" spans="1:21" x14ac:dyDescent="0.25">
      <c r="A4" s="443" t="s">
        <v>0</v>
      </c>
      <c r="B4" s="443"/>
      <c r="C4" s="444" t="s">
        <v>9</v>
      </c>
      <c r="D4" s="444"/>
      <c r="E4" s="444"/>
      <c r="F4" s="4" t="str">
        <f>'0664'!F4</f>
        <v>Apr 2023</v>
      </c>
      <c r="G4" s="4"/>
      <c r="H4" s="4"/>
      <c r="I4" s="4"/>
      <c r="N4" s="530" t="s">
        <v>0</v>
      </c>
      <c r="O4" s="530"/>
      <c r="P4" s="531" t="str">
        <f>C4</f>
        <v>Palm Beach</v>
      </c>
      <c r="Q4" s="531"/>
      <c r="R4" s="5"/>
      <c r="S4" s="5"/>
      <c r="T4" s="5"/>
      <c r="U4" s="5"/>
    </row>
    <row r="5" spans="1:21" ht="12" customHeight="1" thickBot="1" x14ac:dyDescent="0.3">
      <c r="A5" s="262"/>
      <c r="B5" s="262"/>
      <c r="C5" s="253"/>
      <c r="D5" s="253"/>
      <c r="E5" s="253"/>
      <c r="F5" s="254"/>
      <c r="G5" s="254"/>
      <c r="H5" s="254"/>
      <c r="I5" s="254"/>
      <c r="N5" s="86"/>
      <c r="O5" s="86"/>
      <c r="P5" s="6"/>
      <c r="Q5" s="6"/>
      <c r="R5" s="5"/>
      <c r="S5" s="5"/>
      <c r="T5" s="5"/>
      <c r="U5" s="5"/>
    </row>
    <row r="6" spans="1:21" ht="12" customHeight="1" x14ac:dyDescent="0.25">
      <c r="A6" s="150"/>
      <c r="B6" s="150"/>
      <c r="C6" s="261"/>
      <c r="D6" s="261"/>
      <c r="E6" s="261"/>
      <c r="F6" s="4"/>
      <c r="G6" s="4"/>
      <c r="H6" s="4"/>
      <c r="I6" s="4"/>
      <c r="N6" s="86"/>
      <c r="O6" s="86"/>
      <c r="P6" s="6"/>
      <c r="Q6" s="6"/>
      <c r="R6" s="5"/>
      <c r="S6" s="5"/>
      <c r="T6" s="5"/>
      <c r="U6" s="5"/>
    </row>
    <row r="7" spans="1:21" x14ac:dyDescent="0.25">
      <c r="A7" s="445" t="str">
        <f>'0664'!A7:I7</f>
        <v>1.   2022-23 FEFP State and Local Funding</v>
      </c>
      <c r="B7" s="533"/>
      <c r="C7" s="533"/>
      <c r="D7" s="533"/>
      <c r="E7" s="533"/>
      <c r="F7" s="533"/>
      <c r="G7" s="533"/>
      <c r="H7" s="533"/>
      <c r="I7" s="533"/>
      <c r="N7" s="530" t="s">
        <v>86</v>
      </c>
      <c r="O7" s="530"/>
      <c r="P7" s="530"/>
      <c r="Q7" s="530"/>
      <c r="R7" s="530"/>
      <c r="S7" s="530"/>
      <c r="T7" s="530"/>
      <c r="U7" s="530"/>
    </row>
    <row r="8" spans="1:21" x14ac:dyDescent="0.25">
      <c r="A8" s="87"/>
      <c r="B8" s="88" t="s">
        <v>123</v>
      </c>
      <c r="C8" s="334">
        <f>'0664'!C8</f>
        <v>4587.3999999999996</v>
      </c>
      <c r="D8" s="89"/>
      <c r="E8" s="90"/>
      <c r="F8" s="87"/>
      <c r="G8" s="88" t="s">
        <v>122</v>
      </c>
      <c r="H8" s="320">
        <f>'0664'!H8</f>
        <v>1.0438000000000001</v>
      </c>
      <c r="I8" s="78"/>
      <c r="N8" s="534" t="s">
        <v>10</v>
      </c>
      <c r="O8" s="534"/>
      <c r="P8" s="535">
        <v>4154.45</v>
      </c>
      <c r="Q8" s="535"/>
      <c r="R8" s="518" t="s">
        <v>11</v>
      </c>
      <c r="S8" s="518"/>
      <c r="T8" s="519">
        <f>H8</f>
        <v>1.0438000000000001</v>
      </c>
      <c r="U8" s="519"/>
    </row>
    <row r="9" spans="1:21" x14ac:dyDescent="0.25">
      <c r="A9" s="7"/>
      <c r="B9" s="44" t="s">
        <v>370</v>
      </c>
      <c r="C9" s="372" t="s">
        <v>370</v>
      </c>
      <c r="D9" s="372" t="s">
        <v>370</v>
      </c>
      <c r="E9" s="8"/>
      <c r="F9" s="9"/>
      <c r="G9" s="9"/>
      <c r="H9" s="10"/>
      <c r="I9" s="340" t="str">
        <f>'0664'!I9</f>
        <v>2022-23</v>
      </c>
      <c r="N9" s="12"/>
      <c r="O9" s="12"/>
      <c r="P9" s="13"/>
      <c r="Q9" s="13"/>
      <c r="R9" s="14"/>
      <c r="S9" s="14"/>
      <c r="T9" s="15"/>
      <c r="U9" s="405" t="s">
        <v>405</v>
      </c>
    </row>
    <row r="10" spans="1:21" x14ac:dyDescent="0.25">
      <c r="A10" s="7"/>
      <c r="B10" s="7"/>
      <c r="C10" s="91" t="s">
        <v>463</v>
      </c>
      <c r="D10" s="371" t="s">
        <v>464</v>
      </c>
      <c r="E10" s="92" t="s">
        <v>8</v>
      </c>
      <c r="F10" s="446" t="s">
        <v>1</v>
      </c>
      <c r="G10" s="446"/>
      <c r="H10" s="10" t="s">
        <v>73</v>
      </c>
      <c r="I10" s="11" t="s">
        <v>36</v>
      </c>
      <c r="N10" s="12"/>
      <c r="O10" s="12"/>
      <c r="P10" s="13"/>
      <c r="Q10" s="13"/>
      <c r="R10" s="520" t="s">
        <v>1</v>
      </c>
      <c r="S10" s="520"/>
      <c r="T10" s="15" t="s">
        <v>73</v>
      </c>
      <c r="U10" s="16" t="s">
        <v>36</v>
      </c>
    </row>
    <row r="11" spans="1:21" x14ac:dyDescent="0.25">
      <c r="A11" s="447" t="s">
        <v>1</v>
      </c>
      <c r="B11" s="447"/>
      <c r="C11" s="362" t="s">
        <v>2</v>
      </c>
      <c r="D11" s="362" t="s">
        <v>2</v>
      </c>
      <c r="E11" s="362" t="s">
        <v>2</v>
      </c>
      <c r="F11" s="448" t="s">
        <v>76</v>
      </c>
      <c r="G11" s="448"/>
      <c r="H11" s="17" t="s">
        <v>72</v>
      </c>
      <c r="I11" s="18" t="s">
        <v>75</v>
      </c>
      <c r="N11" s="510" t="s">
        <v>1</v>
      </c>
      <c r="O11" s="510"/>
      <c r="P11" s="521" t="s">
        <v>24</v>
      </c>
      <c r="Q11" s="521"/>
      <c r="R11" s="522" t="s">
        <v>76</v>
      </c>
      <c r="S11" s="522"/>
      <c r="T11" s="19" t="s">
        <v>72</v>
      </c>
      <c r="U11" s="20" t="s">
        <v>75</v>
      </c>
    </row>
    <row r="12" spans="1:21" x14ac:dyDescent="0.25">
      <c r="A12" s="449" t="s">
        <v>47</v>
      </c>
      <c r="B12" s="449"/>
      <c r="C12" s="94"/>
      <c r="D12" s="94"/>
      <c r="E12" s="95" t="s">
        <v>48</v>
      </c>
      <c r="F12" s="450" t="s">
        <v>49</v>
      </c>
      <c r="G12" s="450"/>
      <c r="H12" s="21" t="s">
        <v>50</v>
      </c>
      <c r="I12" s="22" t="s">
        <v>51</v>
      </c>
      <c r="N12" s="523" t="s">
        <v>47</v>
      </c>
      <c r="O12" s="523"/>
      <c r="P12" s="524" t="s">
        <v>48</v>
      </c>
      <c r="Q12" s="524"/>
      <c r="R12" s="525" t="s">
        <v>49</v>
      </c>
      <c r="S12" s="525"/>
      <c r="T12" s="23" t="s">
        <v>50</v>
      </c>
      <c r="U12" s="24" t="s">
        <v>51</v>
      </c>
    </row>
    <row r="13" spans="1:21" x14ac:dyDescent="0.25">
      <c r="A13" s="451" t="s">
        <v>29</v>
      </c>
      <c r="B13" s="451"/>
      <c r="C13" s="165">
        <v>0</v>
      </c>
      <c r="D13" s="163">
        <v>0</v>
      </c>
      <c r="E13" s="210">
        <f>IF(D$29=0,C13*2,C13+D13)</f>
        <v>0</v>
      </c>
      <c r="F13" s="537">
        <f>'0664'!F13:G13</f>
        <v>1.1259999999999999</v>
      </c>
      <c r="G13" s="537"/>
      <c r="H13" s="167">
        <f>ROUND(E13*F13,4)</f>
        <v>0</v>
      </c>
      <c r="I13" s="119">
        <f t="shared" ref="I13:I28" si="0">ROUND(ROUND(H13*$C$8,4)*($H$8),2)</f>
        <v>0</v>
      </c>
      <c r="N13" s="512" t="s">
        <v>29</v>
      </c>
      <c r="O13" s="512"/>
      <c r="P13" s="513">
        <f t="shared" ref="P13:P28" si="1">IF($H$120=1,E13,0)</f>
        <v>0</v>
      </c>
      <c r="Q13" s="513"/>
      <c r="R13" s="526">
        <v>1</v>
      </c>
      <c r="S13" s="526"/>
      <c r="T13" s="98">
        <f>ROUND(P13*R13,4)</f>
        <v>0</v>
      </c>
      <c r="U13" s="99">
        <f t="shared" ref="U13:U28" si="2">ROUND(ROUND(T13*$C$8,4)*($H$8),0)</f>
        <v>0</v>
      </c>
    </row>
    <row r="14" spans="1:21" x14ac:dyDescent="0.25">
      <c r="A14" s="453" t="s">
        <v>30</v>
      </c>
      <c r="B14" s="453"/>
      <c r="C14" s="165">
        <v>0</v>
      </c>
      <c r="D14" s="165">
        <v>0</v>
      </c>
      <c r="E14" s="125">
        <f t="shared" ref="E14:E28" si="3">IF(D$29=0,C14*2,C14+D14)</f>
        <v>0</v>
      </c>
      <c r="F14" s="532">
        <f>'0664'!F14:G14</f>
        <v>1.1259999999999999</v>
      </c>
      <c r="G14" s="532"/>
      <c r="H14" s="83">
        <f t="shared" ref="H14:H28" si="4">ROUND(E14*F14,4)</f>
        <v>0</v>
      </c>
      <c r="I14" s="104">
        <f t="shared" si="0"/>
        <v>0</v>
      </c>
      <c r="J14" s="68" t="str">
        <f>IF(ROUND(E14,2)=ROUND(SUM(E50:E52),2)," ","CHECK PK-3 LINES BELOW")</f>
        <v xml:space="preserve"> </v>
      </c>
      <c r="N14" s="479" t="s">
        <v>30</v>
      </c>
      <c r="O14" s="479"/>
      <c r="P14" s="513">
        <f t="shared" si="1"/>
        <v>0</v>
      </c>
      <c r="Q14" s="513"/>
      <c r="R14" s="517">
        <v>1</v>
      </c>
      <c r="S14" s="517"/>
      <c r="T14" s="98">
        <f t="shared" ref="T14:T28" si="5">ROUND(P14*R14,4)</f>
        <v>0</v>
      </c>
      <c r="U14" s="99">
        <f t="shared" si="2"/>
        <v>0</v>
      </c>
    </row>
    <row r="15" spans="1:21" x14ac:dyDescent="0.25">
      <c r="A15" s="453" t="s">
        <v>31</v>
      </c>
      <c r="B15" s="453"/>
      <c r="C15" s="165">
        <v>0</v>
      </c>
      <c r="D15" s="165">
        <v>0</v>
      </c>
      <c r="E15" s="125">
        <f t="shared" si="3"/>
        <v>0</v>
      </c>
      <c r="F15" s="532">
        <f>'0664'!F15:G15</f>
        <v>1</v>
      </c>
      <c r="G15" s="532"/>
      <c r="H15" s="83">
        <f t="shared" si="4"/>
        <v>0</v>
      </c>
      <c r="I15" s="104">
        <f t="shared" si="0"/>
        <v>0</v>
      </c>
      <c r="N15" s="479" t="s">
        <v>31</v>
      </c>
      <c r="O15" s="479"/>
      <c r="P15" s="513">
        <f t="shared" si="1"/>
        <v>0</v>
      </c>
      <c r="Q15" s="513"/>
      <c r="R15" s="517">
        <v>1</v>
      </c>
      <c r="S15" s="517"/>
      <c r="T15" s="98">
        <f t="shared" si="5"/>
        <v>0</v>
      </c>
      <c r="U15" s="99">
        <f t="shared" si="2"/>
        <v>0</v>
      </c>
    </row>
    <row r="16" spans="1:21" x14ac:dyDescent="0.25">
      <c r="A16" s="453" t="s">
        <v>32</v>
      </c>
      <c r="B16" s="453"/>
      <c r="C16" s="165">
        <v>1.5</v>
      </c>
      <c r="D16" s="165">
        <v>1</v>
      </c>
      <c r="E16" s="125">
        <f t="shared" si="3"/>
        <v>2.5</v>
      </c>
      <c r="F16" s="532">
        <f>'0664'!F16:G16</f>
        <v>1</v>
      </c>
      <c r="G16" s="532"/>
      <c r="H16" s="83">
        <f t="shared" si="4"/>
        <v>2.5</v>
      </c>
      <c r="I16" s="104">
        <f t="shared" si="0"/>
        <v>11970.82</v>
      </c>
      <c r="J16" s="68" t="str">
        <f>IF(ROUND(E16,2)=ROUND(SUM(E53:E55),2)," ","CHECK 4-8 LINES BELOW")</f>
        <v xml:space="preserve"> </v>
      </c>
      <c r="N16" s="479" t="s">
        <v>32</v>
      </c>
      <c r="O16" s="479"/>
      <c r="P16" s="513">
        <f t="shared" si="1"/>
        <v>2.5</v>
      </c>
      <c r="Q16" s="513"/>
      <c r="R16" s="517">
        <v>1</v>
      </c>
      <c r="S16" s="517"/>
      <c r="T16" s="98">
        <f t="shared" si="5"/>
        <v>2.5</v>
      </c>
      <c r="U16" s="99">
        <f t="shared" si="2"/>
        <v>11971</v>
      </c>
    </row>
    <row r="17" spans="1:21" x14ac:dyDescent="0.25">
      <c r="A17" s="453" t="s">
        <v>33</v>
      </c>
      <c r="B17" s="453"/>
      <c r="C17" s="165">
        <v>0</v>
      </c>
      <c r="D17" s="165"/>
      <c r="E17" s="125">
        <f t="shared" si="3"/>
        <v>0</v>
      </c>
      <c r="F17" s="532">
        <f>'0664'!F17:G17</f>
        <v>0.999</v>
      </c>
      <c r="G17" s="532"/>
      <c r="H17" s="83">
        <f t="shared" si="4"/>
        <v>0</v>
      </c>
      <c r="I17" s="104">
        <f t="shared" si="0"/>
        <v>0</v>
      </c>
      <c r="N17" s="479" t="s">
        <v>33</v>
      </c>
      <c r="O17" s="479"/>
      <c r="P17" s="513">
        <f t="shared" si="1"/>
        <v>0</v>
      </c>
      <c r="Q17" s="513"/>
      <c r="R17" s="517">
        <v>1</v>
      </c>
      <c r="S17" s="517"/>
      <c r="T17" s="98">
        <f t="shared" si="5"/>
        <v>0</v>
      </c>
      <c r="U17" s="99">
        <f t="shared" si="2"/>
        <v>0</v>
      </c>
    </row>
    <row r="18" spans="1:21" x14ac:dyDescent="0.25">
      <c r="A18" s="453" t="s">
        <v>34</v>
      </c>
      <c r="B18" s="453"/>
      <c r="C18" s="165">
        <v>15</v>
      </c>
      <c r="D18" s="165">
        <v>14.96</v>
      </c>
      <c r="E18" s="125">
        <f t="shared" si="3"/>
        <v>29.96</v>
      </c>
      <c r="F18" s="532">
        <f>'0664'!F18:G18</f>
        <v>0.999</v>
      </c>
      <c r="G18" s="532"/>
      <c r="H18" s="83">
        <f t="shared" si="4"/>
        <v>29.93</v>
      </c>
      <c r="I18" s="104">
        <f t="shared" si="0"/>
        <v>143314.66</v>
      </c>
      <c r="J18" s="68" t="str">
        <f>IF(ROUND(E18,2)=ROUND(SUM(E56:E58),2)," ","CHECK 4-8 LINES BELOW")</f>
        <v xml:space="preserve"> </v>
      </c>
      <c r="N18" s="479" t="s">
        <v>34</v>
      </c>
      <c r="O18" s="479"/>
      <c r="P18" s="513">
        <f t="shared" si="1"/>
        <v>29.96</v>
      </c>
      <c r="Q18" s="513"/>
      <c r="R18" s="517">
        <v>1</v>
      </c>
      <c r="S18" s="517"/>
      <c r="T18" s="98">
        <f t="shared" si="5"/>
        <v>29.96</v>
      </c>
      <c r="U18" s="101">
        <f t="shared" si="2"/>
        <v>143458</v>
      </c>
    </row>
    <row r="19" spans="1:21" x14ac:dyDescent="0.25">
      <c r="A19" s="453" t="s">
        <v>108</v>
      </c>
      <c r="B19" s="453"/>
      <c r="C19" s="165">
        <v>0</v>
      </c>
      <c r="D19" s="165">
        <v>0</v>
      </c>
      <c r="E19" s="125">
        <f t="shared" si="3"/>
        <v>0</v>
      </c>
      <c r="F19" s="532">
        <f>'0664'!F19:G19</f>
        <v>3.6739999999999999</v>
      </c>
      <c r="G19" s="532"/>
      <c r="H19" s="83">
        <f t="shared" si="4"/>
        <v>0</v>
      </c>
      <c r="I19" s="104">
        <f t="shared" si="0"/>
        <v>0</v>
      </c>
      <c r="N19" s="479" t="s">
        <v>108</v>
      </c>
      <c r="O19" s="479"/>
      <c r="P19" s="513">
        <f t="shared" si="1"/>
        <v>0</v>
      </c>
      <c r="Q19" s="513"/>
      <c r="R19" s="517">
        <v>1</v>
      </c>
      <c r="S19" s="517"/>
      <c r="T19" s="98">
        <f t="shared" si="5"/>
        <v>0</v>
      </c>
      <c r="U19" s="99">
        <f t="shared" si="2"/>
        <v>0</v>
      </c>
    </row>
    <row r="20" spans="1:21" x14ac:dyDescent="0.25">
      <c r="A20" s="453" t="s">
        <v>109</v>
      </c>
      <c r="B20" s="453"/>
      <c r="C20" s="165">
        <v>0</v>
      </c>
      <c r="D20" s="165">
        <v>0</v>
      </c>
      <c r="E20" s="125">
        <f t="shared" si="3"/>
        <v>0</v>
      </c>
      <c r="F20" s="532">
        <f>'0664'!F20:G20</f>
        <v>3.6739999999999999</v>
      </c>
      <c r="G20" s="532"/>
      <c r="H20" s="83">
        <f t="shared" si="4"/>
        <v>0</v>
      </c>
      <c r="I20" s="104">
        <f t="shared" si="0"/>
        <v>0</v>
      </c>
      <c r="N20" s="479" t="s">
        <v>109</v>
      </c>
      <c r="O20" s="479"/>
      <c r="P20" s="513">
        <f t="shared" si="1"/>
        <v>0</v>
      </c>
      <c r="Q20" s="513"/>
      <c r="R20" s="517">
        <v>1</v>
      </c>
      <c r="S20" s="517"/>
      <c r="T20" s="98">
        <f t="shared" si="5"/>
        <v>0</v>
      </c>
      <c r="U20" s="99">
        <f t="shared" si="2"/>
        <v>0</v>
      </c>
    </row>
    <row r="21" spans="1:21" x14ac:dyDescent="0.25">
      <c r="A21" s="453" t="s">
        <v>110</v>
      </c>
      <c r="B21" s="453"/>
      <c r="C21" s="165">
        <v>0</v>
      </c>
      <c r="D21" s="165">
        <v>0</v>
      </c>
      <c r="E21" s="125">
        <f t="shared" si="3"/>
        <v>0</v>
      </c>
      <c r="F21" s="532">
        <f>'0664'!F21:G21</f>
        <v>3.6739999999999999</v>
      </c>
      <c r="G21" s="532"/>
      <c r="H21" s="83">
        <f t="shared" si="4"/>
        <v>0</v>
      </c>
      <c r="I21" s="104">
        <f t="shared" si="0"/>
        <v>0</v>
      </c>
      <c r="N21" s="479" t="s">
        <v>110</v>
      </c>
      <c r="O21" s="479"/>
      <c r="P21" s="513">
        <f t="shared" si="1"/>
        <v>0</v>
      </c>
      <c r="Q21" s="513"/>
      <c r="R21" s="517">
        <v>1</v>
      </c>
      <c r="S21" s="517"/>
      <c r="T21" s="98">
        <f t="shared" si="5"/>
        <v>0</v>
      </c>
      <c r="U21" s="99">
        <f t="shared" si="2"/>
        <v>0</v>
      </c>
    </row>
    <row r="22" spans="1:21" x14ac:dyDescent="0.25">
      <c r="A22" s="453" t="s">
        <v>111</v>
      </c>
      <c r="B22" s="453"/>
      <c r="C22" s="165">
        <v>0</v>
      </c>
      <c r="D22" s="165">
        <v>0</v>
      </c>
      <c r="E22" s="125">
        <f t="shared" si="3"/>
        <v>0</v>
      </c>
      <c r="F22" s="532">
        <f>'0664'!F22:G22</f>
        <v>5.4009999999999998</v>
      </c>
      <c r="G22" s="532"/>
      <c r="H22" s="83">
        <f t="shared" si="4"/>
        <v>0</v>
      </c>
      <c r="I22" s="104">
        <f t="shared" si="0"/>
        <v>0</v>
      </c>
      <c r="N22" s="479" t="s">
        <v>111</v>
      </c>
      <c r="O22" s="479"/>
      <c r="P22" s="513">
        <f t="shared" si="1"/>
        <v>0</v>
      </c>
      <c r="Q22" s="513"/>
      <c r="R22" s="517">
        <v>1</v>
      </c>
      <c r="S22" s="517"/>
      <c r="T22" s="98">
        <f t="shared" si="5"/>
        <v>0</v>
      </c>
      <c r="U22" s="99">
        <f t="shared" si="2"/>
        <v>0</v>
      </c>
    </row>
    <row r="23" spans="1:21" x14ac:dyDescent="0.25">
      <c r="A23" s="453" t="s">
        <v>112</v>
      </c>
      <c r="B23" s="453"/>
      <c r="C23" s="165">
        <v>0</v>
      </c>
      <c r="D23" s="165">
        <v>0</v>
      </c>
      <c r="E23" s="125">
        <f t="shared" si="3"/>
        <v>0</v>
      </c>
      <c r="F23" s="532">
        <f>'0664'!F23:G23</f>
        <v>5.4009999999999998</v>
      </c>
      <c r="G23" s="532"/>
      <c r="H23" s="83">
        <f t="shared" si="4"/>
        <v>0</v>
      </c>
      <c r="I23" s="104">
        <f t="shared" si="0"/>
        <v>0</v>
      </c>
      <c r="N23" s="479" t="s">
        <v>112</v>
      </c>
      <c r="O23" s="479"/>
      <c r="P23" s="513">
        <f t="shared" si="1"/>
        <v>0</v>
      </c>
      <c r="Q23" s="513"/>
      <c r="R23" s="517">
        <v>1</v>
      </c>
      <c r="S23" s="517"/>
      <c r="T23" s="98">
        <f t="shared" si="5"/>
        <v>0</v>
      </c>
      <c r="U23" s="99">
        <f t="shared" si="2"/>
        <v>0</v>
      </c>
    </row>
    <row r="24" spans="1:21" x14ac:dyDescent="0.25">
      <c r="A24" s="453" t="s">
        <v>113</v>
      </c>
      <c r="B24" s="453"/>
      <c r="C24" s="165">
        <v>0</v>
      </c>
      <c r="D24" s="165">
        <v>0</v>
      </c>
      <c r="E24" s="125">
        <f t="shared" si="3"/>
        <v>0</v>
      </c>
      <c r="F24" s="532">
        <f>'0664'!F24:G24</f>
        <v>5.4009999999999998</v>
      </c>
      <c r="G24" s="532"/>
      <c r="H24" s="83">
        <f t="shared" si="4"/>
        <v>0</v>
      </c>
      <c r="I24" s="104">
        <f t="shared" si="0"/>
        <v>0</v>
      </c>
      <c r="N24" s="479" t="s">
        <v>113</v>
      </c>
      <c r="O24" s="479"/>
      <c r="P24" s="513">
        <f t="shared" si="1"/>
        <v>0</v>
      </c>
      <c r="Q24" s="513"/>
      <c r="R24" s="517">
        <v>1</v>
      </c>
      <c r="S24" s="517"/>
      <c r="T24" s="98">
        <f t="shared" si="5"/>
        <v>0</v>
      </c>
      <c r="U24" s="99">
        <f t="shared" si="2"/>
        <v>0</v>
      </c>
    </row>
    <row r="25" spans="1:21" x14ac:dyDescent="0.25">
      <c r="A25" s="453" t="s">
        <v>114</v>
      </c>
      <c r="B25" s="453"/>
      <c r="C25" s="165">
        <v>0</v>
      </c>
      <c r="D25" s="165">
        <v>0</v>
      </c>
      <c r="E25" s="125">
        <f t="shared" si="3"/>
        <v>0</v>
      </c>
      <c r="F25" s="532">
        <f>'0664'!F25:G25</f>
        <v>1.206</v>
      </c>
      <c r="G25" s="532"/>
      <c r="H25" s="83">
        <f t="shared" si="4"/>
        <v>0</v>
      </c>
      <c r="I25" s="104">
        <f t="shared" si="0"/>
        <v>0</v>
      </c>
      <c r="N25" s="479" t="s">
        <v>114</v>
      </c>
      <c r="O25" s="479"/>
      <c r="P25" s="513">
        <f t="shared" si="1"/>
        <v>0</v>
      </c>
      <c r="Q25" s="513"/>
      <c r="R25" s="517">
        <v>1</v>
      </c>
      <c r="S25" s="517"/>
      <c r="T25" s="98">
        <f t="shared" si="5"/>
        <v>0</v>
      </c>
      <c r="U25" s="99">
        <f t="shared" si="2"/>
        <v>0</v>
      </c>
    </row>
    <row r="26" spans="1:21" x14ac:dyDescent="0.25">
      <c r="A26" s="453" t="s">
        <v>115</v>
      </c>
      <c r="B26" s="453"/>
      <c r="C26" s="165">
        <v>0</v>
      </c>
      <c r="D26" s="165">
        <v>0</v>
      </c>
      <c r="E26" s="125">
        <f t="shared" si="3"/>
        <v>0</v>
      </c>
      <c r="F26" s="532">
        <f>'0664'!F26:G26</f>
        <v>1.206</v>
      </c>
      <c r="G26" s="532"/>
      <c r="H26" s="83">
        <f t="shared" si="4"/>
        <v>0</v>
      </c>
      <c r="I26" s="104">
        <f t="shared" si="0"/>
        <v>0</v>
      </c>
      <c r="N26" s="479" t="s">
        <v>115</v>
      </c>
      <c r="O26" s="479"/>
      <c r="P26" s="513">
        <f t="shared" si="1"/>
        <v>0</v>
      </c>
      <c r="Q26" s="513"/>
      <c r="R26" s="517">
        <v>1</v>
      </c>
      <c r="S26" s="517"/>
      <c r="T26" s="98">
        <f t="shared" si="5"/>
        <v>0</v>
      </c>
      <c r="U26" s="99">
        <f t="shared" si="2"/>
        <v>0</v>
      </c>
    </row>
    <row r="27" spans="1:21" x14ac:dyDescent="0.25">
      <c r="A27" s="453" t="s">
        <v>116</v>
      </c>
      <c r="B27" s="453"/>
      <c r="C27" s="165">
        <v>0</v>
      </c>
      <c r="D27" s="165">
        <v>0</v>
      </c>
      <c r="E27" s="125">
        <f t="shared" si="3"/>
        <v>0</v>
      </c>
      <c r="F27" s="532">
        <f>'0664'!F27:G27</f>
        <v>1.206</v>
      </c>
      <c r="G27" s="532"/>
      <c r="H27" s="83">
        <f t="shared" si="4"/>
        <v>0</v>
      </c>
      <c r="I27" s="104">
        <f t="shared" si="0"/>
        <v>0</v>
      </c>
      <c r="N27" s="479" t="s">
        <v>116</v>
      </c>
      <c r="O27" s="479"/>
      <c r="P27" s="513">
        <f t="shared" si="1"/>
        <v>0</v>
      </c>
      <c r="Q27" s="513"/>
      <c r="R27" s="517">
        <v>1</v>
      </c>
      <c r="S27" s="517"/>
      <c r="T27" s="98">
        <f t="shared" si="5"/>
        <v>0</v>
      </c>
      <c r="U27" s="99">
        <f t="shared" si="2"/>
        <v>0</v>
      </c>
    </row>
    <row r="28" spans="1:21" x14ac:dyDescent="0.25">
      <c r="A28" s="453" t="s">
        <v>117</v>
      </c>
      <c r="B28" s="453"/>
      <c r="C28" s="116">
        <v>0</v>
      </c>
      <c r="D28" s="116">
        <v>0</v>
      </c>
      <c r="E28" s="177">
        <f t="shared" si="3"/>
        <v>0</v>
      </c>
      <c r="F28" s="532">
        <f>'0664'!F28:G28</f>
        <v>0.999</v>
      </c>
      <c r="G28" s="532"/>
      <c r="H28" s="96">
        <f t="shared" si="4"/>
        <v>0</v>
      </c>
      <c r="I28" s="97">
        <f t="shared" si="0"/>
        <v>0</v>
      </c>
      <c r="N28" s="482" t="s">
        <v>117</v>
      </c>
      <c r="O28" s="482"/>
      <c r="P28" s="513">
        <f t="shared" si="1"/>
        <v>0</v>
      </c>
      <c r="Q28" s="513"/>
      <c r="R28" s="514">
        <v>1</v>
      </c>
      <c r="S28" s="514"/>
      <c r="T28" s="98">
        <f t="shared" si="5"/>
        <v>0</v>
      </c>
      <c r="U28" s="99">
        <f t="shared" si="2"/>
        <v>0</v>
      </c>
    </row>
    <row r="29" spans="1:21" x14ac:dyDescent="0.25">
      <c r="A29" s="461" t="s">
        <v>5</v>
      </c>
      <c r="B29" s="461"/>
      <c r="C29" s="97">
        <f>SUM(C13:C28)</f>
        <v>16.5</v>
      </c>
      <c r="D29" s="97">
        <f>SUM(D13:D28)</f>
        <v>15.96</v>
      </c>
      <c r="E29" s="97">
        <f>SUM(E13:E28)</f>
        <v>32.46</v>
      </c>
      <c r="F29" s="457"/>
      <c r="G29" s="457"/>
      <c r="H29" s="102">
        <f>SUM(H13:H28)</f>
        <v>32.43</v>
      </c>
      <c r="I29" s="97">
        <f>SUM(I13:I28)</f>
        <v>155285.48000000001</v>
      </c>
      <c r="N29" s="515" t="s">
        <v>5</v>
      </c>
      <c r="O29" s="515"/>
      <c r="P29" s="516">
        <f>SUM(P13:P28)</f>
        <v>32.46</v>
      </c>
      <c r="Q29" s="516"/>
      <c r="R29" s="508"/>
      <c r="S29" s="508"/>
      <c r="T29" s="103">
        <f>SUM(T13:T28)</f>
        <v>32.46</v>
      </c>
      <c r="U29" s="99">
        <f>SUM(U13:U28)</f>
        <v>155429</v>
      </c>
    </row>
    <row r="30" spans="1:21" x14ac:dyDescent="0.25">
      <c r="A30" s="27"/>
      <c r="B30" s="27"/>
      <c r="C30" s="104"/>
      <c r="D30" s="104"/>
      <c r="E30" s="104"/>
      <c r="F30" s="28"/>
      <c r="G30" s="28"/>
      <c r="H30" s="83"/>
      <c r="I30" s="104"/>
      <c r="N30" s="29"/>
      <c r="O30" s="29"/>
      <c r="P30" s="30"/>
      <c r="Q30" s="30"/>
      <c r="R30" s="31"/>
      <c r="S30" s="31"/>
      <c r="T30" s="105"/>
      <c r="U30" s="106"/>
    </row>
    <row r="31" spans="1:21" x14ac:dyDescent="0.25">
      <c r="A31" s="168" t="s">
        <v>97</v>
      </c>
      <c r="B31" s="27"/>
      <c r="C31" s="104"/>
      <c r="D31" s="104"/>
      <c r="E31" s="104"/>
      <c r="F31" s="28"/>
      <c r="G31" s="28"/>
      <c r="H31" s="83"/>
      <c r="I31" s="104"/>
      <c r="N31" s="29"/>
      <c r="O31" s="29"/>
      <c r="P31" s="30"/>
      <c r="Q31" s="30"/>
      <c r="R31" s="31"/>
      <c r="S31" s="31"/>
      <c r="T31" s="105"/>
      <c r="U31" s="106"/>
    </row>
    <row r="32" spans="1:21" hidden="1" x14ac:dyDescent="0.25">
      <c r="A32" s="168"/>
      <c r="B32" s="27"/>
      <c r="C32" s="104"/>
      <c r="D32" s="104"/>
      <c r="E32" s="104"/>
      <c r="F32" s="28"/>
      <c r="G32" s="28"/>
      <c r="H32" s="83"/>
      <c r="I32" s="104"/>
      <c r="N32" s="29"/>
      <c r="O32" s="29"/>
      <c r="P32" s="30"/>
      <c r="Q32" s="30"/>
      <c r="R32" s="31"/>
      <c r="S32" s="31"/>
      <c r="T32" s="105"/>
      <c r="U32" s="106"/>
    </row>
    <row r="33" spans="1:21" hidden="1" x14ac:dyDescent="0.25">
      <c r="A33" s="168"/>
      <c r="B33" s="27"/>
      <c r="C33" s="104"/>
      <c r="D33" s="104"/>
      <c r="E33" s="104"/>
      <c r="F33" s="541" t="s">
        <v>282</v>
      </c>
      <c r="G33" s="541"/>
      <c r="H33" s="541"/>
      <c r="I33" s="104"/>
      <c r="N33" s="29"/>
      <c r="O33" s="29"/>
      <c r="P33" s="30"/>
      <c r="Q33" s="30"/>
      <c r="R33" s="31"/>
      <c r="S33" s="31"/>
      <c r="T33" s="105"/>
      <c r="U33" s="106"/>
    </row>
    <row r="34" spans="1:21" hidden="1" x14ac:dyDescent="0.25">
      <c r="A34" s="3"/>
      <c r="B34" s="72"/>
      <c r="C34" s="72"/>
      <c r="D34" s="72"/>
      <c r="E34" s="72"/>
      <c r="F34" s="541"/>
      <c r="G34" s="541"/>
      <c r="H34" s="541"/>
      <c r="I34" s="25" t="s">
        <v>74</v>
      </c>
      <c r="N34" s="485" t="s">
        <v>35</v>
      </c>
      <c r="O34" s="485"/>
      <c r="P34" s="485"/>
      <c r="Q34" s="485"/>
      <c r="R34" s="485"/>
      <c r="S34" s="485"/>
      <c r="T34" s="485"/>
      <c r="U34" s="26" t="s">
        <v>74</v>
      </c>
    </row>
    <row r="35" spans="1:21" hidden="1" x14ac:dyDescent="0.25">
      <c r="A35" s="27"/>
      <c r="B35" s="27"/>
      <c r="C35" s="91" t="s">
        <v>124</v>
      </c>
      <c r="D35" s="91" t="s">
        <v>125</v>
      </c>
      <c r="E35" s="92" t="s">
        <v>8</v>
      </c>
      <c r="F35" s="541"/>
      <c r="G35" s="541"/>
      <c r="H35" s="541"/>
      <c r="I35" s="25" t="s">
        <v>36</v>
      </c>
      <c r="N35" s="29"/>
      <c r="O35" s="29"/>
      <c r="P35" s="30"/>
      <c r="Q35" s="30"/>
      <c r="R35" s="31"/>
      <c r="S35" s="31"/>
      <c r="T35" s="105"/>
      <c r="U35" s="26" t="s">
        <v>36</v>
      </c>
    </row>
    <row r="36" spans="1:21" hidden="1" x14ac:dyDescent="0.25">
      <c r="A36" s="447" t="s">
        <v>63</v>
      </c>
      <c r="B36" s="447"/>
      <c r="C36" s="93" t="s">
        <v>2</v>
      </c>
      <c r="D36" s="93" t="s">
        <v>2</v>
      </c>
      <c r="E36" s="93" t="s">
        <v>2</v>
      </c>
      <c r="F36" s="542"/>
      <c r="G36" s="542"/>
      <c r="H36" s="542"/>
      <c r="I36" s="32" t="s">
        <v>75</v>
      </c>
      <c r="N36" s="510" t="s">
        <v>63</v>
      </c>
      <c r="O36" s="510"/>
      <c r="P36" s="511" t="s">
        <v>24</v>
      </c>
      <c r="Q36" s="511"/>
      <c r="R36" s="511"/>
      <c r="S36" s="511"/>
      <c r="T36" s="511"/>
      <c r="U36" s="20" t="s">
        <v>75</v>
      </c>
    </row>
    <row r="37" spans="1:21" hidden="1" x14ac:dyDescent="0.25">
      <c r="A37" s="451" t="s">
        <v>56</v>
      </c>
      <c r="B37" s="451"/>
      <c r="C37" s="169">
        <v>0</v>
      </c>
      <c r="D37" s="169">
        <v>0</v>
      </c>
      <c r="E37" s="210">
        <f t="shared" ref="E37:E42" si="6">IF(D$43=0,C37*2,C37+D37)</f>
        <v>0</v>
      </c>
      <c r="F37" s="170"/>
      <c r="G37" s="170"/>
      <c r="H37" s="170"/>
      <c r="I37" s="119">
        <f t="shared" ref="I37:I42" si="7">ROUND(ROUND(E37*$C$8,4)*($H$8),2)</f>
        <v>0</v>
      </c>
      <c r="N37" s="512" t="s">
        <v>56</v>
      </c>
      <c r="O37" s="512"/>
      <c r="P37" s="483">
        <f t="shared" ref="P37:P42" si="8">IF($H$120=1,E37,0)</f>
        <v>0</v>
      </c>
      <c r="Q37" s="483"/>
      <c r="R37" s="483"/>
      <c r="S37" s="483"/>
      <c r="T37" s="483"/>
      <c r="U37" s="101">
        <f t="shared" ref="U37:U42" si="9">ROUND(ROUND(P37*$C$8,4)*($H$8),0)</f>
        <v>0</v>
      </c>
    </row>
    <row r="38" spans="1:21" hidden="1" x14ac:dyDescent="0.25">
      <c r="A38" s="453" t="s">
        <v>57</v>
      </c>
      <c r="B38" s="453"/>
      <c r="C38" s="172">
        <v>0</v>
      </c>
      <c r="D38" s="172">
        <v>0</v>
      </c>
      <c r="E38" s="125">
        <f t="shared" si="6"/>
        <v>0</v>
      </c>
      <c r="F38" s="173"/>
      <c r="G38" s="173"/>
      <c r="H38" s="173"/>
      <c r="I38" s="104">
        <f t="shared" si="7"/>
        <v>0</v>
      </c>
      <c r="N38" s="479" t="s">
        <v>57</v>
      </c>
      <c r="O38" s="479"/>
      <c r="P38" s="483">
        <f t="shared" si="8"/>
        <v>0</v>
      </c>
      <c r="Q38" s="483"/>
      <c r="R38" s="483"/>
      <c r="S38" s="483"/>
      <c r="T38" s="483"/>
      <c r="U38" s="101">
        <f t="shared" si="9"/>
        <v>0</v>
      </c>
    </row>
    <row r="39" spans="1:21" hidden="1" x14ac:dyDescent="0.25">
      <c r="A39" s="458" t="s">
        <v>58</v>
      </c>
      <c r="B39" s="458"/>
      <c r="C39" s="172">
        <v>0</v>
      </c>
      <c r="D39" s="172">
        <v>0</v>
      </c>
      <c r="E39" s="125">
        <f t="shared" si="6"/>
        <v>0</v>
      </c>
      <c r="F39" s="173"/>
      <c r="G39" s="173"/>
      <c r="H39" s="173"/>
      <c r="I39" s="104">
        <f t="shared" si="7"/>
        <v>0</v>
      </c>
      <c r="N39" s="509" t="s">
        <v>58</v>
      </c>
      <c r="O39" s="509"/>
      <c r="P39" s="483">
        <f t="shared" si="8"/>
        <v>0</v>
      </c>
      <c r="Q39" s="483"/>
      <c r="R39" s="483"/>
      <c r="S39" s="483"/>
      <c r="T39" s="483"/>
      <c r="U39" s="101">
        <f t="shared" si="9"/>
        <v>0</v>
      </c>
    </row>
    <row r="40" spans="1:21" hidden="1" x14ac:dyDescent="0.25">
      <c r="A40" s="453" t="s">
        <v>59</v>
      </c>
      <c r="B40" s="453"/>
      <c r="C40" s="172">
        <v>0</v>
      </c>
      <c r="D40" s="172">
        <v>0</v>
      </c>
      <c r="E40" s="125">
        <f t="shared" si="6"/>
        <v>0</v>
      </c>
      <c r="F40" s="173"/>
      <c r="G40" s="173"/>
      <c r="H40" s="173"/>
      <c r="I40" s="104">
        <f t="shared" si="7"/>
        <v>0</v>
      </c>
      <c r="N40" s="479" t="s">
        <v>59</v>
      </c>
      <c r="O40" s="479"/>
      <c r="P40" s="483">
        <f t="shared" si="8"/>
        <v>0</v>
      </c>
      <c r="Q40" s="483"/>
      <c r="R40" s="483"/>
      <c r="S40" s="483"/>
      <c r="T40" s="483"/>
      <c r="U40" s="101">
        <f t="shared" si="9"/>
        <v>0</v>
      </c>
    </row>
    <row r="41" spans="1:21" hidden="1" x14ac:dyDescent="0.25">
      <c r="A41" s="453" t="s">
        <v>60</v>
      </c>
      <c r="B41" s="453"/>
      <c r="C41" s="172">
        <v>0</v>
      </c>
      <c r="D41" s="172">
        <v>0</v>
      </c>
      <c r="E41" s="125">
        <f t="shared" si="6"/>
        <v>0</v>
      </c>
      <c r="F41" s="173"/>
      <c r="G41" s="173"/>
      <c r="H41" s="173"/>
      <c r="I41" s="104">
        <f t="shared" si="7"/>
        <v>0</v>
      </c>
      <c r="N41" s="479" t="s">
        <v>60</v>
      </c>
      <c r="O41" s="479"/>
      <c r="P41" s="483">
        <f t="shared" si="8"/>
        <v>0</v>
      </c>
      <c r="Q41" s="483"/>
      <c r="R41" s="483"/>
      <c r="S41" s="483"/>
      <c r="T41" s="483"/>
      <c r="U41" s="101">
        <f t="shared" si="9"/>
        <v>0</v>
      </c>
    </row>
    <row r="42" spans="1:21" hidden="1" x14ac:dyDescent="0.25">
      <c r="A42" s="453" t="s">
        <v>52</v>
      </c>
      <c r="B42" s="453"/>
      <c r="C42" s="171">
        <v>0</v>
      </c>
      <c r="D42" s="171">
        <v>0</v>
      </c>
      <c r="E42" s="177">
        <f t="shared" si="6"/>
        <v>0</v>
      </c>
      <c r="F42" s="173"/>
      <c r="G42" s="173"/>
      <c r="H42" s="173"/>
      <c r="I42" s="97">
        <f t="shared" si="7"/>
        <v>0</v>
      </c>
      <c r="N42" s="482" t="s">
        <v>52</v>
      </c>
      <c r="O42" s="482"/>
      <c r="P42" s="483">
        <f t="shared" si="8"/>
        <v>0</v>
      </c>
      <c r="Q42" s="483"/>
      <c r="R42" s="483"/>
      <c r="S42" s="483"/>
      <c r="T42" s="483"/>
      <c r="U42" s="101">
        <f t="shared" si="9"/>
        <v>0</v>
      </c>
    </row>
    <row r="43" spans="1:21" hidden="1" x14ac:dyDescent="0.25">
      <c r="A43" s="3"/>
      <c r="B43" s="55" t="s">
        <v>126</v>
      </c>
      <c r="C43" s="100">
        <f>SUM(C37:C42)</f>
        <v>0</v>
      </c>
      <c r="D43" s="100">
        <f>SUM(D37:D42)</f>
        <v>0</v>
      </c>
      <c r="E43" s="100">
        <f>SUM(E37:E42)</f>
        <v>0</v>
      </c>
      <c r="F43" s="33"/>
      <c r="G43" s="109"/>
      <c r="H43" s="110" t="s">
        <v>128</v>
      </c>
      <c r="I43" s="100">
        <f>SUM(I37:I42)</f>
        <v>0</v>
      </c>
      <c r="N43" s="480" t="s">
        <v>54</v>
      </c>
      <c r="O43" s="480"/>
      <c r="P43" s="480"/>
      <c r="Q43" s="480"/>
      <c r="R43" s="34">
        <f>SUM(P37:R42)</f>
        <v>0</v>
      </c>
      <c r="S43" s="508" t="s">
        <v>64</v>
      </c>
      <c r="T43" s="508"/>
      <c r="U43" s="106">
        <f>SUM(U37:U42)</f>
        <v>0</v>
      </c>
    </row>
    <row r="44" spans="1:21" ht="16.5" hidden="1" thickBot="1" x14ac:dyDescent="0.3">
      <c r="A44" s="3"/>
      <c r="B44" s="55"/>
      <c r="C44" s="104"/>
      <c r="D44" s="104"/>
      <c r="E44" s="119"/>
      <c r="F44" s="33"/>
      <c r="G44" s="109"/>
      <c r="H44" s="110"/>
      <c r="I44" s="104"/>
      <c r="N44" s="29"/>
      <c r="O44" s="29"/>
      <c r="P44" s="29"/>
      <c r="Q44" s="29"/>
      <c r="R44" s="34"/>
      <c r="S44" s="31"/>
      <c r="T44" s="31"/>
      <c r="U44" s="106"/>
    </row>
    <row r="45" spans="1:21" ht="16.5" hidden="1" thickBot="1" x14ac:dyDescent="0.3">
      <c r="A45" s="3"/>
      <c r="B45" s="55" t="s">
        <v>127</v>
      </c>
      <c r="E45" s="174">
        <f>H29+E43</f>
        <v>32.43</v>
      </c>
      <c r="F45" s="35"/>
      <c r="G45" s="109"/>
      <c r="H45" s="110" t="s">
        <v>129</v>
      </c>
      <c r="I45" s="97">
        <f>SUM(I43,I29)</f>
        <v>155285.48000000001</v>
      </c>
      <c r="N45" s="480" t="s">
        <v>55</v>
      </c>
      <c r="O45" s="480"/>
      <c r="P45" s="480"/>
      <c r="Q45" s="480"/>
      <c r="R45" s="36">
        <f>R43+T29</f>
        <v>32.46</v>
      </c>
      <c r="S45" s="508" t="s">
        <v>53</v>
      </c>
      <c r="T45" s="508"/>
      <c r="U45" s="111">
        <f>SUM(U43,U29)</f>
        <v>155429</v>
      </c>
    </row>
    <row r="46" spans="1:21" hidden="1" x14ac:dyDescent="0.25">
      <c r="A46" s="27"/>
      <c r="B46" s="27"/>
      <c r="C46" s="27"/>
      <c r="D46" s="27"/>
      <c r="E46" s="27"/>
      <c r="F46" s="35"/>
      <c r="G46" s="28"/>
      <c r="H46" s="28"/>
      <c r="I46" s="104"/>
      <c r="N46" s="29"/>
      <c r="O46" s="29"/>
      <c r="P46" s="29"/>
      <c r="Q46" s="29"/>
      <c r="R46" s="36"/>
      <c r="S46" s="31"/>
      <c r="T46" s="31"/>
      <c r="U46" s="106"/>
    </row>
    <row r="47" spans="1:21" x14ac:dyDescent="0.25">
      <c r="A47" s="27"/>
      <c r="B47" s="55" t="s">
        <v>370</v>
      </c>
      <c r="C47" s="372" t="s">
        <v>370</v>
      </c>
      <c r="D47" s="372" t="s">
        <v>370</v>
      </c>
      <c r="E47" s="27"/>
      <c r="F47" s="35"/>
      <c r="G47" s="28"/>
      <c r="H47" s="28"/>
      <c r="I47" s="104"/>
      <c r="N47" s="29"/>
      <c r="O47" s="29"/>
      <c r="P47" s="29"/>
      <c r="Q47" s="29"/>
      <c r="R47" s="36"/>
      <c r="S47" s="31"/>
      <c r="T47" s="31"/>
      <c r="U47" s="106"/>
    </row>
    <row r="48" spans="1:21" x14ac:dyDescent="0.25">
      <c r="A48" s="27"/>
      <c r="B48" s="27"/>
      <c r="C48" s="91" t="s">
        <v>463</v>
      </c>
      <c r="D48" s="371" t="s">
        <v>464</v>
      </c>
      <c r="E48" s="92" t="s">
        <v>8</v>
      </c>
      <c r="F48" s="49" t="s">
        <v>130</v>
      </c>
      <c r="G48" s="112" t="s">
        <v>132</v>
      </c>
      <c r="H48" s="113" t="s">
        <v>133</v>
      </c>
      <c r="I48" s="104"/>
      <c r="N48" s="29"/>
      <c r="O48" s="29"/>
      <c r="P48" s="29"/>
      <c r="Q48" s="29"/>
      <c r="R48" s="36"/>
      <c r="S48" s="31"/>
      <c r="T48" s="31"/>
      <c r="U48" s="106"/>
    </row>
    <row r="49" spans="1:21" x14ac:dyDescent="0.25">
      <c r="A49" s="37" t="s">
        <v>87</v>
      </c>
      <c r="B49" s="37"/>
      <c r="C49" s="362" t="s">
        <v>2</v>
      </c>
      <c r="D49" s="362" t="s">
        <v>2</v>
      </c>
      <c r="E49" s="362" t="s">
        <v>2</v>
      </c>
      <c r="F49" s="95" t="s">
        <v>131</v>
      </c>
      <c r="G49" s="62" t="s">
        <v>131</v>
      </c>
      <c r="H49" s="114" t="s">
        <v>134</v>
      </c>
      <c r="I49" s="37"/>
      <c r="N49" s="482" t="s">
        <v>87</v>
      </c>
      <c r="O49" s="482"/>
      <c r="P49" s="503" t="s">
        <v>2</v>
      </c>
      <c r="Q49" s="503"/>
      <c r="R49" s="38" t="s">
        <v>25</v>
      </c>
      <c r="S49" s="63" t="s">
        <v>26</v>
      </c>
      <c r="T49" s="115" t="s">
        <v>27</v>
      </c>
      <c r="U49" s="38"/>
    </row>
    <row r="50" spans="1:21" x14ac:dyDescent="0.25">
      <c r="A50" s="459" t="s">
        <v>98</v>
      </c>
      <c r="B50" s="459"/>
      <c r="C50" s="165">
        <v>0</v>
      </c>
      <c r="D50" s="165">
        <v>0</v>
      </c>
      <c r="E50" s="125">
        <f>IF(D$59=0,C50*2,C50+D50)</f>
        <v>0</v>
      </c>
      <c r="F50" s="39" t="s">
        <v>21</v>
      </c>
      <c r="G50" s="39">
        <v>251</v>
      </c>
      <c r="H50" s="321">
        <f>'0664'!H50</f>
        <v>1047</v>
      </c>
      <c r="I50" s="104">
        <f>ROUND(E50*H50,2)</f>
        <v>0</v>
      </c>
      <c r="N50" s="504" t="s">
        <v>28</v>
      </c>
      <c r="O50" s="504"/>
      <c r="P50" s="505"/>
      <c r="Q50" s="505"/>
      <c r="R50" s="40" t="s">
        <v>21</v>
      </c>
      <c r="S50" s="40">
        <v>251</v>
      </c>
      <c r="T50" s="117">
        <f>H50</f>
        <v>1047</v>
      </c>
      <c r="U50" s="118">
        <f>ROUND(P50*T50,0)</f>
        <v>0</v>
      </c>
    </row>
    <row r="51" spans="1:21" x14ac:dyDescent="0.25">
      <c r="A51" s="460"/>
      <c r="B51" s="460"/>
      <c r="C51" s="165">
        <v>0</v>
      </c>
      <c r="D51" s="165">
        <v>0</v>
      </c>
      <c r="E51" s="125">
        <f t="shared" ref="E51:E58" si="10">IF(D$59=0,C51*2,C51+D51)</f>
        <v>0</v>
      </c>
      <c r="F51" s="39" t="s">
        <v>21</v>
      </c>
      <c r="G51" s="39">
        <v>252</v>
      </c>
      <c r="H51" s="321">
        <f>'0664'!H51</f>
        <v>3380</v>
      </c>
      <c r="I51" s="104">
        <f t="shared" ref="I51:I58" si="11">ROUND(E51*H51,2)</f>
        <v>0</v>
      </c>
      <c r="N51" s="504"/>
      <c r="O51" s="504"/>
      <c r="P51" s="506"/>
      <c r="Q51" s="506"/>
      <c r="R51" s="40" t="s">
        <v>21</v>
      </c>
      <c r="S51" s="40">
        <v>252</v>
      </c>
      <c r="T51" s="117">
        <f t="shared" ref="T51:T58" si="12">H51</f>
        <v>3380</v>
      </c>
      <c r="U51" s="118">
        <f t="shared" ref="U51:U58" si="13">ROUND(P51*T51,0)</f>
        <v>0</v>
      </c>
    </row>
    <row r="52" spans="1:21" x14ac:dyDescent="0.25">
      <c r="A52" s="460"/>
      <c r="B52" s="460"/>
      <c r="C52" s="165">
        <v>0</v>
      </c>
      <c r="D52" s="165">
        <v>0</v>
      </c>
      <c r="E52" s="125">
        <f t="shared" si="10"/>
        <v>0</v>
      </c>
      <c r="F52" s="39" t="s">
        <v>21</v>
      </c>
      <c r="G52" s="39">
        <v>253</v>
      </c>
      <c r="H52" s="321">
        <f>'0664'!H52</f>
        <v>6896</v>
      </c>
      <c r="I52" s="104">
        <f t="shared" si="11"/>
        <v>0</v>
      </c>
      <c r="N52" s="504"/>
      <c r="O52" s="504"/>
      <c r="P52" s="506"/>
      <c r="Q52" s="506"/>
      <c r="R52" s="40" t="s">
        <v>21</v>
      </c>
      <c r="S52" s="40">
        <v>253</v>
      </c>
      <c r="T52" s="117">
        <f t="shared" si="12"/>
        <v>6896</v>
      </c>
      <c r="U52" s="118">
        <f t="shared" si="13"/>
        <v>0</v>
      </c>
    </row>
    <row r="53" spans="1:21" x14ac:dyDescent="0.25">
      <c r="A53" s="460"/>
      <c r="B53" s="460"/>
      <c r="C53" s="165">
        <v>0</v>
      </c>
      <c r="D53" s="165">
        <v>0</v>
      </c>
      <c r="E53" s="125">
        <f t="shared" si="10"/>
        <v>0</v>
      </c>
      <c r="F53" s="41" t="s">
        <v>14</v>
      </c>
      <c r="G53" s="39">
        <v>251</v>
      </c>
      <c r="H53" s="321">
        <f>'0664'!H53</f>
        <v>1173</v>
      </c>
      <c r="I53" s="104">
        <f t="shared" si="11"/>
        <v>0</v>
      </c>
      <c r="N53" s="504"/>
      <c r="O53" s="504"/>
      <c r="P53" s="506"/>
      <c r="Q53" s="506"/>
      <c r="R53" s="42" t="s">
        <v>14</v>
      </c>
      <c r="S53" s="40">
        <v>251</v>
      </c>
      <c r="T53" s="117">
        <f t="shared" si="12"/>
        <v>1173</v>
      </c>
      <c r="U53" s="118">
        <f t="shared" si="13"/>
        <v>0</v>
      </c>
    </row>
    <row r="54" spans="1:21" x14ac:dyDescent="0.25">
      <c r="A54" s="460"/>
      <c r="B54" s="460"/>
      <c r="C54" s="165">
        <v>0</v>
      </c>
      <c r="D54" s="165">
        <v>0</v>
      </c>
      <c r="E54" s="125">
        <f t="shared" si="10"/>
        <v>0</v>
      </c>
      <c r="F54" s="41" t="s">
        <v>14</v>
      </c>
      <c r="G54" s="39">
        <v>252</v>
      </c>
      <c r="H54" s="321">
        <f>'0664'!H54</f>
        <v>3506</v>
      </c>
      <c r="I54" s="104">
        <f t="shared" si="11"/>
        <v>0</v>
      </c>
      <c r="N54" s="504"/>
      <c r="O54" s="504"/>
      <c r="P54" s="506"/>
      <c r="Q54" s="506"/>
      <c r="R54" s="42" t="s">
        <v>14</v>
      </c>
      <c r="S54" s="40">
        <v>252</v>
      </c>
      <c r="T54" s="117">
        <f t="shared" si="12"/>
        <v>3506</v>
      </c>
      <c r="U54" s="118">
        <f t="shared" si="13"/>
        <v>0</v>
      </c>
    </row>
    <row r="55" spans="1:21" x14ac:dyDescent="0.25">
      <c r="A55" s="460"/>
      <c r="B55" s="460"/>
      <c r="C55" s="165">
        <v>1.5</v>
      </c>
      <c r="D55" s="165">
        <v>1</v>
      </c>
      <c r="E55" s="125">
        <f t="shared" si="10"/>
        <v>2.5</v>
      </c>
      <c r="F55" s="41" t="s">
        <v>14</v>
      </c>
      <c r="G55" s="39">
        <v>253</v>
      </c>
      <c r="H55" s="321">
        <f>'0664'!H55</f>
        <v>7023</v>
      </c>
      <c r="I55" s="104">
        <f t="shared" si="11"/>
        <v>17557.5</v>
      </c>
      <c r="N55" s="504"/>
      <c r="O55" s="504"/>
      <c r="P55" s="506"/>
      <c r="Q55" s="506"/>
      <c r="R55" s="42" t="s">
        <v>14</v>
      </c>
      <c r="S55" s="40">
        <v>253</v>
      </c>
      <c r="T55" s="117">
        <f t="shared" si="12"/>
        <v>7023</v>
      </c>
      <c r="U55" s="118">
        <f t="shared" si="13"/>
        <v>0</v>
      </c>
    </row>
    <row r="56" spans="1:21" x14ac:dyDescent="0.25">
      <c r="A56" s="460"/>
      <c r="B56" s="460"/>
      <c r="C56" s="165">
        <v>0</v>
      </c>
      <c r="D56" s="165">
        <v>0</v>
      </c>
      <c r="E56" s="125">
        <f t="shared" si="10"/>
        <v>0</v>
      </c>
      <c r="F56" s="41" t="s">
        <v>15</v>
      </c>
      <c r="G56" s="39">
        <v>251</v>
      </c>
      <c r="H56" s="321">
        <f>'0664'!H56</f>
        <v>835</v>
      </c>
      <c r="I56" s="104">
        <f t="shared" si="11"/>
        <v>0</v>
      </c>
      <c r="N56" s="504"/>
      <c r="O56" s="504"/>
      <c r="P56" s="506"/>
      <c r="Q56" s="506"/>
      <c r="R56" s="42" t="s">
        <v>15</v>
      </c>
      <c r="S56" s="40">
        <v>251</v>
      </c>
      <c r="T56" s="117">
        <f t="shared" si="12"/>
        <v>835</v>
      </c>
      <c r="U56" s="118">
        <f t="shared" si="13"/>
        <v>0</v>
      </c>
    </row>
    <row r="57" spans="1:21" x14ac:dyDescent="0.25">
      <c r="A57" s="460"/>
      <c r="B57" s="460"/>
      <c r="C57" s="165">
        <v>1.5</v>
      </c>
      <c r="D57" s="165">
        <v>1.5</v>
      </c>
      <c r="E57" s="125">
        <f t="shared" si="10"/>
        <v>3</v>
      </c>
      <c r="F57" s="41" t="s">
        <v>15</v>
      </c>
      <c r="G57" s="39">
        <v>252</v>
      </c>
      <c r="H57" s="321">
        <f>'0664'!H57</f>
        <v>3168</v>
      </c>
      <c r="I57" s="104">
        <f t="shared" si="11"/>
        <v>9504</v>
      </c>
      <c r="N57" s="504"/>
      <c r="O57" s="504"/>
      <c r="P57" s="506"/>
      <c r="Q57" s="506"/>
      <c r="R57" s="42" t="s">
        <v>15</v>
      </c>
      <c r="S57" s="40">
        <v>252</v>
      </c>
      <c r="T57" s="117">
        <f t="shared" si="12"/>
        <v>3168</v>
      </c>
      <c r="U57" s="118">
        <f t="shared" si="13"/>
        <v>0</v>
      </c>
    </row>
    <row r="58" spans="1:21" ht="16.5" thickBot="1" x14ac:dyDescent="0.3">
      <c r="A58" s="460"/>
      <c r="B58" s="460"/>
      <c r="C58" s="165">
        <v>13.5</v>
      </c>
      <c r="D58" s="165">
        <v>13.46</v>
      </c>
      <c r="E58" s="125">
        <f t="shared" si="10"/>
        <v>26.96</v>
      </c>
      <c r="F58" s="41" t="s">
        <v>15</v>
      </c>
      <c r="G58" s="39">
        <v>253</v>
      </c>
      <c r="H58" s="321">
        <f>'0664'!H58</f>
        <v>6685</v>
      </c>
      <c r="I58" s="104">
        <f t="shared" si="11"/>
        <v>180227.6</v>
      </c>
      <c r="N58" s="504"/>
      <c r="O58" s="504"/>
      <c r="P58" s="507"/>
      <c r="Q58" s="507"/>
      <c r="R58" s="42" t="s">
        <v>15</v>
      </c>
      <c r="S58" s="40">
        <v>253</v>
      </c>
      <c r="T58" s="117">
        <f t="shared" si="12"/>
        <v>6685</v>
      </c>
      <c r="U58" s="120">
        <f t="shared" si="13"/>
        <v>0</v>
      </c>
    </row>
    <row r="59" spans="1:21" ht="16.5" thickBot="1" x14ac:dyDescent="0.3">
      <c r="A59" s="461" t="s">
        <v>16</v>
      </c>
      <c r="B59" s="461"/>
      <c r="C59" s="100">
        <f>SUM(C50:C58)</f>
        <v>16.5</v>
      </c>
      <c r="D59" s="100">
        <f>SUM(D50:D58)</f>
        <v>15.96</v>
      </c>
      <c r="E59" s="100">
        <f>SUM(E50:E58)</f>
        <v>32.46</v>
      </c>
      <c r="F59" s="461" t="s">
        <v>77</v>
      </c>
      <c r="G59" s="461"/>
      <c r="H59" s="461"/>
      <c r="I59" s="100">
        <f>SUM(I50:I58)</f>
        <v>207289.1</v>
      </c>
      <c r="N59" s="480" t="s">
        <v>16</v>
      </c>
      <c r="O59" s="480"/>
      <c r="P59" s="502">
        <f>SUM(P50:P58)</f>
        <v>0</v>
      </c>
      <c r="Q59" s="502"/>
      <c r="R59" s="480" t="s">
        <v>77</v>
      </c>
      <c r="S59" s="480"/>
      <c r="T59" s="480"/>
      <c r="U59" s="111">
        <f>SUM(U50:U58)</f>
        <v>0</v>
      </c>
    </row>
    <row r="60" spans="1:21" x14ac:dyDescent="0.25">
      <c r="A60" s="462"/>
      <c r="B60" s="462"/>
      <c r="C60" s="462"/>
      <c r="D60" s="462"/>
      <c r="E60" s="462"/>
      <c r="F60" s="462"/>
      <c r="G60" s="462"/>
      <c r="H60" s="462"/>
      <c r="I60" s="462"/>
      <c r="N60" s="484"/>
      <c r="O60" s="484"/>
      <c r="P60" s="484"/>
      <c r="Q60" s="484"/>
      <c r="R60" s="484"/>
      <c r="S60" s="484"/>
      <c r="T60" s="484"/>
      <c r="U60" s="484"/>
    </row>
    <row r="61" spans="1:21" x14ac:dyDescent="0.25">
      <c r="A61" s="463" t="s">
        <v>136</v>
      </c>
      <c r="B61" s="453"/>
      <c r="C61" s="453"/>
      <c r="D61" s="453"/>
      <c r="E61" s="453"/>
      <c r="F61" s="453"/>
      <c r="G61" s="453"/>
      <c r="H61" s="453"/>
      <c r="I61" s="453"/>
      <c r="N61" s="479" t="s">
        <v>88</v>
      </c>
      <c r="O61" s="479"/>
      <c r="P61" s="479"/>
      <c r="Q61" s="479"/>
      <c r="R61" s="479"/>
      <c r="S61" s="479"/>
      <c r="T61" s="479"/>
      <c r="U61" s="479"/>
    </row>
    <row r="62" spans="1:21" x14ac:dyDescent="0.25">
      <c r="A62" s="463" t="s">
        <v>138</v>
      </c>
      <c r="B62" s="453"/>
      <c r="C62" s="121">
        <f>E29</f>
        <v>32.46</v>
      </c>
      <c r="D62" s="464" t="s">
        <v>135</v>
      </c>
      <c r="E62" s="464"/>
      <c r="F62" s="464"/>
      <c r="G62" s="464"/>
      <c r="H62" s="335">
        <f>'0664'!H62</f>
        <v>193340.76</v>
      </c>
      <c r="I62" s="122"/>
      <c r="N62" s="478" t="s">
        <v>312</v>
      </c>
      <c r="O62" s="479"/>
      <c r="P62" s="43">
        <f>P29</f>
        <v>32.46</v>
      </c>
      <c r="Q62" s="498" t="s">
        <v>78</v>
      </c>
      <c r="R62" s="498"/>
      <c r="S62" s="498"/>
      <c r="T62" s="497">
        <f>H62</f>
        <v>193340.76</v>
      </c>
      <c r="U62" s="497"/>
    </row>
    <row r="63" spans="1:21" x14ac:dyDescent="0.25">
      <c r="B63" s="72"/>
      <c r="G63" s="44" t="s">
        <v>13</v>
      </c>
      <c r="H63" s="123">
        <f>ROUND(C62/H62,6)</f>
        <v>1.6799999999999999E-4</v>
      </c>
      <c r="I63" s="124"/>
      <c r="N63" s="479" t="s">
        <v>19</v>
      </c>
      <c r="O63" s="479"/>
      <c r="P63" s="479"/>
      <c r="Q63" s="479"/>
      <c r="R63" s="479"/>
      <c r="S63" s="479"/>
      <c r="T63" s="501">
        <f>ROUND(P62/T62,6)</f>
        <v>1.6799999999999999E-4</v>
      </c>
      <c r="U63" s="501"/>
    </row>
    <row r="64" spans="1:21" x14ac:dyDescent="0.25">
      <c r="A64" s="463" t="s">
        <v>137</v>
      </c>
      <c r="B64" s="453"/>
      <c r="C64" s="453"/>
      <c r="D64" s="453"/>
      <c r="E64" s="453"/>
      <c r="F64" s="453"/>
      <c r="G64" s="453"/>
      <c r="H64" s="453"/>
      <c r="I64" s="453"/>
      <c r="N64" s="479" t="s">
        <v>89</v>
      </c>
      <c r="O64" s="479"/>
      <c r="P64" s="479"/>
      <c r="Q64" s="479"/>
      <c r="R64" s="479"/>
      <c r="S64" s="479"/>
      <c r="T64" s="479"/>
      <c r="U64" s="479"/>
    </row>
    <row r="65" spans="1:21" x14ac:dyDescent="0.25">
      <c r="A65" s="463" t="s">
        <v>139</v>
      </c>
      <c r="B65" s="453"/>
      <c r="C65" s="121">
        <f>E45</f>
        <v>32.43</v>
      </c>
      <c r="D65" s="464" t="s">
        <v>140</v>
      </c>
      <c r="E65" s="464"/>
      <c r="F65" s="464"/>
      <c r="G65" s="464"/>
      <c r="H65" s="336">
        <f>'0664'!H65</f>
        <v>216845.88</v>
      </c>
      <c r="I65" s="125"/>
      <c r="N65" s="479" t="s">
        <v>80</v>
      </c>
      <c r="O65" s="479"/>
      <c r="P65" s="43">
        <f>R45</f>
        <v>32.46</v>
      </c>
      <c r="Q65" s="498" t="s">
        <v>79</v>
      </c>
      <c r="R65" s="498"/>
      <c r="S65" s="498"/>
      <c r="T65" s="497">
        <f>H65</f>
        <v>216845.88</v>
      </c>
      <c r="U65" s="497"/>
    </row>
    <row r="66" spans="1:21" s="37" customFormat="1" x14ac:dyDescent="0.25">
      <c r="A66" s="126"/>
      <c r="G66" s="45" t="s">
        <v>13</v>
      </c>
      <c r="H66" s="127">
        <f>ROUND(C65/H65,6)</f>
        <v>1.4999999999999999E-4</v>
      </c>
      <c r="I66" s="127"/>
      <c r="N66" s="482" t="s">
        <v>20</v>
      </c>
      <c r="O66" s="482"/>
      <c r="P66" s="482"/>
      <c r="Q66" s="482"/>
      <c r="R66" s="482"/>
      <c r="S66" s="482"/>
      <c r="T66" s="500">
        <f>ROUND(P65/T65,6)</f>
        <v>1.4999999999999999E-4</v>
      </c>
      <c r="U66" s="500"/>
    </row>
    <row r="67" spans="1:21" x14ac:dyDescent="0.25">
      <c r="G67" s="44"/>
      <c r="H67" s="123"/>
      <c r="I67" s="123"/>
      <c r="N67" s="48"/>
      <c r="O67" s="48"/>
      <c r="P67" s="48"/>
      <c r="Q67" s="48"/>
      <c r="R67" s="128"/>
      <c r="S67" s="48"/>
      <c r="T67" s="129"/>
      <c r="U67" s="130"/>
    </row>
    <row r="68" spans="1:21" x14ac:dyDescent="0.25">
      <c r="A68" s="453" t="s">
        <v>85</v>
      </c>
      <c r="B68" s="453"/>
      <c r="C68" s="453"/>
      <c r="D68" s="72"/>
      <c r="E68" s="46" t="s">
        <v>3</v>
      </c>
      <c r="F68" s="337">
        <f>'0664'!F68</f>
        <v>42465042</v>
      </c>
      <c r="G68" s="39" t="s">
        <v>6</v>
      </c>
      <c r="H68" s="131">
        <f>H63</f>
        <v>1.6799999999999999E-4</v>
      </c>
      <c r="I68" s="104">
        <f>ROUND(F68*H68,2)</f>
        <v>7134.13</v>
      </c>
      <c r="N68" s="479" t="s">
        <v>85</v>
      </c>
      <c r="O68" s="479"/>
      <c r="P68" s="479"/>
      <c r="Q68" s="47"/>
      <c r="R68" s="132">
        <f>F68</f>
        <v>42465042</v>
      </c>
      <c r="S68" s="40" t="s">
        <v>6</v>
      </c>
      <c r="T68" s="133">
        <f>T63</f>
        <v>1.6799999999999999E-4</v>
      </c>
      <c r="U68" s="99">
        <f>ROUND(R68*T68,0)</f>
        <v>7134</v>
      </c>
    </row>
    <row r="69" spans="1:21" x14ac:dyDescent="0.25">
      <c r="A69" s="458" t="s">
        <v>96</v>
      </c>
      <c r="B69" s="453"/>
      <c r="C69" s="453"/>
      <c r="D69" s="72"/>
      <c r="E69" s="46"/>
      <c r="F69" s="136"/>
      <c r="G69" s="39"/>
      <c r="H69" s="131"/>
      <c r="I69" s="104"/>
      <c r="N69" s="479" t="s">
        <v>84</v>
      </c>
      <c r="O69" s="479"/>
      <c r="P69" s="479"/>
      <c r="Q69" s="54"/>
      <c r="R69" s="54"/>
      <c r="S69" s="54"/>
      <c r="T69" s="54"/>
      <c r="U69" s="54"/>
    </row>
    <row r="70" spans="1:21" x14ac:dyDescent="0.25">
      <c r="A70" s="465" t="s">
        <v>141</v>
      </c>
      <c r="B70" s="453"/>
      <c r="C70" s="453"/>
      <c r="D70" s="72"/>
      <c r="E70" s="46" t="s">
        <v>3</v>
      </c>
      <c r="F70" s="337">
        <f>'0664'!F70</f>
        <v>0</v>
      </c>
      <c r="G70" s="39" t="s">
        <v>6</v>
      </c>
      <c r="H70" s="131">
        <f>H63</f>
        <v>1.6799999999999999E-4</v>
      </c>
      <c r="I70" s="104">
        <f>ROUND(F70*H70,2)</f>
        <v>0</v>
      </c>
      <c r="N70" s="48"/>
      <c r="O70" s="48"/>
      <c r="P70" s="48"/>
      <c r="Q70" s="47"/>
      <c r="R70" s="132">
        <f>F70</f>
        <v>0</v>
      </c>
      <c r="S70" s="40" t="s">
        <v>6</v>
      </c>
      <c r="T70" s="133">
        <f>T63</f>
        <v>1.6799999999999999E-4</v>
      </c>
      <c r="U70" s="99">
        <f>ROUND(R70*T70,0)</f>
        <v>0</v>
      </c>
    </row>
    <row r="71" spans="1:21" x14ac:dyDescent="0.25">
      <c r="A71" s="463" t="s">
        <v>433</v>
      </c>
      <c r="B71" s="453"/>
      <c r="C71" s="453"/>
      <c r="D71" s="72"/>
      <c r="E71" s="46" t="s">
        <v>3</v>
      </c>
      <c r="F71" s="337">
        <f>'0664'!F71</f>
        <v>13414654</v>
      </c>
      <c r="G71" s="39" t="s">
        <v>6</v>
      </c>
      <c r="H71" s="131">
        <f>H63</f>
        <v>1.6799999999999999E-4</v>
      </c>
      <c r="I71" s="104">
        <f>ROUND(F71*H71,2)</f>
        <v>2253.66</v>
      </c>
      <c r="N71" s="479" t="s">
        <v>83</v>
      </c>
      <c r="O71" s="479"/>
      <c r="P71" s="479"/>
      <c r="Q71" s="47"/>
      <c r="R71" s="132">
        <f>F71</f>
        <v>13414654</v>
      </c>
      <c r="S71" s="40" t="s">
        <v>6</v>
      </c>
      <c r="T71" s="133">
        <f>T63</f>
        <v>1.6799999999999999E-4</v>
      </c>
      <c r="U71" s="99">
        <f>ROUND(R71*T71,0)</f>
        <v>2254</v>
      </c>
    </row>
    <row r="72" spans="1:21" x14ac:dyDescent="0.25">
      <c r="A72" s="463" t="s">
        <v>434</v>
      </c>
      <c r="B72" s="453"/>
      <c r="C72" s="453"/>
      <c r="D72" s="72"/>
      <c r="E72" s="46" t="s">
        <v>3</v>
      </c>
      <c r="F72" s="337">
        <f>'0664'!F72</f>
        <v>14708421</v>
      </c>
      <c r="G72" s="39" t="s">
        <v>6</v>
      </c>
      <c r="H72" s="131">
        <f>H63</f>
        <v>1.6799999999999999E-4</v>
      </c>
      <c r="I72" s="104">
        <f>ROUND(F72*H72,2)</f>
        <v>2471.0100000000002</v>
      </c>
      <c r="N72" s="479" t="s">
        <v>82</v>
      </c>
      <c r="O72" s="479"/>
      <c r="P72" s="479"/>
      <c r="Q72" s="47"/>
      <c r="R72" s="134">
        <f>F72</f>
        <v>14708421</v>
      </c>
      <c r="S72" s="40" t="s">
        <v>6</v>
      </c>
      <c r="T72" s="133">
        <f>T63</f>
        <v>1.6799999999999999E-4</v>
      </c>
      <c r="U72" s="99">
        <f>ROUND(R72*T72,0)</f>
        <v>2471</v>
      </c>
    </row>
    <row r="73" spans="1:21" x14ac:dyDescent="0.25">
      <c r="A73" s="263" t="s">
        <v>99</v>
      </c>
      <c r="D73" s="72"/>
      <c r="E73" s="41" t="s">
        <v>353</v>
      </c>
      <c r="F73" s="466"/>
      <c r="G73" s="466"/>
      <c r="H73" s="466"/>
      <c r="I73" s="104">
        <v>0</v>
      </c>
      <c r="N73" s="499" t="s">
        <v>118</v>
      </c>
      <c r="O73" s="499"/>
      <c r="P73" s="499"/>
      <c r="Q73" s="499"/>
      <c r="R73" s="499"/>
      <c r="S73" s="499"/>
      <c r="T73" s="499"/>
      <c r="U73" s="99">
        <f>IF($H$120=1,I73,0)</f>
        <v>0</v>
      </c>
    </row>
    <row r="74" spans="1:21" x14ac:dyDescent="0.25">
      <c r="A74" s="264" t="s">
        <v>142</v>
      </c>
      <c r="I74" s="104"/>
      <c r="N74" s="499" t="s">
        <v>43</v>
      </c>
      <c r="O74" s="499"/>
      <c r="P74" s="499"/>
      <c r="Q74" s="499"/>
      <c r="R74" s="499"/>
      <c r="S74" s="499"/>
      <c r="T74" s="499"/>
      <c r="U74" s="99">
        <f>IF($H$120=1,I74,0)</f>
        <v>0</v>
      </c>
    </row>
    <row r="75" spans="1:21" x14ac:dyDescent="0.25">
      <c r="A75" s="324" t="s">
        <v>101</v>
      </c>
      <c r="B75" s="72"/>
      <c r="C75" s="72"/>
      <c r="D75" s="72"/>
      <c r="E75" s="72"/>
      <c r="F75" s="72"/>
      <c r="G75" s="72"/>
      <c r="H75" s="72"/>
      <c r="I75" s="135"/>
      <c r="N75" s="382" t="s">
        <v>44</v>
      </c>
      <c r="O75" s="48"/>
      <c r="P75" s="48"/>
      <c r="Q75" s="48"/>
      <c r="R75" s="48"/>
      <c r="S75" s="48"/>
      <c r="T75" s="48"/>
      <c r="U75" s="106"/>
    </row>
    <row r="76" spans="1:21" x14ac:dyDescent="0.25">
      <c r="A76" s="463" t="s">
        <v>435</v>
      </c>
      <c r="B76" s="453"/>
      <c r="C76" s="453"/>
      <c r="D76" s="72"/>
      <c r="E76" s="46" t="s">
        <v>3</v>
      </c>
      <c r="F76" s="337">
        <f>'0664'!F76</f>
        <v>8720092</v>
      </c>
      <c r="G76" s="39" t="s">
        <v>6</v>
      </c>
      <c r="H76" s="131">
        <f>H63</f>
        <v>1.6799999999999999E-4</v>
      </c>
      <c r="I76" s="104">
        <f t="shared" ref="I76:I85" si="14">ROUND(F76*H76,2)</f>
        <v>1464.98</v>
      </c>
      <c r="N76" s="478" t="s">
        <v>366</v>
      </c>
      <c r="O76" s="479"/>
      <c r="P76" s="479"/>
      <c r="Q76" s="47"/>
      <c r="R76" s="134">
        <f t="shared" ref="R76:R85" si="15">F76</f>
        <v>8720092</v>
      </c>
      <c r="S76" s="40" t="s">
        <v>6</v>
      </c>
      <c r="T76" s="133">
        <f>T63</f>
        <v>1.6799999999999999E-4</v>
      </c>
      <c r="U76" s="99">
        <f t="shared" ref="U76:U85" si="16">ROUND(R76*T76,0)</f>
        <v>1465</v>
      </c>
    </row>
    <row r="77" spans="1:21" x14ac:dyDescent="0.25">
      <c r="A77" s="463" t="s">
        <v>436</v>
      </c>
      <c r="B77" s="453"/>
      <c r="C77" s="453"/>
      <c r="D77" s="72"/>
      <c r="E77" s="46" t="s">
        <v>3</v>
      </c>
      <c r="F77" s="337">
        <f>'0664'!F77</f>
        <v>0</v>
      </c>
      <c r="G77" s="39" t="s">
        <v>6</v>
      </c>
      <c r="H77" s="131">
        <f>H63</f>
        <v>1.6799999999999999E-4</v>
      </c>
      <c r="I77" s="104">
        <f t="shared" si="14"/>
        <v>0</v>
      </c>
      <c r="N77" s="479" t="s">
        <v>367</v>
      </c>
      <c r="O77" s="479"/>
      <c r="P77" s="479"/>
      <c r="Q77" s="47"/>
      <c r="R77" s="134">
        <f t="shared" si="15"/>
        <v>0</v>
      </c>
      <c r="S77" s="40" t="s">
        <v>6</v>
      </c>
      <c r="T77" s="133">
        <f>T63</f>
        <v>1.6799999999999999E-4</v>
      </c>
      <c r="U77" s="99">
        <f t="shared" si="16"/>
        <v>0</v>
      </c>
    </row>
    <row r="78" spans="1:21" x14ac:dyDescent="0.25">
      <c r="A78" s="463" t="s">
        <v>437</v>
      </c>
      <c r="B78" s="453"/>
      <c r="C78" s="453"/>
      <c r="D78" s="72"/>
      <c r="E78" s="46" t="s">
        <v>4</v>
      </c>
      <c r="F78" s="337">
        <f>'0664'!F78</f>
        <v>0</v>
      </c>
      <c r="G78" s="39" t="s">
        <v>6</v>
      </c>
      <c r="H78" s="131">
        <f>H66</f>
        <v>1.4999999999999999E-4</v>
      </c>
      <c r="I78" s="104">
        <f t="shared" si="14"/>
        <v>0</v>
      </c>
      <c r="N78" s="478" t="s">
        <v>392</v>
      </c>
      <c r="O78" s="479"/>
      <c r="P78" s="479"/>
      <c r="Q78" s="47"/>
      <c r="R78" s="134">
        <f t="shared" si="15"/>
        <v>0</v>
      </c>
      <c r="S78" s="40" t="s">
        <v>6</v>
      </c>
      <c r="T78" s="133">
        <f>T66</f>
        <v>1.4999999999999999E-4</v>
      </c>
      <c r="U78" s="99">
        <f t="shared" si="16"/>
        <v>0</v>
      </c>
    </row>
    <row r="79" spans="1:21" x14ac:dyDescent="0.25">
      <c r="A79" s="463" t="s">
        <v>438</v>
      </c>
      <c r="B79" s="453"/>
      <c r="C79" s="453"/>
      <c r="D79" s="72"/>
      <c r="E79" s="46" t="s">
        <v>4</v>
      </c>
      <c r="F79" s="337">
        <f>'0664'!F79</f>
        <v>11278687</v>
      </c>
      <c r="G79" s="39" t="s">
        <v>6</v>
      </c>
      <c r="H79" s="131">
        <f>H66</f>
        <v>1.4999999999999999E-4</v>
      </c>
      <c r="I79" s="104">
        <f t="shared" si="14"/>
        <v>1691.8</v>
      </c>
      <c r="N79" s="478" t="s">
        <v>393</v>
      </c>
      <c r="O79" s="479"/>
      <c r="P79" s="479"/>
      <c r="Q79" s="47"/>
      <c r="R79" s="134">
        <f t="shared" si="15"/>
        <v>11278687</v>
      </c>
      <c r="S79" s="40" t="s">
        <v>6</v>
      </c>
      <c r="T79" s="133">
        <f>T66</f>
        <v>1.4999999999999999E-4</v>
      </c>
      <c r="U79" s="99">
        <f t="shared" si="16"/>
        <v>1692</v>
      </c>
    </row>
    <row r="80" spans="1:21" x14ac:dyDescent="0.25">
      <c r="A80" s="463" t="s">
        <v>439</v>
      </c>
      <c r="B80" s="453"/>
      <c r="C80" s="453"/>
      <c r="D80" s="72"/>
      <c r="E80" s="46" t="s">
        <v>4</v>
      </c>
      <c r="F80" s="337">
        <f>'0664'!F80</f>
        <v>206284749</v>
      </c>
      <c r="G80" s="39" t="s">
        <v>6</v>
      </c>
      <c r="H80" s="131">
        <f>H66</f>
        <v>1.4999999999999999E-4</v>
      </c>
      <c r="I80" s="104">
        <f t="shared" si="14"/>
        <v>30942.71</v>
      </c>
      <c r="N80" s="478" t="s">
        <v>397</v>
      </c>
      <c r="O80" s="479"/>
      <c r="P80" s="479"/>
      <c r="Q80" s="47"/>
      <c r="R80" s="134">
        <f t="shared" si="15"/>
        <v>206284749</v>
      </c>
      <c r="S80" s="40" t="s">
        <v>6</v>
      </c>
      <c r="T80" s="133">
        <f>T66</f>
        <v>1.4999999999999999E-4</v>
      </c>
      <c r="U80" s="99">
        <f t="shared" si="16"/>
        <v>30943</v>
      </c>
    </row>
    <row r="81" spans="1:21" x14ac:dyDescent="0.25">
      <c r="A81" s="84" t="s">
        <v>440</v>
      </c>
      <c r="B81" s="72"/>
      <c r="C81" s="72"/>
      <c r="D81" s="72"/>
      <c r="E81" s="46"/>
      <c r="F81" s="337"/>
      <c r="G81" s="39"/>
      <c r="H81" s="131"/>
      <c r="I81" s="104"/>
      <c r="N81" s="419" t="s">
        <v>440</v>
      </c>
      <c r="O81" s="48"/>
      <c r="P81" s="48"/>
      <c r="Q81" s="47"/>
      <c r="R81" s="423"/>
      <c r="S81" s="40"/>
      <c r="T81" s="133"/>
      <c r="U81" s="120"/>
    </row>
    <row r="82" spans="1:21" x14ac:dyDescent="0.25">
      <c r="A82" s="264" t="s">
        <v>441</v>
      </c>
      <c r="B82" s="72"/>
      <c r="C82" s="72"/>
      <c r="D82" s="72"/>
      <c r="E82" s="46" t="s">
        <v>442</v>
      </c>
      <c r="F82" s="337">
        <f>'0664'!F82</f>
        <v>0</v>
      </c>
      <c r="G82" s="39" t="s">
        <v>6</v>
      </c>
      <c r="H82" s="131">
        <f>H66</f>
        <v>1.4999999999999999E-4</v>
      </c>
      <c r="I82" s="104">
        <v>7060.04</v>
      </c>
      <c r="N82" s="422" t="s">
        <v>441</v>
      </c>
      <c r="O82" s="48"/>
      <c r="P82" s="48"/>
      <c r="Q82" s="47"/>
      <c r="R82" s="134">
        <f t="shared" si="15"/>
        <v>0</v>
      </c>
      <c r="S82" s="40"/>
      <c r="T82" s="133"/>
      <c r="U82" s="99">
        <f t="shared" si="16"/>
        <v>0</v>
      </c>
    </row>
    <row r="83" spans="1:21" x14ac:dyDescent="0.25">
      <c r="A83" s="264" t="s">
        <v>443</v>
      </c>
      <c r="B83" s="72"/>
      <c r="C83" s="72"/>
      <c r="D83" s="72"/>
      <c r="E83" s="46" t="s">
        <v>442</v>
      </c>
      <c r="F83" s="337">
        <f>'0664'!F83</f>
        <v>0</v>
      </c>
      <c r="G83" s="39" t="s">
        <v>6</v>
      </c>
      <c r="H83" s="131">
        <f>H66</f>
        <v>1.4999999999999999E-4</v>
      </c>
      <c r="I83" s="104">
        <f t="shared" si="14"/>
        <v>0</v>
      </c>
      <c r="N83" s="422" t="s">
        <v>443</v>
      </c>
      <c r="O83" s="48"/>
      <c r="P83" s="48"/>
      <c r="Q83" s="47"/>
      <c r="R83" s="134">
        <f t="shared" si="15"/>
        <v>0</v>
      </c>
      <c r="S83" s="40"/>
      <c r="T83" s="133"/>
      <c r="U83" s="99">
        <f t="shared" si="16"/>
        <v>0</v>
      </c>
    </row>
    <row r="84" spans="1:21" x14ac:dyDescent="0.25">
      <c r="A84" s="420" t="s">
        <v>444</v>
      </c>
      <c r="B84" s="72"/>
      <c r="C84" s="72"/>
      <c r="D84" s="72"/>
      <c r="E84" s="46"/>
      <c r="F84" s="337"/>
      <c r="G84" s="39"/>
      <c r="H84" s="131"/>
      <c r="I84" s="104">
        <f>I82+I83</f>
        <v>7060.04</v>
      </c>
      <c r="N84" s="421" t="s">
        <v>444</v>
      </c>
      <c r="O84" s="48"/>
      <c r="P84" s="48"/>
      <c r="Q84" s="47"/>
      <c r="R84" s="423"/>
      <c r="S84" s="40"/>
      <c r="T84" s="133"/>
      <c r="U84" s="99">
        <f>U82+U83</f>
        <v>0</v>
      </c>
    </row>
    <row r="85" spans="1:21" x14ac:dyDescent="0.25">
      <c r="A85" s="463" t="s">
        <v>398</v>
      </c>
      <c r="B85" s="453"/>
      <c r="C85" s="453"/>
      <c r="D85" s="72"/>
      <c r="E85" s="46" t="s">
        <v>4</v>
      </c>
      <c r="F85" s="337">
        <f>'0664'!F85</f>
        <v>0</v>
      </c>
      <c r="G85" s="39" t="s">
        <v>6</v>
      </c>
      <c r="H85" s="131">
        <f>H66</f>
        <v>1.4999999999999999E-4</v>
      </c>
      <c r="I85" s="104">
        <f t="shared" si="14"/>
        <v>0</v>
      </c>
      <c r="N85" s="478" t="s">
        <v>398</v>
      </c>
      <c r="O85" s="479"/>
      <c r="P85" s="479"/>
      <c r="Q85" s="47"/>
      <c r="R85" s="132">
        <f t="shared" si="15"/>
        <v>0</v>
      </c>
      <c r="S85" s="40" t="s">
        <v>6</v>
      </c>
      <c r="T85" s="133">
        <f>T66</f>
        <v>1.4999999999999999E-4</v>
      </c>
      <c r="U85" s="99">
        <f t="shared" si="16"/>
        <v>0</v>
      </c>
    </row>
    <row r="86" spans="1:21" x14ac:dyDescent="0.25">
      <c r="B86" s="72"/>
      <c r="C86" s="72"/>
      <c r="D86" s="72"/>
      <c r="E86" s="46"/>
      <c r="F86" s="136"/>
      <c r="G86" s="39"/>
      <c r="H86" s="131"/>
      <c r="I86" s="104"/>
      <c r="N86" s="48"/>
      <c r="O86" s="48"/>
      <c r="P86" s="48"/>
      <c r="Q86" s="47"/>
      <c r="R86" s="137"/>
      <c r="S86" s="40"/>
      <c r="T86" s="133"/>
      <c r="U86" s="106"/>
    </row>
    <row r="87" spans="1:21" x14ac:dyDescent="0.25">
      <c r="A87" s="463" t="s">
        <v>445</v>
      </c>
      <c r="B87" s="453"/>
      <c r="C87" s="453"/>
      <c r="D87" s="453"/>
      <c r="E87" s="453"/>
      <c r="F87" s="453"/>
      <c r="G87" s="453"/>
      <c r="H87" s="453"/>
      <c r="I87" s="453"/>
      <c r="N87" s="478" t="s">
        <v>429</v>
      </c>
      <c r="O87" s="479"/>
      <c r="P87" s="479"/>
      <c r="Q87" s="479"/>
      <c r="R87" s="479"/>
      <c r="S87" s="479"/>
      <c r="T87" s="479"/>
      <c r="U87" s="479"/>
    </row>
    <row r="88" spans="1:21" x14ac:dyDescent="0.25">
      <c r="B88" s="72"/>
      <c r="C88" s="466" t="s">
        <v>73</v>
      </c>
      <c r="D88" s="466"/>
      <c r="E88" s="72"/>
      <c r="F88" s="41" t="s">
        <v>37</v>
      </c>
      <c r="G88" s="72"/>
      <c r="H88" s="72"/>
      <c r="I88" s="72"/>
      <c r="N88" s="48"/>
      <c r="O88" s="48"/>
      <c r="P88" s="48"/>
      <c r="Q88" s="48"/>
      <c r="R88" s="48"/>
      <c r="S88" s="48"/>
      <c r="T88" s="48"/>
      <c r="U88" s="48"/>
    </row>
    <row r="89" spans="1:21" x14ac:dyDescent="0.25">
      <c r="A89" s="3"/>
      <c r="B89" s="138"/>
      <c r="C89" s="462" t="s">
        <v>144</v>
      </c>
      <c r="D89" s="462"/>
      <c r="E89" s="139" t="s">
        <v>150</v>
      </c>
      <c r="F89" s="140" t="s">
        <v>149</v>
      </c>
      <c r="G89" s="141"/>
      <c r="H89" s="141"/>
      <c r="I89" s="141"/>
      <c r="N89" s="495" t="s">
        <v>46</v>
      </c>
      <c r="O89" s="495"/>
      <c r="P89" s="496" t="s">
        <v>119</v>
      </c>
      <c r="Q89" s="496"/>
      <c r="R89" s="497" t="s">
        <v>40</v>
      </c>
      <c r="S89" s="497"/>
      <c r="T89" s="497"/>
      <c r="U89" s="497"/>
    </row>
    <row r="90" spans="1:21" x14ac:dyDescent="0.25">
      <c r="A90" s="27"/>
      <c r="B90" s="55" t="s">
        <v>148</v>
      </c>
      <c r="C90" s="467">
        <f>H13+H14+H19+H22+H25</f>
        <v>0</v>
      </c>
      <c r="D90" s="467"/>
      <c r="E90" s="49">
        <f>H8</f>
        <v>1.0438000000000001</v>
      </c>
      <c r="F90" s="338">
        <f>'0664'!F90</f>
        <v>957.94</v>
      </c>
      <c r="G90" s="41" t="s">
        <v>13</v>
      </c>
      <c r="H90" s="104">
        <f>ROUND(C90*E90*F90,2)</f>
        <v>0</v>
      </c>
      <c r="I90" s="107"/>
      <c r="N90" s="29" t="s">
        <v>22</v>
      </c>
      <c r="O90" s="50">
        <f>T13+T14+T19+T22+T25</f>
        <v>0</v>
      </c>
      <c r="P90" s="490">
        <f>T8</f>
        <v>1.0438000000000001</v>
      </c>
      <c r="Q90" s="490"/>
      <c r="R90" s="51">
        <f>F90</f>
        <v>957.94</v>
      </c>
      <c r="S90" s="42" t="s">
        <v>13</v>
      </c>
      <c r="T90" s="134">
        <f>ROUND(O90*P90*R90,0)</f>
        <v>0</v>
      </c>
      <c r="U90" s="105"/>
    </row>
    <row r="91" spans="1:21" x14ac:dyDescent="0.25">
      <c r="A91" s="52"/>
      <c r="B91" s="52" t="s">
        <v>147</v>
      </c>
      <c r="C91" s="467">
        <f>H15+H16+H20+H23+H26</f>
        <v>2.5</v>
      </c>
      <c r="D91" s="467"/>
      <c r="E91" s="49">
        <f>H8</f>
        <v>1.0438000000000001</v>
      </c>
      <c r="F91" s="338">
        <f>'0664'!F91</f>
        <v>914.63</v>
      </c>
      <c r="G91" s="41" t="s">
        <v>13</v>
      </c>
      <c r="H91" s="104">
        <f>ROUND(C91*E91*F91,2)</f>
        <v>2386.73</v>
      </c>
      <c r="N91" s="53" t="s">
        <v>14</v>
      </c>
      <c r="O91" s="50">
        <f>T15+T16+T20+T23+T26</f>
        <v>2.5</v>
      </c>
      <c r="P91" s="490">
        <f>T8</f>
        <v>1.0438000000000001</v>
      </c>
      <c r="Q91" s="490"/>
      <c r="R91" s="51">
        <f>F91</f>
        <v>914.63</v>
      </c>
      <c r="S91" s="42" t="s">
        <v>13</v>
      </c>
      <c r="T91" s="134">
        <f>ROUND(O91*P91*R91,0)</f>
        <v>2387</v>
      </c>
      <c r="U91" s="54"/>
    </row>
    <row r="92" spans="1:21" ht="16.5" thickBot="1" x14ac:dyDescent="0.3">
      <c r="A92" s="55"/>
      <c r="B92" s="55" t="s">
        <v>146</v>
      </c>
      <c r="C92" s="467">
        <f>H17+H18+H21+H24+H27+H28</f>
        <v>29.93</v>
      </c>
      <c r="D92" s="467"/>
      <c r="E92" s="49">
        <f>H8</f>
        <v>1.0438000000000001</v>
      </c>
      <c r="F92" s="338">
        <f>'0664'!F92</f>
        <v>916.84</v>
      </c>
      <c r="G92" s="41" t="s">
        <v>13</v>
      </c>
      <c r="H92" s="97">
        <f>ROUND(C92*E92*F92,2)</f>
        <v>28642.94</v>
      </c>
      <c r="N92" s="56" t="s">
        <v>15</v>
      </c>
      <c r="O92" s="57">
        <f>T17+T18+T21+T24+T27+T28</f>
        <v>29.96</v>
      </c>
      <c r="P92" s="490">
        <f>T8</f>
        <v>1.0438000000000001</v>
      </c>
      <c r="Q92" s="490"/>
      <c r="R92" s="51">
        <f>F92</f>
        <v>916.84</v>
      </c>
      <c r="S92" s="42" t="s">
        <v>13</v>
      </c>
      <c r="T92" s="134">
        <f>ROUND(O92*P92*R92,0)</f>
        <v>28672</v>
      </c>
      <c r="U92" s="54"/>
    </row>
    <row r="93" spans="1:21" ht="16.5" thickBot="1" x14ac:dyDescent="0.3">
      <c r="A93" s="58"/>
      <c r="B93" s="142" t="s">
        <v>145</v>
      </c>
      <c r="C93" s="469">
        <f>SUM(C90:C92)</f>
        <v>32.43</v>
      </c>
      <c r="D93" s="469"/>
      <c r="E93" s="143"/>
      <c r="F93" s="143"/>
      <c r="G93" s="143"/>
      <c r="H93" s="144" t="s">
        <v>143</v>
      </c>
      <c r="I93" s="104">
        <f>IF(A1=75,0,H92+H91+H90)</f>
        <v>31029.67</v>
      </c>
      <c r="N93" s="59" t="s">
        <v>120</v>
      </c>
      <c r="O93" s="60">
        <f>SUM(O90:O92)</f>
        <v>32.46</v>
      </c>
      <c r="P93" s="491" t="s">
        <v>18</v>
      </c>
      <c r="Q93" s="492"/>
      <c r="R93" s="492"/>
      <c r="S93" s="492"/>
      <c r="T93" s="492"/>
      <c r="U93" s="99">
        <f>IF(N1=75,0,T92+T91+T90)</f>
        <v>31059</v>
      </c>
    </row>
    <row r="94" spans="1:21" ht="16.5" thickTop="1" x14ac:dyDescent="0.25">
      <c r="A94" s="540" t="s">
        <v>90</v>
      </c>
      <c r="B94" s="540"/>
      <c r="C94" s="540"/>
      <c r="D94" s="540"/>
      <c r="E94" s="540"/>
      <c r="F94" s="540"/>
      <c r="G94" s="540"/>
      <c r="H94" s="540"/>
      <c r="I94" s="540"/>
      <c r="N94" s="493" t="s">
        <v>90</v>
      </c>
      <c r="O94" s="493"/>
      <c r="P94" s="493"/>
      <c r="Q94" s="493"/>
      <c r="R94" s="493"/>
      <c r="S94" s="493"/>
      <c r="T94" s="493"/>
      <c r="U94" s="493"/>
    </row>
    <row r="95" spans="1:21" x14ac:dyDescent="0.25">
      <c r="A95" s="145"/>
      <c r="B95" s="145"/>
      <c r="C95" s="145"/>
      <c r="D95" s="145"/>
      <c r="E95" s="145"/>
      <c r="F95" s="145"/>
      <c r="G95" s="145"/>
      <c r="H95" s="145"/>
      <c r="I95" s="145"/>
      <c r="N95" s="146"/>
      <c r="O95" s="146"/>
      <c r="P95" s="146"/>
      <c r="Q95" s="146"/>
      <c r="R95" s="146"/>
      <c r="S95" s="146"/>
      <c r="T95" s="146"/>
      <c r="U95" s="146"/>
    </row>
    <row r="96" spans="1:21" x14ac:dyDescent="0.25">
      <c r="A96" s="84" t="s">
        <v>446</v>
      </c>
      <c r="C96" s="46"/>
      <c r="D96" s="72"/>
      <c r="E96" s="46" t="s">
        <v>100</v>
      </c>
      <c r="F96" s="471"/>
      <c r="G96" s="471"/>
      <c r="H96" s="471"/>
      <c r="I96" s="471"/>
      <c r="N96" s="478" t="s">
        <v>426</v>
      </c>
      <c r="O96" s="479"/>
      <c r="P96" s="479"/>
      <c r="Q96" s="494"/>
      <c r="R96" s="494"/>
      <c r="S96" s="494"/>
      <c r="T96" s="494"/>
      <c r="U96" s="106"/>
    </row>
    <row r="97" spans="1:21" x14ac:dyDescent="0.25">
      <c r="B97" s="72"/>
      <c r="C97" s="91" t="s">
        <v>409</v>
      </c>
      <c r="D97" s="371" t="s">
        <v>410</v>
      </c>
      <c r="E97" s="92" t="s">
        <v>151</v>
      </c>
      <c r="F97" s="46"/>
      <c r="G97" s="46"/>
      <c r="H97" s="46"/>
      <c r="I97" s="46"/>
      <c r="N97" s="48"/>
      <c r="O97" s="48"/>
      <c r="P97" s="48"/>
      <c r="Q97" s="147"/>
      <c r="R97" s="147"/>
      <c r="S97" s="147"/>
      <c r="T97" s="147"/>
      <c r="U97" s="106"/>
    </row>
    <row r="98" spans="1:21" x14ac:dyDescent="0.25">
      <c r="B98" s="72"/>
      <c r="C98" s="362" t="s">
        <v>2</v>
      </c>
      <c r="D98" s="362" t="s">
        <v>2</v>
      </c>
      <c r="E98" s="362" t="s">
        <v>2</v>
      </c>
      <c r="F98" s="46"/>
      <c r="G98" s="46"/>
      <c r="H98" s="46"/>
      <c r="I98" s="46"/>
      <c r="N98" s="48"/>
      <c r="O98" s="48"/>
      <c r="P98" s="48"/>
      <c r="Q98" s="147"/>
      <c r="R98" s="147"/>
      <c r="S98" s="147"/>
      <c r="T98" s="147"/>
      <c r="U98" s="106"/>
    </row>
    <row r="99" spans="1:21" x14ac:dyDescent="0.25">
      <c r="A99" s="536" t="s">
        <v>470</v>
      </c>
      <c r="B99" s="461"/>
      <c r="C99" s="165">
        <v>31</v>
      </c>
      <c r="D99" s="165">
        <v>0</v>
      </c>
      <c r="E99" s="125">
        <f>C99</f>
        <v>31</v>
      </c>
      <c r="F99" s="148" t="s">
        <v>39</v>
      </c>
      <c r="G99" s="339">
        <f>'0664'!G99</f>
        <v>558</v>
      </c>
      <c r="I99" s="104">
        <f>ROUND(G99*E99,2)</f>
        <v>17298</v>
      </c>
      <c r="N99" s="488" t="s">
        <v>65</v>
      </c>
      <c r="O99" s="488"/>
      <c r="P99" s="489">
        <f>IF(H120=1,E99,0)</f>
        <v>31</v>
      </c>
      <c r="Q99" s="489"/>
      <c r="R99" s="489"/>
      <c r="S99" s="86" t="s">
        <v>39</v>
      </c>
      <c r="T99" s="61">
        <f>G99</f>
        <v>558</v>
      </c>
      <c r="U99" s="99">
        <f>ROUND(T99*P99,0)</f>
        <v>17298</v>
      </c>
    </row>
    <row r="100" spans="1:21" x14ac:dyDescent="0.25">
      <c r="A100" s="536" t="s">
        <v>471</v>
      </c>
      <c r="B100" s="461"/>
      <c r="C100" s="165">
        <v>0</v>
      </c>
      <c r="D100" s="165">
        <v>0</v>
      </c>
      <c r="E100" s="125">
        <f>C100</f>
        <v>0</v>
      </c>
      <c r="F100" s="148" t="s">
        <v>39</v>
      </c>
      <c r="G100" s="339">
        <f>'0664'!G100</f>
        <v>1707</v>
      </c>
      <c r="I100" s="104">
        <f>ROUND(G100*E100,2)</f>
        <v>0</v>
      </c>
      <c r="N100" s="488" t="s">
        <v>81</v>
      </c>
      <c r="O100" s="488"/>
      <c r="P100" s="483"/>
      <c r="Q100" s="483"/>
      <c r="R100" s="483"/>
      <c r="S100" s="86" t="s">
        <v>39</v>
      </c>
      <c r="T100" s="61">
        <f>G100</f>
        <v>1707</v>
      </c>
      <c r="U100" s="99">
        <f>ROUND(T100*P100,0)</f>
        <v>0</v>
      </c>
    </row>
    <row r="101" spans="1:21" x14ac:dyDescent="0.25">
      <c r="A101" s="149"/>
      <c r="B101" s="149"/>
      <c r="C101" s="68"/>
      <c r="D101" s="68"/>
      <c r="E101" s="68"/>
      <c r="F101" s="68"/>
      <c r="G101" s="150"/>
      <c r="H101" s="151"/>
      <c r="I101" s="104"/>
      <c r="N101" s="152"/>
      <c r="O101" s="152"/>
      <c r="P101" s="153"/>
      <c r="Q101" s="153"/>
      <c r="R101" s="153"/>
      <c r="S101" s="86"/>
      <c r="T101" s="61"/>
      <c r="U101" s="106"/>
    </row>
    <row r="102" spans="1:21" x14ac:dyDescent="0.25">
      <c r="A102" s="149"/>
      <c r="B102" s="149"/>
      <c r="C102" s="68"/>
      <c r="D102" s="68"/>
      <c r="E102" s="68"/>
      <c r="F102" s="68"/>
      <c r="G102" s="150"/>
      <c r="H102" s="151"/>
      <c r="I102" s="104"/>
      <c r="N102" s="152"/>
      <c r="O102" s="152"/>
      <c r="P102" s="153"/>
      <c r="Q102" s="153"/>
      <c r="R102" s="153"/>
      <c r="S102" s="86"/>
      <c r="T102" s="61"/>
      <c r="U102" s="106"/>
    </row>
    <row r="103" spans="1:21" hidden="1" x14ac:dyDescent="0.25">
      <c r="A103" s="463" t="s">
        <v>447</v>
      </c>
      <c r="B103" s="453"/>
      <c r="C103" s="453"/>
      <c r="D103" s="72"/>
      <c r="E103" s="41" t="s">
        <v>41</v>
      </c>
      <c r="F103" s="466"/>
      <c r="G103" s="466"/>
      <c r="H103" s="466"/>
      <c r="I103" s="466"/>
      <c r="N103" s="478" t="s">
        <v>362</v>
      </c>
      <c r="O103" s="479"/>
      <c r="P103" s="479"/>
      <c r="Q103" s="479"/>
      <c r="R103" s="479"/>
      <c r="S103" s="479"/>
      <c r="T103" s="479"/>
      <c r="U103" s="479"/>
    </row>
    <row r="104" spans="1:21" hidden="1" x14ac:dyDescent="0.25">
      <c r="B104" s="72"/>
      <c r="C104" s="462" t="s">
        <v>91</v>
      </c>
      <c r="D104" s="462"/>
      <c r="E104" s="462"/>
      <c r="F104" s="39"/>
      <c r="G104" s="39"/>
      <c r="H104" s="41" t="s">
        <v>152</v>
      </c>
      <c r="I104" s="39"/>
      <c r="N104" s="48"/>
      <c r="O104" s="48"/>
      <c r="P104" s="48"/>
      <c r="Q104" s="48"/>
      <c r="R104" s="48"/>
      <c r="S104" s="48"/>
      <c r="T104" s="48"/>
      <c r="U104" s="48"/>
    </row>
    <row r="105" spans="1:21" hidden="1" x14ac:dyDescent="0.25">
      <c r="B105" s="72"/>
      <c r="C105" s="91" t="s">
        <v>371</v>
      </c>
      <c r="D105" s="91" t="s">
        <v>351</v>
      </c>
      <c r="E105" s="159" t="s">
        <v>8</v>
      </c>
      <c r="F105" s="464" t="s">
        <v>153</v>
      </c>
      <c r="G105" s="466"/>
      <c r="H105" s="39" t="s">
        <v>38</v>
      </c>
      <c r="I105" s="39"/>
      <c r="N105" s="48"/>
      <c r="O105" s="48"/>
      <c r="P105" s="48"/>
      <c r="Q105" s="48"/>
      <c r="R105" s="48"/>
      <c r="S105" s="48"/>
      <c r="T105" s="48"/>
      <c r="U105" s="48"/>
    </row>
    <row r="106" spans="1:21" hidden="1" x14ac:dyDescent="0.25">
      <c r="A106" s="462" t="s">
        <v>94</v>
      </c>
      <c r="B106" s="462"/>
      <c r="C106" s="93" t="s">
        <v>2</v>
      </c>
      <c r="D106" s="93" t="s">
        <v>2</v>
      </c>
      <c r="E106" s="62" t="s">
        <v>2</v>
      </c>
      <c r="F106" s="462" t="s">
        <v>37</v>
      </c>
      <c r="G106" s="462"/>
      <c r="H106" s="62" t="s">
        <v>37</v>
      </c>
      <c r="I106" s="62" t="s">
        <v>8</v>
      </c>
      <c r="N106" s="484" t="s">
        <v>66</v>
      </c>
      <c r="O106" s="484"/>
      <c r="P106" s="489" t="s">
        <v>91</v>
      </c>
      <c r="Q106" s="489"/>
      <c r="R106" s="484" t="s">
        <v>67</v>
      </c>
      <c r="S106" s="484"/>
      <c r="T106" s="63" t="s">
        <v>68</v>
      </c>
      <c r="U106" s="63" t="s">
        <v>8</v>
      </c>
    </row>
    <row r="107" spans="1:21" hidden="1" x14ac:dyDescent="0.25">
      <c r="A107" s="473" t="s">
        <v>69</v>
      </c>
      <c r="B107" s="473"/>
      <c r="C107" s="163">
        <v>0</v>
      </c>
      <c r="D107" s="163">
        <v>0</v>
      </c>
      <c r="E107" s="210">
        <f>IF(D$59=0,C107*2,C107+D107)</f>
        <v>0</v>
      </c>
      <c r="F107" s="474">
        <v>0</v>
      </c>
      <c r="G107" s="474"/>
      <c r="H107" s="250">
        <f>IF(C107=0,0,125)</f>
        <v>0</v>
      </c>
      <c r="I107" s="104">
        <f>ROUND((H107+F107)*E107,2)</f>
        <v>0</v>
      </c>
      <c r="N107" s="479" t="s">
        <v>69</v>
      </c>
      <c r="O107" s="479"/>
      <c r="P107" s="483">
        <f>IF(H$120=1,C107,0)</f>
        <v>0</v>
      </c>
      <c r="Q107" s="483"/>
      <c r="R107" s="486">
        <f>F107</f>
        <v>0</v>
      </c>
      <c r="S107" s="486"/>
      <c r="T107" s="65">
        <f>H107</f>
        <v>0</v>
      </c>
      <c r="U107" s="99">
        <f>ROUND((T107+R107)*P107,0)</f>
        <v>0</v>
      </c>
    </row>
    <row r="108" spans="1:21" hidden="1" x14ac:dyDescent="0.25">
      <c r="A108" s="456" t="s">
        <v>70</v>
      </c>
      <c r="B108" s="456"/>
      <c r="C108" s="165">
        <v>0</v>
      </c>
      <c r="D108" s="165">
        <v>0</v>
      </c>
      <c r="E108" s="125">
        <f>IF(D$59=0,C108*2,C108+D108)</f>
        <v>0</v>
      </c>
      <c r="F108" s="468">
        <f>ROUND(F107/2,2)</f>
        <v>0</v>
      </c>
      <c r="G108" s="468"/>
      <c r="H108" s="250">
        <f>IF(C108=0,0,62.5)</f>
        <v>0</v>
      </c>
      <c r="I108" s="104">
        <f>ROUND((H108+F108)*E108,2)</f>
        <v>0</v>
      </c>
      <c r="N108" s="479" t="s">
        <v>70</v>
      </c>
      <c r="O108" s="479"/>
      <c r="P108" s="483">
        <f>IF(H$120=1,C108,0)</f>
        <v>0</v>
      </c>
      <c r="Q108" s="483"/>
      <c r="R108" s="487">
        <f>ROUND(R107/2,2)</f>
        <v>0</v>
      </c>
      <c r="S108" s="487"/>
      <c r="T108" s="65">
        <f>H108</f>
        <v>0</v>
      </c>
      <c r="U108" s="99">
        <f>ROUND((T108+R108)*P108,0)</f>
        <v>0</v>
      </c>
    </row>
    <row r="109" spans="1:21" ht="16.5" hidden="1" thickBot="1" x14ac:dyDescent="0.3">
      <c r="A109" s="456" t="s">
        <v>71</v>
      </c>
      <c r="B109" s="456"/>
      <c r="C109" s="165">
        <v>0</v>
      </c>
      <c r="D109" s="165">
        <v>0</v>
      </c>
      <c r="E109" s="125">
        <f>IF(D$59=0,C109*2,C109+D109)</f>
        <v>0</v>
      </c>
      <c r="F109" s="475"/>
      <c r="G109" s="475"/>
      <c r="H109" s="251">
        <f>IF(H107&gt;0,436,0)</f>
        <v>0</v>
      </c>
      <c r="I109" s="104">
        <f>ROUND(H109*E109,2)</f>
        <v>0</v>
      </c>
      <c r="N109" s="482" t="s">
        <v>71</v>
      </c>
      <c r="O109" s="482"/>
      <c r="P109" s="483">
        <f>IF(H$120=1,C109,0)</f>
        <v>0</v>
      </c>
      <c r="Q109" s="483"/>
      <c r="R109" s="484"/>
      <c r="S109" s="484"/>
      <c r="T109" s="67">
        <f>H109</f>
        <v>0</v>
      </c>
      <c r="U109" s="106">
        <f>ROUND(T109*P109,0)</f>
        <v>0</v>
      </c>
    </row>
    <row r="110" spans="1:21" ht="16.5" hidden="1" thickBot="1" x14ac:dyDescent="0.3">
      <c r="A110" s="466" t="s">
        <v>8</v>
      </c>
      <c r="B110" s="466"/>
      <c r="C110" s="68"/>
      <c r="D110" s="68"/>
      <c r="E110" s="68"/>
      <c r="F110" s="68"/>
      <c r="G110" s="68"/>
      <c r="H110" s="68"/>
      <c r="I110" s="100">
        <f>SUM(I107:I109)</f>
        <v>0</v>
      </c>
      <c r="N110" s="485" t="s">
        <v>8</v>
      </c>
      <c r="O110" s="485"/>
      <c r="P110" s="69"/>
      <c r="Q110" s="69"/>
      <c r="R110" s="69"/>
      <c r="S110" s="69"/>
      <c r="T110" s="69"/>
      <c r="U110" s="70">
        <f>SUM(U107:U109)</f>
        <v>0</v>
      </c>
    </row>
    <row r="111" spans="1:21" hidden="1" x14ac:dyDescent="0.25">
      <c r="A111" s="39"/>
      <c r="B111" s="39"/>
      <c r="C111" s="68"/>
      <c r="D111" s="68"/>
      <c r="E111" s="68"/>
      <c r="F111" s="68"/>
      <c r="G111" s="68"/>
      <c r="H111" s="68"/>
      <c r="I111" s="104"/>
      <c r="N111" s="40"/>
      <c r="O111" s="40"/>
      <c r="P111" s="69"/>
      <c r="Q111" s="69"/>
      <c r="R111" s="69"/>
      <c r="S111" s="69"/>
      <c r="T111" s="69"/>
      <c r="U111" s="160"/>
    </row>
    <row r="112" spans="1:21" x14ac:dyDescent="0.25">
      <c r="A112" s="463" t="s">
        <v>448</v>
      </c>
      <c r="B112" s="453"/>
      <c r="C112" s="453"/>
      <c r="D112" s="72"/>
      <c r="E112" s="71" t="s">
        <v>354</v>
      </c>
      <c r="F112" s="472"/>
      <c r="G112" s="472"/>
      <c r="H112" s="472"/>
      <c r="I112" s="125">
        <v>0</v>
      </c>
      <c r="N112" s="478" t="s">
        <v>427</v>
      </c>
      <c r="O112" s="479"/>
      <c r="P112" s="479"/>
      <c r="Q112" s="341"/>
      <c r="R112" s="341"/>
      <c r="S112" s="341"/>
      <c r="T112" s="341"/>
      <c r="U112" s="99">
        <f>IF($H$120=1,I112,0)</f>
        <v>0</v>
      </c>
    </row>
    <row r="113" spans="1:21" x14ac:dyDescent="0.25">
      <c r="A113" s="463" t="s">
        <v>449</v>
      </c>
      <c r="B113" s="453"/>
      <c r="C113" s="453"/>
      <c r="D113" s="72"/>
      <c r="E113" s="71" t="s">
        <v>45</v>
      </c>
      <c r="F113" s="472"/>
      <c r="G113" s="472"/>
      <c r="H113" s="472"/>
      <c r="I113" s="177">
        <v>0</v>
      </c>
      <c r="N113" s="478" t="s">
        <v>428</v>
      </c>
      <c r="O113" s="479"/>
      <c r="P113" s="479"/>
      <c r="Q113" s="341"/>
      <c r="R113" s="341"/>
      <c r="S113" s="341"/>
      <c r="T113" s="341"/>
      <c r="U113" s="99">
        <f>IF($H$120=1,I113,0)</f>
        <v>0</v>
      </c>
    </row>
    <row r="114" spans="1:21" ht="16.5" thickBot="1" x14ac:dyDescent="0.3">
      <c r="B114" s="72"/>
      <c r="C114" s="72"/>
      <c r="D114" s="72"/>
      <c r="E114" s="71"/>
      <c r="F114" s="71"/>
      <c r="G114" s="71"/>
      <c r="H114" s="71"/>
      <c r="I114" s="125"/>
      <c r="N114" s="480" t="s">
        <v>42</v>
      </c>
      <c r="O114" s="480"/>
      <c r="P114" s="480"/>
      <c r="Q114" s="480"/>
      <c r="R114" s="480"/>
      <c r="S114" s="480"/>
      <c r="T114" s="480"/>
      <c r="U114" s="154">
        <f>SUM(U112,U110,U100,U99,U93,U77,U76,U74,U73,U72,U71,U70,U68,U59,U45,U78,U79,U80,U85,U113)</f>
        <v>249745</v>
      </c>
    </row>
    <row r="115" spans="1:21" ht="16.5" thickTop="1" x14ac:dyDescent="0.25">
      <c r="A115" s="461" t="s">
        <v>8</v>
      </c>
      <c r="B115" s="461"/>
      <c r="C115" s="461"/>
      <c r="D115" s="461"/>
      <c r="E115" s="461"/>
      <c r="F115" s="461"/>
      <c r="G115" s="461"/>
      <c r="H115" s="461"/>
      <c r="I115" s="97">
        <f>SUM(I113,I112,I110,I100,I99,I93,I85,I84,I80,I79,I78,I77,I76,I74,I73,I72,I71,I70,I68,I59,I45)</f>
        <v>463920.57999999996</v>
      </c>
      <c r="N115" s="29"/>
      <c r="O115" s="29"/>
      <c r="P115" s="29"/>
      <c r="Q115" s="29"/>
      <c r="R115" s="29"/>
      <c r="S115" s="29"/>
      <c r="T115" s="29"/>
      <c r="U115" s="160"/>
    </row>
    <row r="116" spans="1:21" x14ac:dyDescent="0.25">
      <c r="A116" s="27"/>
      <c r="B116" s="27"/>
      <c r="C116" s="27"/>
      <c r="D116" s="27"/>
      <c r="E116" s="27"/>
      <c r="F116" s="27"/>
      <c r="G116" s="27"/>
      <c r="H116" s="27"/>
      <c r="I116" s="104"/>
      <c r="N116" s="29"/>
      <c r="O116" s="29"/>
      <c r="P116" s="29"/>
      <c r="Q116" s="29"/>
      <c r="R116" s="29"/>
      <c r="S116" s="29"/>
      <c r="T116" s="29"/>
      <c r="U116" s="160"/>
    </row>
    <row r="117" spans="1:21" x14ac:dyDescent="0.25">
      <c r="A117" s="432" t="s">
        <v>467</v>
      </c>
      <c r="B117" s="27"/>
      <c r="C117" s="27"/>
      <c r="D117" s="27"/>
      <c r="E117" s="27"/>
      <c r="F117" s="27"/>
      <c r="G117" s="27"/>
      <c r="H117" s="27"/>
      <c r="I117" s="104">
        <f>I115-I84</f>
        <v>456860.54</v>
      </c>
      <c r="N117" s="29"/>
      <c r="O117" s="29"/>
      <c r="P117" s="29"/>
      <c r="Q117" s="29"/>
      <c r="R117" s="29"/>
      <c r="S117" s="29"/>
      <c r="T117" s="29"/>
      <c r="U117" s="160"/>
    </row>
    <row r="118" spans="1:21" x14ac:dyDescent="0.25">
      <c r="A118" s="27"/>
      <c r="B118" s="27"/>
      <c r="C118" s="27"/>
      <c r="D118" s="27"/>
      <c r="E118" s="27"/>
      <c r="F118" s="27"/>
      <c r="G118" s="27"/>
      <c r="H118" s="27"/>
      <c r="I118" s="104"/>
      <c r="N118" s="29"/>
      <c r="O118" s="29"/>
      <c r="P118" s="29"/>
      <c r="Q118" s="29"/>
      <c r="R118" s="29"/>
      <c r="S118" s="29"/>
      <c r="T118" s="29"/>
      <c r="U118" s="160"/>
    </row>
    <row r="119" spans="1:21" x14ac:dyDescent="0.25">
      <c r="A119" s="463" t="s">
        <v>468</v>
      </c>
      <c r="B119" s="453"/>
      <c r="C119" s="453"/>
      <c r="D119" s="453"/>
      <c r="E119" s="453"/>
      <c r="F119" s="453"/>
      <c r="G119" s="453"/>
      <c r="H119" s="84" t="s">
        <v>394</v>
      </c>
      <c r="I119" s="156"/>
      <c r="N119" s="481"/>
      <c r="O119" s="481"/>
      <c r="P119" s="481"/>
      <c r="Q119" s="481"/>
      <c r="R119" s="481"/>
      <c r="S119" s="481"/>
      <c r="T119" s="481"/>
      <c r="U119" s="481"/>
    </row>
    <row r="120" spans="1:21" x14ac:dyDescent="0.25">
      <c r="A120" s="453" t="s">
        <v>95</v>
      </c>
      <c r="B120" s="453"/>
      <c r="C120" s="453"/>
      <c r="D120" s="453"/>
      <c r="E120" s="453"/>
      <c r="F120" s="453"/>
      <c r="G120" s="453"/>
      <c r="H120" s="73">
        <f>IF(E29=0,"",IF((E14+E16+SUM(E18:E24))/E29&gt;0.75,1,""))</f>
        <v>1</v>
      </c>
      <c r="I120" s="125">
        <f>U114</f>
        <v>249745</v>
      </c>
      <c r="N120" s="476" t="s">
        <v>7</v>
      </c>
      <c r="O120" s="476"/>
      <c r="P120" s="476"/>
      <c r="Q120" s="476"/>
      <c r="R120" s="476"/>
      <c r="S120" s="476"/>
      <c r="T120" s="476"/>
      <c r="U120" s="476"/>
    </row>
    <row r="121" spans="1:21" x14ac:dyDescent="0.25">
      <c r="B121" s="72"/>
      <c r="C121" s="72"/>
      <c r="D121" s="72"/>
      <c r="E121" s="72"/>
      <c r="F121" s="72"/>
      <c r="G121" s="72"/>
      <c r="H121" s="68"/>
      <c r="I121" s="104"/>
      <c r="N121" s="74" t="s">
        <v>106</v>
      </c>
      <c r="O121" s="74"/>
      <c r="P121" s="74"/>
      <c r="Q121" s="74"/>
      <c r="R121" s="74"/>
      <c r="S121" s="74"/>
      <c r="T121" s="74"/>
      <c r="U121" s="74"/>
    </row>
    <row r="122" spans="1:21" x14ac:dyDescent="0.25">
      <c r="A122" s="3" t="s">
        <v>102</v>
      </c>
      <c r="B122" s="72"/>
      <c r="C122" s="72"/>
      <c r="D122" s="72"/>
      <c r="E122" s="72"/>
      <c r="F122" s="72"/>
      <c r="G122" s="286"/>
      <c r="H122" s="161">
        <f>IF(H120=1,I120,I117)</f>
        <v>249745</v>
      </c>
      <c r="I122" s="97">
        <f>ROUND(IF(E29=0,0,IF(E29&gt;250,-(((250/E29)*H122)*IF(G122="H",0.02,0.05)),IF(G122="H",-0.02*H122,-0.05*H122))),2)</f>
        <v>-12487.25</v>
      </c>
      <c r="N122" s="75" t="s">
        <v>107</v>
      </c>
      <c r="O122" s="74"/>
      <c r="P122" s="74"/>
      <c r="Q122" s="74"/>
      <c r="R122" s="74"/>
      <c r="S122" s="74"/>
      <c r="T122" s="74"/>
      <c r="U122" s="74"/>
    </row>
    <row r="123" spans="1:21" x14ac:dyDescent="0.25">
      <c r="B123" s="72"/>
      <c r="C123" s="72"/>
      <c r="D123" s="72"/>
      <c r="E123" s="72"/>
      <c r="F123" s="72"/>
      <c r="G123" s="72"/>
      <c r="H123" s="68"/>
      <c r="I123" s="104"/>
      <c r="N123" s="76"/>
      <c r="O123" s="76"/>
      <c r="P123" s="76"/>
      <c r="Q123" s="76"/>
      <c r="R123" s="76"/>
      <c r="S123" s="76"/>
      <c r="T123" s="76"/>
      <c r="U123" s="76"/>
    </row>
    <row r="124" spans="1:21" x14ac:dyDescent="0.25">
      <c r="A124" s="345" t="s">
        <v>103</v>
      </c>
      <c r="B124" s="346"/>
      <c r="C124" s="346"/>
      <c r="D124" s="346"/>
      <c r="E124" s="346"/>
      <c r="F124" s="346"/>
      <c r="G124" s="346"/>
      <c r="H124" s="347"/>
      <c r="I124" s="348">
        <f>I115+I122</f>
        <v>451433.32999999996</v>
      </c>
      <c r="N124" s="76"/>
      <c r="O124" s="76"/>
      <c r="P124" s="76"/>
      <c r="Q124" s="76"/>
      <c r="R124" s="76"/>
      <c r="S124" s="76"/>
      <c r="T124" s="76"/>
      <c r="U124" s="76"/>
    </row>
    <row r="125" spans="1:21" x14ac:dyDescent="0.25">
      <c r="B125" s="72"/>
      <c r="C125" s="72"/>
      <c r="D125" s="72"/>
      <c r="E125" s="72"/>
      <c r="F125" s="72"/>
      <c r="G125" s="72"/>
      <c r="H125" s="68"/>
      <c r="I125" s="104"/>
      <c r="N125" s="76"/>
      <c r="O125" s="76"/>
      <c r="P125" s="76"/>
      <c r="Q125" s="76"/>
      <c r="R125" s="76"/>
      <c r="S125" s="76"/>
      <c r="T125" s="76"/>
      <c r="U125" s="76"/>
    </row>
    <row r="126" spans="1:21" x14ac:dyDescent="0.25">
      <c r="A126" s="3" t="s">
        <v>104</v>
      </c>
      <c r="B126" s="72"/>
      <c r="C126" s="162"/>
      <c r="D126" s="72"/>
      <c r="F126" s="72"/>
      <c r="G126" s="72"/>
      <c r="H126" s="68"/>
      <c r="I126" s="302">
        <v>-357217.32</v>
      </c>
      <c r="N126" s="76"/>
      <c r="O126" s="76"/>
      <c r="P126" s="76"/>
      <c r="Q126" s="76"/>
      <c r="R126" s="76"/>
      <c r="S126" s="76"/>
      <c r="T126" s="76"/>
      <c r="U126" s="76"/>
    </row>
    <row r="127" spans="1:21" x14ac:dyDescent="0.25">
      <c r="B127" s="72"/>
      <c r="C127" s="72"/>
      <c r="D127" s="72"/>
      <c r="E127" s="72"/>
      <c r="F127" s="72"/>
      <c r="G127" s="72"/>
      <c r="H127" s="68"/>
      <c r="I127" s="104"/>
      <c r="N127" s="76"/>
      <c r="O127" s="76"/>
      <c r="P127" s="76"/>
      <c r="Q127" s="76"/>
      <c r="R127" s="76"/>
      <c r="S127" s="76"/>
      <c r="T127" s="76"/>
      <c r="U127" s="76"/>
    </row>
    <row r="128" spans="1:21" x14ac:dyDescent="0.25">
      <c r="A128" s="84" t="s">
        <v>297</v>
      </c>
      <c r="B128" s="72"/>
      <c r="C128" s="72"/>
      <c r="D128" s="72"/>
      <c r="E128" s="72"/>
      <c r="F128" s="72"/>
      <c r="G128" s="72"/>
      <c r="H128" s="68"/>
      <c r="I128" s="104">
        <f>I124+I126</f>
        <v>94216.009999999951</v>
      </c>
      <c r="N128" s="76"/>
      <c r="O128" s="76"/>
      <c r="P128" s="76"/>
      <c r="Q128" s="76"/>
      <c r="R128" s="76"/>
      <c r="S128" s="76"/>
      <c r="T128" s="76"/>
      <c r="U128" s="76"/>
    </row>
    <row r="129" spans="1:21" x14ac:dyDescent="0.25">
      <c r="A129" s="84"/>
      <c r="B129" s="72"/>
      <c r="C129" s="72"/>
      <c r="D129" s="72"/>
      <c r="E129" s="72"/>
      <c r="F129" s="72"/>
      <c r="G129" s="72"/>
      <c r="H129" s="68"/>
      <c r="I129" s="104"/>
      <c r="N129" s="76"/>
      <c r="O129" s="76"/>
      <c r="P129" s="76"/>
      <c r="Q129" s="76"/>
      <c r="R129" s="76"/>
      <c r="S129" s="76"/>
      <c r="T129" s="76"/>
      <c r="U129" s="76"/>
    </row>
    <row r="130" spans="1:21" x14ac:dyDescent="0.25">
      <c r="A130" s="84" t="s">
        <v>298</v>
      </c>
      <c r="B130" s="72"/>
      <c r="C130" s="72"/>
      <c r="D130" s="72"/>
      <c r="E130" s="72"/>
      <c r="F130" s="72"/>
      <c r="G130" s="72"/>
      <c r="H130" s="68"/>
      <c r="I130" s="303">
        <f>'0664'!I130</f>
        <v>3</v>
      </c>
      <c r="N130" s="76"/>
      <c r="O130" s="76"/>
      <c r="P130" s="76"/>
      <c r="Q130" s="76"/>
      <c r="R130" s="76"/>
      <c r="S130" s="76"/>
      <c r="T130" s="76"/>
      <c r="U130" s="76"/>
    </row>
    <row r="131" spans="1:21" x14ac:dyDescent="0.25">
      <c r="B131" s="72"/>
      <c r="C131" s="72"/>
      <c r="D131" s="72"/>
      <c r="E131" s="72"/>
      <c r="F131" s="72"/>
      <c r="G131" s="72"/>
      <c r="H131" s="68"/>
      <c r="I131" s="104"/>
      <c r="N131" s="76"/>
      <c r="O131" s="76"/>
      <c r="P131" s="76"/>
      <c r="Q131" s="76"/>
      <c r="R131" s="76"/>
      <c r="S131" s="76"/>
      <c r="T131" s="76"/>
      <c r="U131" s="76"/>
    </row>
    <row r="132" spans="1:21" ht="16.5" thickBot="1" x14ac:dyDescent="0.3">
      <c r="A132" s="3" t="s">
        <v>105</v>
      </c>
      <c r="B132" s="72"/>
      <c r="C132" s="72"/>
      <c r="D132" s="72"/>
      <c r="E132" s="72"/>
      <c r="F132" s="72"/>
      <c r="G132" s="72"/>
      <c r="H132" s="68"/>
      <c r="I132" s="178">
        <f>ROUND(I128/I130,2)</f>
        <v>31405.34</v>
      </c>
      <c r="N132" s="76"/>
      <c r="O132" s="76"/>
      <c r="P132" s="76"/>
      <c r="Q132" s="76"/>
      <c r="R132" s="76"/>
      <c r="S132" s="76"/>
      <c r="T132" s="76"/>
      <c r="U132" s="76"/>
    </row>
    <row r="133" spans="1:21" ht="16.5" thickTop="1" x14ac:dyDescent="0.25">
      <c r="B133" s="72"/>
      <c r="C133" s="72"/>
      <c r="D133" s="72"/>
      <c r="E133" s="72"/>
      <c r="F133" s="72"/>
      <c r="G133" s="72"/>
      <c r="H133" s="68"/>
      <c r="I133" s="104"/>
      <c r="N133" s="76"/>
      <c r="O133" s="76"/>
      <c r="P133" s="76"/>
      <c r="Q133" s="76"/>
      <c r="R133" s="76"/>
      <c r="S133" s="76"/>
      <c r="T133" s="76"/>
      <c r="U133" s="76"/>
    </row>
    <row r="134" spans="1:21" ht="16.5" thickBot="1" x14ac:dyDescent="0.3">
      <c r="A134" s="3" t="s">
        <v>121</v>
      </c>
      <c r="B134" s="72"/>
      <c r="C134" s="72"/>
      <c r="D134" s="72"/>
      <c r="E134" s="72"/>
      <c r="F134" s="72"/>
      <c r="G134" s="72"/>
      <c r="H134" s="68"/>
      <c r="I134" s="155">
        <f>ROUND(IF(G122="H",(H122*0.02)+I122,(H122*0.05)+I122),2)</f>
        <v>0</v>
      </c>
      <c r="N134" s="76"/>
      <c r="O134" s="76"/>
      <c r="P134" s="76"/>
      <c r="Q134" s="76"/>
      <c r="R134" s="76"/>
      <c r="S134" s="76"/>
      <c r="T134" s="76"/>
      <c r="U134" s="76"/>
    </row>
    <row r="135" spans="1:21" ht="16.5" thickTop="1" x14ac:dyDescent="0.25">
      <c r="B135" s="72"/>
      <c r="C135" s="72"/>
      <c r="D135" s="72"/>
      <c r="E135" s="72"/>
      <c r="F135" s="72"/>
      <c r="G135" s="72"/>
      <c r="H135" s="68"/>
      <c r="I135" s="156"/>
      <c r="N135" s="76"/>
      <c r="O135" s="76"/>
      <c r="P135" s="76"/>
      <c r="Q135" s="76"/>
      <c r="R135" s="76"/>
      <c r="S135" s="76"/>
      <c r="T135" s="76"/>
      <c r="U135" s="76"/>
    </row>
    <row r="136" spans="1:21" x14ac:dyDescent="0.25">
      <c r="B136" s="72"/>
      <c r="C136" s="72"/>
      <c r="D136" s="72"/>
      <c r="E136" s="72"/>
      <c r="F136" s="72"/>
      <c r="G136" s="72"/>
      <c r="H136" s="68"/>
      <c r="I136" s="104"/>
      <c r="N136" s="76"/>
      <c r="O136" s="76"/>
      <c r="P136" s="76"/>
      <c r="Q136" s="76"/>
      <c r="R136" s="76"/>
      <c r="S136" s="76"/>
      <c r="T136" s="76"/>
      <c r="U136" s="76"/>
    </row>
    <row r="137" spans="1:21" x14ac:dyDescent="0.25">
      <c r="B137" s="72"/>
      <c r="C137" s="72"/>
      <c r="D137" s="72"/>
      <c r="E137" s="72"/>
      <c r="F137" s="72"/>
      <c r="G137" s="72"/>
      <c r="H137" s="68"/>
      <c r="I137" s="156"/>
      <c r="N137" s="76"/>
      <c r="O137" s="76"/>
      <c r="P137" s="76"/>
      <c r="Q137" s="76"/>
      <c r="R137" s="76"/>
      <c r="S137" s="76"/>
      <c r="T137" s="76"/>
      <c r="U137" s="76"/>
    </row>
    <row r="138" spans="1:21" x14ac:dyDescent="0.25">
      <c r="A138" s="281" t="s">
        <v>7</v>
      </c>
      <c r="B138" s="281"/>
      <c r="C138" s="281"/>
      <c r="D138" s="281"/>
      <c r="E138" s="281"/>
      <c r="F138" s="281"/>
      <c r="G138" s="281"/>
      <c r="H138" s="281"/>
      <c r="I138" s="281"/>
      <c r="J138" s="156"/>
      <c r="N138" s="76"/>
      <c r="O138" s="76"/>
      <c r="P138" s="76"/>
      <c r="Q138" s="76"/>
      <c r="R138" s="76"/>
      <c r="S138" s="76"/>
      <c r="T138" s="76"/>
      <c r="U138" s="76"/>
    </row>
    <row r="139" spans="1:21" ht="15.75" customHeight="1" x14ac:dyDescent="0.25">
      <c r="A139" s="356" t="str">
        <f>'0664'!A139</f>
        <v>(a) Additional FTE includes FTE earned through Advanced Placement, International Baccalaureate, Advanced International Certificate of Education, Industry Certified Career</v>
      </c>
      <c r="B139" s="357"/>
      <c r="C139" s="357"/>
      <c r="D139" s="357"/>
      <c r="E139" s="357"/>
      <c r="F139" s="357"/>
      <c r="G139" s="357"/>
      <c r="H139" s="357"/>
      <c r="I139" s="357"/>
      <c r="J139" s="80"/>
      <c r="K139" s="79"/>
      <c r="L139" s="79"/>
      <c r="M139" s="79"/>
      <c r="N139" s="477"/>
      <c r="O139" s="477"/>
      <c r="P139" s="477"/>
      <c r="Q139" s="477"/>
      <c r="R139" s="477"/>
      <c r="S139" s="477"/>
      <c r="T139" s="477"/>
      <c r="U139" s="477"/>
    </row>
    <row r="140" spans="1:21" ht="15.75" customHeight="1" x14ac:dyDescent="0.25">
      <c r="A140" s="390" t="str">
        <f>'0664'!A140</f>
        <v xml:space="preserve">Education (CAPE), Early High School Graduation and the small district ESE Supplement, pursuant to s. 1011.62(1)(l-p), F.S. </v>
      </c>
      <c r="B140" s="357"/>
      <c r="C140" s="357"/>
      <c r="D140" s="357"/>
      <c r="E140" s="357"/>
      <c r="F140" s="357"/>
      <c r="G140" s="357"/>
      <c r="H140" s="357"/>
      <c r="I140" s="357"/>
      <c r="J140" s="80"/>
      <c r="K140" s="79"/>
      <c r="L140" s="79"/>
      <c r="M140" s="79"/>
      <c r="N140" s="76"/>
      <c r="O140" s="76"/>
      <c r="P140" s="76"/>
      <c r="Q140" s="76"/>
      <c r="R140" s="76"/>
      <c r="S140" s="76"/>
      <c r="T140" s="76"/>
      <c r="U140" s="76"/>
    </row>
    <row r="141" spans="1:21" x14ac:dyDescent="0.25">
      <c r="A141" s="356" t="str">
        <f>'0664'!A141</f>
        <v>(b) District allocations multiplied by percentage from item 3A.</v>
      </c>
      <c r="B141" s="281"/>
      <c r="C141" s="281"/>
      <c r="D141" s="281"/>
      <c r="E141" s="281"/>
      <c r="F141" s="281"/>
      <c r="G141" s="281"/>
      <c r="H141" s="281"/>
      <c r="I141" s="281"/>
      <c r="J141" s="79"/>
      <c r="K141" s="79"/>
      <c r="L141" s="79"/>
      <c r="M141" s="79"/>
      <c r="N141" s="81"/>
      <c r="O141" s="82"/>
      <c r="P141" s="82"/>
      <c r="Q141" s="82"/>
      <c r="R141" s="82"/>
      <c r="S141" s="82"/>
      <c r="T141" s="82"/>
      <c r="U141" s="82"/>
    </row>
    <row r="142" spans="1:21" s="79" customFormat="1" x14ac:dyDescent="0.2">
      <c r="A142" s="356" t="str">
        <f>'0664'!A142</f>
        <v>(c) District allocations multiplied by percentage from item 3B.</v>
      </c>
      <c r="B142" s="281"/>
      <c r="C142" s="281"/>
      <c r="D142" s="281"/>
      <c r="E142" s="281"/>
      <c r="F142" s="281"/>
      <c r="G142" s="281"/>
      <c r="H142" s="281"/>
      <c r="I142" s="281"/>
      <c r="N142" s="81"/>
    </row>
    <row r="143" spans="1:21" s="79" customFormat="1" ht="15.75" customHeight="1" x14ac:dyDescent="0.2">
      <c r="A143" s="356" t="str">
        <f>'0664'!A143</f>
        <v>(d) The Digital Classroom Allocation is provided pursuant to s. 1011.62(12), F.S.</v>
      </c>
      <c r="B143" s="281"/>
      <c r="C143" s="281"/>
      <c r="D143" s="281"/>
      <c r="E143" s="281"/>
      <c r="F143" s="281"/>
      <c r="G143" s="281"/>
      <c r="H143" s="281"/>
      <c r="I143" s="281"/>
      <c r="N143" s="81"/>
    </row>
    <row r="144" spans="1:21" s="79" customFormat="1" ht="15.75" customHeight="1" x14ac:dyDescent="0.2">
      <c r="A144" s="356" t="str">
        <f>'0664'!A144</f>
        <v>(e) School districts are required to pay for instructional materials used for the instruction of public high school students who are earning credit toward high school</v>
      </c>
      <c r="B144" s="281"/>
      <c r="C144" s="281"/>
      <c r="D144" s="281"/>
      <c r="E144" s="281"/>
      <c r="F144" s="281"/>
      <c r="G144" s="281"/>
      <c r="H144" s="281"/>
      <c r="I144" s="281"/>
      <c r="N144" s="81"/>
    </row>
    <row r="145" spans="1:14" s="79" customFormat="1" ht="15.75" customHeight="1" x14ac:dyDescent="0.2">
      <c r="A145" s="390" t="str">
        <f>'0664'!A145</f>
        <v xml:space="preserve">graduation under the dual enrollment program as provided in s. 1011.62(l)(i), F.S.  </v>
      </c>
      <c r="B145" s="281"/>
      <c r="C145" s="281"/>
      <c r="D145" s="281"/>
      <c r="E145" s="281"/>
      <c r="F145" s="281"/>
      <c r="G145" s="281"/>
      <c r="H145" s="281"/>
      <c r="I145" s="281"/>
      <c r="N145" s="81"/>
    </row>
    <row r="146" spans="1:14" s="79" customFormat="1" x14ac:dyDescent="0.2">
      <c r="A146" s="356" t="str">
        <f>'0664'!A146</f>
        <v>(f) This allocation will be frozen as of the 2021-22 FEFP Second Calculation and will not be recalculated throughout the year. Charter school allocations should be</v>
      </c>
      <c r="B146" s="281"/>
      <c r="C146" s="281"/>
      <c r="D146" s="281"/>
      <c r="E146" s="281"/>
      <c r="F146" s="281"/>
      <c r="G146" s="281"/>
      <c r="H146" s="281"/>
      <c r="I146" s="281"/>
      <c r="N146" s="81"/>
    </row>
    <row r="147" spans="1:14" s="79" customFormat="1" x14ac:dyDescent="0.2">
      <c r="A147" s="358" t="str">
        <f>'0664'!A147</f>
        <v xml:space="preserve">distributed on weighted FTE (or base funding as is done in the FEFP) and should not be recalculated with fluctuations in student enrollment later in the year. </v>
      </c>
      <c r="B147" s="281"/>
      <c r="C147" s="281"/>
      <c r="D147" s="281"/>
      <c r="E147" s="281"/>
      <c r="F147" s="281"/>
      <c r="G147" s="281"/>
      <c r="H147" s="281"/>
      <c r="I147" s="281"/>
      <c r="N147" s="81"/>
    </row>
    <row r="148" spans="1:14" s="79" customFormat="1" x14ac:dyDescent="0.2">
      <c r="A148" s="356" t="str">
        <f>'0664'!A148</f>
        <v>(g) Numbers entered here will be multiplied by the district level transportation funding per rider. "All Adjusted Fundable Riders" should include both basic and ESE Riders.</v>
      </c>
      <c r="B148" s="281"/>
      <c r="C148" s="281"/>
      <c r="D148" s="281"/>
      <c r="E148" s="281"/>
      <c r="F148" s="281"/>
      <c r="G148" s="281"/>
      <c r="H148" s="281"/>
      <c r="I148" s="281"/>
      <c r="N148" s="81"/>
    </row>
    <row r="149" spans="1:14" s="79" customFormat="1" x14ac:dyDescent="0.2">
      <c r="A149" s="390" t="str">
        <f>'0664'!A149</f>
        <v>"All Adjusted ESE Riders" should include only ESE Riders.</v>
      </c>
      <c r="B149" s="281"/>
      <c r="C149" s="281"/>
      <c r="D149" s="281"/>
      <c r="E149" s="281"/>
      <c r="F149" s="281"/>
      <c r="G149" s="281"/>
      <c r="H149" s="281"/>
      <c r="I149" s="281"/>
      <c r="N149" s="81"/>
    </row>
    <row r="150" spans="1:14" s="79" customFormat="1" x14ac:dyDescent="0.2">
      <c r="A150" s="356" t="str">
        <f>'0664'!A150</f>
        <v xml:space="preserve">(h) The Federally Connected Student Supplement provides additional funding for students on federal lands that receive Section 8003 impact aide pursuant to s. 1011.62(13), F.S. </v>
      </c>
      <c r="B150" s="281"/>
      <c r="C150" s="281"/>
      <c r="D150" s="281"/>
      <c r="E150" s="281"/>
      <c r="F150" s="281"/>
      <c r="G150" s="281"/>
      <c r="H150" s="281"/>
      <c r="I150" s="281"/>
      <c r="N150" s="81"/>
    </row>
    <row r="151" spans="1:14" s="79" customFormat="1" x14ac:dyDescent="0.2">
      <c r="A151" s="356" t="str">
        <f>'0664'!A151</f>
        <v>(i) Teacher Classroom Supply Assistance Program allocation pursuant to s. 1012.71, F.S., for certified teachers employed by a public school district or public charter school</v>
      </c>
      <c r="B151" s="281"/>
      <c r="C151" s="281"/>
      <c r="D151" s="281"/>
      <c r="E151" s="281"/>
      <c r="F151" s="281"/>
      <c r="G151" s="281"/>
      <c r="H151" s="281"/>
      <c r="I151" s="281"/>
      <c r="N151" s="81"/>
    </row>
    <row r="152" spans="1:14" s="79" customFormat="1" x14ac:dyDescent="0.2">
      <c r="A152" s="358" t="str">
        <f>'0664'!A152</f>
        <v xml:space="preserve">before September 1 of each year whose full-time or job-share responsibility is the classroom instruction of students in prekindergarten through grade 12, including </v>
      </c>
      <c r="B152" s="281"/>
      <c r="C152" s="281"/>
      <c r="D152" s="281"/>
      <c r="E152" s="281"/>
      <c r="F152" s="281"/>
      <c r="G152" s="281"/>
      <c r="H152" s="281"/>
      <c r="I152" s="281"/>
      <c r="N152" s="81"/>
    </row>
    <row r="153" spans="1:14" s="79" customFormat="1" ht="15.75" customHeight="1" x14ac:dyDescent="0.2">
      <c r="A153" s="358" t="str">
        <f>'0664'!A153</f>
        <v>full-time media specialists and certified school counselors serving students in prekindergarten through grade 12, who are funded through the FEFP.</v>
      </c>
      <c r="B153" s="281"/>
      <c r="C153" s="281"/>
      <c r="D153" s="281"/>
      <c r="E153" s="281"/>
      <c r="F153" s="281"/>
      <c r="G153" s="281"/>
      <c r="H153" s="281"/>
      <c r="I153" s="281"/>
      <c r="N153" s="81"/>
    </row>
    <row r="154" spans="1:14" s="79" customFormat="1" ht="15.75" customHeight="1" x14ac:dyDescent="0.2">
      <c r="A154" s="356" t="str">
        <f>'0664'!A154</f>
        <v xml:space="preserve">(j) Funding based on student eligibility and meals provided, if participating in the National School Lunch Program. </v>
      </c>
      <c r="B154" s="328"/>
      <c r="C154" s="328"/>
      <c r="D154" s="328"/>
      <c r="E154" s="328"/>
      <c r="F154" s="328"/>
      <c r="G154" s="328"/>
      <c r="H154" s="328"/>
      <c r="I154" s="328"/>
      <c r="N154" s="81"/>
    </row>
    <row r="155" spans="1:14" s="79" customFormat="1" ht="15.75" customHeight="1" x14ac:dyDescent="0.2">
      <c r="A155" s="356" t="str">
        <f>'0664'!A155</f>
        <v>(k) Consistent with s. 1002.33(20)(a), F.S., for charter schools with a population of 75% or more ESE students, the administrative fee shall be calculated based on</v>
      </c>
      <c r="B155" s="381"/>
      <c r="C155" s="381"/>
      <c r="D155" s="381"/>
      <c r="E155" s="381"/>
      <c r="F155" s="381"/>
      <c r="G155" s="381"/>
      <c r="H155" s="381"/>
      <c r="I155" s="381"/>
      <c r="N155" s="81"/>
    </row>
    <row r="156" spans="1:14" s="79" customFormat="1" ht="15.75" customHeight="1" x14ac:dyDescent="0.2">
      <c r="A156" s="390" t="str">
        <f>'0664'!A156</f>
        <v xml:space="preserve">unweighted full-time equivalent students. </v>
      </c>
      <c r="B156" s="381"/>
      <c r="C156" s="381"/>
      <c r="D156" s="381"/>
      <c r="E156" s="381"/>
      <c r="F156" s="381"/>
      <c r="G156" s="381"/>
      <c r="H156" s="381"/>
      <c r="I156" s="381"/>
      <c r="N156" s="81"/>
    </row>
    <row r="157" spans="1:14" s="79" customFormat="1" ht="15.75" customHeight="1" x14ac:dyDescent="0.2">
      <c r="A157" s="356"/>
      <c r="B157" s="381"/>
      <c r="C157" s="381"/>
      <c r="D157" s="381"/>
      <c r="E157" s="381"/>
      <c r="F157" s="381"/>
      <c r="G157" s="381"/>
      <c r="H157" s="381"/>
      <c r="I157" s="381"/>
      <c r="N157" s="81"/>
    </row>
    <row r="158" spans="1:14" s="79" customFormat="1" ht="15.75" customHeight="1" x14ac:dyDescent="0.25">
      <c r="A158" s="398" t="str">
        <f>'0664'!A158</f>
        <v>Administrative fees:</v>
      </c>
      <c r="B158" s="328"/>
      <c r="C158" s="328"/>
      <c r="D158" s="328"/>
      <c r="E158" s="328"/>
      <c r="F158" s="328"/>
      <c r="G158" s="328"/>
      <c r="H158" s="328"/>
      <c r="I158" s="328"/>
      <c r="J158" s="3"/>
      <c r="K158" s="3"/>
      <c r="L158" s="3"/>
      <c r="M158" s="3"/>
      <c r="N158" s="81"/>
    </row>
    <row r="159" spans="1:14" s="79" customFormat="1" ht="15.75" customHeight="1" x14ac:dyDescent="0.25">
      <c r="A159" s="399" t="str">
        <f>'0664'!A159</f>
        <v xml:space="preserve">Administrative fees charged by the school district pursuant to s. 1002.33(20)(a), F.S., shall be calculated based upon 5% of available funds from the FEFP and categorical </v>
      </c>
      <c r="B159" s="328"/>
      <c r="C159" s="328"/>
      <c r="D159" s="328"/>
      <c r="E159" s="328"/>
      <c r="F159" s="328"/>
      <c r="G159" s="328"/>
      <c r="H159" s="328"/>
      <c r="I159" s="328"/>
      <c r="J159" s="3"/>
      <c r="K159" s="3"/>
      <c r="L159" s="3"/>
      <c r="M159" s="3"/>
      <c r="N159" s="81"/>
    </row>
    <row r="160" spans="1:14" s="79" customFormat="1" ht="15.75" customHeight="1" x14ac:dyDescent="0.25">
      <c r="A160" s="400" t="str">
        <f>'0664'!A160</f>
        <v>funding for which charter students may be eligible.  To calculate the administrative fee to be withheld for schools with more than 250 students, divide the school</v>
      </c>
      <c r="B160" s="328"/>
      <c r="C160" s="328"/>
      <c r="D160" s="328"/>
      <c r="E160" s="328"/>
      <c r="F160" s="328"/>
      <c r="G160" s="328"/>
      <c r="H160" s="328"/>
      <c r="I160" s="328"/>
      <c r="J160" s="3"/>
      <c r="K160" s="3"/>
      <c r="L160" s="3"/>
      <c r="M160" s="3"/>
      <c r="N160" s="81"/>
    </row>
    <row r="161" spans="1:21" s="79" customFormat="1" ht="15.75" customHeight="1" x14ac:dyDescent="0.25">
      <c r="A161" s="400" t="str">
        <f>'0664'!A161</f>
        <v xml:space="preserve">population into 250. Multiply that fraction times the funds available, then times 5%.  </v>
      </c>
      <c r="B161" s="328"/>
      <c r="C161" s="328"/>
      <c r="D161" s="328"/>
      <c r="E161" s="328"/>
      <c r="F161" s="328"/>
      <c r="G161" s="328"/>
      <c r="H161" s="328"/>
      <c r="I161" s="328"/>
      <c r="J161" s="3"/>
      <c r="K161" s="3"/>
      <c r="L161" s="3"/>
      <c r="M161" s="3"/>
      <c r="N161" s="81"/>
    </row>
    <row r="162" spans="1:21" s="79" customFormat="1" ht="15.75" customHeight="1" x14ac:dyDescent="0.25">
      <c r="A162" s="399"/>
      <c r="B162" s="394"/>
      <c r="C162" s="394"/>
      <c r="D162" s="394"/>
      <c r="E162" s="394"/>
      <c r="F162" s="394"/>
      <c r="G162" s="394"/>
      <c r="H162" s="394"/>
      <c r="I162" s="394"/>
      <c r="N162" s="77"/>
      <c r="O162" s="3"/>
      <c r="P162" s="3"/>
      <c r="Q162" s="3"/>
      <c r="R162" s="3"/>
      <c r="S162" s="3"/>
      <c r="T162" s="3"/>
      <c r="U162" s="3"/>
    </row>
    <row r="163" spans="1:21" ht="15.75" customHeight="1" x14ac:dyDescent="0.25">
      <c r="A163" s="399" t="str">
        <f>'0664'!A163</f>
        <v xml:space="preserve">For high performing charter schools, administrative fees charged by the school district shall be calculated based upon 2% of available funds from the FEFP and categorical </v>
      </c>
      <c r="B163" s="328"/>
      <c r="C163" s="328"/>
      <c r="D163" s="328"/>
      <c r="E163" s="328"/>
      <c r="F163" s="328"/>
      <c r="G163" s="328"/>
      <c r="H163" s="328"/>
      <c r="I163" s="328"/>
      <c r="J163" s="79"/>
      <c r="K163" s="79"/>
      <c r="L163" s="79"/>
      <c r="M163" s="79"/>
      <c r="N163" s="81"/>
      <c r="O163" s="79"/>
      <c r="P163" s="79"/>
      <c r="Q163" s="79"/>
      <c r="R163" s="79"/>
      <c r="S163" s="79"/>
      <c r="T163" s="79"/>
      <c r="U163" s="79"/>
    </row>
    <row r="164" spans="1:21" ht="15.75" customHeight="1" x14ac:dyDescent="0.25">
      <c r="A164" s="400" t="str">
        <f>'0664'!A164</f>
        <v>funding for which charter students may be eligible.  To calculate the administrative fee to be withheld for schools with more than 250 students, divide the school</v>
      </c>
      <c r="B164" s="381"/>
      <c r="C164" s="381"/>
      <c r="D164" s="381"/>
      <c r="E164" s="381"/>
      <c r="F164" s="381"/>
      <c r="G164" s="381"/>
      <c r="H164" s="381"/>
      <c r="I164" s="381"/>
      <c r="J164" s="79"/>
      <c r="K164" s="79"/>
      <c r="L164" s="79"/>
      <c r="M164" s="79"/>
      <c r="N164" s="81"/>
      <c r="O164" s="79"/>
      <c r="P164" s="79"/>
      <c r="Q164" s="79"/>
      <c r="R164" s="79"/>
      <c r="S164" s="79"/>
      <c r="T164" s="79"/>
      <c r="U164" s="79"/>
    </row>
    <row r="165" spans="1:21" s="79" customFormat="1" ht="15.75" customHeight="1" x14ac:dyDescent="0.2">
      <c r="A165" s="400" t="str">
        <f>'0664'!A165</f>
        <v xml:space="preserve">population into 250. Multiply that fraction times the funds available, then times 2%.  </v>
      </c>
      <c r="B165" s="328"/>
      <c r="C165" s="328"/>
      <c r="D165" s="328"/>
      <c r="E165" s="328"/>
      <c r="F165" s="328"/>
      <c r="G165" s="328"/>
      <c r="H165" s="328"/>
      <c r="I165" s="328"/>
      <c r="N165" s="81"/>
    </row>
    <row r="166" spans="1:21" x14ac:dyDescent="0.25">
      <c r="A166" s="356"/>
      <c r="N166" s="77"/>
    </row>
    <row r="167" spans="1:21" x14ac:dyDescent="0.25">
      <c r="A167" s="398" t="str">
        <f>'0664'!A167</f>
        <v>Other:</v>
      </c>
      <c r="N167" s="77"/>
    </row>
    <row r="168" spans="1:21" x14ac:dyDescent="0.25">
      <c r="A168" s="399" t="str">
        <f>'0664'!A168</f>
        <v>FEFP and categorical funding are recalculated during the year to reflect the revised number of full-time equivalent students reported during the survey periods designated</v>
      </c>
      <c r="N168" s="77"/>
    </row>
    <row r="169" spans="1:21" x14ac:dyDescent="0.25">
      <c r="A169" s="402" t="str">
        <f>'0664'!A169</f>
        <v>by the Commissioner of Education.</v>
      </c>
      <c r="N169" s="77"/>
    </row>
    <row r="170" spans="1:21" x14ac:dyDescent="0.25">
      <c r="A170" s="399" t="str">
        <f>'0664'!A170</f>
        <v>Revenues flow to districts from state sources and from county tax collectors on various distribution schedules.</v>
      </c>
      <c r="N170" s="77"/>
    </row>
    <row r="171" spans="1:21" x14ac:dyDescent="0.25">
      <c r="A171" s="77"/>
      <c r="N171" s="77"/>
    </row>
    <row r="172" spans="1:21" x14ac:dyDescent="0.25">
      <c r="A172" s="77"/>
      <c r="N172" s="77"/>
    </row>
    <row r="173" spans="1:21" x14ac:dyDescent="0.25">
      <c r="A173" s="77"/>
      <c r="N173" s="77"/>
    </row>
    <row r="174" spans="1:21" x14ac:dyDescent="0.25">
      <c r="A174" s="77"/>
      <c r="N174" s="77"/>
    </row>
    <row r="175" spans="1:21" x14ac:dyDescent="0.25">
      <c r="A175" s="77"/>
      <c r="N175" s="77"/>
    </row>
    <row r="176" spans="1:21" x14ac:dyDescent="0.25">
      <c r="A176" s="77"/>
      <c r="N176" s="77"/>
    </row>
    <row r="177" spans="1:14" x14ac:dyDescent="0.25">
      <c r="A177" s="77"/>
      <c r="N177" s="77"/>
    </row>
    <row r="178" spans="1:14" x14ac:dyDescent="0.25">
      <c r="A178" s="77"/>
      <c r="N178" s="77"/>
    </row>
    <row r="179" spans="1:14" x14ac:dyDescent="0.25">
      <c r="A179" s="77"/>
      <c r="N179" s="77"/>
    </row>
    <row r="180" spans="1:14" x14ac:dyDescent="0.25">
      <c r="A180" s="77"/>
      <c r="N180" s="77"/>
    </row>
    <row r="181" spans="1:14" x14ac:dyDescent="0.25">
      <c r="A181" s="77"/>
      <c r="N181" s="77"/>
    </row>
    <row r="182" spans="1:14" x14ac:dyDescent="0.25">
      <c r="A182" s="77"/>
      <c r="N182" s="77"/>
    </row>
    <row r="183" spans="1:14" x14ac:dyDescent="0.25">
      <c r="A183" s="77"/>
      <c r="N183" s="77"/>
    </row>
    <row r="184" spans="1:14" x14ac:dyDescent="0.25">
      <c r="A184" s="77"/>
      <c r="N184" s="77"/>
    </row>
    <row r="185" spans="1:14" x14ac:dyDescent="0.25">
      <c r="A185" s="77"/>
      <c r="N185" s="77"/>
    </row>
    <row r="186" spans="1:14" x14ac:dyDescent="0.25">
      <c r="A186" s="77"/>
      <c r="N186" s="77"/>
    </row>
    <row r="187" spans="1:14" x14ac:dyDescent="0.25">
      <c r="A187" s="77"/>
      <c r="N187" s="77"/>
    </row>
    <row r="188" spans="1:14" x14ac:dyDescent="0.25">
      <c r="A188" s="77"/>
    </row>
    <row r="189" spans="1:14" x14ac:dyDescent="0.25">
      <c r="A189" s="77"/>
    </row>
    <row r="190" spans="1:14" x14ac:dyDescent="0.25">
      <c r="A190" s="77"/>
    </row>
    <row r="191" spans="1:14" x14ac:dyDescent="0.25">
      <c r="A191" s="77"/>
    </row>
    <row r="192" spans="1:14" x14ac:dyDescent="0.25">
      <c r="A192" s="77"/>
    </row>
    <row r="193" spans="1:1" x14ac:dyDescent="0.25">
      <c r="A193" s="77"/>
    </row>
    <row r="194" spans="1:1" x14ac:dyDescent="0.25">
      <c r="A194" s="77"/>
    </row>
    <row r="195" spans="1:1" x14ac:dyDescent="0.25">
      <c r="A195" s="77"/>
    </row>
    <row r="196" spans="1:1" x14ac:dyDescent="0.25">
      <c r="A196" s="77"/>
    </row>
    <row r="197" spans="1:1" x14ac:dyDescent="0.25">
      <c r="A197" s="77"/>
    </row>
    <row r="198" spans="1:1" x14ac:dyDescent="0.25">
      <c r="A198" s="77"/>
    </row>
    <row r="199" spans="1:1" x14ac:dyDescent="0.25">
      <c r="A199" s="77"/>
    </row>
    <row r="200" spans="1:1" x14ac:dyDescent="0.25">
      <c r="A200" s="77"/>
    </row>
    <row r="201" spans="1:1" x14ac:dyDescent="0.25">
      <c r="A201" s="77"/>
    </row>
    <row r="202" spans="1:1" x14ac:dyDescent="0.25">
      <c r="A202" s="77"/>
    </row>
    <row r="203" spans="1:1" x14ac:dyDescent="0.25">
      <c r="A203" s="77"/>
    </row>
    <row r="204" spans="1:1" x14ac:dyDescent="0.25">
      <c r="A204" s="77"/>
    </row>
    <row r="205" spans="1:1" x14ac:dyDescent="0.25">
      <c r="A205" s="77"/>
    </row>
    <row r="206" spans="1:1" x14ac:dyDescent="0.25">
      <c r="A206" s="77"/>
    </row>
  </sheetData>
  <mergeCells count="266">
    <mergeCell ref="N139:U139"/>
    <mergeCell ref="N119:U119"/>
    <mergeCell ref="N113:P113"/>
    <mergeCell ref="A113:C113"/>
    <mergeCell ref="F113:H113"/>
    <mergeCell ref="N114:T114"/>
    <mergeCell ref="A115:H115"/>
    <mergeCell ref="A119:G119"/>
    <mergeCell ref="A11:B11"/>
    <mergeCell ref="A120:G120"/>
    <mergeCell ref="A112:C112"/>
    <mergeCell ref="F112:H112"/>
    <mergeCell ref="N112:P112"/>
    <mergeCell ref="N120:U120"/>
    <mergeCell ref="A109:B109"/>
    <mergeCell ref="F109:G109"/>
    <mergeCell ref="N109:O109"/>
    <mergeCell ref="P109:Q109"/>
    <mergeCell ref="R109:S109"/>
    <mergeCell ref="A110:B110"/>
    <mergeCell ref="N110:O110"/>
    <mergeCell ref="A107:B107"/>
    <mergeCell ref="F107:G107"/>
    <mergeCell ref="N107:O107"/>
    <mergeCell ref="P107:Q107"/>
    <mergeCell ref="R107:S107"/>
    <mergeCell ref="A108:B108"/>
    <mergeCell ref="F108:G108"/>
    <mergeCell ref="N108:O108"/>
    <mergeCell ref="P108:Q108"/>
    <mergeCell ref="R108:S108"/>
    <mergeCell ref="A103:C103"/>
    <mergeCell ref="F103:I103"/>
    <mergeCell ref="N103:U103"/>
    <mergeCell ref="C104:E104"/>
    <mergeCell ref="F105:G105"/>
    <mergeCell ref="A106:B106"/>
    <mergeCell ref="F106:G106"/>
    <mergeCell ref="N106:O106"/>
    <mergeCell ref="P106:Q106"/>
    <mergeCell ref="R106:S106"/>
    <mergeCell ref="A99:B99"/>
    <mergeCell ref="N99:O99"/>
    <mergeCell ref="P99:R99"/>
    <mergeCell ref="A100:B100"/>
    <mergeCell ref="N100:O100"/>
    <mergeCell ref="P100:R100"/>
    <mergeCell ref="C91:D91"/>
    <mergeCell ref="P91:Q91"/>
    <mergeCell ref="C92:D92"/>
    <mergeCell ref="P92:Q92"/>
    <mergeCell ref="C93:D93"/>
    <mergeCell ref="P93:T93"/>
    <mergeCell ref="A94:I94"/>
    <mergeCell ref="N94:U94"/>
    <mergeCell ref="F96:I96"/>
    <mergeCell ref="N96:P96"/>
    <mergeCell ref="Q96:T96"/>
    <mergeCell ref="A87:I87"/>
    <mergeCell ref="N87:U87"/>
    <mergeCell ref="C88:D88"/>
    <mergeCell ref="C89:D89"/>
    <mergeCell ref="N89:O89"/>
    <mergeCell ref="P89:Q89"/>
    <mergeCell ref="R89:U89"/>
    <mergeCell ref="C90:D90"/>
    <mergeCell ref="P90:Q90"/>
    <mergeCell ref="A80:C80"/>
    <mergeCell ref="N80:P80"/>
    <mergeCell ref="A85:C85"/>
    <mergeCell ref="N85:P85"/>
    <mergeCell ref="F73:H73"/>
    <mergeCell ref="N73:T73"/>
    <mergeCell ref="N74:T74"/>
    <mergeCell ref="A78:C78"/>
    <mergeCell ref="N78:P78"/>
    <mergeCell ref="A79:C79"/>
    <mergeCell ref="A69:C69"/>
    <mergeCell ref="N69:P69"/>
    <mergeCell ref="N79:P79"/>
    <mergeCell ref="A76:C76"/>
    <mergeCell ref="N76:P76"/>
    <mergeCell ref="A77:C77"/>
    <mergeCell ref="A70:C70"/>
    <mergeCell ref="A71:C71"/>
    <mergeCell ref="N71:P71"/>
    <mergeCell ref="A72:C72"/>
    <mergeCell ref="N77:P77"/>
    <mergeCell ref="N72:P72"/>
    <mergeCell ref="A65:B65"/>
    <mergeCell ref="D65:G65"/>
    <mergeCell ref="N65:O65"/>
    <mergeCell ref="Q65:S65"/>
    <mergeCell ref="T65:U65"/>
    <mergeCell ref="N66:S66"/>
    <mergeCell ref="T66:U66"/>
    <mergeCell ref="A68:C68"/>
    <mergeCell ref="N68:P68"/>
    <mergeCell ref="A62:B62"/>
    <mergeCell ref="D62:G62"/>
    <mergeCell ref="N62:O62"/>
    <mergeCell ref="Q62:S62"/>
    <mergeCell ref="T62:U62"/>
    <mergeCell ref="N63:S63"/>
    <mergeCell ref="T63:U63"/>
    <mergeCell ref="A64:I64"/>
    <mergeCell ref="N64:U64"/>
    <mergeCell ref="A59:B59"/>
    <mergeCell ref="F59:H59"/>
    <mergeCell ref="N59:O59"/>
    <mergeCell ref="P59:Q59"/>
    <mergeCell ref="R59:T59"/>
    <mergeCell ref="A60:I60"/>
    <mergeCell ref="N60:U60"/>
    <mergeCell ref="A61:I61"/>
    <mergeCell ref="N61:U61"/>
    <mergeCell ref="A50:B58"/>
    <mergeCell ref="N50:O58"/>
    <mergeCell ref="P50:Q50"/>
    <mergeCell ref="P51:Q51"/>
    <mergeCell ref="P52:Q52"/>
    <mergeCell ref="P53:Q53"/>
    <mergeCell ref="P54:Q54"/>
    <mergeCell ref="P55:Q55"/>
    <mergeCell ref="P56:Q56"/>
    <mergeCell ref="P57:Q57"/>
    <mergeCell ref="P58:Q58"/>
    <mergeCell ref="A42:B42"/>
    <mergeCell ref="N42:O42"/>
    <mergeCell ref="P42:T42"/>
    <mergeCell ref="N43:Q43"/>
    <mergeCell ref="S43:T43"/>
    <mergeCell ref="N45:Q45"/>
    <mergeCell ref="S45:T45"/>
    <mergeCell ref="N49:O49"/>
    <mergeCell ref="P49:Q49"/>
    <mergeCell ref="A39:B39"/>
    <mergeCell ref="N39:O39"/>
    <mergeCell ref="P39:T39"/>
    <mergeCell ref="A40:B40"/>
    <mergeCell ref="N40:O40"/>
    <mergeCell ref="P40:T40"/>
    <mergeCell ref="A41:B41"/>
    <mergeCell ref="N41:O41"/>
    <mergeCell ref="P41:T41"/>
    <mergeCell ref="N34:T34"/>
    <mergeCell ref="A36:B36"/>
    <mergeCell ref="N36:O36"/>
    <mergeCell ref="P36:T36"/>
    <mergeCell ref="A37:B37"/>
    <mergeCell ref="N37:O37"/>
    <mergeCell ref="P37:T37"/>
    <mergeCell ref="F33:H36"/>
    <mergeCell ref="A38:B38"/>
    <mergeCell ref="N38:O38"/>
    <mergeCell ref="P38:T38"/>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A20:B20"/>
    <mergeCell ref="F20:G20"/>
    <mergeCell ref="N20:O20"/>
    <mergeCell ref="P20:Q20"/>
    <mergeCell ref="R20:S20"/>
    <mergeCell ref="A21:B21"/>
    <mergeCell ref="F21:G21"/>
    <mergeCell ref="N21:O21"/>
    <mergeCell ref="P21:Q21"/>
    <mergeCell ref="R21:S21"/>
    <mergeCell ref="A18:B18"/>
    <mergeCell ref="F18:G18"/>
    <mergeCell ref="N18:O18"/>
    <mergeCell ref="P18:Q18"/>
    <mergeCell ref="R18:S18"/>
    <mergeCell ref="A19:B19"/>
    <mergeCell ref="F19:G19"/>
    <mergeCell ref="N19:O19"/>
    <mergeCell ref="P19:Q19"/>
    <mergeCell ref="R19:S19"/>
    <mergeCell ref="A16:B16"/>
    <mergeCell ref="F16:G16"/>
    <mergeCell ref="N16:O16"/>
    <mergeCell ref="P16:Q16"/>
    <mergeCell ref="R16:S16"/>
    <mergeCell ref="A17:B17"/>
    <mergeCell ref="F17:G17"/>
    <mergeCell ref="N17:O17"/>
    <mergeCell ref="P17:Q17"/>
    <mergeCell ref="R17:S17"/>
    <mergeCell ref="A14:B14"/>
    <mergeCell ref="F14:G14"/>
    <mergeCell ref="N14:O14"/>
    <mergeCell ref="P14:Q14"/>
    <mergeCell ref="R14:S14"/>
    <mergeCell ref="A15:B15"/>
    <mergeCell ref="F15:G15"/>
    <mergeCell ref="N15:O15"/>
    <mergeCell ref="P15:Q15"/>
    <mergeCell ref="R15:S15"/>
    <mergeCell ref="A12:B12"/>
    <mergeCell ref="F12:G12"/>
    <mergeCell ref="N12:O12"/>
    <mergeCell ref="P12:Q12"/>
    <mergeCell ref="R12:S12"/>
    <mergeCell ref="A13:B13"/>
    <mergeCell ref="F13:G13"/>
    <mergeCell ref="N13:O13"/>
    <mergeCell ref="P13:Q13"/>
    <mergeCell ref="R13:S13"/>
    <mergeCell ref="N8:O8"/>
    <mergeCell ref="P8:Q8"/>
    <mergeCell ref="R8:S8"/>
    <mergeCell ref="T8:U8"/>
    <mergeCell ref="F10:G10"/>
    <mergeCell ref="R10:S10"/>
    <mergeCell ref="F11:G11"/>
    <mergeCell ref="N11:O11"/>
    <mergeCell ref="P11:Q11"/>
    <mergeCell ref="R11:S11"/>
    <mergeCell ref="B1:I1"/>
    <mergeCell ref="O1:U1"/>
    <mergeCell ref="N2:U2"/>
    <mergeCell ref="N3:U3"/>
    <mergeCell ref="A4:B4"/>
    <mergeCell ref="C4:E4"/>
    <mergeCell ref="N4:O4"/>
    <mergeCell ref="P4:Q4"/>
    <mergeCell ref="A7:I7"/>
    <mergeCell ref="N7:U7"/>
  </mergeCells>
  <pageMargins left="0.1" right="0.1" top="0.5" bottom="0.5" header="0" footer="0.1"/>
  <pageSetup scale="70" fitToHeight="3" orientation="portrait" r:id="rId1"/>
  <headerFooter alignWithMargins="0">
    <oddFooter>&amp;R&amp;P of &amp;N</oddFooter>
  </headerFooter>
  <rowBreaks count="1" manualBreakCount="1">
    <brk id="138" max="16383" man="1"/>
  </rowBreaks>
  <colBreaks count="1" manualBreakCount="1">
    <brk id="9" max="1048575" man="1"/>
  </col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CCFFCC"/>
  </sheetPr>
  <dimension ref="A1:U206"/>
  <sheetViews>
    <sheetView showGridLines="0" zoomScaleNormal="100" workbookViewId="0">
      <pane ySplit="1" topLeftCell="A20" activePane="bottomLeft" state="frozen"/>
      <selection activeCell="I9" sqref="I9"/>
      <selection pane="bottomLeft" activeCell="D50" sqref="D50:D57"/>
    </sheetView>
  </sheetViews>
  <sheetFormatPr defaultRowHeight="15.75" x14ac:dyDescent="0.25"/>
  <cols>
    <col min="1" max="1" width="10.28515625" style="72"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72"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5">
        <v>50</v>
      </c>
      <c r="B1" s="441" t="s">
        <v>17</v>
      </c>
      <c r="C1" s="442"/>
      <c r="D1" s="442"/>
      <c r="E1" s="442"/>
      <c r="F1" s="442"/>
      <c r="G1" s="442"/>
      <c r="H1" s="442"/>
      <c r="I1" s="442"/>
      <c r="J1" s="157"/>
      <c r="K1" s="157"/>
      <c r="L1" s="157"/>
      <c r="N1" s="85">
        <f>A1</f>
        <v>50</v>
      </c>
      <c r="O1" s="527" t="s">
        <v>17</v>
      </c>
      <c r="P1" s="528"/>
      <c r="Q1" s="528"/>
      <c r="R1" s="528"/>
      <c r="S1" s="528"/>
      <c r="T1" s="528"/>
      <c r="U1" s="528"/>
    </row>
    <row r="2" spans="1:21" ht="21" x14ac:dyDescent="0.35">
      <c r="A2" s="1" t="s">
        <v>164</v>
      </c>
      <c r="B2" s="2"/>
      <c r="C2" s="2"/>
      <c r="D2" s="2"/>
      <c r="E2" s="2"/>
      <c r="F2" s="2"/>
      <c r="G2" s="2"/>
      <c r="H2" s="2"/>
      <c r="I2" s="2"/>
      <c r="N2" s="529" t="s">
        <v>23</v>
      </c>
      <c r="O2" s="529"/>
      <c r="P2" s="529"/>
      <c r="Q2" s="529"/>
      <c r="R2" s="529"/>
      <c r="S2" s="529"/>
      <c r="T2" s="529"/>
      <c r="U2" s="529"/>
    </row>
    <row r="3" spans="1:21" x14ac:dyDescent="0.25">
      <c r="A3" s="84" t="str">
        <f>'0664'!A3</f>
        <v>Based on the FLDOE 2022-23 FEFP Third Calculation</v>
      </c>
      <c r="N3" s="485" t="str">
        <f>A3</f>
        <v>Based on the FLDOE 2022-23 FEFP Third Calculation</v>
      </c>
      <c r="O3" s="485"/>
      <c r="P3" s="485"/>
      <c r="Q3" s="485"/>
      <c r="R3" s="485"/>
      <c r="S3" s="485"/>
      <c r="T3" s="485"/>
      <c r="U3" s="485"/>
    </row>
    <row r="4" spans="1:21" x14ac:dyDescent="0.25">
      <c r="A4" s="443" t="s">
        <v>0</v>
      </c>
      <c r="B4" s="443"/>
      <c r="C4" s="444" t="s">
        <v>9</v>
      </c>
      <c r="D4" s="444"/>
      <c r="E4" s="444"/>
      <c r="F4" s="4" t="str">
        <f>'0664'!F4</f>
        <v>Apr 2023</v>
      </c>
      <c r="G4" s="4"/>
      <c r="H4" s="4"/>
      <c r="I4" s="4"/>
      <c r="N4" s="530" t="s">
        <v>0</v>
      </c>
      <c r="O4" s="530"/>
      <c r="P4" s="531" t="str">
        <f>C4</f>
        <v>Palm Beach</v>
      </c>
      <c r="Q4" s="531"/>
      <c r="R4" s="5"/>
      <c r="S4" s="5"/>
      <c r="T4" s="5"/>
      <c r="U4" s="5"/>
    </row>
    <row r="5" spans="1:21" ht="12" customHeight="1" thickBot="1" x14ac:dyDescent="0.3">
      <c r="A5" s="262"/>
      <c r="B5" s="262"/>
      <c r="C5" s="253"/>
      <c r="D5" s="253"/>
      <c r="E5" s="253"/>
      <c r="F5" s="254"/>
      <c r="G5" s="254"/>
      <c r="H5" s="254"/>
      <c r="I5" s="254"/>
      <c r="N5" s="86"/>
      <c r="O5" s="86"/>
      <c r="P5" s="6"/>
      <c r="Q5" s="6"/>
      <c r="R5" s="5"/>
      <c r="S5" s="5"/>
      <c r="T5" s="5"/>
      <c r="U5" s="5"/>
    </row>
    <row r="6" spans="1:21" ht="12" customHeight="1" x14ac:dyDescent="0.25">
      <c r="A6" s="150"/>
      <c r="B6" s="150"/>
      <c r="C6" s="261"/>
      <c r="D6" s="261"/>
      <c r="E6" s="261"/>
      <c r="F6" s="4"/>
      <c r="G6" s="4"/>
      <c r="H6" s="4"/>
      <c r="I6" s="4"/>
      <c r="N6" s="86"/>
      <c r="O6" s="86"/>
      <c r="P6" s="6"/>
      <c r="Q6" s="6"/>
      <c r="R6" s="5"/>
      <c r="S6" s="5"/>
      <c r="T6" s="5"/>
      <c r="U6" s="5"/>
    </row>
    <row r="7" spans="1:21" x14ac:dyDescent="0.25">
      <c r="A7" s="445" t="str">
        <f>'0664'!A7:I7</f>
        <v>1.   2022-23 FEFP State and Local Funding</v>
      </c>
      <c r="B7" s="533"/>
      <c r="C7" s="533"/>
      <c r="D7" s="533"/>
      <c r="E7" s="533"/>
      <c r="F7" s="533"/>
      <c r="G7" s="533"/>
      <c r="H7" s="533"/>
      <c r="I7" s="533"/>
      <c r="N7" s="530" t="s">
        <v>86</v>
      </c>
      <c r="O7" s="530"/>
      <c r="P7" s="530"/>
      <c r="Q7" s="530"/>
      <c r="R7" s="530"/>
      <c r="S7" s="530"/>
      <c r="T7" s="530"/>
      <c r="U7" s="530"/>
    </row>
    <row r="8" spans="1:21" x14ac:dyDescent="0.25">
      <c r="A8" s="87"/>
      <c r="B8" s="88" t="s">
        <v>123</v>
      </c>
      <c r="C8" s="334">
        <f>'0664'!C8</f>
        <v>4587.3999999999996</v>
      </c>
      <c r="D8" s="89"/>
      <c r="E8" s="90"/>
      <c r="F8" s="87"/>
      <c r="G8" s="88" t="s">
        <v>122</v>
      </c>
      <c r="H8" s="320">
        <f>'0664'!H8</f>
        <v>1.0438000000000001</v>
      </c>
      <c r="I8" s="78"/>
      <c r="N8" s="534" t="s">
        <v>10</v>
      </c>
      <c r="O8" s="534"/>
      <c r="P8" s="535">
        <v>4154.45</v>
      </c>
      <c r="Q8" s="535"/>
      <c r="R8" s="518" t="s">
        <v>11</v>
      </c>
      <c r="S8" s="518"/>
      <c r="T8" s="519">
        <f>H8</f>
        <v>1.0438000000000001</v>
      </c>
      <c r="U8" s="519"/>
    </row>
    <row r="9" spans="1:21" x14ac:dyDescent="0.25">
      <c r="A9" s="7"/>
      <c r="B9" s="44" t="s">
        <v>370</v>
      </c>
      <c r="C9" s="41" t="s">
        <v>370</v>
      </c>
      <c r="D9" s="91" t="s">
        <v>370</v>
      </c>
      <c r="E9" s="8"/>
      <c r="F9" s="9"/>
      <c r="G9" s="9"/>
      <c r="H9" s="10"/>
      <c r="I9" s="340" t="str">
        <f>'0664'!I9</f>
        <v>2022-23</v>
      </c>
      <c r="N9" s="12"/>
      <c r="O9" s="12"/>
      <c r="P9" s="13"/>
      <c r="Q9" s="13"/>
      <c r="R9" s="14"/>
      <c r="S9" s="14"/>
      <c r="T9" s="15"/>
      <c r="U9" s="405" t="s">
        <v>405</v>
      </c>
    </row>
    <row r="10" spans="1:21" x14ac:dyDescent="0.25">
      <c r="A10" s="7"/>
      <c r="B10" s="7"/>
      <c r="C10" s="91" t="s">
        <v>463</v>
      </c>
      <c r="D10" s="371" t="s">
        <v>464</v>
      </c>
      <c r="E10" s="92" t="s">
        <v>8</v>
      </c>
      <c r="F10" s="446" t="s">
        <v>1</v>
      </c>
      <c r="G10" s="446"/>
      <c r="H10" s="10" t="s">
        <v>73</v>
      </c>
      <c r="I10" s="11" t="s">
        <v>36</v>
      </c>
      <c r="N10" s="12"/>
      <c r="O10" s="12"/>
      <c r="P10" s="13"/>
      <c r="Q10" s="13"/>
      <c r="R10" s="520" t="s">
        <v>1</v>
      </c>
      <c r="S10" s="520"/>
      <c r="T10" s="15" t="s">
        <v>73</v>
      </c>
      <c r="U10" s="16" t="s">
        <v>36</v>
      </c>
    </row>
    <row r="11" spans="1:21" x14ac:dyDescent="0.25">
      <c r="A11" s="447" t="s">
        <v>1</v>
      </c>
      <c r="B11" s="447"/>
      <c r="C11" s="362" t="s">
        <v>2</v>
      </c>
      <c r="D11" s="362" t="s">
        <v>2</v>
      </c>
      <c r="E11" s="362" t="s">
        <v>2</v>
      </c>
      <c r="F11" s="448" t="s">
        <v>76</v>
      </c>
      <c r="G11" s="448"/>
      <c r="H11" s="17" t="s">
        <v>72</v>
      </c>
      <c r="I11" s="18" t="s">
        <v>75</v>
      </c>
      <c r="N11" s="510" t="s">
        <v>1</v>
      </c>
      <c r="O11" s="510"/>
      <c r="P11" s="521" t="s">
        <v>24</v>
      </c>
      <c r="Q11" s="521"/>
      <c r="R11" s="522" t="s">
        <v>76</v>
      </c>
      <c r="S11" s="522"/>
      <c r="T11" s="19" t="s">
        <v>72</v>
      </c>
      <c r="U11" s="20" t="s">
        <v>75</v>
      </c>
    </row>
    <row r="12" spans="1:21" x14ac:dyDescent="0.25">
      <c r="A12" s="449" t="s">
        <v>47</v>
      </c>
      <c r="B12" s="449"/>
      <c r="C12" s="94"/>
      <c r="D12" s="94"/>
      <c r="E12" s="95" t="s">
        <v>48</v>
      </c>
      <c r="F12" s="450" t="s">
        <v>49</v>
      </c>
      <c r="G12" s="450"/>
      <c r="H12" s="21" t="s">
        <v>50</v>
      </c>
      <c r="I12" s="22" t="s">
        <v>51</v>
      </c>
      <c r="N12" s="523" t="s">
        <v>47</v>
      </c>
      <c r="O12" s="523"/>
      <c r="P12" s="524" t="s">
        <v>48</v>
      </c>
      <c r="Q12" s="524"/>
      <c r="R12" s="525" t="s">
        <v>49</v>
      </c>
      <c r="S12" s="525"/>
      <c r="T12" s="23" t="s">
        <v>50</v>
      </c>
      <c r="U12" s="24" t="s">
        <v>51</v>
      </c>
    </row>
    <row r="13" spans="1:21" x14ac:dyDescent="0.25">
      <c r="A13" s="451" t="s">
        <v>29</v>
      </c>
      <c r="B13" s="451"/>
      <c r="C13" s="165">
        <v>37.03</v>
      </c>
      <c r="D13" s="163">
        <v>37.479999999999997</v>
      </c>
      <c r="E13" s="210">
        <f>IF(D$29=0,C13*2,C13+D13)</f>
        <v>74.509999999999991</v>
      </c>
      <c r="F13" s="537">
        <f>'0664'!F13:G13</f>
        <v>1.1259999999999999</v>
      </c>
      <c r="G13" s="537"/>
      <c r="H13" s="167">
        <f>ROUND(E13*F13,4)</f>
        <v>83.898300000000006</v>
      </c>
      <c r="I13" s="119">
        <f t="shared" ref="I13:I28" si="0">ROUND(ROUND(H13*$C$8,4)*($H$8),2)</f>
        <v>401732.59</v>
      </c>
      <c r="N13" s="512" t="s">
        <v>29</v>
      </c>
      <c r="O13" s="512"/>
      <c r="P13" s="513">
        <f t="shared" ref="P13:P28" si="1">IF($H$120=1,E13,0)</f>
        <v>0</v>
      </c>
      <c r="Q13" s="513"/>
      <c r="R13" s="526">
        <v>1</v>
      </c>
      <c r="S13" s="526"/>
      <c r="T13" s="98">
        <f>ROUND(P13*R13,4)</f>
        <v>0</v>
      </c>
      <c r="U13" s="99">
        <f t="shared" ref="U13:U28" si="2">ROUND(ROUND(T13*$C$8,4)*($H$8),0)</f>
        <v>0</v>
      </c>
    </row>
    <row r="14" spans="1:21" x14ac:dyDescent="0.25">
      <c r="A14" s="453" t="s">
        <v>30</v>
      </c>
      <c r="B14" s="453"/>
      <c r="C14" s="165">
        <v>9.5</v>
      </c>
      <c r="D14" s="165">
        <v>8</v>
      </c>
      <c r="E14" s="125">
        <f t="shared" ref="E14:E28" si="3">IF(D$29=0,C14*2,C14+D14)</f>
        <v>17.5</v>
      </c>
      <c r="F14" s="532">
        <f>'0664'!F14:G14</f>
        <v>1.1259999999999999</v>
      </c>
      <c r="G14" s="532"/>
      <c r="H14" s="83">
        <f t="shared" ref="H14:H28" si="4">ROUND(E14*F14,4)</f>
        <v>19.704999999999998</v>
      </c>
      <c r="I14" s="104">
        <f t="shared" si="0"/>
        <v>94354.01</v>
      </c>
      <c r="J14" s="68" t="str">
        <f>IF(ROUND(E14,2)=ROUND(SUM(E50:E52),2)," ","CHECK PK-3 LINES BELOW")</f>
        <v xml:space="preserve"> </v>
      </c>
      <c r="N14" s="479" t="s">
        <v>30</v>
      </c>
      <c r="O14" s="479"/>
      <c r="P14" s="513">
        <f t="shared" si="1"/>
        <v>0</v>
      </c>
      <c r="Q14" s="513"/>
      <c r="R14" s="517">
        <v>1</v>
      </c>
      <c r="S14" s="517"/>
      <c r="T14" s="98">
        <f t="shared" ref="T14:T28" si="5">ROUND(P14*R14,4)</f>
        <v>0</v>
      </c>
      <c r="U14" s="99">
        <f t="shared" si="2"/>
        <v>0</v>
      </c>
    </row>
    <row r="15" spans="1:21" x14ac:dyDescent="0.25">
      <c r="A15" s="453" t="s">
        <v>31</v>
      </c>
      <c r="B15" s="453"/>
      <c r="C15" s="165">
        <v>14.81</v>
      </c>
      <c r="D15" s="165">
        <v>15.85</v>
      </c>
      <c r="E15" s="125">
        <f t="shared" si="3"/>
        <v>30.66</v>
      </c>
      <c r="F15" s="532">
        <f>'0664'!F15:G15</f>
        <v>1</v>
      </c>
      <c r="G15" s="532"/>
      <c r="H15" s="83">
        <f t="shared" si="4"/>
        <v>30.66</v>
      </c>
      <c r="I15" s="104">
        <f t="shared" si="0"/>
        <v>146810.14000000001</v>
      </c>
      <c r="N15" s="479" t="s">
        <v>31</v>
      </c>
      <c r="O15" s="479"/>
      <c r="P15" s="513">
        <f t="shared" si="1"/>
        <v>0</v>
      </c>
      <c r="Q15" s="513"/>
      <c r="R15" s="517">
        <v>1</v>
      </c>
      <c r="S15" s="517"/>
      <c r="T15" s="98">
        <f t="shared" si="5"/>
        <v>0</v>
      </c>
      <c r="U15" s="99">
        <f t="shared" si="2"/>
        <v>0</v>
      </c>
    </row>
    <row r="16" spans="1:21" x14ac:dyDescent="0.25">
      <c r="A16" s="453" t="s">
        <v>32</v>
      </c>
      <c r="B16" s="453"/>
      <c r="C16" s="165">
        <v>5</v>
      </c>
      <c r="D16" s="165">
        <v>5.44</v>
      </c>
      <c r="E16" s="125">
        <f t="shared" si="3"/>
        <v>10.440000000000001</v>
      </c>
      <c r="F16" s="532">
        <f>'0664'!F16:G16</f>
        <v>1</v>
      </c>
      <c r="G16" s="532"/>
      <c r="H16" s="83">
        <f t="shared" si="4"/>
        <v>10.44</v>
      </c>
      <c r="I16" s="104">
        <f t="shared" si="0"/>
        <v>49990.15</v>
      </c>
      <c r="J16" s="68" t="str">
        <f>IF(ROUND(E16,2)=ROUND(SUM(E53:E55),2)," ","CHECK 4-8 LINES BELOW")</f>
        <v xml:space="preserve"> </v>
      </c>
      <c r="N16" s="479" t="s">
        <v>32</v>
      </c>
      <c r="O16" s="479"/>
      <c r="P16" s="513">
        <f t="shared" si="1"/>
        <v>0</v>
      </c>
      <c r="Q16" s="513"/>
      <c r="R16" s="517">
        <v>1</v>
      </c>
      <c r="S16" s="517"/>
      <c r="T16" s="98">
        <f t="shared" si="5"/>
        <v>0</v>
      </c>
      <c r="U16" s="99">
        <f t="shared" si="2"/>
        <v>0</v>
      </c>
    </row>
    <row r="17" spans="1:21" x14ac:dyDescent="0.25">
      <c r="A17" s="453" t="s">
        <v>33</v>
      </c>
      <c r="B17" s="453"/>
      <c r="C17" s="165">
        <v>0</v>
      </c>
      <c r="D17" s="165">
        <v>0</v>
      </c>
      <c r="E17" s="125">
        <f t="shared" si="3"/>
        <v>0</v>
      </c>
      <c r="F17" s="532">
        <f>'0664'!F17:G17</f>
        <v>0.999</v>
      </c>
      <c r="G17" s="532"/>
      <c r="H17" s="83">
        <f t="shared" si="4"/>
        <v>0</v>
      </c>
      <c r="I17" s="104">
        <f t="shared" si="0"/>
        <v>0</v>
      </c>
      <c r="N17" s="479" t="s">
        <v>33</v>
      </c>
      <c r="O17" s="479"/>
      <c r="P17" s="513">
        <f t="shared" si="1"/>
        <v>0</v>
      </c>
      <c r="Q17" s="513"/>
      <c r="R17" s="517">
        <v>1</v>
      </c>
      <c r="S17" s="517"/>
      <c r="T17" s="98">
        <f t="shared" si="5"/>
        <v>0</v>
      </c>
      <c r="U17" s="99">
        <f t="shared" si="2"/>
        <v>0</v>
      </c>
    </row>
    <row r="18" spans="1:21" x14ac:dyDescent="0.25">
      <c r="A18" s="453" t="s">
        <v>34</v>
      </c>
      <c r="B18" s="453"/>
      <c r="C18" s="165">
        <v>0</v>
      </c>
      <c r="D18" s="165">
        <v>0</v>
      </c>
      <c r="E18" s="125">
        <f t="shared" si="3"/>
        <v>0</v>
      </c>
      <c r="F18" s="532">
        <f>'0664'!F18:G18</f>
        <v>0.999</v>
      </c>
      <c r="G18" s="532"/>
      <c r="H18" s="83">
        <f t="shared" si="4"/>
        <v>0</v>
      </c>
      <c r="I18" s="104">
        <f t="shared" si="0"/>
        <v>0</v>
      </c>
      <c r="J18" s="68" t="str">
        <f>IF(ROUND(E18,2)=ROUND(SUM(E56:E58),2)," ","CHECK 4-8 LINES BELOW")</f>
        <v xml:space="preserve"> </v>
      </c>
      <c r="N18" s="479" t="s">
        <v>34</v>
      </c>
      <c r="O18" s="479"/>
      <c r="P18" s="513">
        <f t="shared" si="1"/>
        <v>0</v>
      </c>
      <c r="Q18" s="513"/>
      <c r="R18" s="517">
        <v>1</v>
      </c>
      <c r="S18" s="517"/>
      <c r="T18" s="98">
        <f t="shared" si="5"/>
        <v>0</v>
      </c>
      <c r="U18" s="101">
        <f t="shared" si="2"/>
        <v>0</v>
      </c>
    </row>
    <row r="19" spans="1:21" x14ac:dyDescent="0.25">
      <c r="A19" s="453" t="s">
        <v>108</v>
      </c>
      <c r="B19" s="453"/>
      <c r="C19" s="165">
        <v>0</v>
      </c>
      <c r="D19" s="165">
        <v>0</v>
      </c>
      <c r="E19" s="125">
        <f t="shared" si="3"/>
        <v>0</v>
      </c>
      <c r="F19" s="532">
        <f>'0664'!F19:G19</f>
        <v>3.6739999999999999</v>
      </c>
      <c r="G19" s="532"/>
      <c r="H19" s="83">
        <f t="shared" si="4"/>
        <v>0</v>
      </c>
      <c r="I19" s="104">
        <f t="shared" si="0"/>
        <v>0</v>
      </c>
      <c r="N19" s="479" t="s">
        <v>108</v>
      </c>
      <c r="O19" s="479"/>
      <c r="P19" s="513">
        <f t="shared" si="1"/>
        <v>0</v>
      </c>
      <c r="Q19" s="513"/>
      <c r="R19" s="517">
        <v>1</v>
      </c>
      <c r="S19" s="517"/>
      <c r="T19" s="98">
        <f t="shared" si="5"/>
        <v>0</v>
      </c>
      <c r="U19" s="99">
        <f t="shared" si="2"/>
        <v>0</v>
      </c>
    </row>
    <row r="20" spans="1:21" x14ac:dyDescent="0.25">
      <c r="A20" s="453" t="s">
        <v>109</v>
      </c>
      <c r="B20" s="453"/>
      <c r="C20" s="165">
        <v>0</v>
      </c>
      <c r="D20" s="165">
        <v>0</v>
      </c>
      <c r="E20" s="125">
        <f t="shared" si="3"/>
        <v>0</v>
      </c>
      <c r="F20" s="532">
        <f>'0664'!F20:G20</f>
        <v>3.6739999999999999</v>
      </c>
      <c r="G20" s="532"/>
      <c r="H20" s="83">
        <f t="shared" si="4"/>
        <v>0</v>
      </c>
      <c r="I20" s="104">
        <f t="shared" si="0"/>
        <v>0</v>
      </c>
      <c r="N20" s="479" t="s">
        <v>109</v>
      </c>
      <c r="O20" s="479"/>
      <c r="P20" s="513">
        <f t="shared" si="1"/>
        <v>0</v>
      </c>
      <c r="Q20" s="513"/>
      <c r="R20" s="517">
        <v>1</v>
      </c>
      <c r="S20" s="517"/>
      <c r="T20" s="98">
        <f t="shared" si="5"/>
        <v>0</v>
      </c>
      <c r="U20" s="99">
        <f t="shared" si="2"/>
        <v>0</v>
      </c>
    </row>
    <row r="21" spans="1:21" x14ac:dyDescent="0.25">
      <c r="A21" s="453" t="s">
        <v>110</v>
      </c>
      <c r="B21" s="453"/>
      <c r="C21" s="165">
        <v>0</v>
      </c>
      <c r="D21" s="165">
        <v>0</v>
      </c>
      <c r="E21" s="125">
        <f t="shared" si="3"/>
        <v>0</v>
      </c>
      <c r="F21" s="532">
        <f>'0664'!F21:G21</f>
        <v>3.6739999999999999</v>
      </c>
      <c r="G21" s="532"/>
      <c r="H21" s="83">
        <f t="shared" si="4"/>
        <v>0</v>
      </c>
      <c r="I21" s="104">
        <f t="shared" si="0"/>
        <v>0</v>
      </c>
      <c r="N21" s="479" t="s">
        <v>110</v>
      </c>
      <c r="O21" s="479"/>
      <c r="P21" s="513">
        <f t="shared" si="1"/>
        <v>0</v>
      </c>
      <c r="Q21" s="513"/>
      <c r="R21" s="517">
        <v>1</v>
      </c>
      <c r="S21" s="517"/>
      <c r="T21" s="98">
        <f t="shared" si="5"/>
        <v>0</v>
      </c>
      <c r="U21" s="99">
        <f t="shared" si="2"/>
        <v>0</v>
      </c>
    </row>
    <row r="22" spans="1:21" x14ac:dyDescent="0.25">
      <c r="A22" s="453" t="s">
        <v>111</v>
      </c>
      <c r="B22" s="453"/>
      <c r="C22" s="165">
        <v>0</v>
      </c>
      <c r="D22" s="165">
        <v>0</v>
      </c>
      <c r="E22" s="125">
        <f t="shared" si="3"/>
        <v>0</v>
      </c>
      <c r="F22" s="532">
        <f>'0664'!F22:G22</f>
        <v>5.4009999999999998</v>
      </c>
      <c r="G22" s="532"/>
      <c r="H22" s="83">
        <f t="shared" si="4"/>
        <v>0</v>
      </c>
      <c r="I22" s="104">
        <f t="shared" si="0"/>
        <v>0</v>
      </c>
      <c r="N22" s="479" t="s">
        <v>111</v>
      </c>
      <c r="O22" s="479"/>
      <c r="P22" s="513">
        <f t="shared" si="1"/>
        <v>0</v>
      </c>
      <c r="Q22" s="513"/>
      <c r="R22" s="517">
        <v>1</v>
      </c>
      <c r="S22" s="517"/>
      <c r="T22" s="98">
        <f t="shared" si="5"/>
        <v>0</v>
      </c>
      <c r="U22" s="99">
        <f t="shared" si="2"/>
        <v>0</v>
      </c>
    </row>
    <row r="23" spans="1:21" x14ac:dyDescent="0.25">
      <c r="A23" s="453" t="s">
        <v>112</v>
      </c>
      <c r="B23" s="453"/>
      <c r="C23" s="165">
        <v>0</v>
      </c>
      <c r="D23" s="165">
        <v>0</v>
      </c>
      <c r="E23" s="125">
        <f t="shared" si="3"/>
        <v>0</v>
      </c>
      <c r="F23" s="532">
        <f>'0664'!F23:G23</f>
        <v>5.4009999999999998</v>
      </c>
      <c r="G23" s="532"/>
      <c r="H23" s="83">
        <f t="shared" si="4"/>
        <v>0</v>
      </c>
      <c r="I23" s="104">
        <f t="shared" si="0"/>
        <v>0</v>
      </c>
      <c r="N23" s="479" t="s">
        <v>112</v>
      </c>
      <c r="O23" s="479"/>
      <c r="P23" s="513">
        <f t="shared" si="1"/>
        <v>0</v>
      </c>
      <c r="Q23" s="513"/>
      <c r="R23" s="517">
        <v>1</v>
      </c>
      <c r="S23" s="517"/>
      <c r="T23" s="98">
        <f t="shared" si="5"/>
        <v>0</v>
      </c>
      <c r="U23" s="99">
        <f t="shared" si="2"/>
        <v>0</v>
      </c>
    </row>
    <row r="24" spans="1:21" x14ac:dyDescent="0.25">
      <c r="A24" s="453" t="s">
        <v>113</v>
      </c>
      <c r="B24" s="453"/>
      <c r="C24" s="165">
        <v>0</v>
      </c>
      <c r="D24" s="165">
        <v>0</v>
      </c>
      <c r="E24" s="125">
        <f t="shared" si="3"/>
        <v>0</v>
      </c>
      <c r="F24" s="532">
        <f>'0664'!F24:G24</f>
        <v>5.4009999999999998</v>
      </c>
      <c r="G24" s="532"/>
      <c r="H24" s="83">
        <f t="shared" si="4"/>
        <v>0</v>
      </c>
      <c r="I24" s="104">
        <f t="shared" si="0"/>
        <v>0</v>
      </c>
      <c r="N24" s="479" t="s">
        <v>113</v>
      </c>
      <c r="O24" s="479"/>
      <c r="P24" s="513">
        <f t="shared" si="1"/>
        <v>0</v>
      </c>
      <c r="Q24" s="513"/>
      <c r="R24" s="517">
        <v>1</v>
      </c>
      <c r="S24" s="517"/>
      <c r="T24" s="98">
        <f t="shared" si="5"/>
        <v>0</v>
      </c>
      <c r="U24" s="99">
        <f t="shared" si="2"/>
        <v>0</v>
      </c>
    </row>
    <row r="25" spans="1:21" x14ac:dyDescent="0.25">
      <c r="A25" s="453" t="s">
        <v>114</v>
      </c>
      <c r="B25" s="453"/>
      <c r="C25" s="165">
        <v>25.47</v>
      </c>
      <c r="D25" s="165">
        <v>24.56</v>
      </c>
      <c r="E25" s="125">
        <f t="shared" si="3"/>
        <v>50.03</v>
      </c>
      <c r="F25" s="532">
        <f>'0664'!F25:G25</f>
        <v>1.206</v>
      </c>
      <c r="G25" s="532"/>
      <c r="H25" s="83">
        <f t="shared" si="4"/>
        <v>60.336199999999998</v>
      </c>
      <c r="I25" s="104">
        <f t="shared" si="0"/>
        <v>288909.52</v>
      </c>
      <c r="N25" s="479" t="s">
        <v>114</v>
      </c>
      <c r="O25" s="479"/>
      <c r="P25" s="513">
        <f t="shared" si="1"/>
        <v>0</v>
      </c>
      <c r="Q25" s="513"/>
      <c r="R25" s="517">
        <v>1</v>
      </c>
      <c r="S25" s="517"/>
      <c r="T25" s="98">
        <f t="shared" si="5"/>
        <v>0</v>
      </c>
      <c r="U25" s="99">
        <f t="shared" si="2"/>
        <v>0</v>
      </c>
    </row>
    <row r="26" spans="1:21" x14ac:dyDescent="0.25">
      <c r="A26" s="453" t="s">
        <v>115</v>
      </c>
      <c r="B26" s="453"/>
      <c r="C26" s="165">
        <v>8.19</v>
      </c>
      <c r="D26" s="165">
        <v>8.59</v>
      </c>
      <c r="E26" s="125">
        <f t="shared" si="3"/>
        <v>16.78</v>
      </c>
      <c r="F26" s="532">
        <f>'0664'!F26:G26</f>
        <v>1.206</v>
      </c>
      <c r="G26" s="532"/>
      <c r="H26" s="83">
        <f t="shared" si="4"/>
        <v>20.236699999999999</v>
      </c>
      <c r="I26" s="104">
        <f t="shared" si="0"/>
        <v>96899.96</v>
      </c>
      <c r="N26" s="479" t="s">
        <v>115</v>
      </c>
      <c r="O26" s="479"/>
      <c r="P26" s="513">
        <f t="shared" si="1"/>
        <v>0</v>
      </c>
      <c r="Q26" s="513"/>
      <c r="R26" s="517">
        <v>1</v>
      </c>
      <c r="S26" s="517"/>
      <c r="T26" s="98">
        <f t="shared" si="5"/>
        <v>0</v>
      </c>
      <c r="U26" s="99">
        <f t="shared" si="2"/>
        <v>0</v>
      </c>
    </row>
    <row r="27" spans="1:21" x14ac:dyDescent="0.25">
      <c r="A27" s="453" t="s">
        <v>116</v>
      </c>
      <c r="B27" s="453"/>
      <c r="C27" s="165">
        <v>0</v>
      </c>
      <c r="D27" s="165">
        <v>0</v>
      </c>
      <c r="E27" s="125">
        <f t="shared" si="3"/>
        <v>0</v>
      </c>
      <c r="F27" s="532">
        <f>'0664'!F27:G27</f>
        <v>1.206</v>
      </c>
      <c r="G27" s="532"/>
      <c r="H27" s="83">
        <f t="shared" si="4"/>
        <v>0</v>
      </c>
      <c r="I27" s="104">
        <f t="shared" si="0"/>
        <v>0</v>
      </c>
      <c r="N27" s="479" t="s">
        <v>116</v>
      </c>
      <c r="O27" s="479"/>
      <c r="P27" s="513">
        <f t="shared" si="1"/>
        <v>0</v>
      </c>
      <c r="Q27" s="513"/>
      <c r="R27" s="517">
        <v>1</v>
      </c>
      <c r="S27" s="517"/>
      <c r="T27" s="98">
        <f t="shared" si="5"/>
        <v>0</v>
      </c>
      <c r="U27" s="99">
        <f t="shared" si="2"/>
        <v>0</v>
      </c>
    </row>
    <row r="28" spans="1:21" x14ac:dyDescent="0.25">
      <c r="A28" s="453" t="s">
        <v>117</v>
      </c>
      <c r="B28" s="453"/>
      <c r="C28" s="116">
        <v>0</v>
      </c>
      <c r="D28" s="116">
        <v>0</v>
      </c>
      <c r="E28" s="177">
        <f t="shared" si="3"/>
        <v>0</v>
      </c>
      <c r="F28" s="532">
        <f>'0664'!F28:G28</f>
        <v>0.999</v>
      </c>
      <c r="G28" s="532"/>
      <c r="H28" s="96">
        <f t="shared" si="4"/>
        <v>0</v>
      </c>
      <c r="I28" s="97">
        <f t="shared" si="0"/>
        <v>0</v>
      </c>
      <c r="N28" s="482" t="s">
        <v>117</v>
      </c>
      <c r="O28" s="482"/>
      <c r="P28" s="513">
        <f t="shared" si="1"/>
        <v>0</v>
      </c>
      <c r="Q28" s="513"/>
      <c r="R28" s="514">
        <v>1</v>
      </c>
      <c r="S28" s="514"/>
      <c r="T28" s="98">
        <f t="shared" si="5"/>
        <v>0</v>
      </c>
      <c r="U28" s="99">
        <f t="shared" si="2"/>
        <v>0</v>
      </c>
    </row>
    <row r="29" spans="1:21" x14ac:dyDescent="0.25">
      <c r="A29" s="461" t="s">
        <v>5</v>
      </c>
      <c r="B29" s="461"/>
      <c r="C29" s="97">
        <f>SUM(C13:C28)</f>
        <v>100</v>
      </c>
      <c r="D29" s="97">
        <f>SUM(D13:D28)</f>
        <v>99.92</v>
      </c>
      <c r="E29" s="97">
        <f>SUM(E13:E28)</f>
        <v>199.92</v>
      </c>
      <c r="F29" s="457"/>
      <c r="G29" s="457"/>
      <c r="H29" s="102">
        <f>SUM(H13:H28)</f>
        <v>225.27620000000002</v>
      </c>
      <c r="I29" s="97">
        <f>SUM(I13:I28)</f>
        <v>1078696.3700000001</v>
      </c>
      <c r="N29" s="515" t="s">
        <v>5</v>
      </c>
      <c r="O29" s="515"/>
      <c r="P29" s="516">
        <f>SUM(P13:P28)</f>
        <v>0</v>
      </c>
      <c r="Q29" s="516"/>
      <c r="R29" s="508"/>
      <c r="S29" s="508"/>
      <c r="T29" s="103">
        <f>SUM(T13:T28)</f>
        <v>0</v>
      </c>
      <c r="U29" s="99">
        <f>SUM(U13:U28)</f>
        <v>0</v>
      </c>
    </row>
    <row r="30" spans="1:21" x14ac:dyDescent="0.25">
      <c r="A30" s="27"/>
      <c r="B30" s="27"/>
      <c r="C30" s="104"/>
      <c r="D30" s="104"/>
      <c r="E30" s="104"/>
      <c r="F30" s="28"/>
      <c r="G30" s="28"/>
      <c r="H30" s="83"/>
      <c r="I30" s="104"/>
      <c r="N30" s="29"/>
      <c r="O30" s="29"/>
      <c r="P30" s="30"/>
      <c r="Q30" s="30"/>
      <c r="R30" s="31"/>
      <c r="S30" s="31"/>
      <c r="T30" s="105"/>
      <c r="U30" s="106"/>
    </row>
    <row r="31" spans="1:21" x14ac:dyDescent="0.25">
      <c r="A31" s="168" t="s">
        <v>97</v>
      </c>
      <c r="B31" s="27"/>
      <c r="C31" s="104"/>
      <c r="D31" s="104"/>
      <c r="E31" s="104"/>
      <c r="F31" s="28"/>
      <c r="G31" s="28"/>
      <c r="H31" s="83"/>
      <c r="I31" s="104"/>
      <c r="N31" s="29"/>
      <c r="O31" s="29"/>
      <c r="P31" s="30"/>
      <c r="Q31" s="30"/>
      <c r="R31" s="31"/>
      <c r="S31" s="31"/>
      <c r="T31" s="105"/>
      <c r="U31" s="106"/>
    </row>
    <row r="32" spans="1:21" hidden="1" x14ac:dyDescent="0.25">
      <c r="A32" s="168"/>
      <c r="B32" s="27"/>
      <c r="C32" s="104"/>
      <c r="D32" s="104"/>
      <c r="E32" s="104"/>
      <c r="F32" s="28"/>
      <c r="G32" s="28"/>
      <c r="H32" s="83"/>
      <c r="I32" s="104"/>
      <c r="N32" s="29"/>
      <c r="O32" s="29"/>
      <c r="P32" s="30"/>
      <c r="Q32" s="30"/>
      <c r="R32" s="31"/>
      <c r="S32" s="31"/>
      <c r="T32" s="105"/>
      <c r="U32" s="106"/>
    </row>
    <row r="33" spans="1:21" hidden="1" x14ac:dyDescent="0.25">
      <c r="A33" s="168"/>
      <c r="B33" s="27"/>
      <c r="C33" s="104"/>
      <c r="D33" s="104"/>
      <c r="E33" s="104"/>
      <c r="F33" s="541" t="s">
        <v>282</v>
      </c>
      <c r="G33" s="541"/>
      <c r="H33" s="541"/>
      <c r="I33" s="104"/>
      <c r="N33" s="29"/>
      <c r="O33" s="29"/>
      <c r="P33" s="30"/>
      <c r="Q33" s="30"/>
      <c r="R33" s="31"/>
      <c r="S33" s="31"/>
      <c r="T33" s="105"/>
      <c r="U33" s="106"/>
    </row>
    <row r="34" spans="1:21" hidden="1" x14ac:dyDescent="0.25">
      <c r="A34" s="3"/>
      <c r="B34" s="72"/>
      <c r="C34" s="72"/>
      <c r="D34" s="72"/>
      <c r="E34" s="72"/>
      <c r="F34" s="541"/>
      <c r="G34" s="541"/>
      <c r="H34" s="541"/>
      <c r="I34" s="25" t="s">
        <v>74</v>
      </c>
      <c r="N34" s="485" t="s">
        <v>35</v>
      </c>
      <c r="O34" s="485"/>
      <c r="P34" s="485"/>
      <c r="Q34" s="485"/>
      <c r="R34" s="485"/>
      <c r="S34" s="485"/>
      <c r="T34" s="485"/>
      <c r="U34" s="26" t="s">
        <v>74</v>
      </c>
    </row>
    <row r="35" spans="1:21" hidden="1" x14ac:dyDescent="0.25">
      <c r="A35" s="27"/>
      <c r="B35" s="27"/>
      <c r="C35" s="91" t="s">
        <v>124</v>
      </c>
      <c r="D35" s="91" t="s">
        <v>125</v>
      </c>
      <c r="E35" s="92" t="s">
        <v>8</v>
      </c>
      <c r="F35" s="541"/>
      <c r="G35" s="541"/>
      <c r="H35" s="541"/>
      <c r="I35" s="25" t="s">
        <v>36</v>
      </c>
      <c r="N35" s="29"/>
      <c r="O35" s="29"/>
      <c r="P35" s="30"/>
      <c r="Q35" s="30"/>
      <c r="R35" s="31"/>
      <c r="S35" s="31"/>
      <c r="T35" s="105"/>
      <c r="U35" s="26" t="s">
        <v>36</v>
      </c>
    </row>
    <row r="36" spans="1:21" hidden="1" x14ac:dyDescent="0.25">
      <c r="A36" s="447" t="s">
        <v>63</v>
      </c>
      <c r="B36" s="447"/>
      <c r="C36" s="93" t="s">
        <v>2</v>
      </c>
      <c r="D36" s="93" t="s">
        <v>2</v>
      </c>
      <c r="E36" s="93" t="s">
        <v>2</v>
      </c>
      <c r="F36" s="542"/>
      <c r="G36" s="542"/>
      <c r="H36" s="542"/>
      <c r="I36" s="32" t="s">
        <v>75</v>
      </c>
      <c r="N36" s="510" t="s">
        <v>63</v>
      </c>
      <c r="O36" s="510"/>
      <c r="P36" s="511" t="s">
        <v>24</v>
      </c>
      <c r="Q36" s="511"/>
      <c r="R36" s="511"/>
      <c r="S36" s="511"/>
      <c r="T36" s="511"/>
      <c r="U36" s="20" t="s">
        <v>75</v>
      </c>
    </row>
    <row r="37" spans="1:21" hidden="1" x14ac:dyDescent="0.25">
      <c r="A37" s="451" t="s">
        <v>56</v>
      </c>
      <c r="B37" s="451"/>
      <c r="C37" s="169">
        <v>0</v>
      </c>
      <c r="D37" s="169">
        <v>0</v>
      </c>
      <c r="E37" s="210">
        <f t="shared" ref="E37:E42" si="6">IF(D$43=0,C37*2,C37+D37)</f>
        <v>0</v>
      </c>
      <c r="F37" s="170"/>
      <c r="G37" s="170"/>
      <c r="H37" s="170"/>
      <c r="I37" s="119">
        <f t="shared" ref="I37:I42" si="7">ROUND(ROUND(E37*$C$8,4)*($H$8),2)</f>
        <v>0</v>
      </c>
      <c r="N37" s="512" t="s">
        <v>56</v>
      </c>
      <c r="O37" s="512"/>
      <c r="P37" s="483">
        <f t="shared" ref="P37:P42" si="8">IF($H$120=1,E37,0)</f>
        <v>0</v>
      </c>
      <c r="Q37" s="483"/>
      <c r="R37" s="483"/>
      <c r="S37" s="483"/>
      <c r="T37" s="483"/>
      <c r="U37" s="101">
        <f t="shared" ref="U37:U42" si="9">ROUND(ROUND(P37*$C$8,4)*($H$8),0)</f>
        <v>0</v>
      </c>
    </row>
    <row r="38" spans="1:21" hidden="1" x14ac:dyDescent="0.25">
      <c r="A38" s="453" t="s">
        <v>57</v>
      </c>
      <c r="B38" s="453"/>
      <c r="C38" s="172">
        <v>0</v>
      </c>
      <c r="D38" s="172">
        <v>0</v>
      </c>
      <c r="E38" s="125">
        <f t="shared" si="6"/>
        <v>0</v>
      </c>
      <c r="F38" s="173"/>
      <c r="G38" s="173"/>
      <c r="H38" s="173"/>
      <c r="I38" s="104">
        <f t="shared" si="7"/>
        <v>0</v>
      </c>
      <c r="N38" s="479" t="s">
        <v>57</v>
      </c>
      <c r="O38" s="479"/>
      <c r="P38" s="483">
        <f t="shared" si="8"/>
        <v>0</v>
      </c>
      <c r="Q38" s="483"/>
      <c r="R38" s="483"/>
      <c r="S38" s="483"/>
      <c r="T38" s="483"/>
      <c r="U38" s="101">
        <f t="shared" si="9"/>
        <v>0</v>
      </c>
    </row>
    <row r="39" spans="1:21" hidden="1" x14ac:dyDescent="0.25">
      <c r="A39" s="458" t="s">
        <v>58</v>
      </c>
      <c r="B39" s="458"/>
      <c r="C39" s="172">
        <v>0</v>
      </c>
      <c r="D39" s="172">
        <v>0</v>
      </c>
      <c r="E39" s="125">
        <f t="shared" si="6"/>
        <v>0</v>
      </c>
      <c r="F39" s="173"/>
      <c r="G39" s="173"/>
      <c r="H39" s="173"/>
      <c r="I39" s="104">
        <f t="shared" si="7"/>
        <v>0</v>
      </c>
      <c r="N39" s="509" t="s">
        <v>58</v>
      </c>
      <c r="O39" s="509"/>
      <c r="P39" s="483">
        <f t="shared" si="8"/>
        <v>0</v>
      </c>
      <c r="Q39" s="483"/>
      <c r="R39" s="483"/>
      <c r="S39" s="483"/>
      <c r="T39" s="483"/>
      <c r="U39" s="101">
        <f t="shared" si="9"/>
        <v>0</v>
      </c>
    </row>
    <row r="40" spans="1:21" hidden="1" x14ac:dyDescent="0.25">
      <c r="A40" s="453" t="s">
        <v>59</v>
      </c>
      <c r="B40" s="453"/>
      <c r="C40" s="172">
        <v>0</v>
      </c>
      <c r="D40" s="172">
        <v>0</v>
      </c>
      <c r="E40" s="125">
        <f t="shared" si="6"/>
        <v>0</v>
      </c>
      <c r="F40" s="173"/>
      <c r="G40" s="173"/>
      <c r="H40" s="173"/>
      <c r="I40" s="104">
        <f t="shared" si="7"/>
        <v>0</v>
      </c>
      <c r="N40" s="479" t="s">
        <v>59</v>
      </c>
      <c r="O40" s="479"/>
      <c r="P40" s="483">
        <f t="shared" si="8"/>
        <v>0</v>
      </c>
      <c r="Q40" s="483"/>
      <c r="R40" s="483"/>
      <c r="S40" s="483"/>
      <c r="T40" s="483"/>
      <c r="U40" s="101">
        <f t="shared" si="9"/>
        <v>0</v>
      </c>
    </row>
    <row r="41" spans="1:21" hidden="1" x14ac:dyDescent="0.25">
      <c r="A41" s="453" t="s">
        <v>60</v>
      </c>
      <c r="B41" s="453"/>
      <c r="C41" s="172">
        <v>0</v>
      </c>
      <c r="D41" s="172">
        <v>0</v>
      </c>
      <c r="E41" s="125">
        <f t="shared" si="6"/>
        <v>0</v>
      </c>
      <c r="F41" s="173"/>
      <c r="G41" s="173"/>
      <c r="H41" s="173"/>
      <c r="I41" s="104">
        <f t="shared" si="7"/>
        <v>0</v>
      </c>
      <c r="N41" s="479" t="s">
        <v>60</v>
      </c>
      <c r="O41" s="479"/>
      <c r="P41" s="483">
        <f t="shared" si="8"/>
        <v>0</v>
      </c>
      <c r="Q41" s="483"/>
      <c r="R41" s="483"/>
      <c r="S41" s="483"/>
      <c r="T41" s="483"/>
      <c r="U41" s="101">
        <f t="shared" si="9"/>
        <v>0</v>
      </c>
    </row>
    <row r="42" spans="1:21" hidden="1" x14ac:dyDescent="0.25">
      <c r="A42" s="453" t="s">
        <v>52</v>
      </c>
      <c r="B42" s="453"/>
      <c r="C42" s="171">
        <v>0</v>
      </c>
      <c r="D42" s="171">
        <v>0</v>
      </c>
      <c r="E42" s="177">
        <f t="shared" si="6"/>
        <v>0</v>
      </c>
      <c r="F42" s="173"/>
      <c r="G42" s="173"/>
      <c r="H42" s="173"/>
      <c r="I42" s="97">
        <f t="shared" si="7"/>
        <v>0</v>
      </c>
      <c r="N42" s="482" t="s">
        <v>52</v>
      </c>
      <c r="O42" s="482"/>
      <c r="P42" s="483">
        <f t="shared" si="8"/>
        <v>0</v>
      </c>
      <c r="Q42" s="483"/>
      <c r="R42" s="483"/>
      <c r="S42" s="483"/>
      <c r="T42" s="483"/>
      <c r="U42" s="101">
        <f t="shared" si="9"/>
        <v>0</v>
      </c>
    </row>
    <row r="43" spans="1:21" hidden="1" x14ac:dyDescent="0.25">
      <c r="A43" s="3"/>
      <c r="B43" s="55" t="s">
        <v>126</v>
      </c>
      <c r="C43" s="100">
        <f>SUM(C37:C42)</f>
        <v>0</v>
      </c>
      <c r="D43" s="100">
        <f>SUM(D37:D42)</f>
        <v>0</v>
      </c>
      <c r="E43" s="100">
        <f>SUM(E37:E42)</f>
        <v>0</v>
      </c>
      <c r="F43" s="33"/>
      <c r="G43" s="109"/>
      <c r="H43" s="110" t="s">
        <v>128</v>
      </c>
      <c r="I43" s="100">
        <f>SUM(I37:I42)</f>
        <v>0</v>
      </c>
      <c r="N43" s="480" t="s">
        <v>54</v>
      </c>
      <c r="O43" s="480"/>
      <c r="P43" s="480"/>
      <c r="Q43" s="480"/>
      <c r="R43" s="34">
        <f>SUM(P37:R42)</f>
        <v>0</v>
      </c>
      <c r="S43" s="508" t="s">
        <v>64</v>
      </c>
      <c r="T43" s="508"/>
      <c r="U43" s="106">
        <f>SUM(U37:U42)</f>
        <v>0</v>
      </c>
    </row>
    <row r="44" spans="1:21" ht="16.5" hidden="1" thickBot="1" x14ac:dyDescent="0.3">
      <c r="A44" s="3"/>
      <c r="B44" s="55"/>
      <c r="C44" s="104"/>
      <c r="D44" s="104"/>
      <c r="E44" s="119"/>
      <c r="F44" s="33"/>
      <c r="G44" s="109"/>
      <c r="H44" s="110"/>
      <c r="I44" s="104"/>
      <c r="N44" s="29"/>
      <c r="O44" s="29"/>
      <c r="P44" s="29"/>
      <c r="Q44" s="29"/>
      <c r="R44" s="34"/>
      <c r="S44" s="31"/>
      <c r="T44" s="31"/>
      <c r="U44" s="106"/>
    </row>
    <row r="45" spans="1:21" ht="16.5" hidden="1" thickBot="1" x14ac:dyDescent="0.3">
      <c r="A45" s="3"/>
      <c r="B45" s="55" t="s">
        <v>127</v>
      </c>
      <c r="E45" s="174">
        <f>H29+E43</f>
        <v>225.27620000000002</v>
      </c>
      <c r="F45" s="35"/>
      <c r="G45" s="109"/>
      <c r="H45" s="110" t="s">
        <v>129</v>
      </c>
      <c r="I45" s="97">
        <f>SUM(I43,I29)</f>
        <v>1078696.3700000001</v>
      </c>
      <c r="N45" s="480" t="s">
        <v>55</v>
      </c>
      <c r="O45" s="480"/>
      <c r="P45" s="480"/>
      <c r="Q45" s="480"/>
      <c r="R45" s="36">
        <f>R43+T29</f>
        <v>0</v>
      </c>
      <c r="S45" s="508" t="s">
        <v>53</v>
      </c>
      <c r="T45" s="508"/>
      <c r="U45" s="111">
        <f>SUM(U43,U29)</f>
        <v>0</v>
      </c>
    </row>
    <row r="46" spans="1:21" hidden="1" x14ac:dyDescent="0.25">
      <c r="A46" s="27"/>
      <c r="B46" s="27"/>
      <c r="C46" s="27"/>
      <c r="D46" s="27"/>
      <c r="E46" s="27"/>
      <c r="F46" s="35"/>
      <c r="G46" s="28"/>
      <c r="H46" s="28"/>
      <c r="I46" s="104"/>
      <c r="N46" s="29"/>
      <c r="O46" s="29"/>
      <c r="P46" s="29"/>
      <c r="Q46" s="29"/>
      <c r="R46" s="36"/>
      <c r="S46" s="31"/>
      <c r="T46" s="31"/>
      <c r="U46" s="106"/>
    </row>
    <row r="47" spans="1:21" x14ac:dyDescent="0.25">
      <c r="A47" s="27"/>
      <c r="B47" s="55" t="s">
        <v>370</v>
      </c>
      <c r="C47" s="41" t="s">
        <v>370</v>
      </c>
      <c r="D47" s="91" t="s">
        <v>370</v>
      </c>
      <c r="E47" s="27"/>
      <c r="F47" s="35"/>
      <c r="G47" s="28"/>
      <c r="H47" s="28"/>
      <c r="I47" s="104"/>
      <c r="N47" s="29"/>
      <c r="O47" s="29"/>
      <c r="P47" s="29"/>
      <c r="Q47" s="29"/>
      <c r="R47" s="36"/>
      <c r="S47" s="31"/>
      <c r="T47" s="31"/>
      <c r="U47" s="106"/>
    </row>
    <row r="48" spans="1:21" x14ac:dyDescent="0.25">
      <c r="A48" s="27"/>
      <c r="B48" s="27"/>
      <c r="C48" s="91" t="s">
        <v>463</v>
      </c>
      <c r="D48" s="371" t="s">
        <v>464</v>
      </c>
      <c r="E48" s="92" t="s">
        <v>8</v>
      </c>
      <c r="F48" s="49" t="s">
        <v>130</v>
      </c>
      <c r="G48" s="112" t="s">
        <v>132</v>
      </c>
      <c r="H48" s="113" t="s">
        <v>133</v>
      </c>
      <c r="I48" s="104"/>
      <c r="N48" s="29"/>
      <c r="O48" s="29"/>
      <c r="P48" s="29"/>
      <c r="Q48" s="29"/>
      <c r="R48" s="36"/>
      <c r="S48" s="31"/>
      <c r="T48" s="31"/>
      <c r="U48" s="106"/>
    </row>
    <row r="49" spans="1:21" x14ac:dyDescent="0.25">
      <c r="A49" s="37" t="s">
        <v>87</v>
      </c>
      <c r="B49" s="37"/>
      <c r="C49" s="362" t="s">
        <v>2</v>
      </c>
      <c r="D49" s="362" t="s">
        <v>2</v>
      </c>
      <c r="E49" s="362" t="s">
        <v>2</v>
      </c>
      <c r="F49" s="95" t="s">
        <v>131</v>
      </c>
      <c r="G49" s="62" t="s">
        <v>131</v>
      </c>
      <c r="H49" s="114" t="s">
        <v>134</v>
      </c>
      <c r="I49" s="37"/>
      <c r="N49" s="482" t="s">
        <v>87</v>
      </c>
      <c r="O49" s="482"/>
      <c r="P49" s="503" t="s">
        <v>2</v>
      </c>
      <c r="Q49" s="503"/>
      <c r="R49" s="38" t="s">
        <v>25</v>
      </c>
      <c r="S49" s="63" t="s">
        <v>26</v>
      </c>
      <c r="T49" s="115" t="s">
        <v>27</v>
      </c>
      <c r="U49" s="38"/>
    </row>
    <row r="50" spans="1:21" x14ac:dyDescent="0.25">
      <c r="A50" s="459" t="s">
        <v>98</v>
      </c>
      <c r="B50" s="459"/>
      <c r="C50" s="165">
        <v>9</v>
      </c>
      <c r="D50" s="165">
        <v>7.58</v>
      </c>
      <c r="E50" s="125">
        <f>IF(D$59=0,C50*2,C50+D50)</f>
        <v>16.579999999999998</v>
      </c>
      <c r="F50" s="39" t="s">
        <v>21</v>
      </c>
      <c r="G50" s="39">
        <v>251</v>
      </c>
      <c r="H50" s="321">
        <f>'0664'!H50</f>
        <v>1047</v>
      </c>
      <c r="I50" s="104">
        <f>ROUND(E50*H50,2)</f>
        <v>17359.259999999998</v>
      </c>
      <c r="N50" s="504" t="s">
        <v>28</v>
      </c>
      <c r="O50" s="504"/>
      <c r="P50" s="505"/>
      <c r="Q50" s="505"/>
      <c r="R50" s="40" t="s">
        <v>21</v>
      </c>
      <c r="S50" s="40">
        <v>251</v>
      </c>
      <c r="T50" s="117">
        <f>H50</f>
        <v>1047</v>
      </c>
      <c r="U50" s="118">
        <f>ROUND(P50*T50,0)</f>
        <v>0</v>
      </c>
    </row>
    <row r="51" spans="1:21" x14ac:dyDescent="0.25">
      <c r="A51" s="460"/>
      <c r="B51" s="460"/>
      <c r="C51" s="165">
        <v>0.5</v>
      </c>
      <c r="D51" s="165">
        <v>0.42</v>
      </c>
      <c r="E51" s="125">
        <f t="shared" ref="E51:E58" si="10">IF(D$59=0,C51*2,C51+D51)</f>
        <v>0.91999999999999993</v>
      </c>
      <c r="F51" s="39" t="s">
        <v>21</v>
      </c>
      <c r="G51" s="39">
        <v>252</v>
      </c>
      <c r="H51" s="321">
        <f>'0664'!H51</f>
        <v>3380</v>
      </c>
      <c r="I51" s="104">
        <f t="shared" ref="I51:I58" si="11">ROUND(E51*H51,2)</f>
        <v>3109.6</v>
      </c>
      <c r="N51" s="504"/>
      <c r="O51" s="504"/>
      <c r="P51" s="506"/>
      <c r="Q51" s="506"/>
      <c r="R51" s="40" t="s">
        <v>21</v>
      </c>
      <c r="S51" s="40">
        <v>252</v>
      </c>
      <c r="T51" s="117">
        <f t="shared" ref="T51:T58" si="12">H51</f>
        <v>3380</v>
      </c>
      <c r="U51" s="118">
        <f t="shared" ref="U51:U58" si="13">ROUND(P51*T51,0)</f>
        <v>0</v>
      </c>
    </row>
    <row r="52" spans="1:21" x14ac:dyDescent="0.25">
      <c r="A52" s="460"/>
      <c r="B52" s="460"/>
      <c r="C52" s="165">
        <v>0</v>
      </c>
      <c r="D52" s="165">
        <v>0</v>
      </c>
      <c r="E52" s="125">
        <f t="shared" si="10"/>
        <v>0</v>
      </c>
      <c r="F52" s="39" t="s">
        <v>21</v>
      </c>
      <c r="G52" s="39">
        <v>253</v>
      </c>
      <c r="H52" s="321">
        <f>'0664'!H52</f>
        <v>6896</v>
      </c>
      <c r="I52" s="104">
        <f t="shared" si="11"/>
        <v>0</v>
      </c>
      <c r="N52" s="504"/>
      <c r="O52" s="504"/>
      <c r="P52" s="506"/>
      <c r="Q52" s="506"/>
      <c r="R52" s="40" t="s">
        <v>21</v>
      </c>
      <c r="S52" s="40">
        <v>253</v>
      </c>
      <c r="T52" s="117">
        <f t="shared" si="12"/>
        <v>6896</v>
      </c>
      <c r="U52" s="118">
        <f t="shared" si="13"/>
        <v>0</v>
      </c>
    </row>
    <row r="53" spans="1:21" x14ac:dyDescent="0.25">
      <c r="A53" s="460"/>
      <c r="B53" s="460"/>
      <c r="C53" s="165">
        <v>4.5</v>
      </c>
      <c r="D53" s="165">
        <v>4.9000000000000004</v>
      </c>
      <c r="E53" s="125">
        <f t="shared" si="10"/>
        <v>9.4</v>
      </c>
      <c r="F53" s="41" t="s">
        <v>14</v>
      </c>
      <c r="G53" s="39">
        <v>251</v>
      </c>
      <c r="H53" s="321">
        <f>'0664'!H53</f>
        <v>1173</v>
      </c>
      <c r="I53" s="104">
        <f t="shared" si="11"/>
        <v>11026.2</v>
      </c>
      <c r="N53" s="504"/>
      <c r="O53" s="504"/>
      <c r="P53" s="506"/>
      <c r="Q53" s="506"/>
      <c r="R53" s="42" t="s">
        <v>14</v>
      </c>
      <c r="S53" s="40">
        <v>251</v>
      </c>
      <c r="T53" s="117">
        <f t="shared" si="12"/>
        <v>1173</v>
      </c>
      <c r="U53" s="118">
        <f t="shared" si="13"/>
        <v>0</v>
      </c>
    </row>
    <row r="54" spans="1:21" x14ac:dyDescent="0.25">
      <c r="A54" s="460"/>
      <c r="B54" s="460"/>
      <c r="C54" s="165">
        <v>0.5</v>
      </c>
      <c r="D54" s="165">
        <v>0.54</v>
      </c>
      <c r="E54" s="125">
        <f t="shared" si="10"/>
        <v>1.04</v>
      </c>
      <c r="F54" s="41" t="s">
        <v>14</v>
      </c>
      <c r="G54" s="39">
        <v>252</v>
      </c>
      <c r="H54" s="321">
        <f>'0664'!H54</f>
        <v>3506</v>
      </c>
      <c r="I54" s="104">
        <f t="shared" si="11"/>
        <v>3646.24</v>
      </c>
      <c r="N54" s="504"/>
      <c r="O54" s="504"/>
      <c r="P54" s="506"/>
      <c r="Q54" s="506"/>
      <c r="R54" s="42" t="s">
        <v>14</v>
      </c>
      <c r="S54" s="40">
        <v>252</v>
      </c>
      <c r="T54" s="117">
        <f t="shared" si="12"/>
        <v>3506</v>
      </c>
      <c r="U54" s="118">
        <f t="shared" si="13"/>
        <v>0</v>
      </c>
    </row>
    <row r="55" spans="1:21" x14ac:dyDescent="0.25">
      <c r="A55" s="460"/>
      <c r="B55" s="460"/>
      <c r="C55" s="165">
        <v>0</v>
      </c>
      <c r="D55" s="165">
        <v>0</v>
      </c>
      <c r="E55" s="125">
        <f t="shared" si="10"/>
        <v>0</v>
      </c>
      <c r="F55" s="41" t="s">
        <v>14</v>
      </c>
      <c r="G55" s="39">
        <v>253</v>
      </c>
      <c r="H55" s="321">
        <f>'0664'!H55</f>
        <v>7023</v>
      </c>
      <c r="I55" s="104">
        <f t="shared" si="11"/>
        <v>0</v>
      </c>
      <c r="N55" s="504"/>
      <c r="O55" s="504"/>
      <c r="P55" s="506"/>
      <c r="Q55" s="506"/>
      <c r="R55" s="42" t="s">
        <v>14</v>
      </c>
      <c r="S55" s="40">
        <v>253</v>
      </c>
      <c r="T55" s="117">
        <f t="shared" si="12"/>
        <v>7023</v>
      </c>
      <c r="U55" s="118">
        <f t="shared" si="13"/>
        <v>0</v>
      </c>
    </row>
    <row r="56" spans="1:21" x14ac:dyDescent="0.25">
      <c r="A56" s="460"/>
      <c r="B56" s="460"/>
      <c r="C56" s="165">
        <v>0</v>
      </c>
      <c r="D56" s="165">
        <v>0</v>
      </c>
      <c r="E56" s="125">
        <f t="shared" si="10"/>
        <v>0</v>
      </c>
      <c r="F56" s="41" t="s">
        <v>15</v>
      </c>
      <c r="G56" s="39">
        <v>251</v>
      </c>
      <c r="H56" s="321">
        <f>'0664'!H56</f>
        <v>835</v>
      </c>
      <c r="I56" s="104">
        <f t="shared" si="11"/>
        <v>0</v>
      </c>
      <c r="N56" s="504"/>
      <c r="O56" s="504"/>
      <c r="P56" s="506"/>
      <c r="Q56" s="506"/>
      <c r="R56" s="42" t="s">
        <v>15</v>
      </c>
      <c r="S56" s="40">
        <v>251</v>
      </c>
      <c r="T56" s="117">
        <f t="shared" si="12"/>
        <v>835</v>
      </c>
      <c r="U56" s="118">
        <f t="shared" si="13"/>
        <v>0</v>
      </c>
    </row>
    <row r="57" spans="1:21" x14ac:dyDescent="0.25">
      <c r="A57" s="460"/>
      <c r="B57" s="460"/>
      <c r="C57" s="165">
        <v>0</v>
      </c>
      <c r="D57" s="165">
        <v>0</v>
      </c>
      <c r="E57" s="125">
        <f t="shared" si="10"/>
        <v>0</v>
      </c>
      <c r="F57" s="41" t="s">
        <v>15</v>
      </c>
      <c r="G57" s="39">
        <v>252</v>
      </c>
      <c r="H57" s="321">
        <f>'0664'!H57</f>
        <v>3168</v>
      </c>
      <c r="I57" s="104">
        <f t="shared" si="11"/>
        <v>0</v>
      </c>
      <c r="N57" s="504"/>
      <c r="O57" s="504"/>
      <c r="P57" s="506"/>
      <c r="Q57" s="506"/>
      <c r="R57" s="42" t="s">
        <v>15</v>
      </c>
      <c r="S57" s="40">
        <v>252</v>
      </c>
      <c r="T57" s="117">
        <f t="shared" si="12"/>
        <v>3168</v>
      </c>
      <c r="U57" s="118">
        <f t="shared" si="13"/>
        <v>0</v>
      </c>
    </row>
    <row r="58" spans="1:21" ht="16.5" thickBot="1" x14ac:dyDescent="0.3">
      <c r="A58" s="460"/>
      <c r="B58" s="460"/>
      <c r="C58" s="165">
        <v>0</v>
      </c>
      <c r="D58" s="165">
        <v>0</v>
      </c>
      <c r="E58" s="125">
        <f t="shared" si="10"/>
        <v>0</v>
      </c>
      <c r="F58" s="41" t="s">
        <v>15</v>
      </c>
      <c r="G58" s="39">
        <v>253</v>
      </c>
      <c r="H58" s="321">
        <f>'0664'!H58</f>
        <v>6685</v>
      </c>
      <c r="I58" s="104">
        <f t="shared" si="11"/>
        <v>0</v>
      </c>
      <c r="N58" s="504"/>
      <c r="O58" s="504"/>
      <c r="P58" s="507"/>
      <c r="Q58" s="507"/>
      <c r="R58" s="42" t="s">
        <v>15</v>
      </c>
      <c r="S58" s="40">
        <v>253</v>
      </c>
      <c r="T58" s="117">
        <f t="shared" si="12"/>
        <v>6685</v>
      </c>
      <c r="U58" s="120">
        <f t="shared" si="13"/>
        <v>0</v>
      </c>
    </row>
    <row r="59" spans="1:21" ht="16.5" thickBot="1" x14ac:dyDescent="0.3">
      <c r="A59" s="461" t="s">
        <v>16</v>
      </c>
      <c r="B59" s="461"/>
      <c r="C59" s="100">
        <f>SUM(C50:C58)</f>
        <v>14.5</v>
      </c>
      <c r="D59" s="100">
        <f>SUM(D50:D58)</f>
        <v>13.440000000000001</v>
      </c>
      <c r="E59" s="100">
        <f>SUM(E50:E58)</f>
        <v>27.939999999999998</v>
      </c>
      <c r="F59" s="461" t="s">
        <v>77</v>
      </c>
      <c r="G59" s="461"/>
      <c r="H59" s="461"/>
      <c r="I59" s="100">
        <f>SUM(I50:I58)</f>
        <v>35141.299999999996</v>
      </c>
      <c r="N59" s="480" t="s">
        <v>16</v>
      </c>
      <c r="O59" s="480"/>
      <c r="P59" s="502">
        <f>SUM(P50:P58)</f>
        <v>0</v>
      </c>
      <c r="Q59" s="502"/>
      <c r="R59" s="480" t="s">
        <v>77</v>
      </c>
      <c r="S59" s="480"/>
      <c r="T59" s="480"/>
      <c r="U59" s="111">
        <f>SUM(U50:U58)</f>
        <v>0</v>
      </c>
    </row>
    <row r="60" spans="1:21" x14ac:dyDescent="0.25">
      <c r="A60" s="462"/>
      <c r="B60" s="462"/>
      <c r="C60" s="462"/>
      <c r="D60" s="462"/>
      <c r="E60" s="462"/>
      <c r="F60" s="462"/>
      <c r="G60" s="462"/>
      <c r="H60" s="462"/>
      <c r="I60" s="462"/>
      <c r="N60" s="484"/>
      <c r="O60" s="484"/>
      <c r="P60" s="484"/>
      <c r="Q60" s="484"/>
      <c r="R60" s="484"/>
      <c r="S60" s="484"/>
      <c r="T60" s="484"/>
      <c r="U60" s="484"/>
    </row>
    <row r="61" spans="1:21" x14ac:dyDescent="0.25">
      <c r="A61" s="463" t="s">
        <v>136</v>
      </c>
      <c r="B61" s="453"/>
      <c r="C61" s="453"/>
      <c r="D61" s="453"/>
      <c r="E61" s="453"/>
      <c r="F61" s="453"/>
      <c r="G61" s="453"/>
      <c r="H61" s="453"/>
      <c r="I61" s="453"/>
      <c r="N61" s="479" t="s">
        <v>88</v>
      </c>
      <c r="O61" s="479"/>
      <c r="P61" s="479"/>
      <c r="Q61" s="479"/>
      <c r="R61" s="479"/>
      <c r="S61" s="479"/>
      <c r="T61" s="479"/>
      <c r="U61" s="479"/>
    </row>
    <row r="62" spans="1:21" x14ac:dyDescent="0.25">
      <c r="A62" s="463" t="s">
        <v>138</v>
      </c>
      <c r="B62" s="453"/>
      <c r="C62" s="121">
        <f>E29</f>
        <v>199.92</v>
      </c>
      <c r="D62" s="464" t="s">
        <v>135</v>
      </c>
      <c r="E62" s="464"/>
      <c r="F62" s="464"/>
      <c r="G62" s="464"/>
      <c r="H62" s="335">
        <f>'0664'!H62</f>
        <v>193340.76</v>
      </c>
      <c r="I62" s="122"/>
      <c r="N62" s="478" t="s">
        <v>312</v>
      </c>
      <c r="O62" s="479"/>
      <c r="P62" s="43">
        <f>P29</f>
        <v>0</v>
      </c>
      <c r="Q62" s="498" t="s">
        <v>78</v>
      </c>
      <c r="R62" s="498"/>
      <c r="S62" s="498"/>
      <c r="T62" s="497">
        <f>H62</f>
        <v>193340.76</v>
      </c>
      <c r="U62" s="497"/>
    </row>
    <row r="63" spans="1:21" x14ac:dyDescent="0.25">
      <c r="B63" s="72"/>
      <c r="G63" s="44" t="s">
        <v>13</v>
      </c>
      <c r="H63" s="123">
        <f>ROUND(C62/H62,6)</f>
        <v>1.034E-3</v>
      </c>
      <c r="I63" s="124"/>
      <c r="N63" s="479" t="s">
        <v>19</v>
      </c>
      <c r="O63" s="479"/>
      <c r="P63" s="479"/>
      <c r="Q63" s="479"/>
      <c r="R63" s="479"/>
      <c r="S63" s="479"/>
      <c r="T63" s="501">
        <f>ROUND(P62/T62,6)</f>
        <v>0</v>
      </c>
      <c r="U63" s="501"/>
    </row>
    <row r="64" spans="1:21" x14ac:dyDescent="0.25">
      <c r="A64" s="463" t="s">
        <v>137</v>
      </c>
      <c r="B64" s="453"/>
      <c r="C64" s="453"/>
      <c r="D64" s="453"/>
      <c r="E64" s="453"/>
      <c r="F64" s="453"/>
      <c r="G64" s="453"/>
      <c r="H64" s="453"/>
      <c r="I64" s="453"/>
      <c r="N64" s="479" t="s">
        <v>89</v>
      </c>
      <c r="O64" s="479"/>
      <c r="P64" s="479"/>
      <c r="Q64" s="479"/>
      <c r="R64" s="479"/>
      <c r="S64" s="479"/>
      <c r="T64" s="479"/>
      <c r="U64" s="479"/>
    </row>
    <row r="65" spans="1:21" x14ac:dyDescent="0.25">
      <c r="A65" s="463" t="s">
        <v>139</v>
      </c>
      <c r="B65" s="453"/>
      <c r="C65" s="121">
        <f>E45</f>
        <v>225.27620000000002</v>
      </c>
      <c r="D65" s="464" t="s">
        <v>140</v>
      </c>
      <c r="E65" s="464"/>
      <c r="F65" s="464"/>
      <c r="G65" s="464"/>
      <c r="H65" s="336">
        <f>'0664'!H65</f>
        <v>216845.88</v>
      </c>
      <c r="I65" s="125"/>
      <c r="N65" s="479" t="s">
        <v>80</v>
      </c>
      <c r="O65" s="479"/>
      <c r="P65" s="43">
        <f>R45</f>
        <v>0</v>
      </c>
      <c r="Q65" s="498" t="s">
        <v>79</v>
      </c>
      <c r="R65" s="498"/>
      <c r="S65" s="498"/>
      <c r="T65" s="497">
        <f>H65</f>
        <v>216845.88</v>
      </c>
      <c r="U65" s="497"/>
    </row>
    <row r="66" spans="1:21" s="37" customFormat="1" x14ac:dyDescent="0.25">
      <c r="A66" s="126"/>
      <c r="G66" s="45" t="s">
        <v>13</v>
      </c>
      <c r="H66" s="127">
        <f>ROUND(C65/H65,6)</f>
        <v>1.039E-3</v>
      </c>
      <c r="I66" s="127"/>
      <c r="N66" s="482" t="s">
        <v>20</v>
      </c>
      <c r="O66" s="482"/>
      <c r="P66" s="482"/>
      <c r="Q66" s="482"/>
      <c r="R66" s="482"/>
      <c r="S66" s="482"/>
      <c r="T66" s="500">
        <f>ROUND(P65/T65,6)</f>
        <v>0</v>
      </c>
      <c r="U66" s="500"/>
    </row>
    <row r="67" spans="1:21" x14ac:dyDescent="0.25">
      <c r="G67" s="44"/>
      <c r="H67" s="123"/>
      <c r="I67" s="123"/>
      <c r="N67" s="48"/>
      <c r="O67" s="48"/>
      <c r="P67" s="48"/>
      <c r="Q67" s="48"/>
      <c r="R67" s="128"/>
      <c r="S67" s="48"/>
      <c r="T67" s="129"/>
      <c r="U67" s="130"/>
    </row>
    <row r="68" spans="1:21" x14ac:dyDescent="0.25">
      <c r="A68" s="453" t="s">
        <v>85</v>
      </c>
      <c r="B68" s="453"/>
      <c r="C68" s="453"/>
      <c r="D68" s="72"/>
      <c r="E68" s="46" t="s">
        <v>3</v>
      </c>
      <c r="F68" s="337">
        <f>'0664'!F68</f>
        <v>42465042</v>
      </c>
      <c r="G68" s="39" t="s">
        <v>6</v>
      </c>
      <c r="H68" s="131">
        <f>H63</f>
        <v>1.034E-3</v>
      </c>
      <c r="I68" s="104">
        <f>ROUND(F68*H68,2)</f>
        <v>43908.85</v>
      </c>
      <c r="N68" s="479" t="s">
        <v>85</v>
      </c>
      <c r="O68" s="479"/>
      <c r="P68" s="479"/>
      <c r="Q68" s="47"/>
      <c r="R68" s="132">
        <f>F68</f>
        <v>42465042</v>
      </c>
      <c r="S68" s="40" t="s">
        <v>6</v>
      </c>
      <c r="T68" s="133">
        <f>T63</f>
        <v>0</v>
      </c>
      <c r="U68" s="99">
        <f>ROUND(R68*T68,0)</f>
        <v>0</v>
      </c>
    </row>
    <row r="69" spans="1:21" x14ac:dyDescent="0.25">
      <c r="A69" s="458" t="s">
        <v>96</v>
      </c>
      <c r="B69" s="453"/>
      <c r="C69" s="453"/>
      <c r="D69" s="72"/>
      <c r="E69" s="46"/>
      <c r="F69" s="136"/>
      <c r="G69" s="39"/>
      <c r="H69" s="131"/>
      <c r="I69" s="104"/>
      <c r="N69" s="479" t="s">
        <v>84</v>
      </c>
      <c r="O69" s="479"/>
      <c r="P69" s="479"/>
      <c r="Q69" s="54"/>
      <c r="R69" s="54"/>
      <c r="S69" s="54"/>
      <c r="T69" s="54"/>
      <c r="U69" s="54"/>
    </row>
    <row r="70" spans="1:21" x14ac:dyDescent="0.25">
      <c r="A70" s="465" t="s">
        <v>141</v>
      </c>
      <c r="B70" s="453"/>
      <c r="C70" s="453"/>
      <c r="D70" s="72"/>
      <c r="E70" s="46" t="s">
        <v>3</v>
      </c>
      <c r="F70" s="337">
        <f>'0664'!F70</f>
        <v>0</v>
      </c>
      <c r="G70" s="39" t="s">
        <v>6</v>
      </c>
      <c r="H70" s="131">
        <f>H63</f>
        <v>1.034E-3</v>
      </c>
      <c r="I70" s="104">
        <f>ROUND(F70*H70,2)</f>
        <v>0</v>
      </c>
      <c r="N70" s="48"/>
      <c r="O70" s="48"/>
      <c r="P70" s="48"/>
      <c r="Q70" s="47"/>
      <c r="R70" s="132">
        <f>F70</f>
        <v>0</v>
      </c>
      <c r="S70" s="40" t="s">
        <v>6</v>
      </c>
      <c r="T70" s="133">
        <f>T63</f>
        <v>0</v>
      </c>
      <c r="U70" s="99">
        <f>ROUND(R70*T70,0)</f>
        <v>0</v>
      </c>
    </row>
    <row r="71" spans="1:21" x14ac:dyDescent="0.25">
      <c r="A71" s="463" t="s">
        <v>433</v>
      </c>
      <c r="B71" s="453"/>
      <c r="C71" s="453"/>
      <c r="D71" s="72"/>
      <c r="E71" s="46" t="s">
        <v>3</v>
      </c>
      <c r="F71" s="337">
        <f>'0664'!F71</f>
        <v>13414654</v>
      </c>
      <c r="G71" s="39" t="s">
        <v>6</v>
      </c>
      <c r="H71" s="131">
        <f>H63</f>
        <v>1.034E-3</v>
      </c>
      <c r="I71" s="104">
        <f>ROUND(F71*H71,2)</f>
        <v>13870.75</v>
      </c>
      <c r="N71" s="479" t="s">
        <v>83</v>
      </c>
      <c r="O71" s="479"/>
      <c r="P71" s="479"/>
      <c r="Q71" s="47"/>
      <c r="R71" s="132">
        <f>F71</f>
        <v>13414654</v>
      </c>
      <c r="S71" s="40" t="s">
        <v>6</v>
      </c>
      <c r="T71" s="133">
        <f>T63</f>
        <v>0</v>
      </c>
      <c r="U71" s="99">
        <f>ROUND(R71*T71,0)</f>
        <v>0</v>
      </c>
    </row>
    <row r="72" spans="1:21" x14ac:dyDescent="0.25">
      <c r="A72" s="463" t="s">
        <v>434</v>
      </c>
      <c r="B72" s="453"/>
      <c r="C72" s="453"/>
      <c r="D72" s="72"/>
      <c r="E72" s="46" t="s">
        <v>3</v>
      </c>
      <c r="F72" s="337">
        <f>'0664'!F72</f>
        <v>14708421</v>
      </c>
      <c r="G72" s="39" t="s">
        <v>6</v>
      </c>
      <c r="H72" s="131">
        <f>H63</f>
        <v>1.034E-3</v>
      </c>
      <c r="I72" s="104">
        <f>ROUND(F72*H72,2)</f>
        <v>15208.51</v>
      </c>
      <c r="N72" s="479" t="s">
        <v>82</v>
      </c>
      <c r="O72" s="479"/>
      <c r="P72" s="479"/>
      <c r="Q72" s="47"/>
      <c r="R72" s="134">
        <f>F72</f>
        <v>14708421</v>
      </c>
      <c r="S72" s="40" t="s">
        <v>6</v>
      </c>
      <c r="T72" s="133">
        <f>T63</f>
        <v>0</v>
      </c>
      <c r="U72" s="99">
        <f>ROUND(R72*T72,0)</f>
        <v>0</v>
      </c>
    </row>
    <row r="73" spans="1:21" x14ac:dyDescent="0.25">
      <c r="A73" s="263" t="s">
        <v>99</v>
      </c>
      <c r="D73" s="72"/>
      <c r="E73" s="41" t="s">
        <v>353</v>
      </c>
      <c r="F73" s="466"/>
      <c r="G73" s="466"/>
      <c r="H73" s="466"/>
      <c r="I73" s="104">
        <v>0</v>
      </c>
      <c r="N73" s="499" t="s">
        <v>118</v>
      </c>
      <c r="O73" s="499"/>
      <c r="P73" s="499"/>
      <c r="Q73" s="499"/>
      <c r="R73" s="499"/>
      <c r="S73" s="499"/>
      <c r="T73" s="499"/>
      <c r="U73" s="99">
        <f>IF($H$120=1,I73,0)</f>
        <v>0</v>
      </c>
    </row>
    <row r="74" spans="1:21" x14ac:dyDescent="0.25">
      <c r="A74" s="264" t="s">
        <v>142</v>
      </c>
      <c r="I74" s="104"/>
      <c r="N74" s="499" t="s">
        <v>43</v>
      </c>
      <c r="O74" s="499"/>
      <c r="P74" s="499"/>
      <c r="Q74" s="499"/>
      <c r="R74" s="499"/>
      <c r="S74" s="499"/>
      <c r="T74" s="499"/>
      <c r="U74" s="99">
        <f>IF($H$120=1,I74,0)</f>
        <v>0</v>
      </c>
    </row>
    <row r="75" spans="1:21" x14ac:dyDescent="0.25">
      <c r="A75" s="324" t="s">
        <v>101</v>
      </c>
      <c r="B75" s="72"/>
      <c r="C75" s="72"/>
      <c r="D75" s="72"/>
      <c r="E75" s="72"/>
      <c r="F75" s="72"/>
      <c r="G75" s="72"/>
      <c r="H75" s="72"/>
      <c r="I75" s="135"/>
      <c r="N75" s="382" t="s">
        <v>44</v>
      </c>
      <c r="O75" s="48"/>
      <c r="P75" s="48"/>
      <c r="Q75" s="48"/>
      <c r="R75" s="48"/>
      <c r="S75" s="48"/>
      <c r="T75" s="48"/>
      <c r="U75" s="106"/>
    </row>
    <row r="76" spans="1:21" x14ac:dyDescent="0.25">
      <c r="A76" s="463" t="s">
        <v>435</v>
      </c>
      <c r="B76" s="453"/>
      <c r="C76" s="453"/>
      <c r="D76" s="72"/>
      <c r="E76" s="46" t="s">
        <v>3</v>
      </c>
      <c r="F76" s="337">
        <f>'0664'!F76</f>
        <v>8720092</v>
      </c>
      <c r="G76" s="39" t="s">
        <v>6</v>
      </c>
      <c r="H76" s="131">
        <f>H63</f>
        <v>1.034E-3</v>
      </c>
      <c r="I76" s="104">
        <f t="shared" ref="I76:I85" si="14">ROUND(F76*H76,2)</f>
        <v>9016.58</v>
      </c>
      <c r="N76" s="478" t="s">
        <v>366</v>
      </c>
      <c r="O76" s="479"/>
      <c r="P76" s="479"/>
      <c r="Q76" s="47"/>
      <c r="R76" s="134">
        <f t="shared" ref="R76:R85" si="15">F76</f>
        <v>8720092</v>
      </c>
      <c r="S76" s="40" t="s">
        <v>6</v>
      </c>
      <c r="T76" s="133">
        <f>T63</f>
        <v>0</v>
      </c>
      <c r="U76" s="99">
        <f t="shared" ref="U76:U85" si="16">ROUND(R76*T76,0)</f>
        <v>0</v>
      </c>
    </row>
    <row r="77" spans="1:21" x14ac:dyDescent="0.25">
      <c r="A77" s="463" t="s">
        <v>436</v>
      </c>
      <c r="B77" s="453"/>
      <c r="C77" s="453"/>
      <c r="D77" s="72"/>
      <c r="E77" s="46" t="s">
        <v>3</v>
      </c>
      <c r="F77" s="337">
        <f>'0664'!F77</f>
        <v>0</v>
      </c>
      <c r="G77" s="39" t="s">
        <v>6</v>
      </c>
      <c r="H77" s="131">
        <f>H63</f>
        <v>1.034E-3</v>
      </c>
      <c r="I77" s="104">
        <f t="shared" si="14"/>
        <v>0</v>
      </c>
      <c r="N77" s="479" t="s">
        <v>367</v>
      </c>
      <c r="O77" s="479"/>
      <c r="P77" s="479"/>
      <c r="Q77" s="47"/>
      <c r="R77" s="134">
        <f t="shared" si="15"/>
        <v>0</v>
      </c>
      <c r="S77" s="40" t="s">
        <v>6</v>
      </c>
      <c r="T77" s="133">
        <f>T63</f>
        <v>0</v>
      </c>
      <c r="U77" s="99">
        <f t="shared" si="16"/>
        <v>0</v>
      </c>
    </row>
    <row r="78" spans="1:21" x14ac:dyDescent="0.25">
      <c r="A78" s="463" t="s">
        <v>437</v>
      </c>
      <c r="B78" s="453"/>
      <c r="C78" s="453"/>
      <c r="D78" s="72"/>
      <c r="E78" s="46" t="s">
        <v>4</v>
      </c>
      <c r="F78" s="337">
        <f>'0664'!F78</f>
        <v>0</v>
      </c>
      <c r="G78" s="39" t="s">
        <v>6</v>
      </c>
      <c r="H78" s="131">
        <f>H66</f>
        <v>1.039E-3</v>
      </c>
      <c r="I78" s="104">
        <f t="shared" si="14"/>
        <v>0</v>
      </c>
      <c r="N78" s="478" t="s">
        <v>392</v>
      </c>
      <c r="O78" s="479"/>
      <c r="P78" s="479"/>
      <c r="Q78" s="47"/>
      <c r="R78" s="134">
        <f t="shared" si="15"/>
        <v>0</v>
      </c>
      <c r="S78" s="40" t="s">
        <v>6</v>
      </c>
      <c r="T78" s="133">
        <f>T66</f>
        <v>0</v>
      </c>
      <c r="U78" s="99">
        <f t="shared" si="16"/>
        <v>0</v>
      </c>
    </row>
    <row r="79" spans="1:21" x14ac:dyDescent="0.25">
      <c r="A79" s="463" t="s">
        <v>438</v>
      </c>
      <c r="B79" s="453"/>
      <c r="C79" s="453"/>
      <c r="D79" s="72"/>
      <c r="E79" s="46" t="s">
        <v>4</v>
      </c>
      <c r="F79" s="337">
        <f>'0664'!F79</f>
        <v>11278687</v>
      </c>
      <c r="G79" s="39" t="s">
        <v>6</v>
      </c>
      <c r="H79" s="131">
        <f>H66</f>
        <v>1.039E-3</v>
      </c>
      <c r="I79" s="104">
        <f t="shared" si="14"/>
        <v>11718.56</v>
      </c>
      <c r="N79" s="478" t="s">
        <v>393</v>
      </c>
      <c r="O79" s="479"/>
      <c r="P79" s="479"/>
      <c r="Q79" s="47"/>
      <c r="R79" s="134">
        <f t="shared" si="15"/>
        <v>11278687</v>
      </c>
      <c r="S79" s="40" t="s">
        <v>6</v>
      </c>
      <c r="T79" s="133">
        <f>T66</f>
        <v>0</v>
      </c>
      <c r="U79" s="99">
        <f t="shared" si="16"/>
        <v>0</v>
      </c>
    </row>
    <row r="80" spans="1:21" x14ac:dyDescent="0.25">
      <c r="A80" s="463" t="s">
        <v>439</v>
      </c>
      <c r="B80" s="453"/>
      <c r="C80" s="453"/>
      <c r="D80" s="72"/>
      <c r="E80" s="46" t="s">
        <v>4</v>
      </c>
      <c r="F80" s="337">
        <f>'0664'!F80</f>
        <v>206284749</v>
      </c>
      <c r="G80" s="39" t="s">
        <v>6</v>
      </c>
      <c r="H80" s="131">
        <f>H66</f>
        <v>1.039E-3</v>
      </c>
      <c r="I80" s="104">
        <f t="shared" si="14"/>
        <v>214329.85</v>
      </c>
      <c r="N80" s="478" t="s">
        <v>397</v>
      </c>
      <c r="O80" s="479"/>
      <c r="P80" s="479"/>
      <c r="Q80" s="47"/>
      <c r="R80" s="134">
        <f t="shared" si="15"/>
        <v>206284749</v>
      </c>
      <c r="S80" s="40" t="s">
        <v>6</v>
      </c>
      <c r="T80" s="133">
        <f>T66</f>
        <v>0</v>
      </c>
      <c r="U80" s="99">
        <f t="shared" si="16"/>
        <v>0</v>
      </c>
    </row>
    <row r="81" spans="1:21" x14ac:dyDescent="0.25">
      <c r="A81" s="84" t="s">
        <v>440</v>
      </c>
      <c r="B81" s="72"/>
      <c r="C81" s="72"/>
      <c r="D81" s="72"/>
      <c r="E81" s="46"/>
      <c r="F81" s="337"/>
      <c r="G81" s="39"/>
      <c r="H81" s="131"/>
      <c r="I81" s="104"/>
      <c r="N81" s="419" t="s">
        <v>440</v>
      </c>
      <c r="O81" s="48"/>
      <c r="P81" s="48"/>
      <c r="Q81" s="47"/>
      <c r="R81" s="423"/>
      <c r="S81" s="40"/>
      <c r="T81" s="133"/>
      <c r="U81" s="120"/>
    </row>
    <row r="82" spans="1:21" x14ac:dyDescent="0.25">
      <c r="A82" s="264" t="s">
        <v>441</v>
      </c>
      <c r="B82" s="72"/>
      <c r="C82" s="72"/>
      <c r="D82" s="72"/>
      <c r="E82" s="46" t="s">
        <v>442</v>
      </c>
      <c r="F82" s="337">
        <f>'0664'!F82</f>
        <v>0</v>
      </c>
      <c r="G82" s="39" t="s">
        <v>6</v>
      </c>
      <c r="H82" s="131">
        <f>H66</f>
        <v>1.039E-3</v>
      </c>
      <c r="I82" s="104">
        <v>33811.870000000003</v>
      </c>
      <c r="N82" s="422" t="s">
        <v>441</v>
      </c>
      <c r="O82" s="48"/>
      <c r="P82" s="48"/>
      <c r="Q82" s="47"/>
      <c r="R82" s="134">
        <f t="shared" si="15"/>
        <v>0</v>
      </c>
      <c r="S82" s="40"/>
      <c r="T82" s="133"/>
      <c r="U82" s="99">
        <f t="shared" si="16"/>
        <v>0</v>
      </c>
    </row>
    <row r="83" spans="1:21" x14ac:dyDescent="0.25">
      <c r="A83" s="264" t="s">
        <v>443</v>
      </c>
      <c r="B83" s="72"/>
      <c r="C83" s="72"/>
      <c r="D83" s="72"/>
      <c r="E83" s="46" t="s">
        <v>442</v>
      </c>
      <c r="F83" s="337">
        <f>'0664'!F83</f>
        <v>0</v>
      </c>
      <c r="G83" s="39" t="s">
        <v>6</v>
      </c>
      <c r="H83" s="131">
        <f>H66</f>
        <v>1.039E-3</v>
      </c>
      <c r="I83" s="104">
        <v>15369.03</v>
      </c>
      <c r="N83" s="422" t="s">
        <v>443</v>
      </c>
      <c r="O83" s="48"/>
      <c r="P83" s="48"/>
      <c r="Q83" s="47"/>
      <c r="R83" s="134">
        <f t="shared" si="15"/>
        <v>0</v>
      </c>
      <c r="S83" s="40"/>
      <c r="T83" s="133"/>
      <c r="U83" s="99">
        <f t="shared" si="16"/>
        <v>0</v>
      </c>
    </row>
    <row r="84" spans="1:21" x14ac:dyDescent="0.25">
      <c r="A84" s="420" t="s">
        <v>444</v>
      </c>
      <c r="B84" s="72"/>
      <c r="C84" s="72"/>
      <c r="D84" s="72"/>
      <c r="E84" s="46"/>
      <c r="F84" s="337"/>
      <c r="G84" s="39"/>
      <c r="H84" s="131"/>
      <c r="I84" s="104">
        <f>I82+I83</f>
        <v>49180.9</v>
      </c>
      <c r="N84" s="421" t="s">
        <v>444</v>
      </c>
      <c r="O84" s="48"/>
      <c r="P84" s="48"/>
      <c r="Q84" s="47"/>
      <c r="R84" s="423"/>
      <c r="S84" s="40"/>
      <c r="T84" s="133"/>
      <c r="U84" s="99">
        <f>U82+U83</f>
        <v>0</v>
      </c>
    </row>
    <row r="85" spans="1:21" x14ac:dyDescent="0.25">
      <c r="A85" s="463" t="s">
        <v>398</v>
      </c>
      <c r="B85" s="453"/>
      <c r="C85" s="453"/>
      <c r="D85" s="72"/>
      <c r="E85" s="46" t="s">
        <v>4</v>
      </c>
      <c r="F85" s="337">
        <f>'0664'!F85</f>
        <v>0</v>
      </c>
      <c r="G85" s="39" t="s">
        <v>6</v>
      </c>
      <c r="H85" s="131">
        <f>H66</f>
        <v>1.039E-3</v>
      </c>
      <c r="I85" s="104">
        <f t="shared" si="14"/>
        <v>0</v>
      </c>
      <c r="N85" s="478" t="s">
        <v>398</v>
      </c>
      <c r="O85" s="479"/>
      <c r="P85" s="479"/>
      <c r="Q85" s="47"/>
      <c r="R85" s="132">
        <f t="shared" si="15"/>
        <v>0</v>
      </c>
      <c r="S85" s="40" t="s">
        <v>6</v>
      </c>
      <c r="T85" s="133">
        <f>T66</f>
        <v>0</v>
      </c>
      <c r="U85" s="99">
        <f t="shared" si="16"/>
        <v>0</v>
      </c>
    </row>
    <row r="86" spans="1:21" x14ac:dyDescent="0.25">
      <c r="B86" s="72"/>
      <c r="C86" s="72"/>
      <c r="D86" s="72"/>
      <c r="E86" s="46"/>
      <c r="F86" s="136"/>
      <c r="G86" s="39"/>
      <c r="H86" s="131"/>
      <c r="I86" s="104"/>
      <c r="N86" s="48"/>
      <c r="O86" s="48"/>
      <c r="P86" s="48"/>
      <c r="Q86" s="47"/>
      <c r="R86" s="137"/>
      <c r="S86" s="40"/>
      <c r="T86" s="133"/>
      <c r="U86" s="106"/>
    </row>
    <row r="87" spans="1:21" x14ac:dyDescent="0.25">
      <c r="A87" s="463" t="s">
        <v>445</v>
      </c>
      <c r="B87" s="453"/>
      <c r="C87" s="453"/>
      <c r="D87" s="453"/>
      <c r="E87" s="453"/>
      <c r="F87" s="453"/>
      <c r="G87" s="453"/>
      <c r="H87" s="453"/>
      <c r="I87" s="453"/>
      <c r="N87" s="478" t="s">
        <v>429</v>
      </c>
      <c r="O87" s="479"/>
      <c r="P87" s="479"/>
      <c r="Q87" s="479"/>
      <c r="R87" s="479"/>
      <c r="S87" s="479"/>
      <c r="T87" s="479"/>
      <c r="U87" s="479"/>
    </row>
    <row r="88" spans="1:21" x14ac:dyDescent="0.25">
      <c r="B88" s="72"/>
      <c r="C88" s="466" t="s">
        <v>73</v>
      </c>
      <c r="D88" s="466"/>
      <c r="E88" s="72"/>
      <c r="F88" s="41" t="s">
        <v>37</v>
      </c>
      <c r="G88" s="72"/>
      <c r="H88" s="72"/>
      <c r="I88" s="72"/>
      <c r="N88" s="48"/>
      <c r="O88" s="48"/>
      <c r="P88" s="48"/>
      <c r="Q88" s="48"/>
      <c r="R88" s="48"/>
      <c r="S88" s="48"/>
      <c r="T88" s="48"/>
      <c r="U88" s="48"/>
    </row>
    <row r="89" spans="1:21" x14ac:dyDescent="0.25">
      <c r="A89" s="3"/>
      <c r="B89" s="138"/>
      <c r="C89" s="462" t="s">
        <v>144</v>
      </c>
      <c r="D89" s="462"/>
      <c r="E89" s="139" t="s">
        <v>150</v>
      </c>
      <c r="F89" s="140" t="s">
        <v>149</v>
      </c>
      <c r="G89" s="141"/>
      <c r="H89" s="141"/>
      <c r="I89" s="141"/>
      <c r="N89" s="495" t="s">
        <v>46</v>
      </c>
      <c r="O89" s="495"/>
      <c r="P89" s="496" t="s">
        <v>119</v>
      </c>
      <c r="Q89" s="496"/>
      <c r="R89" s="497" t="s">
        <v>40</v>
      </c>
      <c r="S89" s="497"/>
      <c r="T89" s="497"/>
      <c r="U89" s="497"/>
    </row>
    <row r="90" spans="1:21" x14ac:dyDescent="0.25">
      <c r="A90" s="27"/>
      <c r="B90" s="55" t="s">
        <v>148</v>
      </c>
      <c r="C90" s="467">
        <f>H13+H14+H19+H22+H25</f>
        <v>163.93950000000001</v>
      </c>
      <c r="D90" s="467"/>
      <c r="E90" s="49">
        <f>H8</f>
        <v>1.0438000000000001</v>
      </c>
      <c r="F90" s="338">
        <f>'0664'!F90</f>
        <v>957.94</v>
      </c>
      <c r="G90" s="41" t="s">
        <v>13</v>
      </c>
      <c r="H90" s="104">
        <f>ROUND(C90*E90*F90,2)</f>
        <v>163922.74</v>
      </c>
      <c r="I90" s="107"/>
      <c r="N90" s="29" t="s">
        <v>22</v>
      </c>
      <c r="O90" s="50">
        <f>T13+T14+T19+T22+T25</f>
        <v>0</v>
      </c>
      <c r="P90" s="490">
        <f>T8</f>
        <v>1.0438000000000001</v>
      </c>
      <c r="Q90" s="490"/>
      <c r="R90" s="51">
        <f>F90</f>
        <v>957.94</v>
      </c>
      <c r="S90" s="42" t="s">
        <v>13</v>
      </c>
      <c r="T90" s="134">
        <f>ROUND(O90*P90*R90,0)</f>
        <v>0</v>
      </c>
      <c r="U90" s="105"/>
    </row>
    <row r="91" spans="1:21" x14ac:dyDescent="0.25">
      <c r="A91" s="52"/>
      <c r="B91" s="52" t="s">
        <v>147</v>
      </c>
      <c r="C91" s="467">
        <f>H15+H16+H20+H23+H26</f>
        <v>61.3367</v>
      </c>
      <c r="D91" s="467"/>
      <c r="E91" s="49">
        <f>H8</f>
        <v>1.0438000000000001</v>
      </c>
      <c r="F91" s="338">
        <f>'0664'!F91</f>
        <v>914.63</v>
      </c>
      <c r="G91" s="41" t="s">
        <v>13</v>
      </c>
      <c r="H91" s="104">
        <f>ROUND(C91*E91*F91,2)</f>
        <v>58557.58</v>
      </c>
      <c r="N91" s="53" t="s">
        <v>14</v>
      </c>
      <c r="O91" s="50">
        <f>T15+T16+T20+T23+T26</f>
        <v>0</v>
      </c>
      <c r="P91" s="490">
        <f>T8</f>
        <v>1.0438000000000001</v>
      </c>
      <c r="Q91" s="490"/>
      <c r="R91" s="51">
        <f>F91</f>
        <v>914.63</v>
      </c>
      <c r="S91" s="42" t="s">
        <v>13</v>
      </c>
      <c r="T91" s="134">
        <f>ROUND(O91*P91*R91,0)</f>
        <v>0</v>
      </c>
      <c r="U91" s="54"/>
    </row>
    <row r="92" spans="1:21" ht="16.5" thickBot="1" x14ac:dyDescent="0.3">
      <c r="A92" s="55"/>
      <c r="B92" s="55" t="s">
        <v>146</v>
      </c>
      <c r="C92" s="467">
        <f>H17+H18+H21+H24+H27+H28</f>
        <v>0</v>
      </c>
      <c r="D92" s="467"/>
      <c r="E92" s="49">
        <f>H8</f>
        <v>1.0438000000000001</v>
      </c>
      <c r="F92" s="338">
        <f>'0664'!F92</f>
        <v>916.84</v>
      </c>
      <c r="G92" s="41" t="s">
        <v>13</v>
      </c>
      <c r="H92" s="97">
        <f>ROUND(C92*E92*F92,2)</f>
        <v>0</v>
      </c>
      <c r="N92" s="56" t="s">
        <v>15</v>
      </c>
      <c r="O92" s="57">
        <f>T17+T18+T21+T24+T27+T28</f>
        <v>0</v>
      </c>
      <c r="P92" s="490">
        <f>T8</f>
        <v>1.0438000000000001</v>
      </c>
      <c r="Q92" s="490"/>
      <c r="R92" s="51">
        <f>F92</f>
        <v>916.84</v>
      </c>
      <c r="S92" s="42" t="s">
        <v>13</v>
      </c>
      <c r="T92" s="134">
        <f>ROUND(O92*P92*R92,0)</f>
        <v>0</v>
      </c>
      <c r="U92" s="54"/>
    </row>
    <row r="93" spans="1:21" ht="16.5" thickBot="1" x14ac:dyDescent="0.3">
      <c r="A93" s="58"/>
      <c r="B93" s="142" t="s">
        <v>145</v>
      </c>
      <c r="C93" s="469">
        <f>SUM(C90:C92)</f>
        <v>225.27620000000002</v>
      </c>
      <c r="D93" s="469"/>
      <c r="E93" s="143"/>
      <c r="F93" s="143"/>
      <c r="G93" s="143"/>
      <c r="H93" s="144" t="s">
        <v>143</v>
      </c>
      <c r="I93" s="104">
        <f>IF(A1=75,0,H92+H91+H90)</f>
        <v>222480.32</v>
      </c>
      <c r="N93" s="59" t="s">
        <v>120</v>
      </c>
      <c r="O93" s="60">
        <f>SUM(O90:O92)</f>
        <v>0</v>
      </c>
      <c r="P93" s="491" t="s">
        <v>18</v>
      </c>
      <c r="Q93" s="492"/>
      <c r="R93" s="492"/>
      <c r="S93" s="492"/>
      <c r="T93" s="492"/>
      <c r="U93" s="99">
        <f>IF(N1=75,0,T92+T91+T90)</f>
        <v>0</v>
      </c>
    </row>
    <row r="94" spans="1:21" ht="16.5" thickTop="1" x14ac:dyDescent="0.25">
      <c r="A94" s="540" t="s">
        <v>90</v>
      </c>
      <c r="B94" s="540"/>
      <c r="C94" s="540"/>
      <c r="D94" s="540"/>
      <c r="E94" s="540"/>
      <c r="F94" s="540"/>
      <c r="G94" s="540"/>
      <c r="H94" s="540"/>
      <c r="I94" s="540"/>
      <c r="N94" s="493" t="s">
        <v>90</v>
      </c>
      <c r="O94" s="493"/>
      <c r="P94" s="493"/>
      <c r="Q94" s="493"/>
      <c r="R94" s="493"/>
      <c r="S94" s="493"/>
      <c r="T94" s="493"/>
      <c r="U94" s="493"/>
    </row>
    <row r="95" spans="1:21" x14ac:dyDescent="0.25">
      <c r="A95" s="145"/>
      <c r="B95" s="145"/>
      <c r="C95" s="145"/>
      <c r="D95" s="145"/>
      <c r="E95" s="145"/>
      <c r="F95" s="145"/>
      <c r="G95" s="145"/>
      <c r="H95" s="145"/>
      <c r="I95" s="145"/>
      <c r="N95" s="146"/>
      <c r="O95" s="146"/>
      <c r="P95" s="146"/>
      <c r="Q95" s="146"/>
      <c r="R95" s="146"/>
      <c r="S95" s="146"/>
      <c r="T95" s="146"/>
      <c r="U95" s="146"/>
    </row>
    <row r="96" spans="1:21" x14ac:dyDescent="0.25">
      <c r="A96" s="84" t="s">
        <v>446</v>
      </c>
      <c r="C96" s="46"/>
      <c r="D96" s="72"/>
      <c r="E96" s="46" t="s">
        <v>100</v>
      </c>
      <c r="F96" s="471"/>
      <c r="G96" s="471"/>
      <c r="H96" s="471"/>
      <c r="I96" s="471"/>
      <c r="N96" s="478" t="s">
        <v>426</v>
      </c>
      <c r="O96" s="479"/>
      <c r="P96" s="479"/>
      <c r="Q96" s="494"/>
      <c r="R96" s="494"/>
      <c r="S96" s="494"/>
      <c r="T96" s="494"/>
      <c r="U96" s="106"/>
    </row>
    <row r="97" spans="1:21" x14ac:dyDescent="0.25">
      <c r="B97" s="72"/>
      <c r="C97" s="91" t="s">
        <v>409</v>
      </c>
      <c r="D97" s="371" t="s">
        <v>410</v>
      </c>
      <c r="E97" s="92" t="s">
        <v>151</v>
      </c>
      <c r="F97" s="46"/>
      <c r="G97" s="46"/>
      <c r="H97" s="46"/>
      <c r="I97" s="46"/>
      <c r="N97" s="48"/>
      <c r="O97" s="48"/>
      <c r="P97" s="48"/>
      <c r="Q97" s="147"/>
      <c r="R97" s="147"/>
      <c r="S97" s="147"/>
      <c r="T97" s="147"/>
      <c r="U97" s="106"/>
    </row>
    <row r="98" spans="1:21" x14ac:dyDescent="0.25">
      <c r="B98" s="72"/>
      <c r="C98" s="362" t="s">
        <v>2</v>
      </c>
      <c r="D98" s="362" t="s">
        <v>2</v>
      </c>
      <c r="E98" s="362" t="s">
        <v>2</v>
      </c>
      <c r="F98" s="46"/>
      <c r="G98" s="46"/>
      <c r="H98" s="46"/>
      <c r="I98" s="46"/>
      <c r="N98" s="48"/>
      <c r="O98" s="48"/>
      <c r="P98" s="48"/>
      <c r="Q98" s="147"/>
      <c r="R98" s="147"/>
      <c r="S98" s="147"/>
      <c r="T98" s="147"/>
      <c r="U98" s="106"/>
    </row>
    <row r="99" spans="1:21" x14ac:dyDescent="0.25">
      <c r="A99" s="536" t="s">
        <v>470</v>
      </c>
      <c r="B99" s="461"/>
      <c r="C99" s="165">
        <v>11</v>
      </c>
      <c r="D99" s="165">
        <v>0</v>
      </c>
      <c r="E99" s="125">
        <f>C99</f>
        <v>11</v>
      </c>
      <c r="F99" s="148" t="s">
        <v>39</v>
      </c>
      <c r="G99" s="339">
        <f>'0664'!G99</f>
        <v>558</v>
      </c>
      <c r="I99" s="104">
        <f>ROUND(G99*E99,2)</f>
        <v>6138</v>
      </c>
      <c r="N99" s="488" t="s">
        <v>65</v>
      </c>
      <c r="O99" s="488"/>
      <c r="P99" s="489">
        <f>IF(H120=1,E99,0)</f>
        <v>0</v>
      </c>
      <c r="Q99" s="489"/>
      <c r="R99" s="489"/>
      <c r="S99" s="86" t="s">
        <v>39</v>
      </c>
      <c r="T99" s="61">
        <f>G99</f>
        <v>558</v>
      </c>
      <c r="U99" s="99">
        <f>ROUND(T99*P99,0)</f>
        <v>0</v>
      </c>
    </row>
    <row r="100" spans="1:21" x14ac:dyDescent="0.25">
      <c r="A100" s="536" t="s">
        <v>471</v>
      </c>
      <c r="B100" s="461"/>
      <c r="C100" s="165">
        <v>0</v>
      </c>
      <c r="D100" s="165">
        <v>0</v>
      </c>
      <c r="E100" s="125">
        <f>C100</f>
        <v>0</v>
      </c>
      <c r="F100" s="148" t="s">
        <v>39</v>
      </c>
      <c r="G100" s="339">
        <f>'0664'!G100</f>
        <v>1707</v>
      </c>
      <c r="I100" s="104">
        <f>ROUND(G100*E100,2)</f>
        <v>0</v>
      </c>
      <c r="N100" s="488" t="s">
        <v>81</v>
      </c>
      <c r="O100" s="488"/>
      <c r="P100" s="483"/>
      <c r="Q100" s="483"/>
      <c r="R100" s="483"/>
      <c r="S100" s="86" t="s">
        <v>39</v>
      </c>
      <c r="T100" s="61">
        <f>G100</f>
        <v>1707</v>
      </c>
      <c r="U100" s="99">
        <f>ROUND(T100*P100,0)</f>
        <v>0</v>
      </c>
    </row>
    <row r="101" spans="1:21" x14ac:dyDescent="0.25">
      <c r="A101" s="149"/>
      <c r="B101" s="149"/>
      <c r="C101" s="68"/>
      <c r="D101" s="68"/>
      <c r="E101" s="68"/>
      <c r="F101" s="68"/>
      <c r="G101" s="150"/>
      <c r="H101" s="151"/>
      <c r="I101" s="104"/>
      <c r="N101" s="152"/>
      <c r="O101" s="152"/>
      <c r="P101" s="153"/>
      <c r="Q101" s="153"/>
      <c r="R101" s="153"/>
      <c r="S101" s="86"/>
      <c r="T101" s="61"/>
      <c r="U101" s="106"/>
    </row>
    <row r="102" spans="1:21" x14ac:dyDescent="0.25">
      <c r="A102" s="149"/>
      <c r="B102" s="149"/>
      <c r="C102" s="68"/>
      <c r="D102" s="68"/>
      <c r="E102" s="68"/>
      <c r="F102" s="68"/>
      <c r="G102" s="150"/>
      <c r="H102" s="151"/>
      <c r="I102" s="104"/>
      <c r="N102" s="152"/>
      <c r="O102" s="152"/>
      <c r="P102" s="153"/>
      <c r="Q102" s="153"/>
      <c r="R102" s="153"/>
      <c r="S102" s="86"/>
      <c r="T102" s="61"/>
      <c r="U102" s="106"/>
    </row>
    <row r="103" spans="1:21" hidden="1" x14ac:dyDescent="0.25">
      <c r="A103" s="463" t="s">
        <v>447</v>
      </c>
      <c r="B103" s="453"/>
      <c r="C103" s="453"/>
      <c r="D103" s="72"/>
      <c r="E103" s="41" t="s">
        <v>41</v>
      </c>
      <c r="F103" s="466"/>
      <c r="G103" s="466"/>
      <c r="H103" s="466"/>
      <c r="I103" s="466"/>
      <c r="N103" s="478" t="s">
        <v>362</v>
      </c>
      <c r="O103" s="479"/>
      <c r="P103" s="479"/>
      <c r="Q103" s="479"/>
      <c r="R103" s="479"/>
      <c r="S103" s="479"/>
      <c r="T103" s="479"/>
      <c r="U103" s="479"/>
    </row>
    <row r="104" spans="1:21" hidden="1" x14ac:dyDescent="0.25">
      <c r="B104" s="72"/>
      <c r="C104" s="462" t="s">
        <v>91</v>
      </c>
      <c r="D104" s="462"/>
      <c r="E104" s="462"/>
      <c r="F104" s="39"/>
      <c r="G104" s="39"/>
      <c r="H104" s="41" t="s">
        <v>152</v>
      </c>
      <c r="I104" s="39"/>
      <c r="N104" s="48"/>
      <c r="O104" s="48"/>
      <c r="P104" s="48"/>
      <c r="Q104" s="48"/>
      <c r="R104" s="48"/>
      <c r="S104" s="48"/>
      <c r="T104" s="48"/>
      <c r="U104" s="48"/>
    </row>
    <row r="105" spans="1:21" hidden="1" x14ac:dyDescent="0.25">
      <c r="B105" s="72"/>
      <c r="C105" s="91" t="s">
        <v>371</v>
      </c>
      <c r="D105" s="91" t="s">
        <v>351</v>
      </c>
      <c r="E105" s="159" t="s">
        <v>8</v>
      </c>
      <c r="F105" s="464" t="s">
        <v>153</v>
      </c>
      <c r="G105" s="466"/>
      <c r="H105" s="39" t="s">
        <v>38</v>
      </c>
      <c r="I105" s="39"/>
      <c r="N105" s="48"/>
      <c r="O105" s="48"/>
      <c r="P105" s="48"/>
      <c r="Q105" s="48"/>
      <c r="R105" s="48"/>
      <c r="S105" s="48"/>
      <c r="T105" s="48"/>
      <c r="U105" s="48"/>
    </row>
    <row r="106" spans="1:21" hidden="1" x14ac:dyDescent="0.25">
      <c r="A106" s="462" t="s">
        <v>94</v>
      </c>
      <c r="B106" s="462"/>
      <c r="C106" s="93" t="s">
        <v>2</v>
      </c>
      <c r="D106" s="93" t="s">
        <v>2</v>
      </c>
      <c r="E106" s="62" t="s">
        <v>2</v>
      </c>
      <c r="F106" s="462" t="s">
        <v>37</v>
      </c>
      <c r="G106" s="462"/>
      <c r="H106" s="62" t="s">
        <v>37</v>
      </c>
      <c r="I106" s="62" t="s">
        <v>8</v>
      </c>
      <c r="N106" s="484" t="s">
        <v>66</v>
      </c>
      <c r="O106" s="484"/>
      <c r="P106" s="489" t="s">
        <v>91</v>
      </c>
      <c r="Q106" s="489"/>
      <c r="R106" s="484" t="s">
        <v>67</v>
      </c>
      <c r="S106" s="484"/>
      <c r="T106" s="63" t="s">
        <v>68</v>
      </c>
      <c r="U106" s="63" t="s">
        <v>8</v>
      </c>
    </row>
    <row r="107" spans="1:21" hidden="1" x14ac:dyDescent="0.25">
      <c r="A107" s="473" t="s">
        <v>69</v>
      </c>
      <c r="B107" s="473"/>
      <c r="C107" s="163">
        <v>0</v>
      </c>
      <c r="D107" s="163">
        <v>0</v>
      </c>
      <c r="E107" s="210">
        <f>IF(D$59=0,C107*2,C107+D107)</f>
        <v>0</v>
      </c>
      <c r="F107" s="474">
        <v>0</v>
      </c>
      <c r="G107" s="474"/>
      <c r="H107" s="250">
        <f>IF(C107=0,0,125)</f>
        <v>0</v>
      </c>
      <c r="I107" s="104">
        <f>ROUND((H107+F107)*E107,2)</f>
        <v>0</v>
      </c>
      <c r="N107" s="479" t="s">
        <v>69</v>
      </c>
      <c r="O107" s="479"/>
      <c r="P107" s="483">
        <f>IF(H$120=1,C107,0)</f>
        <v>0</v>
      </c>
      <c r="Q107" s="483"/>
      <c r="R107" s="486">
        <f>F107</f>
        <v>0</v>
      </c>
      <c r="S107" s="486"/>
      <c r="T107" s="65">
        <f>H107</f>
        <v>0</v>
      </c>
      <c r="U107" s="99">
        <f>ROUND((T107+R107)*P107,0)</f>
        <v>0</v>
      </c>
    </row>
    <row r="108" spans="1:21" hidden="1" x14ac:dyDescent="0.25">
      <c r="A108" s="456" t="s">
        <v>70</v>
      </c>
      <c r="B108" s="456"/>
      <c r="C108" s="165">
        <v>0</v>
      </c>
      <c r="D108" s="165">
        <v>0</v>
      </c>
      <c r="E108" s="125">
        <f>IF(D$59=0,C108*2,C108+D108)</f>
        <v>0</v>
      </c>
      <c r="F108" s="468">
        <f>ROUND(F107/2,2)</f>
        <v>0</v>
      </c>
      <c r="G108" s="468"/>
      <c r="H108" s="250">
        <f>IF(C108=0,0,62.5)</f>
        <v>0</v>
      </c>
      <c r="I108" s="104">
        <f>ROUND((H108+F108)*E108,2)</f>
        <v>0</v>
      </c>
      <c r="N108" s="479" t="s">
        <v>70</v>
      </c>
      <c r="O108" s="479"/>
      <c r="P108" s="483">
        <f>IF(H$120=1,C108,0)</f>
        <v>0</v>
      </c>
      <c r="Q108" s="483"/>
      <c r="R108" s="487">
        <f>ROUND(R107/2,2)</f>
        <v>0</v>
      </c>
      <c r="S108" s="487"/>
      <c r="T108" s="65">
        <f>H108</f>
        <v>0</v>
      </c>
      <c r="U108" s="99">
        <f>ROUND((T108+R108)*P108,0)</f>
        <v>0</v>
      </c>
    </row>
    <row r="109" spans="1:21" ht="16.5" hidden="1" thickBot="1" x14ac:dyDescent="0.3">
      <c r="A109" s="456" t="s">
        <v>71</v>
      </c>
      <c r="B109" s="456"/>
      <c r="C109" s="165">
        <v>0</v>
      </c>
      <c r="D109" s="165">
        <v>0</v>
      </c>
      <c r="E109" s="125">
        <f>IF(D$59=0,C109*2,C109+D109)</f>
        <v>0</v>
      </c>
      <c r="F109" s="475"/>
      <c r="G109" s="475"/>
      <c r="H109" s="251">
        <f>IF(H107&gt;0,436,0)</f>
        <v>0</v>
      </c>
      <c r="I109" s="104">
        <f>ROUND(H109*E109,2)</f>
        <v>0</v>
      </c>
      <c r="N109" s="482" t="s">
        <v>71</v>
      </c>
      <c r="O109" s="482"/>
      <c r="P109" s="483">
        <f>IF(H$120=1,C109,0)</f>
        <v>0</v>
      </c>
      <c r="Q109" s="483"/>
      <c r="R109" s="484"/>
      <c r="S109" s="484"/>
      <c r="T109" s="67">
        <f>H109</f>
        <v>0</v>
      </c>
      <c r="U109" s="106">
        <f>ROUND(T109*P109,0)</f>
        <v>0</v>
      </c>
    </row>
    <row r="110" spans="1:21" ht="16.5" hidden="1" thickBot="1" x14ac:dyDescent="0.3">
      <c r="A110" s="466" t="s">
        <v>8</v>
      </c>
      <c r="B110" s="466"/>
      <c r="C110" s="68"/>
      <c r="D110" s="68"/>
      <c r="E110" s="68"/>
      <c r="F110" s="68"/>
      <c r="G110" s="68"/>
      <c r="H110" s="68"/>
      <c r="I110" s="100">
        <f>SUM(I107:I109)</f>
        <v>0</v>
      </c>
      <c r="N110" s="485" t="s">
        <v>8</v>
      </c>
      <c r="O110" s="485"/>
      <c r="P110" s="69"/>
      <c r="Q110" s="69"/>
      <c r="R110" s="69"/>
      <c r="S110" s="69"/>
      <c r="T110" s="69"/>
      <c r="U110" s="70">
        <f>SUM(U107:U109)</f>
        <v>0</v>
      </c>
    </row>
    <row r="111" spans="1:21" hidden="1" x14ac:dyDescent="0.25">
      <c r="A111" s="39"/>
      <c r="B111" s="39"/>
      <c r="C111" s="68"/>
      <c r="D111" s="68"/>
      <c r="E111" s="68"/>
      <c r="F111" s="68"/>
      <c r="G111" s="68"/>
      <c r="H111" s="68"/>
      <c r="I111" s="104"/>
      <c r="N111" s="40"/>
      <c r="O111" s="40"/>
      <c r="P111" s="69"/>
      <c r="Q111" s="69"/>
      <c r="R111" s="69"/>
      <c r="S111" s="69"/>
      <c r="T111" s="69"/>
      <c r="U111" s="160"/>
    </row>
    <row r="112" spans="1:21" x14ac:dyDescent="0.25">
      <c r="A112" s="463" t="s">
        <v>448</v>
      </c>
      <c r="B112" s="453"/>
      <c r="C112" s="453"/>
      <c r="D112" s="72"/>
      <c r="E112" s="71" t="s">
        <v>354</v>
      </c>
      <c r="F112" s="472"/>
      <c r="G112" s="472"/>
      <c r="H112" s="472"/>
      <c r="I112" s="125">
        <v>0</v>
      </c>
      <c r="N112" s="478" t="s">
        <v>427</v>
      </c>
      <c r="O112" s="479"/>
      <c r="P112" s="479"/>
      <c r="Q112" s="341"/>
      <c r="R112" s="341"/>
      <c r="S112" s="341"/>
      <c r="T112" s="341"/>
      <c r="U112" s="99">
        <f>IF($H$120=1,I112,0)</f>
        <v>0</v>
      </c>
    </row>
    <row r="113" spans="1:21" x14ac:dyDescent="0.25">
      <c r="A113" s="463" t="s">
        <v>449</v>
      </c>
      <c r="B113" s="453"/>
      <c r="C113" s="453"/>
      <c r="D113" s="72"/>
      <c r="E113" s="71" t="s">
        <v>45</v>
      </c>
      <c r="F113" s="472"/>
      <c r="G113" s="472"/>
      <c r="H113" s="472"/>
      <c r="I113" s="177">
        <v>0</v>
      </c>
      <c r="N113" s="478" t="s">
        <v>428</v>
      </c>
      <c r="O113" s="479"/>
      <c r="P113" s="479"/>
      <c r="Q113" s="341"/>
      <c r="R113" s="341"/>
      <c r="S113" s="341"/>
      <c r="T113" s="341"/>
      <c r="U113" s="99">
        <f>IF($H$120=1,I113,0)</f>
        <v>0</v>
      </c>
    </row>
    <row r="114" spans="1:21" ht="16.5" thickBot="1" x14ac:dyDescent="0.3">
      <c r="B114" s="72"/>
      <c r="C114" s="72"/>
      <c r="D114" s="72"/>
      <c r="E114" s="71"/>
      <c r="F114" s="71"/>
      <c r="G114" s="71"/>
      <c r="H114" s="71"/>
      <c r="I114" s="125"/>
      <c r="N114" s="480" t="s">
        <v>42</v>
      </c>
      <c r="O114" s="480"/>
      <c r="P114" s="480"/>
      <c r="Q114" s="480"/>
      <c r="R114" s="480"/>
      <c r="S114" s="480"/>
      <c r="T114" s="480"/>
      <c r="U114" s="154">
        <f>SUM(U112,U110,U100,U99,U93,U77,U76,U74,U73,U72,U71,U70,U68,U59,U45,U78,U79,U80,U85,U113)</f>
        <v>0</v>
      </c>
    </row>
    <row r="115" spans="1:21" ht="16.5" thickTop="1" x14ac:dyDescent="0.25">
      <c r="A115" s="461" t="s">
        <v>8</v>
      </c>
      <c r="B115" s="461"/>
      <c r="C115" s="461"/>
      <c r="D115" s="461"/>
      <c r="E115" s="461"/>
      <c r="F115" s="461"/>
      <c r="G115" s="461"/>
      <c r="H115" s="461"/>
      <c r="I115" s="97">
        <f>SUM(I113,I112,I110,I100,I99,I93,I85,I84,I80,I79,I78,I77,I76,I74,I73,I72,I71,I70,I68,I59,I45)</f>
        <v>1699689.9900000002</v>
      </c>
      <c r="N115" s="29"/>
      <c r="O115" s="29"/>
      <c r="P115" s="29"/>
      <c r="Q115" s="29"/>
      <c r="R115" s="29"/>
      <c r="S115" s="29"/>
      <c r="T115" s="29"/>
      <c r="U115" s="160"/>
    </row>
    <row r="116" spans="1:21" x14ac:dyDescent="0.25">
      <c r="A116" s="27"/>
      <c r="B116" s="27"/>
      <c r="C116" s="27"/>
      <c r="D116" s="27"/>
      <c r="E116" s="27"/>
      <c r="F116" s="27"/>
      <c r="G116" s="27"/>
      <c r="H116" s="27"/>
      <c r="I116" s="104"/>
      <c r="N116" s="29"/>
      <c r="O116" s="29"/>
      <c r="P116" s="29"/>
      <c r="Q116" s="29"/>
      <c r="R116" s="29"/>
      <c r="S116" s="29"/>
      <c r="T116" s="29"/>
      <c r="U116" s="160"/>
    </row>
    <row r="117" spans="1:21" x14ac:dyDescent="0.25">
      <c r="A117" s="432" t="s">
        <v>467</v>
      </c>
      <c r="B117" s="27"/>
      <c r="C117" s="27"/>
      <c r="D117" s="27"/>
      <c r="E117" s="27"/>
      <c r="F117" s="27"/>
      <c r="G117" s="27"/>
      <c r="H117" s="27"/>
      <c r="I117" s="104">
        <f>I115-I84</f>
        <v>1650509.0900000003</v>
      </c>
      <c r="N117" s="29"/>
      <c r="O117" s="29"/>
      <c r="P117" s="29"/>
      <c r="Q117" s="29"/>
      <c r="R117" s="29"/>
      <c r="S117" s="29"/>
      <c r="T117" s="29"/>
      <c r="U117" s="160"/>
    </row>
    <row r="118" spans="1:21" x14ac:dyDescent="0.25">
      <c r="A118" s="27"/>
      <c r="B118" s="27"/>
      <c r="C118" s="27"/>
      <c r="D118" s="27"/>
      <c r="E118" s="27"/>
      <c r="F118" s="27"/>
      <c r="G118" s="27"/>
      <c r="H118" s="27"/>
      <c r="I118" s="104"/>
      <c r="N118" s="29"/>
      <c r="O118" s="29"/>
      <c r="P118" s="29"/>
      <c r="Q118" s="29"/>
      <c r="R118" s="29"/>
      <c r="S118" s="29"/>
      <c r="T118" s="29"/>
      <c r="U118" s="160"/>
    </row>
    <row r="119" spans="1:21" x14ac:dyDescent="0.25">
      <c r="A119" s="463" t="s">
        <v>468</v>
      </c>
      <c r="B119" s="453"/>
      <c r="C119" s="453"/>
      <c r="D119" s="453"/>
      <c r="E119" s="453"/>
      <c r="F119" s="453"/>
      <c r="G119" s="453"/>
      <c r="H119" s="84" t="s">
        <v>394</v>
      </c>
      <c r="I119" s="156"/>
      <c r="N119" s="481"/>
      <c r="O119" s="481"/>
      <c r="P119" s="481"/>
      <c r="Q119" s="481"/>
      <c r="R119" s="481"/>
      <c r="S119" s="481"/>
      <c r="T119" s="481"/>
      <c r="U119" s="481"/>
    </row>
    <row r="120" spans="1:21" x14ac:dyDescent="0.25">
      <c r="A120" s="453" t="s">
        <v>95</v>
      </c>
      <c r="B120" s="453"/>
      <c r="C120" s="453"/>
      <c r="D120" s="453"/>
      <c r="E120" s="453"/>
      <c r="F120" s="453"/>
      <c r="G120" s="453"/>
      <c r="H120" s="73" t="str">
        <f>IF(E29=0,"",IF((E14+E16+SUM(E18:E24))/E29&gt;0.75,1,""))</f>
        <v/>
      </c>
      <c r="I120" s="125">
        <f>U114</f>
        <v>0</v>
      </c>
      <c r="N120" s="476" t="s">
        <v>7</v>
      </c>
      <c r="O120" s="476"/>
      <c r="P120" s="476"/>
      <c r="Q120" s="476"/>
      <c r="R120" s="476"/>
      <c r="S120" s="476"/>
      <c r="T120" s="476"/>
      <c r="U120" s="476"/>
    </row>
    <row r="121" spans="1:21" x14ac:dyDescent="0.25">
      <c r="B121" s="72"/>
      <c r="C121" s="72"/>
      <c r="D121" s="72"/>
      <c r="E121" s="72"/>
      <c r="F121" s="72"/>
      <c r="G121" s="72"/>
      <c r="H121" s="68"/>
      <c r="I121" s="104"/>
      <c r="N121" s="74" t="s">
        <v>106</v>
      </c>
      <c r="O121" s="74"/>
      <c r="P121" s="74"/>
      <c r="Q121" s="74"/>
      <c r="R121" s="74"/>
      <c r="S121" s="74"/>
      <c r="T121" s="74"/>
      <c r="U121" s="74"/>
    </row>
    <row r="122" spans="1:21" x14ac:dyDescent="0.25">
      <c r="A122" s="3" t="s">
        <v>102</v>
      </c>
      <c r="B122" s="72"/>
      <c r="C122" s="72"/>
      <c r="D122" s="72"/>
      <c r="E122" s="72"/>
      <c r="F122" s="72"/>
      <c r="G122" s="286"/>
      <c r="H122" s="161">
        <f>IF(H120=1,I120,I117)</f>
        <v>1650509.0900000003</v>
      </c>
      <c r="I122" s="97">
        <f>ROUND(IF(E29=0,0,IF(E29&gt;250,-(((250/E29)*H122)*IF(G122="H",0.02,0.05)),IF(G122="H",-0.02*H122,-0.05*H122))),2)</f>
        <v>-82525.45</v>
      </c>
      <c r="N122" s="75" t="s">
        <v>107</v>
      </c>
      <c r="O122" s="74"/>
      <c r="P122" s="74"/>
      <c r="Q122" s="74"/>
      <c r="R122" s="74"/>
      <c r="S122" s="74"/>
      <c r="T122" s="74"/>
      <c r="U122" s="74"/>
    </row>
    <row r="123" spans="1:21" x14ac:dyDescent="0.25">
      <c r="B123" s="72"/>
      <c r="C123" s="72"/>
      <c r="D123" s="72"/>
      <c r="E123" s="72"/>
      <c r="F123" s="72"/>
      <c r="G123" s="72"/>
      <c r="H123" s="68"/>
      <c r="I123" s="104"/>
      <c r="N123" s="76"/>
      <c r="O123" s="76"/>
      <c r="P123" s="76"/>
      <c r="Q123" s="76"/>
      <c r="R123" s="76"/>
      <c r="S123" s="76"/>
      <c r="T123" s="76"/>
      <c r="U123" s="76"/>
    </row>
    <row r="124" spans="1:21" x14ac:dyDescent="0.25">
      <c r="A124" s="345" t="s">
        <v>103</v>
      </c>
      <c r="B124" s="346"/>
      <c r="C124" s="346"/>
      <c r="D124" s="346"/>
      <c r="E124" s="346"/>
      <c r="F124" s="346"/>
      <c r="G124" s="346"/>
      <c r="H124" s="347"/>
      <c r="I124" s="348">
        <f>I115+I122</f>
        <v>1617164.5400000003</v>
      </c>
      <c r="N124" s="76"/>
      <c r="O124" s="76"/>
      <c r="P124" s="76"/>
      <c r="Q124" s="76"/>
      <c r="R124" s="76"/>
      <c r="S124" s="76"/>
      <c r="T124" s="76"/>
      <c r="U124" s="76"/>
    </row>
    <row r="125" spans="1:21" x14ac:dyDescent="0.25">
      <c r="B125" s="72"/>
      <c r="C125" s="72"/>
      <c r="D125" s="72"/>
      <c r="E125" s="72"/>
      <c r="F125" s="72"/>
      <c r="G125" s="72"/>
      <c r="H125" s="68"/>
      <c r="I125" s="104"/>
      <c r="N125" s="76"/>
      <c r="O125" s="76"/>
      <c r="P125" s="76"/>
      <c r="Q125" s="76"/>
      <c r="R125" s="76"/>
      <c r="S125" s="76"/>
      <c r="T125" s="76"/>
      <c r="U125" s="76"/>
    </row>
    <row r="126" spans="1:21" x14ac:dyDescent="0.25">
      <c r="A126" s="3" t="s">
        <v>104</v>
      </c>
      <c r="B126" s="72"/>
      <c r="C126" s="162"/>
      <c r="D126" s="72"/>
      <c r="F126" s="72"/>
      <c r="G126" s="72"/>
      <c r="H126" s="68"/>
      <c r="I126" s="302">
        <v>-1158593.06</v>
      </c>
      <c r="N126" s="76"/>
      <c r="O126" s="76"/>
      <c r="P126" s="76"/>
      <c r="Q126" s="76"/>
      <c r="R126" s="76"/>
      <c r="S126" s="76"/>
      <c r="T126" s="76"/>
      <c r="U126" s="76"/>
    </row>
    <row r="127" spans="1:21" x14ac:dyDescent="0.25">
      <c r="B127" s="72"/>
      <c r="C127" s="72"/>
      <c r="D127" s="72"/>
      <c r="E127" s="72"/>
      <c r="F127" s="72"/>
      <c r="G127" s="72"/>
      <c r="H127" s="68"/>
      <c r="I127" s="104"/>
      <c r="N127" s="76"/>
      <c r="O127" s="76"/>
      <c r="P127" s="76"/>
      <c r="Q127" s="76"/>
      <c r="R127" s="76"/>
      <c r="S127" s="76"/>
      <c r="T127" s="76"/>
      <c r="U127" s="76"/>
    </row>
    <row r="128" spans="1:21" x14ac:dyDescent="0.25">
      <c r="A128" s="84" t="s">
        <v>297</v>
      </c>
      <c r="B128" s="72"/>
      <c r="C128" s="72"/>
      <c r="D128" s="72"/>
      <c r="E128" s="72"/>
      <c r="F128" s="72"/>
      <c r="G128" s="72"/>
      <c r="H128" s="68"/>
      <c r="I128" s="104">
        <f>I124+I126</f>
        <v>458571.48000000021</v>
      </c>
      <c r="N128" s="76"/>
      <c r="O128" s="76"/>
      <c r="P128" s="76"/>
      <c r="Q128" s="76"/>
      <c r="R128" s="76"/>
      <c r="S128" s="76"/>
      <c r="T128" s="76"/>
      <c r="U128" s="76"/>
    </row>
    <row r="129" spans="1:21" x14ac:dyDescent="0.25">
      <c r="A129" s="84"/>
      <c r="B129" s="72"/>
      <c r="C129" s="72"/>
      <c r="D129" s="72"/>
      <c r="E129" s="72"/>
      <c r="F129" s="72"/>
      <c r="G129" s="72"/>
      <c r="H129" s="68"/>
      <c r="I129" s="104"/>
      <c r="N129" s="76"/>
      <c r="O129" s="76"/>
      <c r="P129" s="76"/>
      <c r="Q129" s="76"/>
      <c r="R129" s="76"/>
      <c r="S129" s="76"/>
      <c r="T129" s="76"/>
      <c r="U129" s="76"/>
    </row>
    <row r="130" spans="1:21" x14ac:dyDescent="0.25">
      <c r="A130" s="84" t="s">
        <v>298</v>
      </c>
      <c r="B130" s="72"/>
      <c r="C130" s="72"/>
      <c r="D130" s="72"/>
      <c r="E130" s="72"/>
      <c r="F130" s="72"/>
      <c r="G130" s="72"/>
      <c r="H130" s="68"/>
      <c r="I130" s="303">
        <f>'0664'!I130</f>
        <v>3</v>
      </c>
      <c r="N130" s="76"/>
      <c r="O130" s="76"/>
      <c r="P130" s="76"/>
      <c r="Q130" s="76"/>
      <c r="R130" s="76"/>
      <c r="S130" s="76"/>
      <c r="T130" s="76"/>
      <c r="U130" s="76"/>
    </row>
    <row r="131" spans="1:21" x14ac:dyDescent="0.25">
      <c r="B131" s="72"/>
      <c r="C131" s="72"/>
      <c r="D131" s="72"/>
      <c r="E131" s="72"/>
      <c r="F131" s="72"/>
      <c r="G131" s="72"/>
      <c r="H131" s="68"/>
      <c r="I131" s="104"/>
      <c r="N131" s="76"/>
      <c r="O131" s="76"/>
      <c r="P131" s="76"/>
      <c r="Q131" s="76"/>
      <c r="R131" s="76"/>
      <c r="S131" s="76"/>
      <c r="T131" s="76"/>
      <c r="U131" s="76"/>
    </row>
    <row r="132" spans="1:21" ht="16.5" thickBot="1" x14ac:dyDescent="0.3">
      <c r="A132" s="3" t="s">
        <v>105</v>
      </c>
      <c r="B132" s="72"/>
      <c r="C132" s="72"/>
      <c r="D132" s="72"/>
      <c r="E132" s="72"/>
      <c r="F132" s="72"/>
      <c r="G132" s="72"/>
      <c r="H132" s="68"/>
      <c r="I132" s="178">
        <f>ROUND(I128/I130,2)</f>
        <v>152857.16</v>
      </c>
      <c r="N132" s="76"/>
      <c r="O132" s="76"/>
      <c r="P132" s="76"/>
      <c r="Q132" s="76"/>
      <c r="R132" s="76"/>
      <c r="S132" s="76"/>
      <c r="T132" s="76"/>
      <c r="U132" s="76"/>
    </row>
    <row r="133" spans="1:21" ht="16.5" thickTop="1" x14ac:dyDescent="0.25">
      <c r="B133" s="72"/>
      <c r="C133" s="72"/>
      <c r="D133" s="72"/>
      <c r="E133" s="72"/>
      <c r="F133" s="72"/>
      <c r="G133" s="72"/>
      <c r="H133" s="68"/>
      <c r="I133" s="104"/>
      <c r="N133" s="76"/>
      <c r="O133" s="76"/>
      <c r="P133" s="76"/>
      <c r="Q133" s="76"/>
      <c r="R133" s="76"/>
      <c r="S133" s="76"/>
      <c r="T133" s="76"/>
      <c r="U133" s="76"/>
    </row>
    <row r="134" spans="1:21" ht="16.5" thickBot="1" x14ac:dyDescent="0.3">
      <c r="A134" s="3" t="s">
        <v>121</v>
      </c>
      <c r="B134" s="72"/>
      <c r="C134" s="72"/>
      <c r="D134" s="72"/>
      <c r="E134" s="72"/>
      <c r="F134" s="72"/>
      <c r="G134" s="72"/>
      <c r="H134" s="68"/>
      <c r="I134" s="155">
        <f>ROUND(IF(G122="H",(H122*0.02)+I122,(H122*0.05)+I122),2)</f>
        <v>0</v>
      </c>
      <c r="N134" s="76"/>
      <c r="O134" s="76"/>
      <c r="P134" s="76"/>
      <c r="Q134" s="76"/>
      <c r="R134" s="76"/>
      <c r="S134" s="76"/>
      <c r="T134" s="76"/>
      <c r="U134" s="76"/>
    </row>
    <row r="135" spans="1:21" ht="16.5" thickTop="1" x14ac:dyDescent="0.25">
      <c r="B135" s="72"/>
      <c r="C135" s="72"/>
      <c r="D135" s="72"/>
      <c r="E135" s="72"/>
      <c r="F135" s="72"/>
      <c r="G135" s="72"/>
      <c r="H135" s="68"/>
      <c r="I135" s="156"/>
      <c r="N135" s="76"/>
      <c r="O135" s="76"/>
      <c r="P135" s="76"/>
      <c r="Q135" s="76"/>
      <c r="R135" s="76"/>
      <c r="S135" s="76"/>
      <c r="T135" s="76"/>
      <c r="U135" s="76"/>
    </row>
    <row r="136" spans="1:21" x14ac:dyDescent="0.25">
      <c r="B136" s="72"/>
      <c r="C136" s="72"/>
      <c r="D136" s="72"/>
      <c r="E136" s="72"/>
      <c r="F136" s="72"/>
      <c r="G136" s="72"/>
      <c r="H136" s="68"/>
      <c r="I136" s="104"/>
      <c r="N136" s="76"/>
      <c r="O136" s="76"/>
      <c r="P136" s="76"/>
      <c r="Q136" s="76"/>
      <c r="R136" s="76"/>
      <c r="S136" s="76"/>
      <c r="T136" s="76"/>
      <c r="U136" s="76"/>
    </row>
    <row r="137" spans="1:21" x14ac:dyDescent="0.25">
      <c r="B137" s="72"/>
      <c r="C137" s="72"/>
      <c r="D137" s="72"/>
      <c r="E137" s="72"/>
      <c r="F137" s="72"/>
      <c r="G137" s="72"/>
      <c r="H137" s="68"/>
      <c r="I137" s="156"/>
      <c r="N137" s="76"/>
      <c r="O137" s="76"/>
      <c r="P137" s="76"/>
      <c r="Q137" s="76"/>
      <c r="R137" s="76"/>
      <c r="S137" s="76"/>
      <c r="T137" s="76"/>
      <c r="U137" s="76"/>
    </row>
    <row r="138" spans="1:21" x14ac:dyDescent="0.25">
      <c r="A138" s="281" t="s">
        <v>7</v>
      </c>
      <c r="B138" s="281"/>
      <c r="C138" s="281"/>
      <c r="D138" s="281"/>
      <c r="E138" s="281"/>
      <c r="F138" s="281"/>
      <c r="G138" s="281"/>
      <c r="H138" s="281"/>
      <c r="I138" s="281"/>
      <c r="J138" s="156"/>
      <c r="N138" s="76"/>
      <c r="O138" s="76"/>
      <c r="P138" s="76"/>
      <c r="Q138" s="76"/>
      <c r="R138" s="76"/>
      <c r="S138" s="76"/>
      <c r="T138" s="76"/>
      <c r="U138" s="76"/>
    </row>
    <row r="139" spans="1:21" ht="15.75" customHeight="1" x14ac:dyDescent="0.25">
      <c r="A139" s="356" t="str">
        <f>'0664'!A139</f>
        <v>(a) Additional FTE includes FTE earned through Advanced Placement, International Baccalaureate, Advanced International Certificate of Education, Industry Certified Career</v>
      </c>
      <c r="B139" s="357"/>
      <c r="C139" s="357"/>
      <c r="D139" s="357"/>
      <c r="E139" s="357"/>
      <c r="F139" s="357"/>
      <c r="G139" s="357"/>
      <c r="H139" s="357"/>
      <c r="I139" s="357"/>
      <c r="J139" s="80"/>
      <c r="K139" s="79"/>
      <c r="L139" s="79"/>
      <c r="M139" s="79"/>
      <c r="N139" s="477"/>
      <c r="O139" s="477"/>
      <c r="P139" s="477"/>
      <c r="Q139" s="477"/>
      <c r="R139" s="477"/>
      <c r="S139" s="477"/>
      <c r="T139" s="477"/>
      <c r="U139" s="477"/>
    </row>
    <row r="140" spans="1:21" ht="15.75" customHeight="1" x14ac:dyDescent="0.25">
      <c r="A140" s="390" t="str">
        <f>'0664'!A140</f>
        <v xml:space="preserve">Education (CAPE), Early High School Graduation and the small district ESE Supplement, pursuant to s. 1011.62(1)(l-p), F.S. </v>
      </c>
      <c r="B140" s="357"/>
      <c r="C140" s="357"/>
      <c r="D140" s="357"/>
      <c r="E140" s="357"/>
      <c r="F140" s="357"/>
      <c r="G140" s="357"/>
      <c r="H140" s="357"/>
      <c r="I140" s="357"/>
      <c r="J140" s="80"/>
      <c r="K140" s="79"/>
      <c r="L140" s="79"/>
      <c r="M140" s="79"/>
      <c r="N140" s="76"/>
      <c r="O140" s="76"/>
      <c r="P140" s="76"/>
      <c r="Q140" s="76"/>
      <c r="R140" s="76"/>
      <c r="S140" s="76"/>
      <c r="T140" s="76"/>
      <c r="U140" s="76"/>
    </row>
    <row r="141" spans="1:21" x14ac:dyDescent="0.25">
      <c r="A141" s="356" t="str">
        <f>'0664'!A141</f>
        <v>(b) District allocations multiplied by percentage from item 3A.</v>
      </c>
      <c r="B141" s="281"/>
      <c r="C141" s="281"/>
      <c r="D141" s="281"/>
      <c r="E141" s="281"/>
      <c r="F141" s="281"/>
      <c r="G141" s="281"/>
      <c r="H141" s="281"/>
      <c r="I141" s="281"/>
      <c r="J141" s="79"/>
      <c r="K141" s="79"/>
      <c r="L141" s="79"/>
      <c r="M141" s="79"/>
      <c r="N141" s="81"/>
      <c r="O141" s="82"/>
      <c r="P141" s="82"/>
      <c r="Q141" s="82"/>
      <c r="R141" s="82"/>
      <c r="S141" s="82"/>
      <c r="T141" s="82"/>
      <c r="U141" s="82"/>
    </row>
    <row r="142" spans="1:21" s="79" customFormat="1" x14ac:dyDescent="0.2">
      <c r="A142" s="356" t="str">
        <f>'0664'!A142</f>
        <v>(c) District allocations multiplied by percentage from item 3B.</v>
      </c>
      <c r="B142" s="281"/>
      <c r="C142" s="281"/>
      <c r="D142" s="281"/>
      <c r="E142" s="281"/>
      <c r="F142" s="281"/>
      <c r="G142" s="281"/>
      <c r="H142" s="281"/>
      <c r="I142" s="281"/>
      <c r="N142" s="81"/>
    </row>
    <row r="143" spans="1:21" s="79" customFormat="1" ht="15.75" customHeight="1" x14ac:dyDescent="0.2">
      <c r="A143" s="356" t="str">
        <f>'0664'!A143</f>
        <v>(d) The Digital Classroom Allocation is provided pursuant to s. 1011.62(12), F.S.</v>
      </c>
      <c r="B143" s="281"/>
      <c r="C143" s="281"/>
      <c r="D143" s="281"/>
      <c r="E143" s="281"/>
      <c r="F143" s="281"/>
      <c r="G143" s="281"/>
      <c r="H143" s="281"/>
      <c r="I143" s="281"/>
      <c r="N143" s="81"/>
    </row>
    <row r="144" spans="1:21" s="79" customFormat="1" ht="15.75" customHeight="1" x14ac:dyDescent="0.2">
      <c r="A144" s="356" t="str">
        <f>'0664'!A144</f>
        <v>(e) School districts are required to pay for instructional materials used for the instruction of public high school students who are earning credit toward high school</v>
      </c>
      <c r="B144" s="281"/>
      <c r="C144" s="281"/>
      <c r="D144" s="281"/>
      <c r="E144" s="281"/>
      <c r="F144" s="281"/>
      <c r="G144" s="281"/>
      <c r="H144" s="281"/>
      <c r="I144" s="281"/>
      <c r="N144" s="81"/>
    </row>
    <row r="145" spans="1:14" s="79" customFormat="1" ht="15.75" customHeight="1" x14ac:dyDescent="0.2">
      <c r="A145" s="390" t="str">
        <f>'0664'!A145</f>
        <v xml:space="preserve">graduation under the dual enrollment program as provided in s. 1011.62(l)(i), F.S.  </v>
      </c>
      <c r="B145" s="281"/>
      <c r="C145" s="281"/>
      <c r="D145" s="281"/>
      <c r="E145" s="281"/>
      <c r="F145" s="281"/>
      <c r="G145" s="281"/>
      <c r="H145" s="281"/>
      <c r="I145" s="281"/>
      <c r="N145" s="81"/>
    </row>
    <row r="146" spans="1:14" s="79" customFormat="1" x14ac:dyDescent="0.2">
      <c r="A146" s="356" t="str">
        <f>'0664'!A146</f>
        <v>(f) This allocation will be frozen as of the 2021-22 FEFP Second Calculation and will not be recalculated throughout the year. Charter school allocations should be</v>
      </c>
      <c r="B146" s="281"/>
      <c r="C146" s="281"/>
      <c r="D146" s="281"/>
      <c r="E146" s="281"/>
      <c r="F146" s="281"/>
      <c r="G146" s="281"/>
      <c r="H146" s="281"/>
      <c r="I146" s="281"/>
      <c r="N146" s="81"/>
    </row>
    <row r="147" spans="1:14" s="79" customFormat="1" x14ac:dyDescent="0.2">
      <c r="A147" s="358" t="str">
        <f>'0664'!A147</f>
        <v xml:space="preserve">distributed on weighted FTE (or base funding as is done in the FEFP) and should not be recalculated with fluctuations in student enrollment later in the year. </v>
      </c>
      <c r="B147" s="281"/>
      <c r="C147" s="281"/>
      <c r="D147" s="281"/>
      <c r="E147" s="281"/>
      <c r="F147" s="281"/>
      <c r="G147" s="281"/>
      <c r="H147" s="281"/>
      <c r="I147" s="281"/>
      <c r="N147" s="81"/>
    </row>
    <row r="148" spans="1:14" s="79" customFormat="1" x14ac:dyDescent="0.2">
      <c r="A148" s="356" t="str">
        <f>'0664'!A148</f>
        <v>(g) Numbers entered here will be multiplied by the district level transportation funding per rider. "All Adjusted Fundable Riders" should include both basic and ESE Riders.</v>
      </c>
      <c r="B148" s="281"/>
      <c r="C148" s="281"/>
      <c r="D148" s="281"/>
      <c r="E148" s="281"/>
      <c r="F148" s="281"/>
      <c r="G148" s="281"/>
      <c r="H148" s="281"/>
      <c r="I148" s="281"/>
      <c r="N148" s="81"/>
    </row>
    <row r="149" spans="1:14" s="79" customFormat="1" x14ac:dyDescent="0.2">
      <c r="A149" s="390" t="str">
        <f>'0664'!A149</f>
        <v>"All Adjusted ESE Riders" should include only ESE Riders.</v>
      </c>
      <c r="B149" s="281"/>
      <c r="C149" s="281"/>
      <c r="D149" s="281"/>
      <c r="E149" s="281"/>
      <c r="F149" s="281"/>
      <c r="G149" s="281"/>
      <c r="H149" s="281"/>
      <c r="I149" s="281"/>
      <c r="N149" s="81"/>
    </row>
    <row r="150" spans="1:14" s="79" customFormat="1" x14ac:dyDescent="0.2">
      <c r="A150" s="356" t="str">
        <f>'0664'!A150</f>
        <v xml:space="preserve">(h) The Federally Connected Student Supplement provides additional funding for students on federal lands that receive Section 8003 impact aide pursuant to s. 1011.62(13), F.S. </v>
      </c>
      <c r="B150" s="281"/>
      <c r="C150" s="281"/>
      <c r="D150" s="281"/>
      <c r="E150" s="281"/>
      <c r="F150" s="281"/>
      <c r="G150" s="281"/>
      <c r="H150" s="281"/>
      <c r="I150" s="281"/>
      <c r="N150" s="81"/>
    </row>
    <row r="151" spans="1:14" s="79" customFormat="1" x14ac:dyDescent="0.2">
      <c r="A151" s="356" t="str">
        <f>'0664'!A151</f>
        <v>(i) Teacher Classroom Supply Assistance Program allocation pursuant to s. 1012.71, F.S., for certified teachers employed by a public school district or public charter school</v>
      </c>
      <c r="B151" s="281"/>
      <c r="C151" s="281"/>
      <c r="D151" s="281"/>
      <c r="E151" s="281"/>
      <c r="F151" s="281"/>
      <c r="G151" s="281"/>
      <c r="H151" s="281"/>
      <c r="I151" s="281"/>
      <c r="N151" s="81"/>
    </row>
    <row r="152" spans="1:14" s="79" customFormat="1" x14ac:dyDescent="0.2">
      <c r="A152" s="358" t="str">
        <f>'0664'!A152</f>
        <v xml:space="preserve">before September 1 of each year whose full-time or job-share responsibility is the classroom instruction of students in prekindergarten through grade 12, including </v>
      </c>
      <c r="B152" s="281"/>
      <c r="C152" s="281"/>
      <c r="D152" s="281"/>
      <c r="E152" s="281"/>
      <c r="F152" s="281"/>
      <c r="G152" s="281"/>
      <c r="H152" s="281"/>
      <c r="I152" s="281"/>
      <c r="N152" s="81"/>
    </row>
    <row r="153" spans="1:14" s="79" customFormat="1" ht="15.75" customHeight="1" x14ac:dyDescent="0.2">
      <c r="A153" s="358" t="str">
        <f>'0664'!A153</f>
        <v>full-time media specialists and certified school counselors serving students in prekindergarten through grade 12, who are funded through the FEFP.</v>
      </c>
      <c r="B153" s="281"/>
      <c r="C153" s="281"/>
      <c r="D153" s="281"/>
      <c r="E153" s="281"/>
      <c r="F153" s="281"/>
      <c r="G153" s="281"/>
      <c r="H153" s="281"/>
      <c r="I153" s="281"/>
      <c r="N153" s="81"/>
    </row>
    <row r="154" spans="1:14" s="79" customFormat="1" ht="15.75" customHeight="1" x14ac:dyDescent="0.2">
      <c r="A154" s="356" t="str">
        <f>'0664'!A154</f>
        <v xml:space="preserve">(j) Funding based on student eligibility and meals provided, if participating in the National School Lunch Program. </v>
      </c>
      <c r="B154" s="328"/>
      <c r="C154" s="328"/>
      <c r="D154" s="328"/>
      <c r="E154" s="328"/>
      <c r="F154" s="328"/>
      <c r="G154" s="328"/>
      <c r="H154" s="328"/>
      <c r="I154" s="328"/>
      <c r="N154" s="81"/>
    </row>
    <row r="155" spans="1:14" s="79" customFormat="1" ht="15.75" customHeight="1" x14ac:dyDescent="0.2">
      <c r="A155" s="356" t="str">
        <f>'0664'!A155</f>
        <v>(k) Consistent with s. 1002.33(20)(a), F.S., for charter schools with a population of 75% or more ESE students, the administrative fee shall be calculated based on</v>
      </c>
      <c r="B155" s="381"/>
      <c r="C155" s="381"/>
      <c r="D155" s="381"/>
      <c r="E155" s="381"/>
      <c r="F155" s="381"/>
      <c r="G155" s="381"/>
      <c r="H155" s="381"/>
      <c r="I155" s="381"/>
      <c r="N155" s="81"/>
    </row>
    <row r="156" spans="1:14" s="79" customFormat="1" ht="15.75" customHeight="1" x14ac:dyDescent="0.2">
      <c r="A156" s="390" t="str">
        <f>'0664'!A156</f>
        <v xml:space="preserve">unweighted full-time equivalent students. </v>
      </c>
      <c r="B156" s="381"/>
      <c r="C156" s="381"/>
      <c r="D156" s="381"/>
      <c r="E156" s="381"/>
      <c r="F156" s="381"/>
      <c r="G156" s="381"/>
      <c r="H156" s="381"/>
      <c r="I156" s="381"/>
      <c r="N156" s="81"/>
    </row>
    <row r="157" spans="1:14" s="79" customFormat="1" ht="15.75" customHeight="1" x14ac:dyDescent="0.2">
      <c r="A157" s="356"/>
      <c r="B157" s="381"/>
      <c r="C157" s="381"/>
      <c r="D157" s="381"/>
      <c r="E157" s="381"/>
      <c r="F157" s="381"/>
      <c r="G157" s="381"/>
      <c r="H157" s="381"/>
      <c r="I157" s="381"/>
      <c r="N157" s="81"/>
    </row>
    <row r="158" spans="1:14" s="79" customFormat="1" ht="15.75" customHeight="1" x14ac:dyDescent="0.25">
      <c r="A158" s="398" t="str">
        <f>'0664'!A158</f>
        <v>Administrative fees:</v>
      </c>
      <c r="B158" s="328"/>
      <c r="C158" s="328"/>
      <c r="D158" s="328"/>
      <c r="E158" s="328"/>
      <c r="F158" s="328"/>
      <c r="G158" s="328"/>
      <c r="H158" s="328"/>
      <c r="I158" s="328"/>
      <c r="J158" s="3"/>
      <c r="K158" s="3"/>
      <c r="L158" s="3"/>
      <c r="M158" s="3"/>
      <c r="N158" s="81"/>
    </row>
    <row r="159" spans="1:14" s="79" customFormat="1" ht="15.75" customHeight="1" x14ac:dyDescent="0.25">
      <c r="A159" s="399" t="str">
        <f>'0664'!A159</f>
        <v xml:space="preserve">Administrative fees charged by the school district pursuant to s. 1002.33(20)(a), F.S., shall be calculated based upon 5% of available funds from the FEFP and categorical </v>
      </c>
      <c r="B159" s="328"/>
      <c r="C159" s="328"/>
      <c r="D159" s="328"/>
      <c r="E159" s="328"/>
      <c r="F159" s="328"/>
      <c r="G159" s="328"/>
      <c r="H159" s="328"/>
      <c r="I159" s="328"/>
      <c r="J159" s="3"/>
      <c r="K159" s="3"/>
      <c r="L159" s="3"/>
      <c r="M159" s="3"/>
      <c r="N159" s="81"/>
    </row>
    <row r="160" spans="1:14" s="79" customFormat="1" ht="15.75" customHeight="1" x14ac:dyDescent="0.25">
      <c r="A160" s="400" t="str">
        <f>'0664'!A160</f>
        <v>funding for which charter students may be eligible.  To calculate the administrative fee to be withheld for schools with more than 250 students, divide the school</v>
      </c>
      <c r="B160" s="328"/>
      <c r="C160" s="328"/>
      <c r="D160" s="328"/>
      <c r="E160" s="328"/>
      <c r="F160" s="328"/>
      <c r="G160" s="328"/>
      <c r="H160" s="328"/>
      <c r="I160" s="328"/>
      <c r="J160" s="3"/>
      <c r="K160" s="3"/>
      <c r="L160" s="3"/>
      <c r="M160" s="3"/>
      <c r="N160" s="81"/>
    </row>
    <row r="161" spans="1:21" s="79" customFormat="1" ht="15.75" customHeight="1" x14ac:dyDescent="0.25">
      <c r="A161" s="400" t="str">
        <f>'0664'!A161</f>
        <v xml:space="preserve">population into 250. Multiply that fraction times the funds available, then times 5%.  </v>
      </c>
      <c r="B161" s="328"/>
      <c r="C161" s="328"/>
      <c r="D161" s="328"/>
      <c r="E161" s="328"/>
      <c r="F161" s="328"/>
      <c r="G161" s="328"/>
      <c r="H161" s="328"/>
      <c r="I161" s="328"/>
      <c r="J161" s="3"/>
      <c r="K161" s="3"/>
      <c r="L161" s="3"/>
      <c r="M161" s="3"/>
      <c r="N161" s="81"/>
    </row>
    <row r="162" spans="1:21" s="79" customFormat="1" ht="15.75" customHeight="1" x14ac:dyDescent="0.25">
      <c r="A162" s="399"/>
      <c r="B162" s="394"/>
      <c r="C162" s="394"/>
      <c r="D162" s="394"/>
      <c r="E162" s="394"/>
      <c r="F162" s="394"/>
      <c r="G162" s="394"/>
      <c r="H162" s="394"/>
      <c r="I162" s="394"/>
      <c r="N162" s="77"/>
      <c r="O162" s="3"/>
      <c r="P162" s="3"/>
      <c r="Q162" s="3"/>
      <c r="R162" s="3"/>
      <c r="S162" s="3"/>
      <c r="T162" s="3"/>
      <c r="U162" s="3"/>
    </row>
    <row r="163" spans="1:21" ht="15.75" customHeight="1" x14ac:dyDescent="0.25">
      <c r="A163" s="399" t="str">
        <f>'0664'!A163</f>
        <v xml:space="preserve">For high performing charter schools, administrative fees charged by the school district shall be calculated based upon 2% of available funds from the FEFP and categorical </v>
      </c>
      <c r="B163" s="328"/>
      <c r="C163" s="328"/>
      <c r="D163" s="328"/>
      <c r="E163" s="328"/>
      <c r="F163" s="328"/>
      <c r="G163" s="328"/>
      <c r="H163" s="328"/>
      <c r="I163" s="328"/>
      <c r="J163" s="79"/>
      <c r="K163" s="79"/>
      <c r="L163" s="79"/>
      <c r="M163" s="79"/>
      <c r="N163" s="81"/>
      <c r="O163" s="79"/>
      <c r="P163" s="79"/>
      <c r="Q163" s="79"/>
      <c r="R163" s="79"/>
      <c r="S163" s="79"/>
      <c r="T163" s="79"/>
      <c r="U163" s="79"/>
    </row>
    <row r="164" spans="1:21" ht="15.75" customHeight="1" x14ac:dyDescent="0.25">
      <c r="A164" s="400" t="str">
        <f>'0664'!A164</f>
        <v>funding for which charter students may be eligible.  To calculate the administrative fee to be withheld for schools with more than 250 students, divide the school</v>
      </c>
      <c r="B164" s="381"/>
      <c r="C164" s="381"/>
      <c r="D164" s="381"/>
      <c r="E164" s="381"/>
      <c r="F164" s="381"/>
      <c r="G164" s="381"/>
      <c r="H164" s="381"/>
      <c r="I164" s="381"/>
      <c r="J164" s="79"/>
      <c r="K164" s="79"/>
      <c r="L164" s="79"/>
      <c r="M164" s="79"/>
      <c r="N164" s="81"/>
      <c r="O164" s="79"/>
      <c r="P164" s="79"/>
      <c r="Q164" s="79"/>
      <c r="R164" s="79"/>
      <c r="S164" s="79"/>
      <c r="T164" s="79"/>
      <c r="U164" s="79"/>
    </row>
    <row r="165" spans="1:21" s="79" customFormat="1" ht="15.75" customHeight="1" x14ac:dyDescent="0.2">
      <c r="A165" s="400" t="str">
        <f>'0664'!A165</f>
        <v xml:space="preserve">population into 250. Multiply that fraction times the funds available, then times 2%.  </v>
      </c>
      <c r="B165" s="328"/>
      <c r="C165" s="328"/>
      <c r="D165" s="328"/>
      <c r="E165" s="328"/>
      <c r="F165" s="328"/>
      <c r="G165" s="328"/>
      <c r="H165" s="328"/>
      <c r="I165" s="328"/>
      <c r="N165" s="81"/>
    </row>
    <row r="166" spans="1:21" x14ac:dyDescent="0.25">
      <c r="A166" s="356"/>
      <c r="N166" s="77"/>
    </row>
    <row r="167" spans="1:21" x14ac:dyDescent="0.25">
      <c r="A167" s="398" t="str">
        <f>'0664'!A167</f>
        <v>Other:</v>
      </c>
      <c r="N167" s="77"/>
    </row>
    <row r="168" spans="1:21" x14ac:dyDescent="0.25">
      <c r="A168" s="399" t="str">
        <f>'0664'!A168</f>
        <v>FEFP and categorical funding are recalculated during the year to reflect the revised number of full-time equivalent students reported during the survey periods designated</v>
      </c>
      <c r="N168" s="77"/>
    </row>
    <row r="169" spans="1:21" x14ac:dyDescent="0.25">
      <c r="A169" s="402" t="str">
        <f>'0664'!A169</f>
        <v>by the Commissioner of Education.</v>
      </c>
      <c r="N169" s="77"/>
    </row>
    <row r="170" spans="1:21" x14ac:dyDescent="0.25">
      <c r="A170" s="399" t="str">
        <f>'0664'!A170</f>
        <v>Revenues flow to districts from state sources and from county tax collectors on various distribution schedules.</v>
      </c>
      <c r="N170" s="77"/>
    </row>
    <row r="171" spans="1:21" x14ac:dyDescent="0.25">
      <c r="A171" s="77"/>
      <c r="N171" s="77"/>
    </row>
    <row r="172" spans="1:21" x14ac:dyDescent="0.25">
      <c r="A172" s="77"/>
      <c r="N172" s="77"/>
    </row>
    <row r="173" spans="1:21" x14ac:dyDescent="0.25">
      <c r="A173" s="77"/>
      <c r="N173" s="77"/>
    </row>
    <row r="174" spans="1:21" x14ac:dyDescent="0.25">
      <c r="A174" s="77"/>
      <c r="N174" s="77"/>
    </row>
    <row r="175" spans="1:21" x14ac:dyDescent="0.25">
      <c r="A175" s="77"/>
      <c r="N175" s="77"/>
    </row>
    <row r="176" spans="1:21" x14ac:dyDescent="0.25">
      <c r="A176" s="77"/>
      <c r="N176" s="77"/>
    </row>
    <row r="177" spans="1:14" x14ac:dyDescent="0.25">
      <c r="A177" s="77"/>
      <c r="N177" s="77"/>
    </row>
    <row r="178" spans="1:14" x14ac:dyDescent="0.25">
      <c r="A178" s="77"/>
      <c r="N178" s="77"/>
    </row>
    <row r="179" spans="1:14" x14ac:dyDescent="0.25">
      <c r="A179" s="77"/>
      <c r="N179" s="77"/>
    </row>
    <row r="180" spans="1:14" x14ac:dyDescent="0.25">
      <c r="A180" s="77"/>
      <c r="N180" s="77"/>
    </row>
    <row r="181" spans="1:14" x14ac:dyDescent="0.25">
      <c r="A181" s="77"/>
      <c r="N181" s="77"/>
    </row>
    <row r="182" spans="1:14" x14ac:dyDescent="0.25">
      <c r="A182" s="77"/>
      <c r="N182" s="77"/>
    </row>
    <row r="183" spans="1:14" x14ac:dyDescent="0.25">
      <c r="A183" s="77"/>
      <c r="N183" s="77"/>
    </row>
    <row r="184" spans="1:14" x14ac:dyDescent="0.25">
      <c r="A184" s="77"/>
      <c r="N184" s="77"/>
    </row>
    <row r="185" spans="1:14" x14ac:dyDescent="0.25">
      <c r="A185" s="77"/>
      <c r="N185" s="77"/>
    </row>
    <row r="186" spans="1:14" x14ac:dyDescent="0.25">
      <c r="A186" s="77"/>
      <c r="N186" s="77"/>
    </row>
    <row r="187" spans="1:14" x14ac:dyDescent="0.25">
      <c r="A187" s="77"/>
      <c r="N187" s="77"/>
    </row>
    <row r="188" spans="1:14" x14ac:dyDescent="0.25">
      <c r="A188" s="77"/>
    </row>
    <row r="189" spans="1:14" x14ac:dyDescent="0.25">
      <c r="A189" s="77"/>
    </row>
    <row r="190" spans="1:14" x14ac:dyDescent="0.25">
      <c r="A190" s="77"/>
    </row>
    <row r="191" spans="1:14" x14ac:dyDescent="0.25">
      <c r="A191" s="77"/>
    </row>
    <row r="192" spans="1:14" x14ac:dyDescent="0.25">
      <c r="A192" s="77"/>
    </row>
    <row r="193" spans="1:1" x14ac:dyDescent="0.25">
      <c r="A193" s="77"/>
    </row>
    <row r="194" spans="1:1" x14ac:dyDescent="0.25">
      <c r="A194" s="77"/>
    </row>
    <row r="195" spans="1:1" x14ac:dyDescent="0.25">
      <c r="A195" s="77"/>
    </row>
    <row r="196" spans="1:1" x14ac:dyDescent="0.25">
      <c r="A196" s="77"/>
    </row>
    <row r="197" spans="1:1" x14ac:dyDescent="0.25">
      <c r="A197" s="77"/>
    </row>
    <row r="198" spans="1:1" x14ac:dyDescent="0.25">
      <c r="A198" s="77"/>
    </row>
    <row r="199" spans="1:1" x14ac:dyDescent="0.25">
      <c r="A199" s="77"/>
    </row>
    <row r="200" spans="1:1" x14ac:dyDescent="0.25">
      <c r="A200" s="77"/>
    </row>
    <row r="201" spans="1:1" x14ac:dyDescent="0.25">
      <c r="A201" s="77"/>
    </row>
    <row r="202" spans="1:1" x14ac:dyDescent="0.25">
      <c r="A202" s="77"/>
    </row>
    <row r="203" spans="1:1" x14ac:dyDescent="0.25">
      <c r="A203" s="77"/>
    </row>
    <row r="204" spans="1:1" x14ac:dyDescent="0.25">
      <c r="A204" s="77"/>
    </row>
    <row r="205" spans="1:1" x14ac:dyDescent="0.25">
      <c r="A205" s="77"/>
    </row>
    <row r="206" spans="1:1" x14ac:dyDescent="0.25">
      <c r="A206" s="77"/>
    </row>
  </sheetData>
  <mergeCells count="266">
    <mergeCell ref="N139:U139"/>
    <mergeCell ref="N119:U119"/>
    <mergeCell ref="A112:C112"/>
    <mergeCell ref="F112:H112"/>
    <mergeCell ref="N112:P112"/>
    <mergeCell ref="N113:P113"/>
    <mergeCell ref="A113:C113"/>
    <mergeCell ref="N114:T114"/>
    <mergeCell ref="A115:H115"/>
    <mergeCell ref="A119:G119"/>
    <mergeCell ref="A109:B109"/>
    <mergeCell ref="F109:G109"/>
    <mergeCell ref="N109:O109"/>
    <mergeCell ref="P109:Q109"/>
    <mergeCell ref="F113:H113"/>
    <mergeCell ref="N120:U120"/>
    <mergeCell ref="A120:G120"/>
    <mergeCell ref="R109:S109"/>
    <mergeCell ref="A110:B110"/>
    <mergeCell ref="N110:O110"/>
    <mergeCell ref="A107:B107"/>
    <mergeCell ref="F107:G107"/>
    <mergeCell ref="N107:O107"/>
    <mergeCell ref="P107:Q107"/>
    <mergeCell ref="R107:S107"/>
    <mergeCell ref="A108:B108"/>
    <mergeCell ref="F108:G108"/>
    <mergeCell ref="N108:O108"/>
    <mergeCell ref="P108:Q108"/>
    <mergeCell ref="R108:S108"/>
    <mergeCell ref="A103:C103"/>
    <mergeCell ref="F103:I103"/>
    <mergeCell ref="N103:U103"/>
    <mergeCell ref="C104:E104"/>
    <mergeCell ref="F105:G105"/>
    <mergeCell ref="A106:B106"/>
    <mergeCell ref="F106:G106"/>
    <mergeCell ref="N106:O106"/>
    <mergeCell ref="P106:Q106"/>
    <mergeCell ref="R106:S106"/>
    <mergeCell ref="A99:B99"/>
    <mergeCell ref="N99:O99"/>
    <mergeCell ref="P99:R99"/>
    <mergeCell ref="A100:B100"/>
    <mergeCell ref="N100:O100"/>
    <mergeCell ref="P100:R100"/>
    <mergeCell ref="C91:D91"/>
    <mergeCell ref="P91:Q91"/>
    <mergeCell ref="C92:D92"/>
    <mergeCell ref="P92:Q92"/>
    <mergeCell ref="C93:D93"/>
    <mergeCell ref="P93:T93"/>
    <mergeCell ref="A94:I94"/>
    <mergeCell ref="N94:U94"/>
    <mergeCell ref="F96:I96"/>
    <mergeCell ref="N96:P96"/>
    <mergeCell ref="Q96:T96"/>
    <mergeCell ref="A87:I87"/>
    <mergeCell ref="N87:U87"/>
    <mergeCell ref="C88:D88"/>
    <mergeCell ref="C89:D89"/>
    <mergeCell ref="N89:O89"/>
    <mergeCell ref="P89:Q89"/>
    <mergeCell ref="R89:U89"/>
    <mergeCell ref="C90:D90"/>
    <mergeCell ref="P90:Q90"/>
    <mergeCell ref="A80:C80"/>
    <mergeCell ref="N80:P80"/>
    <mergeCell ref="A85:C85"/>
    <mergeCell ref="N85:P85"/>
    <mergeCell ref="F73:H73"/>
    <mergeCell ref="N73:T73"/>
    <mergeCell ref="N74:T74"/>
    <mergeCell ref="A78:C78"/>
    <mergeCell ref="N78:P78"/>
    <mergeCell ref="A79:C79"/>
    <mergeCell ref="A69:C69"/>
    <mergeCell ref="N69:P69"/>
    <mergeCell ref="N79:P79"/>
    <mergeCell ref="A76:C76"/>
    <mergeCell ref="N76:P76"/>
    <mergeCell ref="A77:C77"/>
    <mergeCell ref="A70:C70"/>
    <mergeCell ref="A71:C71"/>
    <mergeCell ref="N71:P71"/>
    <mergeCell ref="A72:C72"/>
    <mergeCell ref="N77:P77"/>
    <mergeCell ref="N72:P72"/>
    <mergeCell ref="A65:B65"/>
    <mergeCell ref="D65:G65"/>
    <mergeCell ref="N65:O65"/>
    <mergeCell ref="Q65:S65"/>
    <mergeCell ref="T65:U65"/>
    <mergeCell ref="N66:S66"/>
    <mergeCell ref="T66:U66"/>
    <mergeCell ref="A68:C68"/>
    <mergeCell ref="N68:P68"/>
    <mergeCell ref="A62:B62"/>
    <mergeCell ref="D62:G62"/>
    <mergeCell ref="N62:O62"/>
    <mergeCell ref="Q62:S62"/>
    <mergeCell ref="T62:U62"/>
    <mergeCell ref="N63:S63"/>
    <mergeCell ref="T63:U63"/>
    <mergeCell ref="A64:I64"/>
    <mergeCell ref="N64:U64"/>
    <mergeCell ref="A59:B59"/>
    <mergeCell ref="F59:H59"/>
    <mergeCell ref="N59:O59"/>
    <mergeCell ref="P59:Q59"/>
    <mergeCell ref="R59:T59"/>
    <mergeCell ref="A60:I60"/>
    <mergeCell ref="N60:U60"/>
    <mergeCell ref="A61:I61"/>
    <mergeCell ref="N61:U61"/>
    <mergeCell ref="A50:B58"/>
    <mergeCell ref="N50:O58"/>
    <mergeCell ref="P50:Q50"/>
    <mergeCell ref="P51:Q51"/>
    <mergeCell ref="P52:Q52"/>
    <mergeCell ref="P53:Q53"/>
    <mergeCell ref="P54:Q54"/>
    <mergeCell ref="P55:Q55"/>
    <mergeCell ref="P56:Q56"/>
    <mergeCell ref="P57:Q57"/>
    <mergeCell ref="P58:Q58"/>
    <mergeCell ref="A42:B42"/>
    <mergeCell ref="N42:O42"/>
    <mergeCell ref="P42:T42"/>
    <mergeCell ref="N43:Q43"/>
    <mergeCell ref="S43:T43"/>
    <mergeCell ref="N45:Q45"/>
    <mergeCell ref="S45:T45"/>
    <mergeCell ref="N49:O49"/>
    <mergeCell ref="P49:Q49"/>
    <mergeCell ref="A39:B39"/>
    <mergeCell ref="N39:O39"/>
    <mergeCell ref="P39:T39"/>
    <mergeCell ref="A40:B40"/>
    <mergeCell ref="N40:O40"/>
    <mergeCell ref="P40:T40"/>
    <mergeCell ref="A41:B41"/>
    <mergeCell ref="N41:O41"/>
    <mergeCell ref="P41:T41"/>
    <mergeCell ref="N34:T34"/>
    <mergeCell ref="A36:B36"/>
    <mergeCell ref="N36:O36"/>
    <mergeCell ref="P36:T36"/>
    <mergeCell ref="A37:B37"/>
    <mergeCell ref="N37:O37"/>
    <mergeCell ref="P37:T37"/>
    <mergeCell ref="F33:H36"/>
    <mergeCell ref="A38:B38"/>
    <mergeCell ref="N38:O38"/>
    <mergeCell ref="P38:T38"/>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A20:B20"/>
    <mergeCell ref="F20:G20"/>
    <mergeCell ref="N20:O20"/>
    <mergeCell ref="P20:Q20"/>
    <mergeCell ref="R20:S20"/>
    <mergeCell ref="A19:B19"/>
    <mergeCell ref="A21:B21"/>
    <mergeCell ref="F21:G21"/>
    <mergeCell ref="N21:O21"/>
    <mergeCell ref="P21:Q21"/>
    <mergeCell ref="R21:S21"/>
    <mergeCell ref="A18:B18"/>
    <mergeCell ref="F18:G18"/>
    <mergeCell ref="N18:O18"/>
    <mergeCell ref="P18:Q18"/>
    <mergeCell ref="R18:S18"/>
    <mergeCell ref="A17:B17"/>
    <mergeCell ref="F17:G17"/>
    <mergeCell ref="F19:G19"/>
    <mergeCell ref="N19:O19"/>
    <mergeCell ref="P19:Q19"/>
    <mergeCell ref="R19:S19"/>
    <mergeCell ref="A16:B16"/>
    <mergeCell ref="F16:G16"/>
    <mergeCell ref="N16:O16"/>
    <mergeCell ref="P16:Q16"/>
    <mergeCell ref="R16:S16"/>
    <mergeCell ref="A15:B15"/>
    <mergeCell ref="F15:G15"/>
    <mergeCell ref="N17:O17"/>
    <mergeCell ref="P17:Q17"/>
    <mergeCell ref="R17:S17"/>
    <mergeCell ref="A14:B14"/>
    <mergeCell ref="F14:G14"/>
    <mergeCell ref="N14:O14"/>
    <mergeCell ref="P14:Q14"/>
    <mergeCell ref="R14:S14"/>
    <mergeCell ref="A13:B13"/>
    <mergeCell ref="F13:G13"/>
    <mergeCell ref="N15:O15"/>
    <mergeCell ref="P15:Q15"/>
    <mergeCell ref="R15:S15"/>
    <mergeCell ref="A12:B12"/>
    <mergeCell ref="F12:G12"/>
    <mergeCell ref="N12:O12"/>
    <mergeCell ref="P12:Q12"/>
    <mergeCell ref="R12:S12"/>
    <mergeCell ref="A11:B11"/>
    <mergeCell ref="F11:G11"/>
    <mergeCell ref="N13:O13"/>
    <mergeCell ref="P13:Q13"/>
    <mergeCell ref="R13:S13"/>
    <mergeCell ref="N8:O8"/>
    <mergeCell ref="P8:Q8"/>
    <mergeCell ref="R8:S8"/>
    <mergeCell ref="T8:U8"/>
    <mergeCell ref="F10:G10"/>
    <mergeCell ref="R10:S10"/>
    <mergeCell ref="A7:I7"/>
    <mergeCell ref="N11:O11"/>
    <mergeCell ref="P11:Q11"/>
    <mergeCell ref="R11:S11"/>
    <mergeCell ref="B1:I1"/>
    <mergeCell ref="O1:U1"/>
    <mergeCell ref="N2:U2"/>
    <mergeCell ref="N3:U3"/>
    <mergeCell ref="A4:B4"/>
    <mergeCell ref="C4:E4"/>
    <mergeCell ref="N4:O4"/>
    <mergeCell ref="P4:Q4"/>
    <mergeCell ref="N7:U7"/>
  </mergeCells>
  <pageMargins left="0.1" right="0.1" top="0.5" bottom="0.5" header="0" footer="0.1"/>
  <pageSetup scale="70" fitToHeight="3" orientation="portrait" r:id="rId1"/>
  <headerFooter alignWithMargins="0">
    <oddFooter>&amp;R&amp;P of &amp;N</oddFooter>
  </headerFooter>
  <rowBreaks count="1" manualBreakCount="1">
    <brk id="138" max="16383" man="1"/>
  </rowBreaks>
  <colBreaks count="1" manualBreakCount="1">
    <brk id="9" max="1048575" man="1"/>
  </col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CCFFCC"/>
  </sheetPr>
  <dimension ref="A1:U206"/>
  <sheetViews>
    <sheetView showGridLines="0" zoomScaleNormal="100" workbookViewId="0">
      <pane ySplit="1" topLeftCell="A17" activePane="bottomLeft" state="frozen"/>
      <selection activeCell="I9" sqref="I9"/>
      <selection pane="bottomLeft" activeCell="E55" sqref="E55"/>
    </sheetView>
  </sheetViews>
  <sheetFormatPr defaultRowHeight="15.75" x14ac:dyDescent="0.25"/>
  <cols>
    <col min="1" max="1" width="10.28515625" style="72"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72"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5">
        <v>50</v>
      </c>
      <c r="B1" s="441" t="s">
        <v>17</v>
      </c>
      <c r="C1" s="442"/>
      <c r="D1" s="442"/>
      <c r="E1" s="442"/>
      <c r="F1" s="442"/>
      <c r="G1" s="442"/>
      <c r="H1" s="442"/>
      <c r="I1" s="442"/>
      <c r="J1" s="157"/>
      <c r="K1" s="157"/>
      <c r="L1" s="157"/>
      <c r="N1" s="85">
        <f>A1</f>
        <v>50</v>
      </c>
      <c r="O1" s="527" t="s">
        <v>17</v>
      </c>
      <c r="P1" s="528"/>
      <c r="Q1" s="528"/>
      <c r="R1" s="528"/>
      <c r="S1" s="528"/>
      <c r="T1" s="528"/>
      <c r="U1" s="528"/>
    </row>
    <row r="2" spans="1:21" ht="21" x14ac:dyDescent="0.35">
      <c r="A2" s="1" t="s">
        <v>344</v>
      </c>
      <c r="B2" s="2"/>
      <c r="C2" s="2"/>
      <c r="D2" s="2"/>
      <c r="E2" s="2"/>
      <c r="F2" s="2"/>
      <c r="G2" s="2"/>
      <c r="H2" s="2"/>
      <c r="I2" s="2"/>
      <c r="N2" s="529" t="s">
        <v>23</v>
      </c>
      <c r="O2" s="529"/>
      <c r="P2" s="529"/>
      <c r="Q2" s="529"/>
      <c r="R2" s="529"/>
      <c r="S2" s="529"/>
      <c r="T2" s="529"/>
      <c r="U2" s="529"/>
    </row>
    <row r="3" spans="1:21" x14ac:dyDescent="0.25">
      <c r="A3" s="84" t="str">
        <f>'0664'!A3</f>
        <v>Based on the FLDOE 2022-23 FEFP Third Calculation</v>
      </c>
      <c r="N3" s="485" t="str">
        <f>A3</f>
        <v>Based on the FLDOE 2022-23 FEFP Third Calculation</v>
      </c>
      <c r="O3" s="485"/>
      <c r="P3" s="485"/>
      <c r="Q3" s="485"/>
      <c r="R3" s="485"/>
      <c r="S3" s="485"/>
      <c r="T3" s="485"/>
      <c r="U3" s="485"/>
    </row>
    <row r="4" spans="1:21" x14ac:dyDescent="0.25">
      <c r="A4" s="443" t="s">
        <v>0</v>
      </c>
      <c r="B4" s="443"/>
      <c r="C4" s="444" t="s">
        <v>9</v>
      </c>
      <c r="D4" s="444"/>
      <c r="E4" s="444"/>
      <c r="F4" s="4" t="str">
        <f>'0664'!F4</f>
        <v>Apr 2023</v>
      </c>
      <c r="G4" s="4"/>
      <c r="H4" s="4"/>
      <c r="I4" s="4"/>
      <c r="N4" s="530" t="s">
        <v>0</v>
      </c>
      <c r="O4" s="530"/>
      <c r="P4" s="531" t="str">
        <f>C4</f>
        <v>Palm Beach</v>
      </c>
      <c r="Q4" s="531"/>
      <c r="R4" s="5"/>
      <c r="S4" s="5"/>
      <c r="T4" s="5"/>
      <c r="U4" s="5"/>
    </row>
    <row r="5" spans="1:21" ht="12" customHeight="1" thickBot="1" x14ac:dyDescent="0.3">
      <c r="A5" s="262"/>
      <c r="B5" s="262"/>
      <c r="C5" s="253"/>
      <c r="D5" s="253"/>
      <c r="E5" s="253"/>
      <c r="F5" s="254"/>
      <c r="G5" s="254"/>
      <c r="H5" s="254"/>
      <c r="I5" s="254"/>
      <c r="N5" s="86"/>
      <c r="O5" s="86"/>
      <c r="P5" s="6"/>
      <c r="Q5" s="6"/>
      <c r="R5" s="5"/>
      <c r="S5" s="5"/>
      <c r="T5" s="5"/>
      <c r="U5" s="5"/>
    </row>
    <row r="6" spans="1:21" ht="12" customHeight="1" x14ac:dyDescent="0.25">
      <c r="A6" s="150"/>
      <c r="B6" s="150"/>
      <c r="C6" s="261"/>
      <c r="D6" s="261"/>
      <c r="E6" s="261"/>
      <c r="F6" s="4"/>
      <c r="G6" s="4"/>
      <c r="H6" s="4"/>
      <c r="I6" s="4"/>
      <c r="N6" s="86"/>
      <c r="O6" s="86"/>
      <c r="P6" s="6"/>
      <c r="Q6" s="6"/>
      <c r="R6" s="5"/>
      <c r="S6" s="5"/>
      <c r="T6" s="5"/>
      <c r="U6" s="5"/>
    </row>
    <row r="7" spans="1:21" x14ac:dyDescent="0.25">
      <c r="A7" s="445" t="str">
        <f>'0664'!A7:I7</f>
        <v>1.   2022-23 FEFP State and Local Funding</v>
      </c>
      <c r="B7" s="533"/>
      <c r="C7" s="533"/>
      <c r="D7" s="533"/>
      <c r="E7" s="533"/>
      <c r="F7" s="533"/>
      <c r="G7" s="533"/>
      <c r="H7" s="533"/>
      <c r="I7" s="533"/>
      <c r="N7" s="530" t="s">
        <v>86</v>
      </c>
      <c r="O7" s="530"/>
      <c r="P7" s="530"/>
      <c r="Q7" s="530"/>
      <c r="R7" s="530"/>
      <c r="S7" s="530"/>
      <c r="T7" s="530"/>
      <c r="U7" s="530"/>
    </row>
    <row r="8" spans="1:21" x14ac:dyDescent="0.25">
      <c r="A8" s="87"/>
      <c r="B8" s="88" t="s">
        <v>123</v>
      </c>
      <c r="C8" s="334">
        <f>'0664'!C8</f>
        <v>4587.3999999999996</v>
      </c>
      <c r="D8" s="89"/>
      <c r="E8" s="90"/>
      <c r="F8" s="87"/>
      <c r="G8" s="88" t="s">
        <v>122</v>
      </c>
      <c r="H8" s="320">
        <f>'0664'!H8</f>
        <v>1.0438000000000001</v>
      </c>
      <c r="I8" s="78"/>
      <c r="N8" s="534" t="s">
        <v>10</v>
      </c>
      <c r="O8" s="534"/>
      <c r="P8" s="535">
        <v>4154.45</v>
      </c>
      <c r="Q8" s="535"/>
      <c r="R8" s="518" t="s">
        <v>11</v>
      </c>
      <c r="S8" s="518"/>
      <c r="T8" s="519">
        <f>H8</f>
        <v>1.0438000000000001</v>
      </c>
      <c r="U8" s="519"/>
    </row>
    <row r="9" spans="1:21" x14ac:dyDescent="0.25">
      <c r="A9" s="7"/>
      <c r="B9" s="44" t="s">
        <v>370</v>
      </c>
      <c r="C9" s="372" t="s">
        <v>370</v>
      </c>
      <c r="D9" s="372" t="s">
        <v>370</v>
      </c>
      <c r="E9" s="8"/>
      <c r="F9" s="9"/>
      <c r="G9" s="9"/>
      <c r="H9" s="10"/>
      <c r="I9" s="340" t="str">
        <f>'0664'!I9</f>
        <v>2022-23</v>
      </c>
      <c r="N9" s="12"/>
      <c r="O9" s="12"/>
      <c r="P9" s="13"/>
      <c r="Q9" s="13"/>
      <c r="R9" s="14"/>
      <c r="S9" s="14"/>
      <c r="T9" s="15"/>
      <c r="U9" s="405" t="s">
        <v>405</v>
      </c>
    </row>
    <row r="10" spans="1:21" x14ac:dyDescent="0.25">
      <c r="A10" s="7"/>
      <c r="B10" s="7"/>
      <c r="C10" s="91" t="s">
        <v>463</v>
      </c>
      <c r="D10" s="371" t="s">
        <v>464</v>
      </c>
      <c r="E10" s="92" t="s">
        <v>8</v>
      </c>
      <c r="F10" s="446" t="s">
        <v>1</v>
      </c>
      <c r="G10" s="446"/>
      <c r="H10" s="10" t="s">
        <v>73</v>
      </c>
      <c r="I10" s="11" t="s">
        <v>36</v>
      </c>
      <c r="N10" s="12"/>
      <c r="O10" s="12"/>
      <c r="P10" s="13"/>
      <c r="Q10" s="13"/>
      <c r="R10" s="520" t="s">
        <v>1</v>
      </c>
      <c r="S10" s="520"/>
      <c r="T10" s="15" t="s">
        <v>73</v>
      </c>
      <c r="U10" s="16" t="s">
        <v>36</v>
      </c>
    </row>
    <row r="11" spans="1:21" x14ac:dyDescent="0.25">
      <c r="A11" s="447" t="s">
        <v>1</v>
      </c>
      <c r="B11" s="447"/>
      <c r="C11" s="362" t="s">
        <v>2</v>
      </c>
      <c r="D11" s="362" t="s">
        <v>2</v>
      </c>
      <c r="E11" s="362" t="s">
        <v>2</v>
      </c>
      <c r="F11" s="448" t="s">
        <v>76</v>
      </c>
      <c r="G11" s="448"/>
      <c r="H11" s="17" t="s">
        <v>72</v>
      </c>
      <c r="I11" s="18" t="s">
        <v>75</v>
      </c>
      <c r="N11" s="510" t="s">
        <v>1</v>
      </c>
      <c r="O11" s="510"/>
      <c r="P11" s="521" t="s">
        <v>24</v>
      </c>
      <c r="Q11" s="521"/>
      <c r="R11" s="522" t="s">
        <v>76</v>
      </c>
      <c r="S11" s="522"/>
      <c r="T11" s="19" t="s">
        <v>72</v>
      </c>
      <c r="U11" s="20" t="s">
        <v>75</v>
      </c>
    </row>
    <row r="12" spans="1:21" x14ac:dyDescent="0.25">
      <c r="A12" s="449" t="s">
        <v>47</v>
      </c>
      <c r="B12" s="449"/>
      <c r="C12" s="94"/>
      <c r="D12" s="94"/>
      <c r="E12" s="95" t="s">
        <v>48</v>
      </c>
      <c r="F12" s="450" t="s">
        <v>49</v>
      </c>
      <c r="G12" s="450"/>
      <c r="H12" s="21" t="s">
        <v>50</v>
      </c>
      <c r="I12" s="22" t="s">
        <v>51</v>
      </c>
      <c r="N12" s="523" t="s">
        <v>47</v>
      </c>
      <c r="O12" s="523"/>
      <c r="P12" s="524" t="s">
        <v>48</v>
      </c>
      <c r="Q12" s="524"/>
      <c r="R12" s="525" t="s">
        <v>49</v>
      </c>
      <c r="S12" s="525"/>
      <c r="T12" s="23" t="s">
        <v>50</v>
      </c>
      <c r="U12" s="24" t="s">
        <v>51</v>
      </c>
    </row>
    <row r="13" spans="1:21" x14ac:dyDescent="0.25">
      <c r="A13" s="451" t="s">
        <v>29</v>
      </c>
      <c r="B13" s="451"/>
      <c r="C13" s="165">
        <v>79.8</v>
      </c>
      <c r="D13" s="163">
        <v>77.48</v>
      </c>
      <c r="E13" s="210">
        <f>IF(D$29=0,C13*2,C13+D13)</f>
        <v>157.28</v>
      </c>
      <c r="F13" s="537">
        <f>'0664'!F13:G13</f>
        <v>1.1259999999999999</v>
      </c>
      <c r="G13" s="537"/>
      <c r="H13" s="167">
        <f>ROUND(E13*F13,4)</f>
        <v>177.09729999999999</v>
      </c>
      <c r="I13" s="119">
        <f t="shared" ref="I13:I28" si="0">ROUND(ROUND(H13*$C$8,4)*($H$8),2)</f>
        <v>847999.98</v>
      </c>
      <c r="N13" s="512" t="s">
        <v>29</v>
      </c>
      <c r="O13" s="512"/>
      <c r="P13" s="513">
        <f t="shared" ref="P13:P28" si="1">IF($H$120=1,E13,0)</f>
        <v>0</v>
      </c>
      <c r="Q13" s="513"/>
      <c r="R13" s="526">
        <v>1</v>
      </c>
      <c r="S13" s="526"/>
      <c r="T13" s="98">
        <f>ROUND(P13*R13,4)</f>
        <v>0</v>
      </c>
      <c r="U13" s="99">
        <f t="shared" ref="U13:U28" si="2">ROUND(ROUND(T13*$C$8,4)*($H$8),0)</f>
        <v>0</v>
      </c>
    </row>
    <row r="14" spans="1:21" x14ac:dyDescent="0.25">
      <c r="A14" s="453" t="s">
        <v>30</v>
      </c>
      <c r="B14" s="453"/>
      <c r="C14" s="165">
        <v>10.5</v>
      </c>
      <c r="D14" s="165">
        <v>10</v>
      </c>
      <c r="E14" s="125">
        <f t="shared" ref="E14:E28" si="3">IF(D$29=0,C14*2,C14+D14)</f>
        <v>20.5</v>
      </c>
      <c r="F14" s="532">
        <f>'0664'!F14:G14</f>
        <v>1.1259999999999999</v>
      </c>
      <c r="G14" s="532"/>
      <c r="H14" s="83">
        <f t="shared" ref="H14:H28" si="4">ROUND(E14*F14,4)</f>
        <v>23.082999999999998</v>
      </c>
      <c r="I14" s="104">
        <f t="shared" si="0"/>
        <v>110528.98</v>
      </c>
      <c r="J14" s="68" t="str">
        <f>IF(ROUND(E14,2)=ROUND(SUM(E50:E52),2)," ","CHECK PK-3 LINES BELOW")</f>
        <v xml:space="preserve"> </v>
      </c>
      <c r="N14" s="479" t="s">
        <v>30</v>
      </c>
      <c r="O14" s="479"/>
      <c r="P14" s="513">
        <f t="shared" si="1"/>
        <v>0</v>
      </c>
      <c r="Q14" s="513"/>
      <c r="R14" s="517">
        <v>1</v>
      </c>
      <c r="S14" s="517"/>
      <c r="T14" s="98">
        <f t="shared" ref="T14:T28" si="5">ROUND(P14*R14,4)</f>
        <v>0</v>
      </c>
      <c r="U14" s="99">
        <f t="shared" si="2"/>
        <v>0</v>
      </c>
    </row>
    <row r="15" spans="1:21" x14ac:dyDescent="0.25">
      <c r="A15" s="453" t="s">
        <v>31</v>
      </c>
      <c r="B15" s="453"/>
      <c r="C15" s="165">
        <v>101.63</v>
      </c>
      <c r="D15" s="165">
        <v>105.36</v>
      </c>
      <c r="E15" s="125">
        <f t="shared" si="3"/>
        <v>206.99</v>
      </c>
      <c r="F15" s="532">
        <f>'0664'!F15:G15</f>
        <v>1</v>
      </c>
      <c r="G15" s="532"/>
      <c r="H15" s="83">
        <f t="shared" si="4"/>
        <v>206.99</v>
      </c>
      <c r="I15" s="104">
        <f t="shared" si="0"/>
        <v>991136.04</v>
      </c>
      <c r="N15" s="479" t="s">
        <v>31</v>
      </c>
      <c r="O15" s="479"/>
      <c r="P15" s="513">
        <f t="shared" si="1"/>
        <v>0</v>
      </c>
      <c r="Q15" s="513"/>
      <c r="R15" s="517">
        <v>1</v>
      </c>
      <c r="S15" s="517"/>
      <c r="T15" s="98">
        <f t="shared" si="5"/>
        <v>0</v>
      </c>
      <c r="U15" s="99">
        <f t="shared" si="2"/>
        <v>0</v>
      </c>
    </row>
    <row r="16" spans="1:21" x14ac:dyDescent="0.25">
      <c r="A16" s="453" t="s">
        <v>32</v>
      </c>
      <c r="B16" s="453"/>
      <c r="C16" s="165">
        <v>19.5</v>
      </c>
      <c r="D16" s="165">
        <v>19.5</v>
      </c>
      <c r="E16" s="125">
        <f t="shared" si="3"/>
        <v>39</v>
      </c>
      <c r="F16" s="532">
        <f>'0664'!F16:G16</f>
        <v>1</v>
      </c>
      <c r="G16" s="532"/>
      <c r="H16" s="83">
        <f t="shared" si="4"/>
        <v>39</v>
      </c>
      <c r="I16" s="104">
        <f t="shared" si="0"/>
        <v>186744.8</v>
      </c>
      <c r="J16" s="68" t="str">
        <f>IF(ROUND(E16,2)=ROUND(SUM(E53:E55),2)," ","CHECK 4-8 LINES BELOW")</f>
        <v xml:space="preserve"> </v>
      </c>
      <c r="N16" s="479" t="s">
        <v>32</v>
      </c>
      <c r="O16" s="479"/>
      <c r="P16" s="513">
        <f t="shared" si="1"/>
        <v>0</v>
      </c>
      <c r="Q16" s="513"/>
      <c r="R16" s="517">
        <v>1</v>
      </c>
      <c r="S16" s="517"/>
      <c r="T16" s="98">
        <f t="shared" si="5"/>
        <v>0</v>
      </c>
      <c r="U16" s="99">
        <f t="shared" si="2"/>
        <v>0</v>
      </c>
    </row>
    <row r="17" spans="1:21" x14ac:dyDescent="0.25">
      <c r="A17" s="453" t="s">
        <v>33</v>
      </c>
      <c r="B17" s="453"/>
      <c r="C17" s="165">
        <v>0</v>
      </c>
      <c r="D17" s="165">
        <v>0</v>
      </c>
      <c r="E17" s="125">
        <f t="shared" si="3"/>
        <v>0</v>
      </c>
      <c r="F17" s="532">
        <f>'0664'!F17:G17</f>
        <v>0.999</v>
      </c>
      <c r="G17" s="532"/>
      <c r="H17" s="83">
        <f t="shared" si="4"/>
        <v>0</v>
      </c>
      <c r="I17" s="104">
        <f t="shared" si="0"/>
        <v>0</v>
      </c>
      <c r="N17" s="479" t="s">
        <v>33</v>
      </c>
      <c r="O17" s="479"/>
      <c r="P17" s="513">
        <f t="shared" si="1"/>
        <v>0</v>
      </c>
      <c r="Q17" s="513"/>
      <c r="R17" s="517">
        <v>1</v>
      </c>
      <c r="S17" s="517"/>
      <c r="T17" s="98">
        <f t="shared" si="5"/>
        <v>0</v>
      </c>
      <c r="U17" s="99">
        <f t="shared" si="2"/>
        <v>0</v>
      </c>
    </row>
    <row r="18" spans="1:21" x14ac:dyDescent="0.25">
      <c r="A18" s="453" t="s">
        <v>34</v>
      </c>
      <c r="B18" s="453"/>
      <c r="C18" s="165">
        <v>0</v>
      </c>
      <c r="D18" s="165">
        <v>0</v>
      </c>
      <c r="E18" s="125">
        <f t="shared" si="3"/>
        <v>0</v>
      </c>
      <c r="F18" s="532">
        <f>'0664'!F18:G18</f>
        <v>0.999</v>
      </c>
      <c r="G18" s="532"/>
      <c r="H18" s="83">
        <f t="shared" si="4"/>
        <v>0</v>
      </c>
      <c r="I18" s="104">
        <f t="shared" si="0"/>
        <v>0</v>
      </c>
      <c r="J18" s="68" t="str">
        <f>IF(ROUND(E18,2)=ROUND(SUM(E56:E58),2)," ","CHECK 4-8 LINES BELOW")</f>
        <v xml:space="preserve"> </v>
      </c>
      <c r="N18" s="479" t="s">
        <v>34</v>
      </c>
      <c r="O18" s="479"/>
      <c r="P18" s="513">
        <f t="shared" si="1"/>
        <v>0</v>
      </c>
      <c r="Q18" s="513"/>
      <c r="R18" s="517">
        <v>1</v>
      </c>
      <c r="S18" s="517"/>
      <c r="T18" s="98">
        <f t="shared" si="5"/>
        <v>0</v>
      </c>
      <c r="U18" s="101">
        <f t="shared" si="2"/>
        <v>0</v>
      </c>
    </row>
    <row r="19" spans="1:21" x14ac:dyDescent="0.25">
      <c r="A19" s="453" t="s">
        <v>108</v>
      </c>
      <c r="B19" s="453"/>
      <c r="C19" s="165">
        <v>0</v>
      </c>
      <c r="D19" s="165">
        <v>0</v>
      </c>
      <c r="E19" s="125">
        <f t="shared" si="3"/>
        <v>0</v>
      </c>
      <c r="F19" s="532">
        <f>'0664'!F19:G19</f>
        <v>3.6739999999999999</v>
      </c>
      <c r="G19" s="532"/>
      <c r="H19" s="83">
        <f t="shared" si="4"/>
        <v>0</v>
      </c>
      <c r="I19" s="104">
        <f t="shared" si="0"/>
        <v>0</v>
      </c>
      <c r="N19" s="479" t="s">
        <v>108</v>
      </c>
      <c r="O19" s="479"/>
      <c r="P19" s="513">
        <f t="shared" si="1"/>
        <v>0</v>
      </c>
      <c r="Q19" s="513"/>
      <c r="R19" s="517">
        <v>1</v>
      </c>
      <c r="S19" s="517"/>
      <c r="T19" s="98">
        <f t="shared" si="5"/>
        <v>0</v>
      </c>
      <c r="U19" s="99">
        <f t="shared" si="2"/>
        <v>0</v>
      </c>
    </row>
    <row r="20" spans="1:21" x14ac:dyDescent="0.25">
      <c r="A20" s="453" t="s">
        <v>109</v>
      </c>
      <c r="B20" s="453"/>
      <c r="C20" s="165">
        <v>0</v>
      </c>
      <c r="D20" s="165">
        <v>0</v>
      </c>
      <c r="E20" s="125">
        <f t="shared" si="3"/>
        <v>0</v>
      </c>
      <c r="F20" s="532">
        <f>'0664'!F20:G20</f>
        <v>3.6739999999999999</v>
      </c>
      <c r="G20" s="532"/>
      <c r="H20" s="83">
        <f t="shared" si="4"/>
        <v>0</v>
      </c>
      <c r="I20" s="104">
        <f t="shared" si="0"/>
        <v>0</v>
      </c>
      <c r="N20" s="479" t="s">
        <v>109</v>
      </c>
      <c r="O20" s="479"/>
      <c r="P20" s="513">
        <f t="shared" si="1"/>
        <v>0</v>
      </c>
      <c r="Q20" s="513"/>
      <c r="R20" s="517">
        <v>1</v>
      </c>
      <c r="S20" s="517"/>
      <c r="T20" s="98">
        <f t="shared" si="5"/>
        <v>0</v>
      </c>
      <c r="U20" s="99">
        <f t="shared" si="2"/>
        <v>0</v>
      </c>
    </row>
    <row r="21" spans="1:21" x14ac:dyDescent="0.25">
      <c r="A21" s="453" t="s">
        <v>110</v>
      </c>
      <c r="B21" s="453"/>
      <c r="C21" s="165">
        <v>0</v>
      </c>
      <c r="D21" s="165">
        <v>0</v>
      </c>
      <c r="E21" s="125">
        <f t="shared" si="3"/>
        <v>0</v>
      </c>
      <c r="F21" s="532">
        <f>'0664'!F21:G21</f>
        <v>3.6739999999999999</v>
      </c>
      <c r="G21" s="532"/>
      <c r="H21" s="83">
        <f t="shared" si="4"/>
        <v>0</v>
      </c>
      <c r="I21" s="104">
        <f t="shared" si="0"/>
        <v>0</v>
      </c>
      <c r="N21" s="479" t="s">
        <v>110</v>
      </c>
      <c r="O21" s="479"/>
      <c r="P21" s="513">
        <f t="shared" si="1"/>
        <v>0</v>
      </c>
      <c r="Q21" s="513"/>
      <c r="R21" s="517">
        <v>1</v>
      </c>
      <c r="S21" s="517"/>
      <c r="T21" s="98">
        <f t="shared" si="5"/>
        <v>0</v>
      </c>
      <c r="U21" s="99">
        <f t="shared" si="2"/>
        <v>0</v>
      </c>
    </row>
    <row r="22" spans="1:21" x14ac:dyDescent="0.25">
      <c r="A22" s="453" t="s">
        <v>111</v>
      </c>
      <c r="B22" s="453"/>
      <c r="C22" s="165">
        <v>0</v>
      </c>
      <c r="D22" s="165">
        <v>0</v>
      </c>
      <c r="E22" s="125">
        <f t="shared" si="3"/>
        <v>0</v>
      </c>
      <c r="F22" s="532">
        <f>'0664'!F22:G22</f>
        <v>5.4009999999999998</v>
      </c>
      <c r="G22" s="532"/>
      <c r="H22" s="83">
        <f t="shared" si="4"/>
        <v>0</v>
      </c>
      <c r="I22" s="104">
        <f t="shared" si="0"/>
        <v>0</v>
      </c>
      <c r="N22" s="479" t="s">
        <v>111</v>
      </c>
      <c r="O22" s="479"/>
      <c r="P22" s="513">
        <f t="shared" si="1"/>
        <v>0</v>
      </c>
      <c r="Q22" s="513"/>
      <c r="R22" s="517">
        <v>1</v>
      </c>
      <c r="S22" s="517"/>
      <c r="T22" s="98">
        <f t="shared" si="5"/>
        <v>0</v>
      </c>
      <c r="U22" s="99">
        <f t="shared" si="2"/>
        <v>0</v>
      </c>
    </row>
    <row r="23" spans="1:21" x14ac:dyDescent="0.25">
      <c r="A23" s="453" t="s">
        <v>112</v>
      </c>
      <c r="B23" s="453"/>
      <c r="C23" s="165">
        <v>0</v>
      </c>
      <c r="D23" s="165">
        <v>0</v>
      </c>
      <c r="E23" s="125">
        <f t="shared" si="3"/>
        <v>0</v>
      </c>
      <c r="F23" s="532">
        <f>'0664'!F23:G23</f>
        <v>5.4009999999999998</v>
      </c>
      <c r="G23" s="532"/>
      <c r="H23" s="83">
        <f t="shared" si="4"/>
        <v>0</v>
      </c>
      <c r="I23" s="104">
        <f t="shared" si="0"/>
        <v>0</v>
      </c>
      <c r="N23" s="479" t="s">
        <v>112</v>
      </c>
      <c r="O23" s="479"/>
      <c r="P23" s="513">
        <f t="shared" si="1"/>
        <v>0</v>
      </c>
      <c r="Q23" s="513"/>
      <c r="R23" s="517">
        <v>1</v>
      </c>
      <c r="S23" s="517"/>
      <c r="T23" s="98">
        <f t="shared" si="5"/>
        <v>0</v>
      </c>
      <c r="U23" s="99">
        <f t="shared" si="2"/>
        <v>0</v>
      </c>
    </row>
    <row r="24" spans="1:21" x14ac:dyDescent="0.25">
      <c r="A24" s="453" t="s">
        <v>113</v>
      </c>
      <c r="B24" s="453"/>
      <c r="C24" s="165">
        <v>0</v>
      </c>
      <c r="D24" s="165">
        <v>0</v>
      </c>
      <c r="E24" s="125">
        <f t="shared" si="3"/>
        <v>0</v>
      </c>
      <c r="F24" s="532">
        <f>'0664'!F24:G24</f>
        <v>5.4009999999999998</v>
      </c>
      <c r="G24" s="532"/>
      <c r="H24" s="83">
        <f t="shared" si="4"/>
        <v>0</v>
      </c>
      <c r="I24" s="104">
        <f t="shared" si="0"/>
        <v>0</v>
      </c>
      <c r="N24" s="479" t="s">
        <v>113</v>
      </c>
      <c r="O24" s="479"/>
      <c r="P24" s="513">
        <f t="shared" si="1"/>
        <v>0</v>
      </c>
      <c r="Q24" s="513"/>
      <c r="R24" s="517">
        <v>1</v>
      </c>
      <c r="S24" s="517"/>
      <c r="T24" s="98">
        <f t="shared" si="5"/>
        <v>0</v>
      </c>
      <c r="U24" s="99">
        <f t="shared" si="2"/>
        <v>0</v>
      </c>
    </row>
    <row r="25" spans="1:21" x14ac:dyDescent="0.25">
      <c r="A25" s="453" t="s">
        <v>114</v>
      </c>
      <c r="B25" s="453"/>
      <c r="C25" s="165">
        <v>31.2</v>
      </c>
      <c r="D25" s="165">
        <v>31.98</v>
      </c>
      <c r="E25" s="125">
        <f t="shared" si="3"/>
        <v>63.18</v>
      </c>
      <c r="F25" s="532">
        <f>'0664'!F25:G25</f>
        <v>1.206</v>
      </c>
      <c r="G25" s="532"/>
      <c r="H25" s="83">
        <f t="shared" si="4"/>
        <v>76.195099999999996</v>
      </c>
      <c r="I25" s="104">
        <f t="shared" si="0"/>
        <v>364847.14</v>
      </c>
      <c r="N25" s="479" t="s">
        <v>114</v>
      </c>
      <c r="O25" s="479"/>
      <c r="P25" s="513">
        <f t="shared" si="1"/>
        <v>0</v>
      </c>
      <c r="Q25" s="513"/>
      <c r="R25" s="517">
        <v>1</v>
      </c>
      <c r="S25" s="517"/>
      <c r="T25" s="98">
        <f t="shared" si="5"/>
        <v>0</v>
      </c>
      <c r="U25" s="99">
        <f t="shared" si="2"/>
        <v>0</v>
      </c>
    </row>
    <row r="26" spans="1:21" x14ac:dyDescent="0.25">
      <c r="A26" s="453" t="s">
        <v>115</v>
      </c>
      <c r="B26" s="453"/>
      <c r="C26" s="165">
        <v>12.08</v>
      </c>
      <c r="D26" s="165">
        <v>11.08</v>
      </c>
      <c r="E26" s="125">
        <f t="shared" si="3"/>
        <v>23.16</v>
      </c>
      <c r="F26" s="532">
        <f>'0664'!F26:G26</f>
        <v>1.206</v>
      </c>
      <c r="G26" s="532"/>
      <c r="H26" s="83">
        <f t="shared" si="4"/>
        <v>27.931000000000001</v>
      </c>
      <c r="I26" s="104">
        <f t="shared" si="0"/>
        <v>133742.79</v>
      </c>
      <c r="N26" s="479" t="s">
        <v>115</v>
      </c>
      <c r="O26" s="479"/>
      <c r="P26" s="513">
        <f t="shared" si="1"/>
        <v>0</v>
      </c>
      <c r="Q26" s="513"/>
      <c r="R26" s="517">
        <v>1</v>
      </c>
      <c r="S26" s="517"/>
      <c r="T26" s="98">
        <f t="shared" si="5"/>
        <v>0</v>
      </c>
      <c r="U26" s="99">
        <f t="shared" si="2"/>
        <v>0</v>
      </c>
    </row>
    <row r="27" spans="1:21" x14ac:dyDescent="0.25">
      <c r="A27" s="453" t="s">
        <v>116</v>
      </c>
      <c r="B27" s="453"/>
      <c r="C27" s="165">
        <v>0</v>
      </c>
      <c r="D27" s="165">
        <v>0</v>
      </c>
      <c r="E27" s="125">
        <f t="shared" si="3"/>
        <v>0</v>
      </c>
      <c r="F27" s="532">
        <f>'0664'!F27:G27</f>
        <v>1.206</v>
      </c>
      <c r="G27" s="532"/>
      <c r="H27" s="83">
        <f t="shared" si="4"/>
        <v>0</v>
      </c>
      <c r="I27" s="104">
        <f t="shared" si="0"/>
        <v>0</v>
      </c>
      <c r="N27" s="479" t="s">
        <v>116</v>
      </c>
      <c r="O27" s="479"/>
      <c r="P27" s="513">
        <f t="shared" si="1"/>
        <v>0</v>
      </c>
      <c r="Q27" s="513"/>
      <c r="R27" s="517">
        <v>1</v>
      </c>
      <c r="S27" s="517"/>
      <c r="T27" s="98">
        <f t="shared" si="5"/>
        <v>0</v>
      </c>
      <c r="U27" s="99">
        <f t="shared" si="2"/>
        <v>0</v>
      </c>
    </row>
    <row r="28" spans="1:21" x14ac:dyDescent="0.25">
      <c r="A28" s="453" t="s">
        <v>117</v>
      </c>
      <c r="B28" s="453"/>
      <c r="C28" s="116">
        <v>0</v>
      </c>
      <c r="D28" s="116">
        <v>0</v>
      </c>
      <c r="E28" s="177">
        <f t="shared" si="3"/>
        <v>0</v>
      </c>
      <c r="F28" s="532">
        <f>'0664'!F28:G28</f>
        <v>0.999</v>
      </c>
      <c r="G28" s="532"/>
      <c r="H28" s="96">
        <f t="shared" si="4"/>
        <v>0</v>
      </c>
      <c r="I28" s="97">
        <f t="shared" si="0"/>
        <v>0</v>
      </c>
      <c r="N28" s="482" t="s">
        <v>117</v>
      </c>
      <c r="O28" s="482"/>
      <c r="P28" s="513">
        <f t="shared" si="1"/>
        <v>0</v>
      </c>
      <c r="Q28" s="513"/>
      <c r="R28" s="514">
        <v>1</v>
      </c>
      <c r="S28" s="514"/>
      <c r="T28" s="98">
        <f t="shared" si="5"/>
        <v>0</v>
      </c>
      <c r="U28" s="99">
        <f t="shared" si="2"/>
        <v>0</v>
      </c>
    </row>
    <row r="29" spans="1:21" x14ac:dyDescent="0.25">
      <c r="A29" s="461" t="s">
        <v>5</v>
      </c>
      <c r="B29" s="461"/>
      <c r="C29" s="97">
        <f>SUM(C13:C28)</f>
        <v>254.71</v>
      </c>
      <c r="D29" s="97">
        <f>SUM(D13:D28)</f>
        <v>255.4</v>
      </c>
      <c r="E29" s="97">
        <f>SUM(E13:E28)</f>
        <v>510.11</v>
      </c>
      <c r="F29" s="457"/>
      <c r="G29" s="457"/>
      <c r="H29" s="102">
        <f>SUM(H13:H28)</f>
        <v>550.29640000000006</v>
      </c>
      <c r="I29" s="97">
        <f>SUM(I13:I28)</f>
        <v>2634999.73</v>
      </c>
      <c r="N29" s="515" t="s">
        <v>5</v>
      </c>
      <c r="O29" s="515"/>
      <c r="P29" s="516">
        <f>SUM(P13:P28)</f>
        <v>0</v>
      </c>
      <c r="Q29" s="516"/>
      <c r="R29" s="508"/>
      <c r="S29" s="508"/>
      <c r="T29" s="103">
        <f>SUM(T13:T28)</f>
        <v>0</v>
      </c>
      <c r="U29" s="99">
        <f>SUM(U13:U28)</f>
        <v>0</v>
      </c>
    </row>
    <row r="30" spans="1:21" x14ac:dyDescent="0.25">
      <c r="A30" s="27"/>
      <c r="B30" s="27"/>
      <c r="C30" s="104"/>
      <c r="D30" s="104"/>
      <c r="E30" s="104"/>
      <c r="F30" s="28"/>
      <c r="G30" s="28"/>
      <c r="H30" s="83"/>
      <c r="I30" s="104"/>
      <c r="N30" s="29"/>
      <c r="O30" s="29"/>
      <c r="P30" s="30"/>
      <c r="Q30" s="30"/>
      <c r="R30" s="31"/>
      <c r="S30" s="31"/>
      <c r="T30" s="105"/>
      <c r="U30" s="106"/>
    </row>
    <row r="31" spans="1:21" x14ac:dyDescent="0.25">
      <c r="A31" s="168" t="s">
        <v>97</v>
      </c>
      <c r="B31" s="27"/>
      <c r="C31" s="104"/>
      <c r="D31" s="104"/>
      <c r="E31" s="104"/>
      <c r="F31" s="28"/>
      <c r="G31" s="28"/>
      <c r="H31" s="83"/>
      <c r="I31" s="104"/>
      <c r="N31" s="29"/>
      <c r="O31" s="29"/>
      <c r="P31" s="30"/>
      <c r="Q31" s="30"/>
      <c r="R31" s="31"/>
      <c r="S31" s="31"/>
      <c r="T31" s="105"/>
      <c r="U31" s="106"/>
    </row>
    <row r="32" spans="1:21" hidden="1" x14ac:dyDescent="0.25">
      <c r="A32" s="168"/>
      <c r="B32" s="27"/>
      <c r="C32" s="104"/>
      <c r="D32" s="104"/>
      <c r="E32" s="104"/>
      <c r="F32" s="28"/>
      <c r="G32" s="28"/>
      <c r="H32" s="83"/>
      <c r="I32" s="104"/>
      <c r="N32" s="29"/>
      <c r="O32" s="29"/>
      <c r="P32" s="30"/>
      <c r="Q32" s="30"/>
      <c r="R32" s="31"/>
      <c r="S32" s="31"/>
      <c r="T32" s="105"/>
      <c r="U32" s="106"/>
    </row>
    <row r="33" spans="1:21" hidden="1" x14ac:dyDescent="0.25">
      <c r="A33" s="168"/>
      <c r="B33" s="27"/>
      <c r="C33" s="104"/>
      <c r="D33" s="104"/>
      <c r="E33" s="104"/>
      <c r="F33" s="541" t="s">
        <v>282</v>
      </c>
      <c r="G33" s="541"/>
      <c r="H33" s="541"/>
      <c r="I33" s="104"/>
      <c r="N33" s="29"/>
      <c r="O33" s="29"/>
      <c r="P33" s="30"/>
      <c r="Q33" s="30"/>
      <c r="R33" s="31"/>
      <c r="S33" s="31"/>
      <c r="T33" s="105"/>
      <c r="U33" s="106"/>
    </row>
    <row r="34" spans="1:21" hidden="1" x14ac:dyDescent="0.25">
      <c r="A34" s="3"/>
      <c r="B34" s="72"/>
      <c r="C34" s="72"/>
      <c r="D34" s="72"/>
      <c r="E34" s="72"/>
      <c r="F34" s="541"/>
      <c r="G34" s="541"/>
      <c r="H34" s="541"/>
      <c r="I34" s="25" t="s">
        <v>74</v>
      </c>
      <c r="N34" s="485" t="s">
        <v>35</v>
      </c>
      <c r="O34" s="485"/>
      <c r="P34" s="485"/>
      <c r="Q34" s="485"/>
      <c r="R34" s="485"/>
      <c r="S34" s="485"/>
      <c r="T34" s="485"/>
      <c r="U34" s="26" t="s">
        <v>74</v>
      </c>
    </row>
    <row r="35" spans="1:21" hidden="1" x14ac:dyDescent="0.25">
      <c r="A35" s="27"/>
      <c r="B35" s="27"/>
      <c r="C35" s="91" t="s">
        <v>124</v>
      </c>
      <c r="D35" s="91" t="s">
        <v>125</v>
      </c>
      <c r="E35" s="92" t="s">
        <v>8</v>
      </c>
      <c r="F35" s="541"/>
      <c r="G35" s="541"/>
      <c r="H35" s="541"/>
      <c r="I35" s="25" t="s">
        <v>36</v>
      </c>
      <c r="N35" s="29"/>
      <c r="O35" s="29"/>
      <c r="P35" s="30"/>
      <c r="Q35" s="30"/>
      <c r="R35" s="31"/>
      <c r="S35" s="31"/>
      <c r="T35" s="105"/>
      <c r="U35" s="26" t="s">
        <v>36</v>
      </c>
    </row>
    <row r="36" spans="1:21" hidden="1" x14ac:dyDescent="0.25">
      <c r="A36" s="447" t="s">
        <v>63</v>
      </c>
      <c r="B36" s="447"/>
      <c r="C36" s="93" t="s">
        <v>2</v>
      </c>
      <c r="D36" s="93" t="s">
        <v>2</v>
      </c>
      <c r="E36" s="93" t="s">
        <v>2</v>
      </c>
      <c r="F36" s="542"/>
      <c r="G36" s="542"/>
      <c r="H36" s="542"/>
      <c r="I36" s="32" t="s">
        <v>75</v>
      </c>
      <c r="N36" s="510" t="s">
        <v>63</v>
      </c>
      <c r="O36" s="510"/>
      <c r="P36" s="511" t="s">
        <v>24</v>
      </c>
      <c r="Q36" s="511"/>
      <c r="R36" s="511"/>
      <c r="S36" s="511"/>
      <c r="T36" s="511"/>
      <c r="U36" s="20" t="s">
        <v>75</v>
      </c>
    </row>
    <row r="37" spans="1:21" hidden="1" x14ac:dyDescent="0.25">
      <c r="A37" s="451" t="s">
        <v>56</v>
      </c>
      <c r="B37" s="451"/>
      <c r="C37" s="169">
        <v>0</v>
      </c>
      <c r="D37" s="169">
        <v>0</v>
      </c>
      <c r="E37" s="210">
        <f t="shared" ref="E37:E42" si="6">IF(D$43=0,C37*2,C37+D37)</f>
        <v>0</v>
      </c>
      <c r="F37" s="170"/>
      <c r="G37" s="170"/>
      <c r="H37" s="170"/>
      <c r="I37" s="119">
        <f t="shared" ref="I37:I42" si="7">ROUND(ROUND(E37*$C$8,4)*($H$8),2)</f>
        <v>0</v>
      </c>
      <c r="N37" s="512" t="s">
        <v>56</v>
      </c>
      <c r="O37" s="512"/>
      <c r="P37" s="483">
        <f t="shared" ref="P37:P42" si="8">IF($H$120=1,E37,0)</f>
        <v>0</v>
      </c>
      <c r="Q37" s="483"/>
      <c r="R37" s="483"/>
      <c r="S37" s="483"/>
      <c r="T37" s="483"/>
      <c r="U37" s="101">
        <f t="shared" ref="U37:U42" si="9">ROUND(ROUND(P37*$C$8,4)*($H$8),0)</f>
        <v>0</v>
      </c>
    </row>
    <row r="38" spans="1:21" hidden="1" x14ac:dyDescent="0.25">
      <c r="A38" s="453" t="s">
        <v>57</v>
      </c>
      <c r="B38" s="453"/>
      <c r="C38" s="172">
        <v>0</v>
      </c>
      <c r="D38" s="172">
        <v>0</v>
      </c>
      <c r="E38" s="125">
        <f t="shared" si="6"/>
        <v>0</v>
      </c>
      <c r="F38" s="173"/>
      <c r="G38" s="173"/>
      <c r="H38" s="173"/>
      <c r="I38" s="104">
        <f t="shared" si="7"/>
        <v>0</v>
      </c>
      <c r="N38" s="479" t="s">
        <v>57</v>
      </c>
      <c r="O38" s="479"/>
      <c r="P38" s="483">
        <f t="shared" si="8"/>
        <v>0</v>
      </c>
      <c r="Q38" s="483"/>
      <c r="R38" s="483"/>
      <c r="S38" s="483"/>
      <c r="T38" s="483"/>
      <c r="U38" s="101">
        <f t="shared" si="9"/>
        <v>0</v>
      </c>
    </row>
    <row r="39" spans="1:21" hidden="1" x14ac:dyDescent="0.25">
      <c r="A39" s="458" t="s">
        <v>58</v>
      </c>
      <c r="B39" s="458"/>
      <c r="C39" s="172">
        <v>0</v>
      </c>
      <c r="D39" s="172">
        <v>0</v>
      </c>
      <c r="E39" s="125">
        <f t="shared" si="6"/>
        <v>0</v>
      </c>
      <c r="F39" s="173"/>
      <c r="G39" s="173"/>
      <c r="H39" s="173"/>
      <c r="I39" s="104">
        <f t="shared" si="7"/>
        <v>0</v>
      </c>
      <c r="N39" s="509" t="s">
        <v>58</v>
      </c>
      <c r="O39" s="509"/>
      <c r="P39" s="483">
        <f t="shared" si="8"/>
        <v>0</v>
      </c>
      <c r="Q39" s="483"/>
      <c r="R39" s="483"/>
      <c r="S39" s="483"/>
      <c r="T39" s="483"/>
      <c r="U39" s="101">
        <f t="shared" si="9"/>
        <v>0</v>
      </c>
    </row>
    <row r="40" spans="1:21" hidden="1" x14ac:dyDescent="0.25">
      <c r="A40" s="453" t="s">
        <v>59</v>
      </c>
      <c r="B40" s="453"/>
      <c r="C40" s="172">
        <v>0</v>
      </c>
      <c r="D40" s="172">
        <v>0</v>
      </c>
      <c r="E40" s="125">
        <f t="shared" si="6"/>
        <v>0</v>
      </c>
      <c r="F40" s="173"/>
      <c r="G40" s="173"/>
      <c r="H40" s="173"/>
      <c r="I40" s="104">
        <f t="shared" si="7"/>
        <v>0</v>
      </c>
      <c r="N40" s="479" t="s">
        <v>59</v>
      </c>
      <c r="O40" s="479"/>
      <c r="P40" s="483">
        <f t="shared" si="8"/>
        <v>0</v>
      </c>
      <c r="Q40" s="483"/>
      <c r="R40" s="483"/>
      <c r="S40" s="483"/>
      <c r="T40" s="483"/>
      <c r="U40" s="101">
        <f t="shared" si="9"/>
        <v>0</v>
      </c>
    </row>
    <row r="41" spans="1:21" hidden="1" x14ac:dyDescent="0.25">
      <c r="A41" s="453" t="s">
        <v>60</v>
      </c>
      <c r="B41" s="453"/>
      <c r="C41" s="172">
        <v>0</v>
      </c>
      <c r="D41" s="172">
        <v>0</v>
      </c>
      <c r="E41" s="125">
        <f t="shared" si="6"/>
        <v>0</v>
      </c>
      <c r="F41" s="173"/>
      <c r="G41" s="173"/>
      <c r="H41" s="173"/>
      <c r="I41" s="104">
        <f t="shared" si="7"/>
        <v>0</v>
      </c>
      <c r="N41" s="479" t="s">
        <v>60</v>
      </c>
      <c r="O41" s="479"/>
      <c r="P41" s="483">
        <f t="shared" si="8"/>
        <v>0</v>
      </c>
      <c r="Q41" s="483"/>
      <c r="R41" s="483"/>
      <c r="S41" s="483"/>
      <c r="T41" s="483"/>
      <c r="U41" s="101">
        <f t="shared" si="9"/>
        <v>0</v>
      </c>
    </row>
    <row r="42" spans="1:21" hidden="1" x14ac:dyDescent="0.25">
      <c r="A42" s="453" t="s">
        <v>52</v>
      </c>
      <c r="B42" s="453"/>
      <c r="C42" s="171">
        <v>0</v>
      </c>
      <c r="D42" s="171">
        <v>0</v>
      </c>
      <c r="E42" s="177">
        <f t="shared" si="6"/>
        <v>0</v>
      </c>
      <c r="F42" s="173"/>
      <c r="G42" s="173"/>
      <c r="H42" s="173"/>
      <c r="I42" s="97">
        <f t="shared" si="7"/>
        <v>0</v>
      </c>
      <c r="N42" s="482" t="s">
        <v>52</v>
      </c>
      <c r="O42" s="482"/>
      <c r="P42" s="483">
        <f t="shared" si="8"/>
        <v>0</v>
      </c>
      <c r="Q42" s="483"/>
      <c r="R42" s="483"/>
      <c r="S42" s="483"/>
      <c r="T42" s="483"/>
      <c r="U42" s="101">
        <f t="shared" si="9"/>
        <v>0</v>
      </c>
    </row>
    <row r="43" spans="1:21" hidden="1" x14ac:dyDescent="0.25">
      <c r="A43" s="3"/>
      <c r="B43" s="55" t="s">
        <v>126</v>
      </c>
      <c r="C43" s="100">
        <f>SUM(C37:C42)</f>
        <v>0</v>
      </c>
      <c r="D43" s="100">
        <f>SUM(D37:D42)</f>
        <v>0</v>
      </c>
      <c r="E43" s="100">
        <f>SUM(E37:E42)</f>
        <v>0</v>
      </c>
      <c r="F43" s="33"/>
      <c r="G43" s="109"/>
      <c r="H43" s="110" t="s">
        <v>128</v>
      </c>
      <c r="I43" s="100">
        <f>SUM(I37:I42)</f>
        <v>0</v>
      </c>
      <c r="N43" s="480" t="s">
        <v>54</v>
      </c>
      <c r="O43" s="480"/>
      <c r="P43" s="480"/>
      <c r="Q43" s="480"/>
      <c r="R43" s="34">
        <f>SUM(P37:R42)</f>
        <v>0</v>
      </c>
      <c r="S43" s="508" t="s">
        <v>64</v>
      </c>
      <c r="T43" s="508"/>
      <c r="U43" s="106">
        <f>SUM(U37:U42)</f>
        <v>0</v>
      </c>
    </row>
    <row r="44" spans="1:21" ht="16.5" hidden="1" thickBot="1" x14ac:dyDescent="0.3">
      <c r="A44" s="3"/>
      <c r="B44" s="55"/>
      <c r="C44" s="104"/>
      <c r="D44" s="104"/>
      <c r="E44" s="119"/>
      <c r="F44" s="33"/>
      <c r="G44" s="109"/>
      <c r="H44" s="110"/>
      <c r="I44" s="104"/>
      <c r="N44" s="29"/>
      <c r="O44" s="29"/>
      <c r="P44" s="29"/>
      <c r="Q44" s="29"/>
      <c r="R44" s="34"/>
      <c r="S44" s="31"/>
      <c r="T44" s="31"/>
      <c r="U44" s="106"/>
    </row>
    <row r="45" spans="1:21" ht="16.5" hidden="1" thickBot="1" x14ac:dyDescent="0.3">
      <c r="A45" s="3"/>
      <c r="B45" s="55" t="s">
        <v>127</v>
      </c>
      <c r="E45" s="174">
        <f>H29+E43</f>
        <v>550.29640000000006</v>
      </c>
      <c r="F45" s="35"/>
      <c r="G45" s="109"/>
      <c r="H45" s="110" t="s">
        <v>129</v>
      </c>
      <c r="I45" s="97">
        <f>SUM(I43,I29)</f>
        <v>2634999.73</v>
      </c>
      <c r="N45" s="480" t="s">
        <v>55</v>
      </c>
      <c r="O45" s="480"/>
      <c r="P45" s="480"/>
      <c r="Q45" s="480"/>
      <c r="R45" s="36">
        <f>R43+T29</f>
        <v>0</v>
      </c>
      <c r="S45" s="508" t="s">
        <v>53</v>
      </c>
      <c r="T45" s="508"/>
      <c r="U45" s="111">
        <f>SUM(U43,U29)</f>
        <v>0</v>
      </c>
    </row>
    <row r="46" spans="1:21" hidden="1" x14ac:dyDescent="0.25">
      <c r="A46" s="27"/>
      <c r="B46" s="27"/>
      <c r="C46" s="27"/>
      <c r="D46" s="27"/>
      <c r="E46" s="27"/>
      <c r="F46" s="35"/>
      <c r="G46" s="28"/>
      <c r="H46" s="28"/>
      <c r="I46" s="104"/>
      <c r="N46" s="29"/>
      <c r="O46" s="29"/>
      <c r="P46" s="29"/>
      <c r="Q46" s="29"/>
      <c r="R46" s="36"/>
      <c r="S46" s="31"/>
      <c r="T46" s="31"/>
      <c r="U46" s="106"/>
    </row>
    <row r="47" spans="1:21" x14ac:dyDescent="0.25">
      <c r="A47" s="27"/>
      <c r="B47" s="55" t="s">
        <v>370</v>
      </c>
      <c r="C47" s="372" t="s">
        <v>370</v>
      </c>
      <c r="D47" s="372" t="s">
        <v>370</v>
      </c>
      <c r="E47" s="27"/>
      <c r="F47" s="35"/>
      <c r="G47" s="28"/>
      <c r="H47" s="28"/>
      <c r="I47" s="104"/>
      <c r="N47" s="29"/>
      <c r="O47" s="29"/>
      <c r="P47" s="29"/>
      <c r="Q47" s="29"/>
      <c r="R47" s="36"/>
      <c r="S47" s="31"/>
      <c r="T47" s="31"/>
      <c r="U47" s="106"/>
    </row>
    <row r="48" spans="1:21" x14ac:dyDescent="0.25">
      <c r="A48" s="27"/>
      <c r="B48" s="27"/>
      <c r="C48" s="91" t="s">
        <v>463</v>
      </c>
      <c r="D48" s="371" t="s">
        <v>464</v>
      </c>
      <c r="E48" s="92" t="s">
        <v>8</v>
      </c>
      <c r="F48" s="49" t="s">
        <v>130</v>
      </c>
      <c r="G48" s="112" t="s">
        <v>132</v>
      </c>
      <c r="H48" s="113" t="s">
        <v>133</v>
      </c>
      <c r="I48" s="104"/>
      <c r="N48" s="29"/>
      <c r="O48" s="29"/>
      <c r="P48" s="29"/>
      <c r="Q48" s="29"/>
      <c r="R48" s="36"/>
      <c r="S48" s="31"/>
      <c r="T48" s="31"/>
      <c r="U48" s="106"/>
    </row>
    <row r="49" spans="1:21" x14ac:dyDescent="0.25">
      <c r="A49" s="37" t="s">
        <v>87</v>
      </c>
      <c r="B49" s="37"/>
      <c r="C49" s="362" t="s">
        <v>2</v>
      </c>
      <c r="D49" s="362" t="s">
        <v>2</v>
      </c>
      <c r="E49" s="362" t="s">
        <v>2</v>
      </c>
      <c r="F49" s="95" t="s">
        <v>131</v>
      </c>
      <c r="G49" s="62" t="s">
        <v>131</v>
      </c>
      <c r="H49" s="114" t="s">
        <v>134</v>
      </c>
      <c r="I49" s="37"/>
      <c r="N49" s="482" t="s">
        <v>87</v>
      </c>
      <c r="O49" s="482"/>
      <c r="P49" s="503" t="s">
        <v>2</v>
      </c>
      <c r="Q49" s="503"/>
      <c r="R49" s="38" t="s">
        <v>25</v>
      </c>
      <c r="S49" s="63" t="s">
        <v>26</v>
      </c>
      <c r="T49" s="115" t="s">
        <v>27</v>
      </c>
      <c r="U49" s="38"/>
    </row>
    <row r="50" spans="1:21" x14ac:dyDescent="0.25">
      <c r="A50" s="459" t="s">
        <v>98</v>
      </c>
      <c r="B50" s="459"/>
      <c r="C50" s="165">
        <v>10.5</v>
      </c>
      <c r="D50" s="165">
        <v>10</v>
      </c>
      <c r="E50" s="125">
        <f>IF(D$59=0,C50*2,C50+D50)</f>
        <v>20.5</v>
      </c>
      <c r="F50" s="39" t="s">
        <v>21</v>
      </c>
      <c r="G50" s="39">
        <v>251</v>
      </c>
      <c r="H50" s="321">
        <f>'0664'!H50</f>
        <v>1047</v>
      </c>
      <c r="I50" s="104">
        <f>ROUND(E50*H50,2)</f>
        <v>21463.5</v>
      </c>
      <c r="N50" s="504" t="s">
        <v>28</v>
      </c>
      <c r="O50" s="504"/>
      <c r="P50" s="505"/>
      <c r="Q50" s="505"/>
      <c r="R50" s="40" t="s">
        <v>21</v>
      </c>
      <c r="S50" s="40">
        <v>251</v>
      </c>
      <c r="T50" s="117">
        <f>H50</f>
        <v>1047</v>
      </c>
      <c r="U50" s="118">
        <f>ROUND(P50*T50,0)</f>
        <v>0</v>
      </c>
    </row>
    <row r="51" spans="1:21" x14ac:dyDescent="0.25">
      <c r="A51" s="460"/>
      <c r="B51" s="460"/>
      <c r="C51" s="165">
        <v>0</v>
      </c>
      <c r="D51" s="165">
        <v>0</v>
      </c>
      <c r="E51" s="125">
        <f t="shared" ref="E51:E58" si="10">IF(D$59=0,C51*2,C51+D51)</f>
        <v>0</v>
      </c>
      <c r="F51" s="39" t="s">
        <v>21</v>
      </c>
      <c r="G51" s="39">
        <v>252</v>
      </c>
      <c r="H51" s="321">
        <f>'0664'!H51</f>
        <v>3380</v>
      </c>
      <c r="I51" s="104">
        <f t="shared" ref="I51:I58" si="11">ROUND(E51*H51,2)</f>
        <v>0</v>
      </c>
      <c r="N51" s="504"/>
      <c r="O51" s="504"/>
      <c r="P51" s="506"/>
      <c r="Q51" s="506"/>
      <c r="R51" s="40" t="s">
        <v>21</v>
      </c>
      <c r="S51" s="40">
        <v>252</v>
      </c>
      <c r="T51" s="117">
        <f t="shared" ref="T51:T58" si="12">H51</f>
        <v>3380</v>
      </c>
      <c r="U51" s="118">
        <f t="shared" ref="U51:U58" si="13">ROUND(P51*T51,0)</f>
        <v>0</v>
      </c>
    </row>
    <row r="52" spans="1:21" x14ac:dyDescent="0.25">
      <c r="A52" s="460"/>
      <c r="B52" s="460"/>
      <c r="C52" s="165">
        <v>0</v>
      </c>
      <c r="D52" s="165">
        <v>0</v>
      </c>
      <c r="E52" s="125">
        <f t="shared" si="10"/>
        <v>0</v>
      </c>
      <c r="F52" s="39" t="s">
        <v>21</v>
      </c>
      <c r="G52" s="39">
        <v>253</v>
      </c>
      <c r="H52" s="321">
        <f>'0664'!H52</f>
        <v>6896</v>
      </c>
      <c r="I52" s="104">
        <f t="shared" si="11"/>
        <v>0</v>
      </c>
      <c r="N52" s="504"/>
      <c r="O52" s="504"/>
      <c r="P52" s="506"/>
      <c r="Q52" s="506"/>
      <c r="R52" s="40" t="s">
        <v>21</v>
      </c>
      <c r="S52" s="40">
        <v>253</v>
      </c>
      <c r="T52" s="117">
        <f t="shared" si="12"/>
        <v>6896</v>
      </c>
      <c r="U52" s="118">
        <f t="shared" si="13"/>
        <v>0</v>
      </c>
    </row>
    <row r="53" spans="1:21" x14ac:dyDescent="0.25">
      <c r="A53" s="460"/>
      <c r="B53" s="460"/>
      <c r="C53" s="165">
        <v>19.5</v>
      </c>
      <c r="D53" s="165">
        <v>19.5</v>
      </c>
      <c r="E53" s="125">
        <f t="shared" si="10"/>
        <v>39</v>
      </c>
      <c r="F53" s="41" t="s">
        <v>14</v>
      </c>
      <c r="G53" s="39">
        <v>251</v>
      </c>
      <c r="H53" s="321">
        <f>'0664'!H53</f>
        <v>1173</v>
      </c>
      <c r="I53" s="104">
        <f t="shared" si="11"/>
        <v>45747</v>
      </c>
      <c r="N53" s="504"/>
      <c r="O53" s="504"/>
      <c r="P53" s="506"/>
      <c r="Q53" s="506"/>
      <c r="R53" s="42" t="s">
        <v>14</v>
      </c>
      <c r="S53" s="40">
        <v>251</v>
      </c>
      <c r="T53" s="117">
        <f t="shared" si="12"/>
        <v>1173</v>
      </c>
      <c r="U53" s="118">
        <f t="shared" si="13"/>
        <v>0</v>
      </c>
    </row>
    <row r="54" spans="1:21" x14ac:dyDescent="0.25">
      <c r="A54" s="460"/>
      <c r="B54" s="460"/>
      <c r="C54" s="165">
        <v>0</v>
      </c>
      <c r="D54" s="165">
        <v>0</v>
      </c>
      <c r="E54" s="125">
        <f t="shared" si="10"/>
        <v>0</v>
      </c>
      <c r="F54" s="41" t="s">
        <v>14</v>
      </c>
      <c r="G54" s="39">
        <v>252</v>
      </c>
      <c r="H54" s="321">
        <f>'0664'!H54</f>
        <v>3506</v>
      </c>
      <c r="I54" s="104">
        <f t="shared" si="11"/>
        <v>0</v>
      </c>
      <c r="N54" s="504"/>
      <c r="O54" s="504"/>
      <c r="P54" s="506"/>
      <c r="Q54" s="506"/>
      <c r="R54" s="42" t="s">
        <v>14</v>
      </c>
      <c r="S54" s="40">
        <v>252</v>
      </c>
      <c r="T54" s="117">
        <f t="shared" si="12"/>
        <v>3506</v>
      </c>
      <c r="U54" s="118">
        <f t="shared" si="13"/>
        <v>0</v>
      </c>
    </row>
    <row r="55" spans="1:21" x14ac:dyDescent="0.25">
      <c r="A55" s="460"/>
      <c r="B55" s="460"/>
      <c r="C55" s="165">
        <v>0</v>
      </c>
      <c r="D55" s="165">
        <v>0</v>
      </c>
      <c r="E55" s="125">
        <f t="shared" si="10"/>
        <v>0</v>
      </c>
      <c r="F55" s="41" t="s">
        <v>14</v>
      </c>
      <c r="G55" s="39">
        <v>253</v>
      </c>
      <c r="H55" s="321">
        <f>'0664'!H55</f>
        <v>7023</v>
      </c>
      <c r="I55" s="104">
        <f t="shared" si="11"/>
        <v>0</v>
      </c>
      <c r="N55" s="504"/>
      <c r="O55" s="504"/>
      <c r="P55" s="506"/>
      <c r="Q55" s="506"/>
      <c r="R55" s="42" t="s">
        <v>14</v>
      </c>
      <c r="S55" s="40">
        <v>253</v>
      </c>
      <c r="T55" s="117">
        <f t="shared" si="12"/>
        <v>7023</v>
      </c>
      <c r="U55" s="118">
        <f t="shared" si="13"/>
        <v>0</v>
      </c>
    </row>
    <row r="56" spans="1:21" x14ac:dyDescent="0.25">
      <c r="A56" s="460"/>
      <c r="B56" s="460"/>
      <c r="C56" s="165">
        <v>0</v>
      </c>
      <c r="D56" s="165">
        <v>0</v>
      </c>
      <c r="E56" s="125">
        <f t="shared" si="10"/>
        <v>0</v>
      </c>
      <c r="F56" s="41" t="s">
        <v>15</v>
      </c>
      <c r="G56" s="39">
        <v>251</v>
      </c>
      <c r="H56" s="321">
        <f>'0664'!H56</f>
        <v>835</v>
      </c>
      <c r="I56" s="104">
        <f t="shared" si="11"/>
        <v>0</v>
      </c>
      <c r="N56" s="504"/>
      <c r="O56" s="504"/>
      <c r="P56" s="506"/>
      <c r="Q56" s="506"/>
      <c r="R56" s="42" t="s">
        <v>15</v>
      </c>
      <c r="S56" s="40">
        <v>251</v>
      </c>
      <c r="T56" s="117">
        <f t="shared" si="12"/>
        <v>835</v>
      </c>
      <c r="U56" s="118">
        <f t="shared" si="13"/>
        <v>0</v>
      </c>
    </row>
    <row r="57" spans="1:21" x14ac:dyDescent="0.25">
      <c r="A57" s="460"/>
      <c r="B57" s="460"/>
      <c r="C57" s="165">
        <v>0</v>
      </c>
      <c r="D57" s="165">
        <v>0</v>
      </c>
      <c r="E57" s="125">
        <f t="shared" si="10"/>
        <v>0</v>
      </c>
      <c r="F57" s="41" t="s">
        <v>15</v>
      </c>
      <c r="G57" s="39">
        <v>252</v>
      </c>
      <c r="H57" s="321">
        <f>'0664'!H57</f>
        <v>3168</v>
      </c>
      <c r="I57" s="104">
        <f t="shared" si="11"/>
        <v>0</v>
      </c>
      <c r="N57" s="504"/>
      <c r="O57" s="504"/>
      <c r="P57" s="506"/>
      <c r="Q57" s="506"/>
      <c r="R57" s="42" t="s">
        <v>15</v>
      </c>
      <c r="S57" s="40">
        <v>252</v>
      </c>
      <c r="T57" s="117">
        <f t="shared" si="12"/>
        <v>3168</v>
      </c>
      <c r="U57" s="118">
        <f t="shared" si="13"/>
        <v>0</v>
      </c>
    </row>
    <row r="58" spans="1:21" ht="16.5" thickBot="1" x14ac:dyDescent="0.3">
      <c r="A58" s="460"/>
      <c r="B58" s="460"/>
      <c r="C58" s="165">
        <v>0</v>
      </c>
      <c r="D58" s="165">
        <v>0</v>
      </c>
      <c r="E58" s="125">
        <f t="shared" si="10"/>
        <v>0</v>
      </c>
      <c r="F58" s="41" t="s">
        <v>15</v>
      </c>
      <c r="G58" s="39">
        <v>253</v>
      </c>
      <c r="H58" s="321">
        <f>'0664'!H58</f>
        <v>6685</v>
      </c>
      <c r="I58" s="104">
        <f t="shared" si="11"/>
        <v>0</v>
      </c>
      <c r="N58" s="504"/>
      <c r="O58" s="504"/>
      <c r="P58" s="507"/>
      <c r="Q58" s="507"/>
      <c r="R58" s="42" t="s">
        <v>15</v>
      </c>
      <c r="S58" s="40">
        <v>253</v>
      </c>
      <c r="T58" s="117">
        <f t="shared" si="12"/>
        <v>6685</v>
      </c>
      <c r="U58" s="120">
        <f t="shared" si="13"/>
        <v>0</v>
      </c>
    </row>
    <row r="59" spans="1:21" ht="16.5" thickBot="1" x14ac:dyDescent="0.3">
      <c r="A59" s="461" t="s">
        <v>16</v>
      </c>
      <c r="B59" s="461"/>
      <c r="C59" s="100">
        <f>SUM(C50:C58)</f>
        <v>30</v>
      </c>
      <c r="D59" s="100">
        <f>SUM(D50:D58)</f>
        <v>29.5</v>
      </c>
      <c r="E59" s="100">
        <f>SUM(E50:E58)</f>
        <v>59.5</v>
      </c>
      <c r="F59" s="461" t="s">
        <v>77</v>
      </c>
      <c r="G59" s="461"/>
      <c r="H59" s="461"/>
      <c r="I59" s="100">
        <f>SUM(I50:I58)</f>
        <v>67210.5</v>
      </c>
      <c r="N59" s="480" t="s">
        <v>16</v>
      </c>
      <c r="O59" s="480"/>
      <c r="P59" s="502">
        <f>SUM(P50:P58)</f>
        <v>0</v>
      </c>
      <c r="Q59" s="502"/>
      <c r="R59" s="480" t="s">
        <v>77</v>
      </c>
      <c r="S59" s="480"/>
      <c r="T59" s="480"/>
      <c r="U59" s="111">
        <f>SUM(U50:U58)</f>
        <v>0</v>
      </c>
    </row>
    <row r="60" spans="1:21" x14ac:dyDescent="0.25">
      <c r="A60" s="462"/>
      <c r="B60" s="462"/>
      <c r="C60" s="462"/>
      <c r="D60" s="462"/>
      <c r="E60" s="462"/>
      <c r="F60" s="462"/>
      <c r="G60" s="462"/>
      <c r="H60" s="462"/>
      <c r="I60" s="462"/>
      <c r="N60" s="484"/>
      <c r="O60" s="484"/>
      <c r="P60" s="484"/>
      <c r="Q60" s="484"/>
      <c r="R60" s="484"/>
      <c r="S60" s="484"/>
      <c r="T60" s="484"/>
      <c r="U60" s="484"/>
    </row>
    <row r="61" spans="1:21" x14ac:dyDescent="0.25">
      <c r="A61" s="463" t="s">
        <v>136</v>
      </c>
      <c r="B61" s="453"/>
      <c r="C61" s="453"/>
      <c r="D61" s="453"/>
      <c r="E61" s="453"/>
      <c r="F61" s="453"/>
      <c r="G61" s="453"/>
      <c r="H61" s="453"/>
      <c r="I61" s="453"/>
      <c r="N61" s="479" t="s">
        <v>88</v>
      </c>
      <c r="O61" s="479"/>
      <c r="P61" s="479"/>
      <c r="Q61" s="479"/>
      <c r="R61" s="479"/>
      <c r="S61" s="479"/>
      <c r="T61" s="479"/>
      <c r="U61" s="479"/>
    </row>
    <row r="62" spans="1:21" x14ac:dyDescent="0.25">
      <c r="A62" s="463" t="s">
        <v>138</v>
      </c>
      <c r="B62" s="453"/>
      <c r="C62" s="121">
        <f>E29</f>
        <v>510.11</v>
      </c>
      <c r="D62" s="464" t="s">
        <v>135</v>
      </c>
      <c r="E62" s="464"/>
      <c r="F62" s="464"/>
      <c r="G62" s="464"/>
      <c r="H62" s="335">
        <f>'0664'!H62</f>
        <v>193340.76</v>
      </c>
      <c r="I62" s="122"/>
      <c r="N62" s="478" t="s">
        <v>312</v>
      </c>
      <c r="O62" s="479"/>
      <c r="P62" s="43">
        <f>P29</f>
        <v>0</v>
      </c>
      <c r="Q62" s="498" t="s">
        <v>78</v>
      </c>
      <c r="R62" s="498"/>
      <c r="S62" s="498"/>
      <c r="T62" s="497">
        <f>H62</f>
        <v>193340.76</v>
      </c>
      <c r="U62" s="497"/>
    </row>
    <row r="63" spans="1:21" x14ac:dyDescent="0.25">
      <c r="B63" s="72"/>
      <c r="G63" s="44" t="s">
        <v>13</v>
      </c>
      <c r="H63" s="123">
        <f>ROUND(C62/H62,6)</f>
        <v>2.6380000000000002E-3</v>
      </c>
      <c r="I63" s="124"/>
      <c r="N63" s="479" t="s">
        <v>19</v>
      </c>
      <c r="O63" s="479"/>
      <c r="P63" s="479"/>
      <c r="Q63" s="479"/>
      <c r="R63" s="479"/>
      <c r="S63" s="479"/>
      <c r="T63" s="501">
        <f>ROUND(P62/T62,6)</f>
        <v>0</v>
      </c>
      <c r="U63" s="501"/>
    </row>
    <row r="64" spans="1:21" x14ac:dyDescent="0.25">
      <c r="A64" s="463" t="s">
        <v>137</v>
      </c>
      <c r="B64" s="453"/>
      <c r="C64" s="453"/>
      <c r="D64" s="453"/>
      <c r="E64" s="453"/>
      <c r="F64" s="453"/>
      <c r="G64" s="453"/>
      <c r="H64" s="453"/>
      <c r="I64" s="453"/>
      <c r="N64" s="479" t="s">
        <v>89</v>
      </c>
      <c r="O64" s="479"/>
      <c r="P64" s="479"/>
      <c r="Q64" s="479"/>
      <c r="R64" s="479"/>
      <c r="S64" s="479"/>
      <c r="T64" s="479"/>
      <c r="U64" s="479"/>
    </row>
    <row r="65" spans="1:21" x14ac:dyDescent="0.25">
      <c r="A65" s="463" t="s">
        <v>139</v>
      </c>
      <c r="B65" s="453"/>
      <c r="C65" s="121">
        <f>E45</f>
        <v>550.29640000000006</v>
      </c>
      <c r="D65" s="464" t="s">
        <v>140</v>
      </c>
      <c r="E65" s="464"/>
      <c r="F65" s="464"/>
      <c r="G65" s="464"/>
      <c r="H65" s="336">
        <f>'0664'!H65</f>
        <v>216845.88</v>
      </c>
      <c r="I65" s="125"/>
      <c r="N65" s="479" t="s">
        <v>80</v>
      </c>
      <c r="O65" s="479"/>
      <c r="P65" s="43">
        <f>R45</f>
        <v>0</v>
      </c>
      <c r="Q65" s="498" t="s">
        <v>79</v>
      </c>
      <c r="R65" s="498"/>
      <c r="S65" s="498"/>
      <c r="T65" s="497">
        <f>H65</f>
        <v>216845.88</v>
      </c>
      <c r="U65" s="497"/>
    </row>
    <row r="66" spans="1:21" s="37" customFormat="1" x14ac:dyDescent="0.25">
      <c r="A66" s="126"/>
      <c r="G66" s="45" t="s">
        <v>13</v>
      </c>
      <c r="H66" s="127">
        <f>ROUND(C65/H65,6)</f>
        <v>2.5379999999999999E-3</v>
      </c>
      <c r="I66" s="127"/>
      <c r="N66" s="482" t="s">
        <v>20</v>
      </c>
      <c r="O66" s="482"/>
      <c r="P66" s="482"/>
      <c r="Q66" s="482"/>
      <c r="R66" s="482"/>
      <c r="S66" s="482"/>
      <c r="T66" s="500">
        <f>ROUND(P65/T65,6)</f>
        <v>0</v>
      </c>
      <c r="U66" s="500"/>
    </row>
    <row r="67" spans="1:21" x14ac:dyDescent="0.25">
      <c r="G67" s="44"/>
      <c r="H67" s="123"/>
      <c r="I67" s="123"/>
      <c r="N67" s="48"/>
      <c r="O67" s="48"/>
      <c r="P67" s="48"/>
      <c r="Q67" s="48"/>
      <c r="R67" s="128"/>
      <c r="S67" s="48"/>
      <c r="T67" s="129"/>
      <c r="U67" s="130"/>
    </row>
    <row r="68" spans="1:21" x14ac:dyDescent="0.25">
      <c r="A68" s="453" t="s">
        <v>85</v>
      </c>
      <c r="B68" s="453"/>
      <c r="C68" s="453"/>
      <c r="D68" s="72"/>
      <c r="E68" s="46" t="s">
        <v>3</v>
      </c>
      <c r="F68" s="337">
        <f>'0664'!F68</f>
        <v>42465042</v>
      </c>
      <c r="G68" s="39" t="s">
        <v>6</v>
      </c>
      <c r="H68" s="131">
        <f>H63</f>
        <v>2.6380000000000002E-3</v>
      </c>
      <c r="I68" s="104">
        <f>ROUND(F68*H68,2)</f>
        <v>112022.78</v>
      </c>
      <c r="N68" s="479" t="s">
        <v>85</v>
      </c>
      <c r="O68" s="479"/>
      <c r="P68" s="479"/>
      <c r="Q68" s="47"/>
      <c r="R68" s="132">
        <f>F68</f>
        <v>42465042</v>
      </c>
      <c r="S68" s="40" t="s">
        <v>6</v>
      </c>
      <c r="T68" s="133">
        <f>T63</f>
        <v>0</v>
      </c>
      <c r="U68" s="99">
        <f>ROUND(R68*T68,0)</f>
        <v>0</v>
      </c>
    </row>
    <row r="69" spans="1:21" x14ac:dyDescent="0.25">
      <c r="A69" s="458" t="s">
        <v>96</v>
      </c>
      <c r="B69" s="453"/>
      <c r="C69" s="453"/>
      <c r="D69" s="72"/>
      <c r="E69" s="46"/>
      <c r="F69" s="136"/>
      <c r="G69" s="39"/>
      <c r="H69" s="131"/>
      <c r="I69" s="104"/>
      <c r="N69" s="479" t="s">
        <v>84</v>
      </c>
      <c r="O69" s="479"/>
      <c r="P69" s="479"/>
      <c r="Q69" s="54"/>
      <c r="R69" s="54"/>
      <c r="S69" s="54"/>
      <c r="T69" s="54"/>
      <c r="U69" s="54"/>
    </row>
    <row r="70" spans="1:21" x14ac:dyDescent="0.25">
      <c r="A70" s="465" t="s">
        <v>141</v>
      </c>
      <c r="B70" s="453"/>
      <c r="C70" s="453"/>
      <c r="D70" s="72"/>
      <c r="E70" s="46" t="s">
        <v>3</v>
      </c>
      <c r="F70" s="337">
        <f>'0664'!F70</f>
        <v>0</v>
      </c>
      <c r="G70" s="39" t="s">
        <v>6</v>
      </c>
      <c r="H70" s="131">
        <f>H63</f>
        <v>2.6380000000000002E-3</v>
      </c>
      <c r="I70" s="104">
        <f>ROUND(F70*H70,2)</f>
        <v>0</v>
      </c>
      <c r="N70" s="48"/>
      <c r="O70" s="48"/>
      <c r="P70" s="48"/>
      <c r="Q70" s="47"/>
      <c r="R70" s="132">
        <f>F70</f>
        <v>0</v>
      </c>
      <c r="S70" s="40" t="s">
        <v>6</v>
      </c>
      <c r="T70" s="133">
        <f>T63</f>
        <v>0</v>
      </c>
      <c r="U70" s="99">
        <f>ROUND(R70*T70,0)</f>
        <v>0</v>
      </c>
    </row>
    <row r="71" spans="1:21" x14ac:dyDescent="0.25">
      <c r="A71" s="463" t="s">
        <v>433</v>
      </c>
      <c r="B71" s="453"/>
      <c r="C71" s="453"/>
      <c r="D71" s="72"/>
      <c r="E71" s="46" t="s">
        <v>3</v>
      </c>
      <c r="F71" s="337">
        <f>'0664'!F71</f>
        <v>13414654</v>
      </c>
      <c r="G71" s="39" t="s">
        <v>6</v>
      </c>
      <c r="H71" s="131">
        <f>H63</f>
        <v>2.6380000000000002E-3</v>
      </c>
      <c r="I71" s="104">
        <f>ROUND(F71*H71,2)</f>
        <v>35387.86</v>
      </c>
      <c r="N71" s="479" t="s">
        <v>83</v>
      </c>
      <c r="O71" s="479"/>
      <c r="P71" s="479"/>
      <c r="Q71" s="47"/>
      <c r="R71" s="132">
        <f>F71</f>
        <v>13414654</v>
      </c>
      <c r="S71" s="40" t="s">
        <v>6</v>
      </c>
      <c r="T71" s="133">
        <f>T63</f>
        <v>0</v>
      </c>
      <c r="U71" s="99">
        <f>ROUND(R71*T71,0)</f>
        <v>0</v>
      </c>
    </row>
    <row r="72" spans="1:21" x14ac:dyDescent="0.25">
      <c r="A72" s="463" t="s">
        <v>434</v>
      </c>
      <c r="B72" s="453"/>
      <c r="C72" s="453"/>
      <c r="D72" s="72"/>
      <c r="E72" s="46" t="s">
        <v>3</v>
      </c>
      <c r="F72" s="337">
        <f>'0664'!F72</f>
        <v>14708421</v>
      </c>
      <c r="G72" s="39" t="s">
        <v>6</v>
      </c>
      <c r="H72" s="131">
        <f>H63</f>
        <v>2.6380000000000002E-3</v>
      </c>
      <c r="I72" s="104">
        <f>ROUND(F72*H72,2)</f>
        <v>38800.81</v>
      </c>
      <c r="N72" s="479" t="s">
        <v>82</v>
      </c>
      <c r="O72" s="479"/>
      <c r="P72" s="479"/>
      <c r="Q72" s="47"/>
      <c r="R72" s="134">
        <f>F72</f>
        <v>14708421</v>
      </c>
      <c r="S72" s="40" t="s">
        <v>6</v>
      </c>
      <c r="T72" s="133">
        <f>T63</f>
        <v>0</v>
      </c>
      <c r="U72" s="99">
        <f>ROUND(R72*T72,0)</f>
        <v>0</v>
      </c>
    </row>
    <row r="73" spans="1:21" x14ac:dyDescent="0.25">
      <c r="A73" s="263" t="s">
        <v>99</v>
      </c>
      <c r="D73" s="72"/>
      <c r="E73" s="41" t="s">
        <v>353</v>
      </c>
      <c r="F73" s="466"/>
      <c r="G73" s="466"/>
      <c r="H73" s="466"/>
      <c r="I73" s="104">
        <v>0</v>
      </c>
      <c r="N73" s="499" t="s">
        <v>118</v>
      </c>
      <c r="O73" s="499"/>
      <c r="P73" s="499"/>
      <c r="Q73" s="499"/>
      <c r="R73" s="499"/>
      <c r="S73" s="499"/>
      <c r="T73" s="499"/>
      <c r="U73" s="99">
        <f>IF($H$120=1,I73,0)</f>
        <v>0</v>
      </c>
    </row>
    <row r="74" spans="1:21" x14ac:dyDescent="0.25">
      <c r="A74" s="264" t="s">
        <v>142</v>
      </c>
      <c r="I74" s="104"/>
      <c r="N74" s="499" t="s">
        <v>43</v>
      </c>
      <c r="O74" s="499"/>
      <c r="P74" s="499"/>
      <c r="Q74" s="499"/>
      <c r="R74" s="499"/>
      <c r="S74" s="499"/>
      <c r="T74" s="499"/>
      <c r="U74" s="99">
        <f>IF($H$120=1,I74,0)</f>
        <v>0</v>
      </c>
    </row>
    <row r="75" spans="1:21" x14ac:dyDescent="0.25">
      <c r="A75" s="324" t="s">
        <v>101</v>
      </c>
      <c r="B75" s="72"/>
      <c r="C75" s="72"/>
      <c r="D75" s="72"/>
      <c r="E75" s="72"/>
      <c r="F75" s="72"/>
      <c r="G75" s="72"/>
      <c r="H75" s="72"/>
      <c r="I75" s="135"/>
      <c r="N75" s="382" t="s">
        <v>44</v>
      </c>
      <c r="O75" s="48"/>
      <c r="P75" s="48"/>
      <c r="Q75" s="48"/>
      <c r="R75" s="48"/>
      <c r="S75" s="48"/>
      <c r="T75" s="48"/>
      <c r="U75" s="106"/>
    </row>
    <row r="76" spans="1:21" x14ac:dyDescent="0.25">
      <c r="A76" s="463" t="s">
        <v>435</v>
      </c>
      <c r="B76" s="453"/>
      <c r="C76" s="453"/>
      <c r="D76" s="72"/>
      <c r="E76" s="46" t="s">
        <v>3</v>
      </c>
      <c r="F76" s="337">
        <f>'0664'!F76</f>
        <v>8720092</v>
      </c>
      <c r="G76" s="39" t="s">
        <v>6</v>
      </c>
      <c r="H76" s="131">
        <f>H63</f>
        <v>2.6380000000000002E-3</v>
      </c>
      <c r="I76" s="104">
        <f t="shared" ref="I76:I85" si="14">ROUND(F76*H76,2)</f>
        <v>23003.599999999999</v>
      </c>
      <c r="N76" s="478" t="s">
        <v>366</v>
      </c>
      <c r="O76" s="479"/>
      <c r="P76" s="479"/>
      <c r="Q76" s="47"/>
      <c r="R76" s="134">
        <f t="shared" ref="R76:R85" si="15">F76</f>
        <v>8720092</v>
      </c>
      <c r="S76" s="40" t="s">
        <v>6</v>
      </c>
      <c r="T76" s="133">
        <f>T63</f>
        <v>0</v>
      </c>
      <c r="U76" s="99">
        <f t="shared" ref="U76:U85" si="16">ROUND(R76*T76,0)</f>
        <v>0</v>
      </c>
    </row>
    <row r="77" spans="1:21" x14ac:dyDescent="0.25">
      <c r="A77" s="463" t="s">
        <v>436</v>
      </c>
      <c r="B77" s="453"/>
      <c r="C77" s="453"/>
      <c r="D77" s="72"/>
      <c r="E77" s="46" t="s">
        <v>3</v>
      </c>
      <c r="F77" s="337">
        <f>'0664'!F77</f>
        <v>0</v>
      </c>
      <c r="G77" s="39" t="s">
        <v>6</v>
      </c>
      <c r="H77" s="131">
        <f>H63</f>
        <v>2.6380000000000002E-3</v>
      </c>
      <c r="I77" s="104">
        <f t="shared" si="14"/>
        <v>0</v>
      </c>
      <c r="N77" s="479" t="s">
        <v>367</v>
      </c>
      <c r="O77" s="479"/>
      <c r="P77" s="479"/>
      <c r="Q77" s="47"/>
      <c r="R77" s="134">
        <f t="shared" si="15"/>
        <v>0</v>
      </c>
      <c r="S77" s="40" t="s">
        <v>6</v>
      </c>
      <c r="T77" s="133">
        <f>T63</f>
        <v>0</v>
      </c>
      <c r="U77" s="99">
        <f t="shared" si="16"/>
        <v>0</v>
      </c>
    </row>
    <row r="78" spans="1:21" x14ac:dyDescent="0.25">
      <c r="A78" s="463" t="s">
        <v>437</v>
      </c>
      <c r="B78" s="453"/>
      <c r="C78" s="453"/>
      <c r="D78" s="72"/>
      <c r="E78" s="46" t="s">
        <v>4</v>
      </c>
      <c r="F78" s="337">
        <f>'0664'!F78</f>
        <v>0</v>
      </c>
      <c r="G78" s="39" t="s">
        <v>6</v>
      </c>
      <c r="H78" s="131">
        <f>H66</f>
        <v>2.5379999999999999E-3</v>
      </c>
      <c r="I78" s="104">
        <f t="shared" si="14"/>
        <v>0</v>
      </c>
      <c r="N78" s="478" t="s">
        <v>392</v>
      </c>
      <c r="O78" s="479"/>
      <c r="P78" s="479"/>
      <c r="Q78" s="47"/>
      <c r="R78" s="134">
        <f t="shared" si="15"/>
        <v>0</v>
      </c>
      <c r="S78" s="40" t="s">
        <v>6</v>
      </c>
      <c r="T78" s="133">
        <f>T66</f>
        <v>0</v>
      </c>
      <c r="U78" s="99">
        <f t="shared" si="16"/>
        <v>0</v>
      </c>
    </row>
    <row r="79" spans="1:21" x14ac:dyDescent="0.25">
      <c r="A79" s="463" t="s">
        <v>438</v>
      </c>
      <c r="B79" s="453"/>
      <c r="C79" s="453"/>
      <c r="D79" s="72"/>
      <c r="E79" s="46" t="s">
        <v>4</v>
      </c>
      <c r="F79" s="337">
        <f>'0664'!F79</f>
        <v>11278687</v>
      </c>
      <c r="G79" s="39" t="s">
        <v>6</v>
      </c>
      <c r="H79" s="131">
        <f>H66</f>
        <v>2.5379999999999999E-3</v>
      </c>
      <c r="I79" s="104">
        <f t="shared" si="14"/>
        <v>28625.31</v>
      </c>
      <c r="N79" s="478" t="s">
        <v>393</v>
      </c>
      <c r="O79" s="479"/>
      <c r="P79" s="479"/>
      <c r="Q79" s="47"/>
      <c r="R79" s="134">
        <f t="shared" si="15"/>
        <v>11278687</v>
      </c>
      <c r="S79" s="40" t="s">
        <v>6</v>
      </c>
      <c r="T79" s="133">
        <f>T66</f>
        <v>0</v>
      </c>
      <c r="U79" s="99">
        <f t="shared" si="16"/>
        <v>0</v>
      </c>
    </row>
    <row r="80" spans="1:21" x14ac:dyDescent="0.25">
      <c r="A80" s="463" t="s">
        <v>439</v>
      </c>
      <c r="B80" s="453"/>
      <c r="C80" s="453"/>
      <c r="D80" s="72"/>
      <c r="E80" s="46" t="s">
        <v>4</v>
      </c>
      <c r="F80" s="337">
        <f>'0664'!F80</f>
        <v>206284749</v>
      </c>
      <c r="G80" s="39" t="s">
        <v>6</v>
      </c>
      <c r="H80" s="131">
        <f>H66</f>
        <v>2.5379999999999999E-3</v>
      </c>
      <c r="I80" s="104">
        <f t="shared" si="14"/>
        <v>523550.69</v>
      </c>
      <c r="N80" s="478" t="s">
        <v>397</v>
      </c>
      <c r="O80" s="479"/>
      <c r="P80" s="479"/>
      <c r="Q80" s="47"/>
      <c r="R80" s="134">
        <f t="shared" si="15"/>
        <v>206284749</v>
      </c>
      <c r="S80" s="40" t="s">
        <v>6</v>
      </c>
      <c r="T80" s="133">
        <f>T66</f>
        <v>0</v>
      </c>
      <c r="U80" s="99">
        <f t="shared" si="16"/>
        <v>0</v>
      </c>
    </row>
    <row r="81" spans="1:21" x14ac:dyDescent="0.25">
      <c r="A81" s="84" t="s">
        <v>440</v>
      </c>
      <c r="B81" s="72"/>
      <c r="C81" s="72"/>
      <c r="D81" s="72"/>
      <c r="E81" s="46"/>
      <c r="F81" s="337"/>
      <c r="G81" s="39"/>
      <c r="H81" s="131"/>
      <c r="I81" s="104"/>
      <c r="N81" s="419" t="s">
        <v>440</v>
      </c>
      <c r="O81" s="48"/>
      <c r="P81" s="48"/>
      <c r="Q81" s="47"/>
      <c r="R81" s="423"/>
      <c r="S81" s="40"/>
      <c r="T81" s="133"/>
      <c r="U81" s="120"/>
    </row>
    <row r="82" spans="1:21" x14ac:dyDescent="0.25">
      <c r="A82" s="264" t="s">
        <v>441</v>
      </c>
      <c r="B82" s="72"/>
      <c r="C82" s="72"/>
      <c r="D82" s="72"/>
      <c r="E82" s="46" t="s">
        <v>442</v>
      </c>
      <c r="F82" s="337">
        <f>'0664'!F82</f>
        <v>0</v>
      </c>
      <c r="G82" s="39" t="s">
        <v>6</v>
      </c>
      <c r="H82" s="131">
        <f>H66</f>
        <v>2.5379999999999999E-3</v>
      </c>
      <c r="I82" s="104">
        <v>95126.75</v>
      </c>
      <c r="N82" s="422" t="s">
        <v>441</v>
      </c>
      <c r="O82" s="48"/>
      <c r="P82" s="48"/>
      <c r="Q82" s="47"/>
      <c r="R82" s="134">
        <f t="shared" si="15"/>
        <v>0</v>
      </c>
      <c r="S82" s="40"/>
      <c r="T82" s="133"/>
      <c r="U82" s="99">
        <f t="shared" si="16"/>
        <v>0</v>
      </c>
    </row>
    <row r="83" spans="1:21" x14ac:dyDescent="0.25">
      <c r="A83" s="264" t="s">
        <v>443</v>
      </c>
      <c r="B83" s="72"/>
      <c r="C83" s="72"/>
      <c r="D83" s="72"/>
      <c r="E83" s="46" t="s">
        <v>442</v>
      </c>
      <c r="F83" s="337">
        <f>'0664'!F83</f>
        <v>0</v>
      </c>
      <c r="G83" s="39" t="s">
        <v>6</v>
      </c>
      <c r="H83" s="131">
        <f>H66</f>
        <v>2.5379999999999999E-3</v>
      </c>
      <c r="I83" s="104">
        <v>43239.43</v>
      </c>
      <c r="N83" s="422" t="s">
        <v>443</v>
      </c>
      <c r="O83" s="48"/>
      <c r="P83" s="48"/>
      <c r="Q83" s="47"/>
      <c r="R83" s="134">
        <f t="shared" si="15"/>
        <v>0</v>
      </c>
      <c r="S83" s="40"/>
      <c r="T83" s="133"/>
      <c r="U83" s="99">
        <f t="shared" si="16"/>
        <v>0</v>
      </c>
    </row>
    <row r="84" spans="1:21" x14ac:dyDescent="0.25">
      <c r="A84" s="420" t="s">
        <v>444</v>
      </c>
      <c r="B84" s="72"/>
      <c r="C84" s="72"/>
      <c r="D84" s="72"/>
      <c r="E84" s="46"/>
      <c r="F84" s="337"/>
      <c r="G84" s="39"/>
      <c r="H84" s="131"/>
      <c r="I84" s="104">
        <f>I82+I83</f>
        <v>138366.18</v>
      </c>
      <c r="N84" s="421" t="s">
        <v>444</v>
      </c>
      <c r="O84" s="48"/>
      <c r="P84" s="48"/>
      <c r="Q84" s="47"/>
      <c r="R84" s="423"/>
      <c r="S84" s="40"/>
      <c r="T84" s="133"/>
      <c r="U84" s="99">
        <f>U82+U83</f>
        <v>0</v>
      </c>
    </row>
    <row r="85" spans="1:21" x14ac:dyDescent="0.25">
      <c r="A85" s="463" t="s">
        <v>398</v>
      </c>
      <c r="B85" s="453"/>
      <c r="C85" s="453"/>
      <c r="D85" s="72"/>
      <c r="E85" s="46" t="s">
        <v>4</v>
      </c>
      <c r="F85" s="337">
        <f>'0664'!F85</f>
        <v>0</v>
      </c>
      <c r="G85" s="39" t="s">
        <v>6</v>
      </c>
      <c r="H85" s="131">
        <f>H66</f>
        <v>2.5379999999999999E-3</v>
      </c>
      <c r="I85" s="104">
        <f t="shared" si="14"/>
        <v>0</v>
      </c>
      <c r="N85" s="478" t="s">
        <v>398</v>
      </c>
      <c r="O85" s="479"/>
      <c r="P85" s="479"/>
      <c r="Q85" s="47"/>
      <c r="R85" s="132">
        <f t="shared" si="15"/>
        <v>0</v>
      </c>
      <c r="S85" s="40" t="s">
        <v>6</v>
      </c>
      <c r="T85" s="133">
        <f>T66</f>
        <v>0</v>
      </c>
      <c r="U85" s="99">
        <f t="shared" si="16"/>
        <v>0</v>
      </c>
    </row>
    <row r="86" spans="1:21" x14ac:dyDescent="0.25">
      <c r="B86" s="72"/>
      <c r="C86" s="72"/>
      <c r="D86" s="72"/>
      <c r="E86" s="46"/>
      <c r="F86" s="136"/>
      <c r="G86" s="39"/>
      <c r="H86" s="131"/>
      <c r="I86" s="104"/>
      <c r="N86" s="48"/>
      <c r="O86" s="48"/>
      <c r="P86" s="48"/>
      <c r="Q86" s="47"/>
      <c r="R86" s="137"/>
      <c r="S86" s="40"/>
      <c r="T86" s="133"/>
      <c r="U86" s="106"/>
    </row>
    <row r="87" spans="1:21" x14ac:dyDescent="0.25">
      <c r="A87" s="463" t="s">
        <v>445</v>
      </c>
      <c r="B87" s="453"/>
      <c r="C87" s="453"/>
      <c r="D87" s="453"/>
      <c r="E87" s="453"/>
      <c r="F87" s="453"/>
      <c r="G87" s="453"/>
      <c r="H87" s="453"/>
      <c r="I87" s="453"/>
      <c r="N87" s="478" t="s">
        <v>429</v>
      </c>
      <c r="O87" s="479"/>
      <c r="P87" s="479"/>
      <c r="Q87" s="479"/>
      <c r="R87" s="479"/>
      <c r="S87" s="479"/>
      <c r="T87" s="479"/>
      <c r="U87" s="479"/>
    </row>
    <row r="88" spans="1:21" x14ac:dyDescent="0.25">
      <c r="B88" s="72"/>
      <c r="C88" s="466" t="s">
        <v>73</v>
      </c>
      <c r="D88" s="466"/>
      <c r="E88" s="72"/>
      <c r="F88" s="41" t="s">
        <v>37</v>
      </c>
      <c r="G88" s="72"/>
      <c r="H88" s="72"/>
      <c r="I88" s="72"/>
      <c r="N88" s="48"/>
      <c r="O88" s="48"/>
      <c r="P88" s="48"/>
      <c r="Q88" s="48"/>
      <c r="R88" s="48"/>
      <c r="S88" s="48"/>
      <c r="T88" s="48"/>
      <c r="U88" s="48"/>
    </row>
    <row r="89" spans="1:21" x14ac:dyDescent="0.25">
      <c r="A89" s="3"/>
      <c r="B89" s="138"/>
      <c r="C89" s="462" t="s">
        <v>144</v>
      </c>
      <c r="D89" s="462"/>
      <c r="E89" s="139" t="s">
        <v>150</v>
      </c>
      <c r="F89" s="140" t="s">
        <v>149</v>
      </c>
      <c r="G89" s="141"/>
      <c r="H89" s="141"/>
      <c r="I89" s="141"/>
      <c r="N89" s="495" t="s">
        <v>46</v>
      </c>
      <c r="O89" s="495"/>
      <c r="P89" s="496" t="s">
        <v>119</v>
      </c>
      <c r="Q89" s="496"/>
      <c r="R89" s="497" t="s">
        <v>40</v>
      </c>
      <c r="S89" s="497"/>
      <c r="T89" s="497"/>
      <c r="U89" s="497"/>
    </row>
    <row r="90" spans="1:21" x14ac:dyDescent="0.25">
      <c r="A90" s="27"/>
      <c r="B90" s="55" t="s">
        <v>148</v>
      </c>
      <c r="C90" s="467">
        <f>H13+H14+H19+H22+H25</f>
        <v>276.37540000000001</v>
      </c>
      <c r="D90" s="467"/>
      <c r="E90" s="49">
        <f>H8</f>
        <v>1.0438000000000001</v>
      </c>
      <c r="F90" s="338">
        <f>'0664'!F90</f>
        <v>957.94</v>
      </c>
      <c r="G90" s="41" t="s">
        <v>13</v>
      </c>
      <c r="H90" s="104">
        <f>ROUND(C90*E90*F90,2)</f>
        <v>276347.15000000002</v>
      </c>
      <c r="I90" s="107"/>
      <c r="N90" s="29" t="s">
        <v>22</v>
      </c>
      <c r="O90" s="50">
        <f>T13+T14+T19+T22+T25</f>
        <v>0</v>
      </c>
      <c r="P90" s="490">
        <f>T8</f>
        <v>1.0438000000000001</v>
      </c>
      <c r="Q90" s="490"/>
      <c r="R90" s="51">
        <f>F90</f>
        <v>957.94</v>
      </c>
      <c r="S90" s="42" t="s">
        <v>13</v>
      </c>
      <c r="T90" s="134">
        <f>ROUND(O90*P90*R90,0)</f>
        <v>0</v>
      </c>
      <c r="U90" s="105"/>
    </row>
    <row r="91" spans="1:21" x14ac:dyDescent="0.25">
      <c r="A91" s="52"/>
      <c r="B91" s="52" t="s">
        <v>147</v>
      </c>
      <c r="C91" s="467">
        <f>H15+H16+H20+H23+H26</f>
        <v>273.92099999999999</v>
      </c>
      <c r="D91" s="467"/>
      <c r="E91" s="49">
        <f>H8</f>
        <v>1.0438000000000001</v>
      </c>
      <c r="F91" s="338">
        <f>'0664'!F91</f>
        <v>914.63</v>
      </c>
      <c r="G91" s="41" t="s">
        <v>13</v>
      </c>
      <c r="H91" s="104">
        <f>ROUND(C91*E91*F91,2)</f>
        <v>261509.86</v>
      </c>
      <c r="N91" s="53" t="s">
        <v>14</v>
      </c>
      <c r="O91" s="50">
        <f>T15+T16+T20+T23+T26</f>
        <v>0</v>
      </c>
      <c r="P91" s="490">
        <f>T8</f>
        <v>1.0438000000000001</v>
      </c>
      <c r="Q91" s="490"/>
      <c r="R91" s="51">
        <f>F91</f>
        <v>914.63</v>
      </c>
      <c r="S91" s="42" t="s">
        <v>13</v>
      </c>
      <c r="T91" s="134">
        <f>ROUND(O91*P91*R91,0)</f>
        <v>0</v>
      </c>
      <c r="U91" s="54"/>
    </row>
    <row r="92" spans="1:21" ht="16.5" thickBot="1" x14ac:dyDescent="0.3">
      <c r="A92" s="55"/>
      <c r="B92" s="55" t="s">
        <v>146</v>
      </c>
      <c r="C92" s="467">
        <f>H17+H18+H21+H24+H27+H28</f>
        <v>0</v>
      </c>
      <c r="D92" s="467"/>
      <c r="E92" s="49">
        <f>H8</f>
        <v>1.0438000000000001</v>
      </c>
      <c r="F92" s="338">
        <f>'0664'!F92</f>
        <v>916.84</v>
      </c>
      <c r="G92" s="41" t="s">
        <v>13</v>
      </c>
      <c r="H92" s="97">
        <f>ROUND(C92*E92*F92,2)</f>
        <v>0</v>
      </c>
      <c r="N92" s="56" t="s">
        <v>15</v>
      </c>
      <c r="O92" s="57">
        <f>T17+T18+T21+T24+T27+T28</f>
        <v>0</v>
      </c>
      <c r="P92" s="490">
        <f>T8</f>
        <v>1.0438000000000001</v>
      </c>
      <c r="Q92" s="490"/>
      <c r="R92" s="51">
        <f>F92</f>
        <v>916.84</v>
      </c>
      <c r="S92" s="42" t="s">
        <v>13</v>
      </c>
      <c r="T92" s="134">
        <f>ROUND(O92*P92*R92,0)</f>
        <v>0</v>
      </c>
      <c r="U92" s="54"/>
    </row>
    <row r="93" spans="1:21" ht="16.5" thickBot="1" x14ac:dyDescent="0.3">
      <c r="A93" s="58"/>
      <c r="B93" s="142" t="s">
        <v>145</v>
      </c>
      <c r="C93" s="469">
        <f>SUM(C90:C92)</f>
        <v>550.29639999999995</v>
      </c>
      <c r="D93" s="469"/>
      <c r="E93" s="143"/>
      <c r="F93" s="143"/>
      <c r="G93" s="143"/>
      <c r="H93" s="144" t="s">
        <v>143</v>
      </c>
      <c r="I93" s="104">
        <f>IF(A1=75,0,H92+H91+H90)</f>
        <v>537857.01</v>
      </c>
      <c r="N93" s="59" t="s">
        <v>120</v>
      </c>
      <c r="O93" s="60">
        <f>SUM(O90:O92)</f>
        <v>0</v>
      </c>
      <c r="P93" s="491" t="s">
        <v>18</v>
      </c>
      <c r="Q93" s="492"/>
      <c r="R93" s="492"/>
      <c r="S93" s="492"/>
      <c r="T93" s="492"/>
      <c r="U93" s="99">
        <f>IF(N1=75,0,T92+T91+T90)</f>
        <v>0</v>
      </c>
    </row>
    <row r="94" spans="1:21" ht="16.5" thickTop="1" x14ac:dyDescent="0.25">
      <c r="A94" s="540" t="s">
        <v>90</v>
      </c>
      <c r="B94" s="540"/>
      <c r="C94" s="540"/>
      <c r="D94" s="540"/>
      <c r="E94" s="540"/>
      <c r="F94" s="540"/>
      <c r="G94" s="540"/>
      <c r="H94" s="540"/>
      <c r="I94" s="540"/>
      <c r="N94" s="493" t="s">
        <v>90</v>
      </c>
      <c r="O94" s="493"/>
      <c r="P94" s="493"/>
      <c r="Q94" s="493"/>
      <c r="R94" s="493"/>
      <c r="S94" s="493"/>
      <c r="T94" s="493"/>
      <c r="U94" s="493"/>
    </row>
    <row r="95" spans="1:21" x14ac:dyDescent="0.25">
      <c r="A95" s="145"/>
      <c r="B95" s="145"/>
      <c r="C95" s="145"/>
      <c r="D95" s="145"/>
      <c r="E95" s="145"/>
      <c r="F95" s="145"/>
      <c r="G95" s="145"/>
      <c r="H95" s="145"/>
      <c r="I95" s="145"/>
      <c r="N95" s="146"/>
      <c r="O95" s="146"/>
      <c r="P95" s="146"/>
      <c r="Q95" s="146"/>
      <c r="R95" s="146"/>
      <c r="S95" s="146"/>
      <c r="T95" s="146"/>
      <c r="U95" s="146"/>
    </row>
    <row r="96" spans="1:21" x14ac:dyDescent="0.25">
      <c r="A96" s="84" t="s">
        <v>446</v>
      </c>
      <c r="C96" s="46"/>
      <c r="D96" s="72"/>
      <c r="E96" s="46" t="s">
        <v>100</v>
      </c>
      <c r="F96" s="471"/>
      <c r="G96" s="471"/>
      <c r="H96" s="471"/>
      <c r="I96" s="471"/>
      <c r="N96" s="478" t="s">
        <v>426</v>
      </c>
      <c r="O96" s="479"/>
      <c r="P96" s="479"/>
      <c r="Q96" s="494"/>
      <c r="R96" s="494"/>
      <c r="S96" s="494"/>
      <c r="T96" s="494"/>
      <c r="U96" s="106"/>
    </row>
    <row r="97" spans="1:21" x14ac:dyDescent="0.25">
      <c r="B97" s="72"/>
      <c r="C97" s="91" t="s">
        <v>409</v>
      </c>
      <c r="D97" s="371" t="s">
        <v>410</v>
      </c>
      <c r="E97" s="92" t="s">
        <v>151</v>
      </c>
      <c r="F97" s="46"/>
      <c r="G97" s="46"/>
      <c r="H97" s="46"/>
      <c r="I97" s="46"/>
      <c r="N97" s="48"/>
      <c r="O97" s="48"/>
      <c r="P97" s="48"/>
      <c r="Q97" s="147"/>
      <c r="R97" s="147"/>
      <c r="S97" s="147"/>
      <c r="T97" s="147"/>
      <c r="U97" s="106"/>
    </row>
    <row r="98" spans="1:21" x14ac:dyDescent="0.25">
      <c r="B98" s="72"/>
      <c r="C98" s="362" t="s">
        <v>2</v>
      </c>
      <c r="D98" s="362" t="s">
        <v>2</v>
      </c>
      <c r="E98" s="362" t="s">
        <v>2</v>
      </c>
      <c r="F98" s="46"/>
      <c r="G98" s="46"/>
      <c r="H98" s="46"/>
      <c r="I98" s="46"/>
      <c r="N98" s="48"/>
      <c r="O98" s="48"/>
      <c r="P98" s="48"/>
      <c r="Q98" s="147"/>
      <c r="R98" s="147"/>
      <c r="S98" s="147"/>
      <c r="T98" s="147"/>
      <c r="U98" s="106"/>
    </row>
    <row r="99" spans="1:21" x14ac:dyDescent="0.25">
      <c r="A99" s="536" t="s">
        <v>470</v>
      </c>
      <c r="B99" s="461"/>
      <c r="C99" s="165">
        <v>27</v>
      </c>
      <c r="D99" s="165">
        <v>0</v>
      </c>
      <c r="E99" s="125">
        <f>C99</f>
        <v>27</v>
      </c>
      <c r="F99" s="148" t="s">
        <v>39</v>
      </c>
      <c r="G99" s="339">
        <f>'0664'!G99</f>
        <v>558</v>
      </c>
      <c r="I99" s="104">
        <f>ROUND(G99*E99,2)</f>
        <v>15066</v>
      </c>
      <c r="N99" s="488" t="s">
        <v>65</v>
      </c>
      <c r="O99" s="488"/>
      <c r="P99" s="489">
        <f>IF(H120=1,E99,0)</f>
        <v>0</v>
      </c>
      <c r="Q99" s="489"/>
      <c r="R99" s="489"/>
      <c r="S99" s="86" t="s">
        <v>39</v>
      </c>
      <c r="T99" s="61">
        <f>G99</f>
        <v>558</v>
      </c>
      <c r="U99" s="99">
        <f>ROUND(T99*P99,0)</f>
        <v>0</v>
      </c>
    </row>
    <row r="100" spans="1:21" x14ac:dyDescent="0.25">
      <c r="A100" s="536" t="s">
        <v>471</v>
      </c>
      <c r="B100" s="461"/>
      <c r="C100" s="165">
        <v>0</v>
      </c>
      <c r="D100" s="165">
        <v>0</v>
      </c>
      <c r="E100" s="125">
        <f>C100</f>
        <v>0</v>
      </c>
      <c r="F100" s="148" t="s">
        <v>39</v>
      </c>
      <c r="G100" s="339">
        <f>'0664'!G100</f>
        <v>1707</v>
      </c>
      <c r="I100" s="104">
        <f>ROUND(G100*E100,2)</f>
        <v>0</v>
      </c>
      <c r="N100" s="488" t="s">
        <v>81</v>
      </c>
      <c r="O100" s="488"/>
      <c r="P100" s="483"/>
      <c r="Q100" s="483"/>
      <c r="R100" s="483"/>
      <c r="S100" s="86" t="s">
        <v>39</v>
      </c>
      <c r="T100" s="61">
        <f>G100</f>
        <v>1707</v>
      </c>
      <c r="U100" s="99">
        <f>ROUND(T100*P100,0)</f>
        <v>0</v>
      </c>
    </row>
    <row r="101" spans="1:21" x14ac:dyDescent="0.25">
      <c r="A101" s="149"/>
      <c r="B101" s="149"/>
      <c r="C101" s="68"/>
      <c r="D101" s="68"/>
      <c r="E101" s="68"/>
      <c r="F101" s="68"/>
      <c r="G101" s="150"/>
      <c r="H101" s="151"/>
      <c r="I101" s="104"/>
      <c r="N101" s="152"/>
      <c r="O101" s="152"/>
      <c r="P101" s="153"/>
      <c r="Q101" s="153"/>
      <c r="R101" s="153"/>
      <c r="S101" s="86"/>
      <c r="T101" s="61"/>
      <c r="U101" s="106"/>
    </row>
    <row r="102" spans="1:21" x14ac:dyDescent="0.25">
      <c r="A102" s="149"/>
      <c r="B102" s="149"/>
      <c r="C102" s="68"/>
      <c r="D102" s="68"/>
      <c r="E102" s="68"/>
      <c r="F102" s="68"/>
      <c r="G102" s="150"/>
      <c r="H102" s="151"/>
      <c r="I102" s="104"/>
      <c r="N102" s="152"/>
      <c r="O102" s="152"/>
      <c r="P102" s="153"/>
      <c r="Q102" s="153"/>
      <c r="R102" s="153"/>
      <c r="S102" s="86"/>
      <c r="T102" s="61"/>
      <c r="U102" s="106"/>
    </row>
    <row r="103" spans="1:21" hidden="1" x14ac:dyDescent="0.25">
      <c r="A103" s="463" t="s">
        <v>447</v>
      </c>
      <c r="B103" s="453"/>
      <c r="C103" s="453"/>
      <c r="D103" s="72"/>
      <c r="E103" s="41" t="s">
        <v>41</v>
      </c>
      <c r="F103" s="466"/>
      <c r="G103" s="466"/>
      <c r="H103" s="466"/>
      <c r="I103" s="466"/>
      <c r="N103" s="478" t="s">
        <v>362</v>
      </c>
      <c r="O103" s="479"/>
      <c r="P103" s="479"/>
      <c r="Q103" s="479"/>
      <c r="R103" s="479"/>
      <c r="S103" s="479"/>
      <c r="T103" s="479"/>
      <c r="U103" s="479"/>
    </row>
    <row r="104" spans="1:21" hidden="1" x14ac:dyDescent="0.25">
      <c r="B104" s="72"/>
      <c r="C104" s="462" t="s">
        <v>91</v>
      </c>
      <c r="D104" s="462"/>
      <c r="E104" s="462"/>
      <c r="F104" s="39"/>
      <c r="G104" s="39"/>
      <c r="H104" s="41" t="s">
        <v>152</v>
      </c>
      <c r="I104" s="39"/>
      <c r="N104" s="48"/>
      <c r="O104" s="48"/>
      <c r="P104" s="48"/>
      <c r="Q104" s="48"/>
      <c r="R104" s="48"/>
      <c r="S104" s="48"/>
      <c r="T104" s="48"/>
      <c r="U104" s="48"/>
    </row>
    <row r="105" spans="1:21" hidden="1" x14ac:dyDescent="0.25">
      <c r="B105" s="72"/>
      <c r="C105" s="91" t="s">
        <v>371</v>
      </c>
      <c r="D105" s="91" t="s">
        <v>351</v>
      </c>
      <c r="E105" s="159" t="s">
        <v>8</v>
      </c>
      <c r="F105" s="464" t="s">
        <v>153</v>
      </c>
      <c r="G105" s="466"/>
      <c r="H105" s="39" t="s">
        <v>38</v>
      </c>
      <c r="I105" s="39"/>
      <c r="N105" s="48"/>
      <c r="O105" s="48"/>
      <c r="P105" s="48"/>
      <c r="Q105" s="48"/>
      <c r="R105" s="48"/>
      <c r="S105" s="48"/>
      <c r="T105" s="48"/>
      <c r="U105" s="48"/>
    </row>
    <row r="106" spans="1:21" hidden="1" x14ac:dyDescent="0.25">
      <c r="A106" s="462" t="s">
        <v>94</v>
      </c>
      <c r="B106" s="462"/>
      <c r="C106" s="93" t="s">
        <v>2</v>
      </c>
      <c r="D106" s="93" t="s">
        <v>2</v>
      </c>
      <c r="E106" s="62" t="s">
        <v>2</v>
      </c>
      <c r="F106" s="462" t="s">
        <v>37</v>
      </c>
      <c r="G106" s="462"/>
      <c r="H106" s="62" t="s">
        <v>37</v>
      </c>
      <c r="I106" s="62" t="s">
        <v>8</v>
      </c>
      <c r="N106" s="484" t="s">
        <v>66</v>
      </c>
      <c r="O106" s="484"/>
      <c r="P106" s="489" t="s">
        <v>91</v>
      </c>
      <c r="Q106" s="489"/>
      <c r="R106" s="484" t="s">
        <v>67</v>
      </c>
      <c r="S106" s="484"/>
      <c r="T106" s="63" t="s">
        <v>68</v>
      </c>
      <c r="U106" s="63" t="s">
        <v>8</v>
      </c>
    </row>
    <row r="107" spans="1:21" hidden="1" x14ac:dyDescent="0.25">
      <c r="A107" s="473" t="s">
        <v>69</v>
      </c>
      <c r="B107" s="473"/>
      <c r="C107" s="163">
        <v>0</v>
      </c>
      <c r="D107" s="163">
        <v>0</v>
      </c>
      <c r="E107" s="210">
        <f>IF(D$59=0,C107*2,C107+D107)</f>
        <v>0</v>
      </c>
      <c r="F107" s="474">
        <v>0</v>
      </c>
      <c r="G107" s="474"/>
      <c r="H107" s="250">
        <f>IF(C107=0,0,125)</f>
        <v>0</v>
      </c>
      <c r="I107" s="104">
        <f>ROUND((H107+F107)*E107,2)</f>
        <v>0</v>
      </c>
      <c r="N107" s="479" t="s">
        <v>69</v>
      </c>
      <c r="O107" s="479"/>
      <c r="P107" s="483">
        <f>IF(H$120=1,C107,0)</f>
        <v>0</v>
      </c>
      <c r="Q107" s="483"/>
      <c r="R107" s="486">
        <f>F107</f>
        <v>0</v>
      </c>
      <c r="S107" s="486"/>
      <c r="T107" s="65">
        <f>H107</f>
        <v>0</v>
      </c>
      <c r="U107" s="99">
        <f>ROUND((T107+R107)*P107,0)</f>
        <v>0</v>
      </c>
    </row>
    <row r="108" spans="1:21" hidden="1" x14ac:dyDescent="0.25">
      <c r="A108" s="456" t="s">
        <v>70</v>
      </c>
      <c r="B108" s="456"/>
      <c r="C108" s="165">
        <v>0</v>
      </c>
      <c r="D108" s="165">
        <v>0</v>
      </c>
      <c r="E108" s="125">
        <f>IF(D$59=0,C108*2,C108+D108)</f>
        <v>0</v>
      </c>
      <c r="F108" s="468">
        <f>ROUND(F107/2,2)</f>
        <v>0</v>
      </c>
      <c r="G108" s="468"/>
      <c r="H108" s="250">
        <f>IF(C108=0,0,62.5)</f>
        <v>0</v>
      </c>
      <c r="I108" s="104">
        <f>ROUND((H108+F108)*E108,2)</f>
        <v>0</v>
      </c>
      <c r="N108" s="479" t="s">
        <v>70</v>
      </c>
      <c r="O108" s="479"/>
      <c r="P108" s="483">
        <f>IF(H$120=1,C108,0)</f>
        <v>0</v>
      </c>
      <c r="Q108" s="483"/>
      <c r="R108" s="487">
        <f>ROUND(R107/2,2)</f>
        <v>0</v>
      </c>
      <c r="S108" s="487"/>
      <c r="T108" s="65">
        <f>H108</f>
        <v>0</v>
      </c>
      <c r="U108" s="99">
        <f>ROUND((T108+R108)*P108,0)</f>
        <v>0</v>
      </c>
    </row>
    <row r="109" spans="1:21" ht="16.5" hidden="1" thickBot="1" x14ac:dyDescent="0.3">
      <c r="A109" s="456" t="s">
        <v>71</v>
      </c>
      <c r="B109" s="456"/>
      <c r="C109" s="165">
        <v>0</v>
      </c>
      <c r="D109" s="165">
        <v>0</v>
      </c>
      <c r="E109" s="125">
        <f>IF(D$59=0,C109*2,C109+D109)</f>
        <v>0</v>
      </c>
      <c r="F109" s="475"/>
      <c r="G109" s="475"/>
      <c r="H109" s="251">
        <f>IF(H107&gt;0,436,0)</f>
        <v>0</v>
      </c>
      <c r="I109" s="104">
        <f>ROUND(H109*E109,2)</f>
        <v>0</v>
      </c>
      <c r="N109" s="482" t="s">
        <v>71</v>
      </c>
      <c r="O109" s="482"/>
      <c r="P109" s="483">
        <f>IF(H$120=1,C109,0)</f>
        <v>0</v>
      </c>
      <c r="Q109" s="483"/>
      <c r="R109" s="484"/>
      <c r="S109" s="484"/>
      <c r="T109" s="67">
        <f>H109</f>
        <v>0</v>
      </c>
      <c r="U109" s="106">
        <f>ROUND(T109*P109,0)</f>
        <v>0</v>
      </c>
    </row>
    <row r="110" spans="1:21" ht="16.5" hidden="1" thickBot="1" x14ac:dyDescent="0.3">
      <c r="A110" s="466" t="s">
        <v>8</v>
      </c>
      <c r="B110" s="466"/>
      <c r="C110" s="68"/>
      <c r="D110" s="68"/>
      <c r="E110" s="68"/>
      <c r="F110" s="68"/>
      <c r="G110" s="68"/>
      <c r="H110" s="68"/>
      <c r="I110" s="100">
        <f>SUM(I107:I109)</f>
        <v>0</v>
      </c>
      <c r="N110" s="485" t="s">
        <v>8</v>
      </c>
      <c r="O110" s="485"/>
      <c r="P110" s="69"/>
      <c r="Q110" s="69"/>
      <c r="R110" s="69"/>
      <c r="S110" s="69"/>
      <c r="T110" s="69"/>
      <c r="U110" s="70">
        <f>SUM(U107:U109)</f>
        <v>0</v>
      </c>
    </row>
    <row r="111" spans="1:21" hidden="1" x14ac:dyDescent="0.25">
      <c r="A111" s="39"/>
      <c r="B111" s="39"/>
      <c r="C111" s="68"/>
      <c r="D111" s="68"/>
      <c r="E111" s="68"/>
      <c r="F111" s="68"/>
      <c r="G111" s="68"/>
      <c r="H111" s="68"/>
      <c r="I111" s="104"/>
      <c r="N111" s="40"/>
      <c r="O111" s="40"/>
      <c r="P111" s="69"/>
      <c r="Q111" s="69"/>
      <c r="R111" s="69"/>
      <c r="S111" s="69"/>
      <c r="T111" s="69"/>
      <c r="U111" s="160"/>
    </row>
    <row r="112" spans="1:21" x14ac:dyDescent="0.25">
      <c r="A112" s="463" t="s">
        <v>448</v>
      </c>
      <c r="B112" s="453"/>
      <c r="C112" s="453"/>
      <c r="D112" s="72"/>
      <c r="E112" s="71" t="s">
        <v>354</v>
      </c>
      <c r="F112" s="472"/>
      <c r="G112" s="472"/>
      <c r="H112" s="472"/>
      <c r="I112" s="125">
        <v>0</v>
      </c>
      <c r="N112" s="478" t="s">
        <v>427</v>
      </c>
      <c r="O112" s="479"/>
      <c r="P112" s="479"/>
      <c r="Q112" s="341"/>
      <c r="R112" s="341"/>
      <c r="S112" s="341"/>
      <c r="T112" s="341"/>
      <c r="U112" s="99">
        <f>IF($H$120=1,I112,0)</f>
        <v>0</v>
      </c>
    </row>
    <row r="113" spans="1:21" x14ac:dyDescent="0.25">
      <c r="A113" s="463" t="s">
        <v>449</v>
      </c>
      <c r="B113" s="453"/>
      <c r="C113" s="453"/>
      <c r="D113" s="72"/>
      <c r="E113" s="71" t="s">
        <v>45</v>
      </c>
      <c r="F113" s="472"/>
      <c r="G113" s="472"/>
      <c r="H113" s="472"/>
      <c r="I113" s="177">
        <v>0</v>
      </c>
      <c r="N113" s="478" t="s">
        <v>428</v>
      </c>
      <c r="O113" s="479"/>
      <c r="P113" s="479"/>
      <c r="Q113" s="341"/>
      <c r="R113" s="341"/>
      <c r="S113" s="341"/>
      <c r="T113" s="341"/>
      <c r="U113" s="99">
        <f>IF($H$120=1,I113,0)</f>
        <v>0</v>
      </c>
    </row>
    <row r="114" spans="1:21" ht="16.5" thickBot="1" x14ac:dyDescent="0.3">
      <c r="B114" s="72"/>
      <c r="C114" s="72"/>
      <c r="D114" s="72"/>
      <c r="E114" s="71"/>
      <c r="F114" s="71"/>
      <c r="G114" s="71"/>
      <c r="H114" s="71"/>
      <c r="I114" s="125"/>
      <c r="N114" s="480" t="s">
        <v>42</v>
      </c>
      <c r="O114" s="480"/>
      <c r="P114" s="480"/>
      <c r="Q114" s="480"/>
      <c r="R114" s="480"/>
      <c r="S114" s="480"/>
      <c r="T114" s="480"/>
      <c r="U114" s="154">
        <f>SUM(U112,U110,U100,U99,U93,U77,U76,U74,U73,U72,U71,U70,U68,U59,U45,U78,U79,U80,U85,U113)</f>
        <v>0</v>
      </c>
    </row>
    <row r="115" spans="1:21" ht="16.5" thickTop="1" x14ac:dyDescent="0.25">
      <c r="A115" s="461" t="s">
        <v>8</v>
      </c>
      <c r="B115" s="461"/>
      <c r="C115" s="461"/>
      <c r="D115" s="461"/>
      <c r="E115" s="461"/>
      <c r="F115" s="461"/>
      <c r="G115" s="461"/>
      <c r="H115" s="461"/>
      <c r="I115" s="97">
        <f>SUM(I113,I112,I110,I100,I99,I93,I85,I84,I80,I79,I78,I77,I76,I74,I73,I72,I71,I70,I68,I59,I45)</f>
        <v>4154890.47</v>
      </c>
      <c r="N115" s="29"/>
      <c r="O115" s="29"/>
      <c r="P115" s="29"/>
      <c r="Q115" s="29"/>
      <c r="R115" s="29"/>
      <c r="S115" s="29"/>
      <c r="T115" s="29"/>
      <c r="U115" s="160"/>
    </row>
    <row r="116" spans="1:21" x14ac:dyDescent="0.25">
      <c r="A116" s="27"/>
      <c r="B116" s="27"/>
      <c r="C116" s="27"/>
      <c r="D116" s="27"/>
      <c r="E116" s="27"/>
      <c r="F116" s="27"/>
      <c r="G116" s="27"/>
      <c r="H116" s="27"/>
      <c r="I116" s="104"/>
      <c r="N116" s="29"/>
      <c r="O116" s="29"/>
      <c r="P116" s="29"/>
      <c r="Q116" s="29"/>
      <c r="R116" s="29"/>
      <c r="S116" s="29"/>
      <c r="T116" s="29"/>
      <c r="U116" s="160"/>
    </row>
    <row r="117" spans="1:21" x14ac:dyDescent="0.25">
      <c r="A117" s="432" t="s">
        <v>467</v>
      </c>
      <c r="B117" s="27"/>
      <c r="C117" s="27"/>
      <c r="D117" s="27"/>
      <c r="E117" s="27"/>
      <c r="F117" s="27"/>
      <c r="G117" s="27"/>
      <c r="H117" s="27"/>
      <c r="I117" s="104">
        <f>I115-I84</f>
        <v>4016524.29</v>
      </c>
      <c r="N117" s="29"/>
      <c r="O117" s="29"/>
      <c r="P117" s="29"/>
      <c r="Q117" s="29"/>
      <c r="R117" s="29"/>
      <c r="S117" s="29"/>
      <c r="T117" s="29"/>
      <c r="U117" s="160"/>
    </row>
    <row r="118" spans="1:21" x14ac:dyDescent="0.25">
      <c r="A118" s="27"/>
      <c r="B118" s="27"/>
      <c r="C118" s="27"/>
      <c r="D118" s="27"/>
      <c r="E118" s="27"/>
      <c r="F118" s="27"/>
      <c r="G118" s="27"/>
      <c r="H118" s="27"/>
      <c r="I118" s="104"/>
      <c r="N118" s="29"/>
      <c r="O118" s="29"/>
      <c r="P118" s="29"/>
      <c r="Q118" s="29"/>
      <c r="R118" s="29"/>
      <c r="S118" s="29"/>
      <c r="T118" s="29"/>
      <c r="U118" s="160"/>
    </row>
    <row r="119" spans="1:21" x14ac:dyDescent="0.25">
      <c r="A119" s="463" t="s">
        <v>468</v>
      </c>
      <c r="B119" s="453"/>
      <c r="C119" s="453"/>
      <c r="D119" s="453"/>
      <c r="E119" s="453"/>
      <c r="F119" s="453"/>
      <c r="G119" s="453"/>
      <c r="H119" s="84" t="s">
        <v>394</v>
      </c>
      <c r="I119" s="156"/>
      <c r="N119" s="481"/>
      <c r="O119" s="481"/>
      <c r="P119" s="481"/>
      <c r="Q119" s="481"/>
      <c r="R119" s="481"/>
      <c r="S119" s="481"/>
      <c r="T119" s="481"/>
      <c r="U119" s="481"/>
    </row>
    <row r="120" spans="1:21" x14ac:dyDescent="0.25">
      <c r="A120" s="453" t="s">
        <v>95</v>
      </c>
      <c r="B120" s="453"/>
      <c r="C120" s="453"/>
      <c r="D120" s="453"/>
      <c r="E120" s="453"/>
      <c r="F120" s="453"/>
      <c r="G120" s="453"/>
      <c r="H120" s="73" t="str">
        <f>IF(E29=0,"",IF((E14+E16+SUM(E18:E24))/E29&gt;0.75,1,""))</f>
        <v/>
      </c>
      <c r="I120" s="125">
        <f>U114</f>
        <v>0</v>
      </c>
      <c r="N120" s="476" t="s">
        <v>7</v>
      </c>
      <c r="O120" s="476"/>
      <c r="P120" s="476"/>
      <c r="Q120" s="476"/>
      <c r="R120" s="476"/>
      <c r="S120" s="476"/>
      <c r="T120" s="476"/>
      <c r="U120" s="476"/>
    </row>
    <row r="121" spans="1:21" x14ac:dyDescent="0.25">
      <c r="B121" s="72"/>
      <c r="C121" s="72"/>
      <c r="D121" s="72"/>
      <c r="E121" s="72"/>
      <c r="F121" s="72"/>
      <c r="G121" s="72"/>
      <c r="H121" s="68"/>
      <c r="I121" s="104"/>
      <c r="N121" s="74" t="s">
        <v>106</v>
      </c>
      <c r="O121" s="74"/>
      <c r="P121" s="74"/>
      <c r="Q121" s="74"/>
      <c r="R121" s="74"/>
      <c r="S121" s="74"/>
      <c r="T121" s="74"/>
      <c r="U121" s="74"/>
    </row>
    <row r="122" spans="1:21" x14ac:dyDescent="0.25">
      <c r="A122" s="3" t="s">
        <v>102</v>
      </c>
      <c r="B122" s="72"/>
      <c r="C122" s="72"/>
      <c r="D122" s="72"/>
      <c r="E122" s="72"/>
      <c r="F122" s="72"/>
      <c r="G122" s="286"/>
      <c r="H122" s="161">
        <f>IF(H120=1,I120,I117)</f>
        <v>4016524.29</v>
      </c>
      <c r="I122" s="97">
        <f>ROUND(IF(E29=0,0,IF(E29&gt;250,-(((250/E29)*H122)*IF(G122="H",0.02,0.05)),IF(G122="H",-0.02*H122,-0.05*H122))),2)</f>
        <v>-98422.99</v>
      </c>
      <c r="N122" s="75" t="s">
        <v>107</v>
      </c>
      <c r="O122" s="74"/>
      <c r="P122" s="74"/>
      <c r="Q122" s="74"/>
      <c r="R122" s="74"/>
      <c r="S122" s="74"/>
      <c r="T122" s="74"/>
      <c r="U122" s="74"/>
    </row>
    <row r="123" spans="1:21" x14ac:dyDescent="0.25">
      <c r="B123" s="72"/>
      <c r="C123" s="72"/>
      <c r="D123" s="72"/>
      <c r="E123" s="72"/>
      <c r="F123" s="72"/>
      <c r="G123" s="72"/>
      <c r="H123" s="68"/>
      <c r="I123" s="104"/>
      <c r="N123" s="76"/>
      <c r="O123" s="76"/>
      <c r="P123" s="76"/>
      <c r="Q123" s="76"/>
      <c r="R123" s="76"/>
      <c r="S123" s="76"/>
      <c r="T123" s="76"/>
      <c r="U123" s="76"/>
    </row>
    <row r="124" spans="1:21" x14ac:dyDescent="0.25">
      <c r="A124" s="345" t="s">
        <v>103</v>
      </c>
      <c r="B124" s="346"/>
      <c r="C124" s="346"/>
      <c r="D124" s="346"/>
      <c r="E124" s="346"/>
      <c r="F124" s="346"/>
      <c r="G124" s="346"/>
      <c r="H124" s="347"/>
      <c r="I124" s="348">
        <f>I115+I122</f>
        <v>4056467.48</v>
      </c>
      <c r="N124" s="76"/>
      <c r="O124" s="76"/>
      <c r="P124" s="76"/>
      <c r="Q124" s="76"/>
      <c r="R124" s="76"/>
      <c r="S124" s="76"/>
      <c r="T124" s="76"/>
      <c r="U124" s="76"/>
    </row>
    <row r="125" spans="1:21" x14ac:dyDescent="0.25">
      <c r="B125" s="72"/>
      <c r="C125" s="72"/>
      <c r="D125" s="72"/>
      <c r="E125" s="72"/>
      <c r="F125" s="72"/>
      <c r="G125" s="72"/>
      <c r="H125" s="68"/>
      <c r="I125" s="104"/>
      <c r="N125" s="76"/>
      <c r="O125" s="76"/>
      <c r="P125" s="76"/>
      <c r="Q125" s="76"/>
      <c r="R125" s="76"/>
      <c r="S125" s="76"/>
      <c r="T125" s="76"/>
      <c r="U125" s="76"/>
    </row>
    <row r="126" spans="1:21" x14ac:dyDescent="0.25">
      <c r="A126" s="3" t="s">
        <v>104</v>
      </c>
      <c r="B126" s="72"/>
      <c r="C126" s="162"/>
      <c r="D126" s="72"/>
      <c r="F126" s="72"/>
      <c r="G126" s="72"/>
      <c r="H126" s="68"/>
      <c r="I126" s="302">
        <v>-3027351.94</v>
      </c>
      <c r="N126" s="76"/>
      <c r="O126" s="76"/>
      <c r="P126" s="76"/>
      <c r="Q126" s="76"/>
      <c r="R126" s="76"/>
      <c r="S126" s="76"/>
      <c r="T126" s="76"/>
      <c r="U126" s="76"/>
    </row>
    <row r="127" spans="1:21" x14ac:dyDescent="0.25">
      <c r="B127" s="72"/>
      <c r="C127" s="72"/>
      <c r="D127" s="72"/>
      <c r="E127" s="72"/>
      <c r="F127" s="72"/>
      <c r="G127" s="72"/>
      <c r="H127" s="68"/>
      <c r="I127" s="104"/>
      <c r="N127" s="76"/>
      <c r="O127" s="76"/>
      <c r="P127" s="76"/>
      <c r="Q127" s="76"/>
      <c r="R127" s="76"/>
      <c r="S127" s="76"/>
      <c r="T127" s="76"/>
      <c r="U127" s="76"/>
    </row>
    <row r="128" spans="1:21" x14ac:dyDescent="0.25">
      <c r="A128" s="84" t="s">
        <v>297</v>
      </c>
      <c r="B128" s="72"/>
      <c r="C128" s="72"/>
      <c r="D128" s="72"/>
      <c r="E128" s="72"/>
      <c r="F128" s="72"/>
      <c r="G128" s="72"/>
      <c r="H128" s="68"/>
      <c r="I128" s="104">
        <f>I124+I126</f>
        <v>1029115.54</v>
      </c>
      <c r="N128" s="76"/>
      <c r="O128" s="76"/>
      <c r="P128" s="76"/>
      <c r="Q128" s="76"/>
      <c r="R128" s="76"/>
      <c r="S128" s="76"/>
      <c r="T128" s="76"/>
      <c r="U128" s="76"/>
    </row>
    <row r="129" spans="1:21" x14ac:dyDescent="0.25">
      <c r="A129" s="84"/>
      <c r="B129" s="72"/>
      <c r="C129" s="72"/>
      <c r="D129" s="72"/>
      <c r="E129" s="72"/>
      <c r="F129" s="72"/>
      <c r="G129" s="72"/>
      <c r="H129" s="68"/>
      <c r="I129" s="104"/>
      <c r="N129" s="76"/>
      <c r="O129" s="76"/>
      <c r="P129" s="76"/>
      <c r="Q129" s="76"/>
      <c r="R129" s="76"/>
      <c r="S129" s="76"/>
      <c r="T129" s="76"/>
      <c r="U129" s="76"/>
    </row>
    <row r="130" spans="1:21" x14ac:dyDescent="0.25">
      <c r="A130" s="84" t="s">
        <v>298</v>
      </c>
      <c r="B130" s="72"/>
      <c r="C130" s="72"/>
      <c r="D130" s="72"/>
      <c r="E130" s="72"/>
      <c r="F130" s="72"/>
      <c r="G130" s="72"/>
      <c r="H130" s="68"/>
      <c r="I130" s="303">
        <f>'0664'!I130</f>
        <v>3</v>
      </c>
      <c r="N130" s="76"/>
      <c r="O130" s="76"/>
      <c r="P130" s="76"/>
      <c r="Q130" s="76"/>
      <c r="R130" s="76"/>
      <c r="S130" s="76"/>
      <c r="T130" s="76"/>
      <c r="U130" s="76"/>
    </row>
    <row r="131" spans="1:21" x14ac:dyDescent="0.25">
      <c r="B131" s="72"/>
      <c r="C131" s="72"/>
      <c r="D131" s="72"/>
      <c r="E131" s="72"/>
      <c r="F131" s="72"/>
      <c r="G131" s="72"/>
      <c r="H131" s="68"/>
      <c r="I131" s="104"/>
      <c r="N131" s="76"/>
      <c r="O131" s="76"/>
      <c r="P131" s="76"/>
      <c r="Q131" s="76"/>
      <c r="R131" s="76"/>
      <c r="S131" s="76"/>
      <c r="T131" s="76"/>
      <c r="U131" s="76"/>
    </row>
    <row r="132" spans="1:21" ht="16.5" thickBot="1" x14ac:dyDescent="0.3">
      <c r="A132" s="3" t="s">
        <v>105</v>
      </c>
      <c r="B132" s="72"/>
      <c r="C132" s="72"/>
      <c r="D132" s="72"/>
      <c r="E132" s="72"/>
      <c r="F132" s="72"/>
      <c r="G132" s="72"/>
      <c r="H132" s="68"/>
      <c r="I132" s="178">
        <f>ROUND(I128/I130,2)</f>
        <v>343038.51</v>
      </c>
      <c r="N132" s="76"/>
      <c r="O132" s="76"/>
      <c r="P132" s="76"/>
      <c r="Q132" s="76"/>
      <c r="R132" s="76"/>
      <c r="S132" s="76"/>
      <c r="T132" s="76"/>
      <c r="U132" s="76"/>
    </row>
    <row r="133" spans="1:21" ht="16.5" thickTop="1" x14ac:dyDescent="0.25">
      <c r="B133" s="72"/>
      <c r="C133" s="72"/>
      <c r="D133" s="72"/>
      <c r="E133" s="72"/>
      <c r="F133" s="72"/>
      <c r="G133" s="72"/>
      <c r="H133" s="68"/>
      <c r="I133" s="104"/>
      <c r="N133" s="76"/>
      <c r="O133" s="76"/>
      <c r="P133" s="76"/>
      <c r="Q133" s="76"/>
      <c r="R133" s="76"/>
      <c r="S133" s="76"/>
      <c r="T133" s="76"/>
      <c r="U133" s="76"/>
    </row>
    <row r="134" spans="1:21" ht="16.5" thickBot="1" x14ac:dyDescent="0.3">
      <c r="A134" s="3" t="s">
        <v>121</v>
      </c>
      <c r="B134" s="72"/>
      <c r="C134" s="72"/>
      <c r="D134" s="72"/>
      <c r="E134" s="72"/>
      <c r="F134" s="72"/>
      <c r="G134" s="72"/>
      <c r="H134" s="68"/>
      <c r="I134" s="155">
        <f>ROUND(IF(G122="H",(H122*0.02)+I122,(H122*0.05)+I122),2)</f>
        <v>102403.22</v>
      </c>
      <c r="N134" s="76"/>
      <c r="O134" s="76"/>
      <c r="P134" s="76"/>
      <c r="Q134" s="76"/>
      <c r="R134" s="76"/>
      <c r="S134" s="76"/>
      <c r="T134" s="76"/>
      <c r="U134" s="76"/>
    </row>
    <row r="135" spans="1:21" ht="16.5" thickTop="1" x14ac:dyDescent="0.25">
      <c r="B135" s="72"/>
      <c r="C135" s="72"/>
      <c r="D135" s="72"/>
      <c r="E135" s="72"/>
      <c r="F135" s="72"/>
      <c r="G135" s="72"/>
      <c r="H135" s="68"/>
      <c r="I135" s="156"/>
      <c r="N135" s="76"/>
      <c r="O135" s="76"/>
      <c r="P135" s="76"/>
      <c r="Q135" s="76"/>
      <c r="R135" s="76"/>
      <c r="S135" s="76"/>
      <c r="T135" s="76"/>
      <c r="U135" s="76"/>
    </row>
    <row r="136" spans="1:21" x14ac:dyDescent="0.25">
      <c r="B136" s="72"/>
      <c r="C136" s="72"/>
      <c r="D136" s="72"/>
      <c r="E136" s="72"/>
      <c r="F136" s="72"/>
      <c r="G136" s="72"/>
      <c r="H136" s="68"/>
      <c r="I136" s="104"/>
      <c r="N136" s="76"/>
      <c r="O136" s="76"/>
      <c r="P136" s="76"/>
      <c r="Q136" s="76"/>
      <c r="R136" s="76"/>
      <c r="S136" s="76"/>
      <c r="T136" s="76"/>
      <c r="U136" s="76"/>
    </row>
    <row r="137" spans="1:21" x14ac:dyDescent="0.25">
      <c r="B137" s="72"/>
      <c r="C137" s="72"/>
      <c r="D137" s="72"/>
      <c r="E137" s="72"/>
      <c r="F137" s="72"/>
      <c r="G137" s="72"/>
      <c r="H137" s="68"/>
      <c r="I137" s="156"/>
      <c r="N137" s="76"/>
      <c r="O137" s="76"/>
      <c r="P137" s="76"/>
      <c r="Q137" s="76"/>
      <c r="R137" s="76"/>
      <c r="S137" s="76"/>
      <c r="T137" s="76"/>
      <c r="U137" s="76"/>
    </row>
    <row r="138" spans="1:21" x14ac:dyDescent="0.25">
      <c r="A138" s="281" t="s">
        <v>7</v>
      </c>
      <c r="B138" s="281"/>
      <c r="C138" s="281"/>
      <c r="D138" s="281"/>
      <c r="E138" s="281"/>
      <c r="F138" s="281"/>
      <c r="G138" s="281"/>
      <c r="H138" s="281"/>
      <c r="I138" s="281"/>
      <c r="J138" s="156"/>
      <c r="N138" s="76"/>
      <c r="O138" s="76"/>
      <c r="P138" s="76"/>
      <c r="Q138" s="76"/>
      <c r="R138" s="76"/>
      <c r="S138" s="76"/>
      <c r="T138" s="76"/>
      <c r="U138" s="76"/>
    </row>
    <row r="139" spans="1:21" ht="15.75" customHeight="1" x14ac:dyDescent="0.25">
      <c r="A139" s="356" t="str">
        <f>'0664'!A139</f>
        <v>(a) Additional FTE includes FTE earned through Advanced Placement, International Baccalaureate, Advanced International Certificate of Education, Industry Certified Career</v>
      </c>
      <c r="B139" s="357"/>
      <c r="C139" s="357"/>
      <c r="D139" s="357"/>
      <c r="E139" s="357"/>
      <c r="F139" s="357"/>
      <c r="G139" s="357"/>
      <c r="H139" s="357"/>
      <c r="I139" s="357"/>
      <c r="J139" s="80"/>
      <c r="K139" s="79"/>
      <c r="L139" s="79"/>
      <c r="M139" s="79"/>
      <c r="N139" s="477"/>
      <c r="O139" s="477"/>
      <c r="P139" s="477"/>
      <c r="Q139" s="477"/>
      <c r="R139" s="477"/>
      <c r="S139" s="477"/>
      <c r="T139" s="477"/>
      <c r="U139" s="477"/>
    </row>
    <row r="140" spans="1:21" ht="15.75" customHeight="1" x14ac:dyDescent="0.25">
      <c r="A140" s="390" t="str">
        <f>'0664'!A140</f>
        <v xml:space="preserve">Education (CAPE), Early High School Graduation and the small district ESE Supplement, pursuant to s. 1011.62(1)(l-p), F.S. </v>
      </c>
      <c r="B140" s="357"/>
      <c r="C140" s="357"/>
      <c r="D140" s="357"/>
      <c r="E140" s="357"/>
      <c r="F140" s="357"/>
      <c r="G140" s="357"/>
      <c r="H140" s="357"/>
      <c r="I140" s="357"/>
      <c r="J140" s="80"/>
      <c r="K140" s="79"/>
      <c r="L140" s="79"/>
      <c r="M140" s="79"/>
      <c r="N140" s="76"/>
      <c r="O140" s="76"/>
      <c r="P140" s="76"/>
      <c r="Q140" s="76"/>
      <c r="R140" s="76"/>
      <c r="S140" s="76"/>
      <c r="T140" s="76"/>
      <c r="U140" s="76"/>
    </row>
    <row r="141" spans="1:21" x14ac:dyDescent="0.25">
      <c r="A141" s="356" t="str">
        <f>'0664'!A141</f>
        <v>(b) District allocations multiplied by percentage from item 3A.</v>
      </c>
      <c r="B141" s="281"/>
      <c r="C141" s="281"/>
      <c r="D141" s="281"/>
      <c r="E141" s="281"/>
      <c r="F141" s="281"/>
      <c r="G141" s="281"/>
      <c r="H141" s="281"/>
      <c r="I141" s="281"/>
      <c r="J141" s="79"/>
      <c r="K141" s="79"/>
      <c r="L141" s="79"/>
      <c r="M141" s="79"/>
      <c r="N141" s="81"/>
      <c r="O141" s="82"/>
      <c r="P141" s="82"/>
      <c r="Q141" s="82"/>
      <c r="R141" s="82"/>
      <c r="S141" s="82"/>
      <c r="T141" s="82"/>
      <c r="U141" s="82"/>
    </row>
    <row r="142" spans="1:21" s="79" customFormat="1" x14ac:dyDescent="0.2">
      <c r="A142" s="356" t="str">
        <f>'0664'!A142</f>
        <v>(c) District allocations multiplied by percentage from item 3B.</v>
      </c>
      <c r="B142" s="281"/>
      <c r="C142" s="281"/>
      <c r="D142" s="281"/>
      <c r="E142" s="281"/>
      <c r="F142" s="281"/>
      <c r="G142" s="281"/>
      <c r="H142" s="281"/>
      <c r="I142" s="281"/>
      <c r="N142" s="81"/>
    </row>
    <row r="143" spans="1:21" s="79" customFormat="1" ht="15.75" customHeight="1" x14ac:dyDescent="0.2">
      <c r="A143" s="356" t="str">
        <f>'0664'!A143</f>
        <v>(d) The Digital Classroom Allocation is provided pursuant to s. 1011.62(12), F.S.</v>
      </c>
      <c r="B143" s="281"/>
      <c r="C143" s="281"/>
      <c r="D143" s="281"/>
      <c r="E143" s="281"/>
      <c r="F143" s="281"/>
      <c r="G143" s="281"/>
      <c r="H143" s="281"/>
      <c r="I143" s="281"/>
      <c r="N143" s="81"/>
    </row>
    <row r="144" spans="1:21" s="79" customFormat="1" ht="15.75" customHeight="1" x14ac:dyDescent="0.2">
      <c r="A144" s="356" t="str">
        <f>'0664'!A144</f>
        <v>(e) School districts are required to pay for instructional materials used for the instruction of public high school students who are earning credit toward high school</v>
      </c>
      <c r="B144" s="281"/>
      <c r="C144" s="281"/>
      <c r="D144" s="281"/>
      <c r="E144" s="281"/>
      <c r="F144" s="281"/>
      <c r="G144" s="281"/>
      <c r="H144" s="281"/>
      <c r="I144" s="281"/>
      <c r="N144" s="81"/>
    </row>
    <row r="145" spans="1:14" s="79" customFormat="1" ht="15.75" customHeight="1" x14ac:dyDescent="0.2">
      <c r="A145" s="390" t="str">
        <f>'0664'!A145</f>
        <v xml:space="preserve">graduation under the dual enrollment program as provided in s. 1011.62(l)(i), F.S.  </v>
      </c>
      <c r="B145" s="281"/>
      <c r="C145" s="281"/>
      <c r="D145" s="281"/>
      <c r="E145" s="281"/>
      <c r="F145" s="281"/>
      <c r="G145" s="281"/>
      <c r="H145" s="281"/>
      <c r="I145" s="281"/>
      <c r="N145" s="81"/>
    </row>
    <row r="146" spans="1:14" s="79" customFormat="1" x14ac:dyDescent="0.2">
      <c r="A146" s="356" t="str">
        <f>'0664'!A146</f>
        <v>(f) This allocation will be frozen as of the 2021-22 FEFP Second Calculation and will not be recalculated throughout the year. Charter school allocations should be</v>
      </c>
      <c r="B146" s="281"/>
      <c r="C146" s="281"/>
      <c r="D146" s="281"/>
      <c r="E146" s="281"/>
      <c r="F146" s="281"/>
      <c r="G146" s="281"/>
      <c r="H146" s="281"/>
      <c r="I146" s="281"/>
      <c r="N146" s="81"/>
    </row>
    <row r="147" spans="1:14" s="79" customFormat="1" x14ac:dyDescent="0.2">
      <c r="A147" s="358" t="str">
        <f>'0664'!A147</f>
        <v xml:space="preserve">distributed on weighted FTE (or base funding as is done in the FEFP) and should not be recalculated with fluctuations in student enrollment later in the year. </v>
      </c>
      <c r="B147" s="281"/>
      <c r="C147" s="281"/>
      <c r="D147" s="281"/>
      <c r="E147" s="281"/>
      <c r="F147" s="281"/>
      <c r="G147" s="281"/>
      <c r="H147" s="281"/>
      <c r="I147" s="281"/>
      <c r="N147" s="81"/>
    </row>
    <row r="148" spans="1:14" s="79" customFormat="1" x14ac:dyDescent="0.2">
      <c r="A148" s="356" t="str">
        <f>'0664'!A148</f>
        <v>(g) Numbers entered here will be multiplied by the district level transportation funding per rider. "All Adjusted Fundable Riders" should include both basic and ESE Riders.</v>
      </c>
      <c r="B148" s="281"/>
      <c r="C148" s="281"/>
      <c r="D148" s="281"/>
      <c r="E148" s="281"/>
      <c r="F148" s="281"/>
      <c r="G148" s="281"/>
      <c r="H148" s="281"/>
      <c r="I148" s="281"/>
      <c r="N148" s="81"/>
    </row>
    <row r="149" spans="1:14" s="79" customFormat="1" x14ac:dyDescent="0.2">
      <c r="A149" s="390" t="str">
        <f>'0664'!A149</f>
        <v>"All Adjusted ESE Riders" should include only ESE Riders.</v>
      </c>
      <c r="B149" s="281"/>
      <c r="C149" s="281"/>
      <c r="D149" s="281"/>
      <c r="E149" s="281"/>
      <c r="F149" s="281"/>
      <c r="G149" s="281"/>
      <c r="H149" s="281"/>
      <c r="I149" s="281"/>
      <c r="N149" s="81"/>
    </row>
    <row r="150" spans="1:14" s="79" customFormat="1" x14ac:dyDescent="0.2">
      <c r="A150" s="356" t="str">
        <f>'0664'!A150</f>
        <v xml:space="preserve">(h) The Federally Connected Student Supplement provides additional funding for students on federal lands that receive Section 8003 impact aide pursuant to s. 1011.62(13), F.S. </v>
      </c>
      <c r="B150" s="281"/>
      <c r="C150" s="281"/>
      <c r="D150" s="281"/>
      <c r="E150" s="281"/>
      <c r="F150" s="281"/>
      <c r="G150" s="281"/>
      <c r="H150" s="281"/>
      <c r="I150" s="281"/>
      <c r="N150" s="81"/>
    </row>
    <row r="151" spans="1:14" s="79" customFormat="1" x14ac:dyDescent="0.2">
      <c r="A151" s="356" t="str">
        <f>'0664'!A151</f>
        <v>(i) Teacher Classroom Supply Assistance Program allocation pursuant to s. 1012.71, F.S., for certified teachers employed by a public school district or public charter school</v>
      </c>
      <c r="B151" s="281"/>
      <c r="C151" s="281"/>
      <c r="D151" s="281"/>
      <c r="E151" s="281"/>
      <c r="F151" s="281"/>
      <c r="G151" s="281"/>
      <c r="H151" s="281"/>
      <c r="I151" s="281"/>
      <c r="N151" s="81"/>
    </row>
    <row r="152" spans="1:14" s="79" customFormat="1" x14ac:dyDescent="0.2">
      <c r="A152" s="358" t="str">
        <f>'0664'!A152</f>
        <v xml:space="preserve">before September 1 of each year whose full-time or job-share responsibility is the classroom instruction of students in prekindergarten through grade 12, including </v>
      </c>
      <c r="B152" s="281"/>
      <c r="C152" s="281"/>
      <c r="D152" s="281"/>
      <c r="E152" s="281"/>
      <c r="F152" s="281"/>
      <c r="G152" s="281"/>
      <c r="H152" s="281"/>
      <c r="I152" s="281"/>
      <c r="N152" s="81"/>
    </row>
    <row r="153" spans="1:14" s="79" customFormat="1" ht="15.75" customHeight="1" x14ac:dyDescent="0.2">
      <c r="A153" s="358" t="str">
        <f>'0664'!A153</f>
        <v>full-time media specialists and certified school counselors serving students in prekindergarten through grade 12, who are funded through the FEFP.</v>
      </c>
      <c r="B153" s="281"/>
      <c r="C153" s="281"/>
      <c r="D153" s="281"/>
      <c r="E153" s="281"/>
      <c r="F153" s="281"/>
      <c r="G153" s="281"/>
      <c r="H153" s="281"/>
      <c r="I153" s="281"/>
      <c r="N153" s="81"/>
    </row>
    <row r="154" spans="1:14" s="79" customFormat="1" ht="15.75" customHeight="1" x14ac:dyDescent="0.2">
      <c r="A154" s="356" t="str">
        <f>'0664'!A154</f>
        <v xml:space="preserve">(j) Funding based on student eligibility and meals provided, if participating in the National School Lunch Program. </v>
      </c>
      <c r="B154" s="328"/>
      <c r="C154" s="328"/>
      <c r="D154" s="328"/>
      <c r="E154" s="328"/>
      <c r="F154" s="328"/>
      <c r="G154" s="328"/>
      <c r="H154" s="328"/>
      <c r="I154" s="328"/>
      <c r="N154" s="81"/>
    </row>
    <row r="155" spans="1:14" s="79" customFormat="1" ht="15.75" customHeight="1" x14ac:dyDescent="0.2">
      <c r="A155" s="356" t="str">
        <f>'0664'!A155</f>
        <v>(k) Consistent with s. 1002.33(20)(a), F.S., for charter schools with a population of 75% or more ESE students, the administrative fee shall be calculated based on</v>
      </c>
      <c r="B155" s="381"/>
      <c r="C155" s="381"/>
      <c r="D155" s="381"/>
      <c r="E155" s="381"/>
      <c r="F155" s="381"/>
      <c r="G155" s="381"/>
      <c r="H155" s="381"/>
      <c r="I155" s="381"/>
      <c r="N155" s="81"/>
    </row>
    <row r="156" spans="1:14" s="79" customFormat="1" ht="15.75" customHeight="1" x14ac:dyDescent="0.2">
      <c r="A156" s="390" t="str">
        <f>'0664'!A156</f>
        <v xml:space="preserve">unweighted full-time equivalent students. </v>
      </c>
      <c r="B156" s="381"/>
      <c r="C156" s="381"/>
      <c r="D156" s="381"/>
      <c r="E156" s="381"/>
      <c r="F156" s="381"/>
      <c r="G156" s="381"/>
      <c r="H156" s="381"/>
      <c r="I156" s="381"/>
      <c r="N156" s="81"/>
    </row>
    <row r="157" spans="1:14" s="79" customFormat="1" ht="15.75" customHeight="1" x14ac:dyDescent="0.2">
      <c r="A157" s="356"/>
      <c r="B157" s="381"/>
      <c r="C157" s="381"/>
      <c r="D157" s="381"/>
      <c r="E157" s="381"/>
      <c r="F157" s="381"/>
      <c r="G157" s="381"/>
      <c r="H157" s="381"/>
      <c r="I157" s="381"/>
      <c r="N157" s="81"/>
    </row>
    <row r="158" spans="1:14" s="79" customFormat="1" ht="15.75" customHeight="1" x14ac:dyDescent="0.25">
      <c r="A158" s="398" t="str">
        <f>'0664'!A158</f>
        <v>Administrative fees:</v>
      </c>
      <c r="B158" s="328"/>
      <c r="C158" s="328"/>
      <c r="D158" s="328"/>
      <c r="E158" s="328"/>
      <c r="F158" s="328"/>
      <c r="G158" s="328"/>
      <c r="H158" s="328"/>
      <c r="I158" s="328"/>
      <c r="J158" s="3"/>
      <c r="K158" s="3"/>
      <c r="L158" s="3"/>
      <c r="M158" s="3"/>
      <c r="N158" s="81"/>
    </row>
    <row r="159" spans="1:14" s="79" customFormat="1" ht="15.75" customHeight="1" x14ac:dyDescent="0.25">
      <c r="A159" s="399" t="str">
        <f>'0664'!A159</f>
        <v xml:space="preserve">Administrative fees charged by the school district pursuant to s. 1002.33(20)(a), F.S., shall be calculated based upon 5% of available funds from the FEFP and categorical </v>
      </c>
      <c r="B159" s="328"/>
      <c r="C159" s="328"/>
      <c r="D159" s="328"/>
      <c r="E159" s="328"/>
      <c r="F159" s="328"/>
      <c r="G159" s="328"/>
      <c r="H159" s="328"/>
      <c r="I159" s="328"/>
      <c r="J159" s="3"/>
      <c r="K159" s="3"/>
      <c r="L159" s="3"/>
      <c r="M159" s="3"/>
      <c r="N159" s="81"/>
    </row>
    <row r="160" spans="1:14" s="79" customFormat="1" ht="15.75" customHeight="1" x14ac:dyDescent="0.25">
      <c r="A160" s="400" t="str">
        <f>'0664'!A160</f>
        <v>funding for which charter students may be eligible.  To calculate the administrative fee to be withheld for schools with more than 250 students, divide the school</v>
      </c>
      <c r="B160" s="328"/>
      <c r="C160" s="328"/>
      <c r="D160" s="328"/>
      <c r="E160" s="328"/>
      <c r="F160" s="328"/>
      <c r="G160" s="328"/>
      <c r="H160" s="328"/>
      <c r="I160" s="328"/>
      <c r="J160" s="3"/>
      <c r="K160" s="3"/>
      <c r="L160" s="3"/>
      <c r="M160" s="3"/>
      <c r="N160" s="81"/>
    </row>
    <row r="161" spans="1:21" s="79" customFormat="1" ht="15.75" customHeight="1" x14ac:dyDescent="0.25">
      <c r="A161" s="400" t="str">
        <f>'0664'!A161</f>
        <v xml:space="preserve">population into 250. Multiply that fraction times the funds available, then times 5%.  </v>
      </c>
      <c r="B161" s="328"/>
      <c r="C161" s="328"/>
      <c r="D161" s="328"/>
      <c r="E161" s="328"/>
      <c r="F161" s="328"/>
      <c r="G161" s="328"/>
      <c r="H161" s="328"/>
      <c r="I161" s="328"/>
      <c r="J161" s="3"/>
      <c r="K161" s="3"/>
      <c r="L161" s="3"/>
      <c r="M161" s="3"/>
      <c r="N161" s="81"/>
    </row>
    <row r="162" spans="1:21" s="79" customFormat="1" ht="15.75" customHeight="1" x14ac:dyDescent="0.25">
      <c r="A162" s="399"/>
      <c r="B162" s="394"/>
      <c r="C162" s="394"/>
      <c r="D162" s="394"/>
      <c r="E162" s="394"/>
      <c r="F162" s="394"/>
      <c r="G162" s="394"/>
      <c r="H162" s="394"/>
      <c r="I162" s="394"/>
      <c r="N162" s="77"/>
      <c r="O162" s="3"/>
      <c r="P162" s="3"/>
      <c r="Q162" s="3"/>
      <c r="R162" s="3"/>
      <c r="S162" s="3"/>
      <c r="T162" s="3"/>
      <c r="U162" s="3"/>
    </row>
    <row r="163" spans="1:21" ht="15.75" customHeight="1" x14ac:dyDescent="0.25">
      <c r="A163" s="399" t="str">
        <f>'0664'!A163</f>
        <v xml:space="preserve">For high performing charter schools, administrative fees charged by the school district shall be calculated based upon 2% of available funds from the FEFP and categorical </v>
      </c>
      <c r="B163" s="328"/>
      <c r="C163" s="328"/>
      <c r="D163" s="328"/>
      <c r="E163" s="328"/>
      <c r="F163" s="328"/>
      <c r="G163" s="328"/>
      <c r="H163" s="328"/>
      <c r="I163" s="328"/>
      <c r="J163" s="79"/>
      <c r="K163" s="79"/>
      <c r="L163" s="79"/>
      <c r="M163" s="79"/>
      <c r="N163" s="81"/>
      <c r="O163" s="79"/>
      <c r="P163" s="79"/>
      <c r="Q163" s="79"/>
      <c r="R163" s="79"/>
      <c r="S163" s="79"/>
      <c r="T163" s="79"/>
      <c r="U163" s="79"/>
    </row>
    <row r="164" spans="1:21" ht="15.75" customHeight="1" x14ac:dyDescent="0.25">
      <c r="A164" s="400" t="str">
        <f>'0664'!A164</f>
        <v>funding for which charter students may be eligible.  To calculate the administrative fee to be withheld for schools with more than 250 students, divide the school</v>
      </c>
      <c r="B164" s="381"/>
      <c r="C164" s="381"/>
      <c r="D164" s="381"/>
      <c r="E164" s="381"/>
      <c r="F164" s="381"/>
      <c r="G164" s="381"/>
      <c r="H164" s="381"/>
      <c r="I164" s="381"/>
      <c r="J164" s="79"/>
      <c r="K164" s="79"/>
      <c r="L164" s="79"/>
      <c r="M164" s="79"/>
      <c r="N164" s="81"/>
      <c r="O164" s="79"/>
      <c r="P164" s="79"/>
      <c r="Q164" s="79"/>
      <c r="R164" s="79"/>
      <c r="S164" s="79"/>
      <c r="T164" s="79"/>
      <c r="U164" s="79"/>
    </row>
    <row r="165" spans="1:21" s="79" customFormat="1" ht="15.75" customHeight="1" x14ac:dyDescent="0.2">
      <c r="A165" s="400" t="str">
        <f>'0664'!A165</f>
        <v xml:space="preserve">population into 250. Multiply that fraction times the funds available, then times 2%.  </v>
      </c>
      <c r="B165" s="328"/>
      <c r="C165" s="328"/>
      <c r="D165" s="328"/>
      <c r="E165" s="328"/>
      <c r="F165" s="328"/>
      <c r="G165" s="328"/>
      <c r="H165" s="328"/>
      <c r="I165" s="328"/>
      <c r="N165" s="81"/>
    </row>
    <row r="166" spans="1:21" x14ac:dyDescent="0.25">
      <c r="A166" s="356"/>
      <c r="N166" s="77"/>
    </row>
    <row r="167" spans="1:21" x14ac:dyDescent="0.25">
      <c r="A167" s="398" t="str">
        <f>'0664'!A167</f>
        <v>Other:</v>
      </c>
      <c r="N167" s="77"/>
    </row>
    <row r="168" spans="1:21" x14ac:dyDescent="0.25">
      <c r="A168" s="399" t="str">
        <f>'0664'!A168</f>
        <v>FEFP and categorical funding are recalculated during the year to reflect the revised number of full-time equivalent students reported during the survey periods designated</v>
      </c>
      <c r="N168" s="77"/>
    </row>
    <row r="169" spans="1:21" x14ac:dyDescent="0.25">
      <c r="A169" s="402" t="str">
        <f>'0664'!A169</f>
        <v>by the Commissioner of Education.</v>
      </c>
      <c r="N169" s="77"/>
    </row>
    <row r="170" spans="1:21" x14ac:dyDescent="0.25">
      <c r="A170" s="399" t="str">
        <f>'0664'!A170</f>
        <v>Revenues flow to districts from state sources and from county tax collectors on various distribution schedules.</v>
      </c>
      <c r="N170" s="77"/>
    </row>
    <row r="171" spans="1:21" x14ac:dyDescent="0.25">
      <c r="A171" s="77"/>
      <c r="N171" s="77"/>
    </row>
    <row r="172" spans="1:21" x14ac:dyDescent="0.25">
      <c r="A172" s="77"/>
      <c r="N172" s="77"/>
    </row>
    <row r="173" spans="1:21" x14ac:dyDescent="0.25">
      <c r="A173" s="77"/>
      <c r="N173" s="77"/>
    </row>
    <row r="174" spans="1:21" x14ac:dyDescent="0.25">
      <c r="A174" s="77"/>
      <c r="N174" s="77"/>
    </row>
    <row r="175" spans="1:21" x14ac:dyDescent="0.25">
      <c r="A175" s="77"/>
      <c r="N175" s="77"/>
    </row>
    <row r="176" spans="1:21" x14ac:dyDescent="0.25">
      <c r="A176" s="77"/>
      <c r="N176" s="77"/>
    </row>
    <row r="177" spans="1:14" x14ac:dyDescent="0.25">
      <c r="A177" s="77"/>
      <c r="N177" s="77"/>
    </row>
    <row r="178" spans="1:14" x14ac:dyDescent="0.25">
      <c r="A178" s="77"/>
      <c r="N178" s="77"/>
    </row>
    <row r="179" spans="1:14" x14ac:dyDescent="0.25">
      <c r="A179" s="77"/>
      <c r="N179" s="77"/>
    </row>
    <row r="180" spans="1:14" x14ac:dyDescent="0.25">
      <c r="A180" s="77"/>
      <c r="N180" s="77"/>
    </row>
    <row r="181" spans="1:14" x14ac:dyDescent="0.25">
      <c r="A181" s="77"/>
      <c r="N181" s="77"/>
    </row>
    <row r="182" spans="1:14" x14ac:dyDescent="0.25">
      <c r="A182" s="77"/>
      <c r="N182" s="77"/>
    </row>
    <row r="183" spans="1:14" x14ac:dyDescent="0.25">
      <c r="A183" s="77"/>
      <c r="N183" s="77"/>
    </row>
    <row r="184" spans="1:14" x14ac:dyDescent="0.25">
      <c r="A184" s="77"/>
      <c r="N184" s="77"/>
    </row>
    <row r="185" spans="1:14" x14ac:dyDescent="0.25">
      <c r="A185" s="77"/>
      <c r="N185" s="77"/>
    </row>
    <row r="186" spans="1:14" x14ac:dyDescent="0.25">
      <c r="A186" s="77"/>
      <c r="N186" s="77"/>
    </row>
    <row r="187" spans="1:14" x14ac:dyDescent="0.25">
      <c r="A187" s="77"/>
      <c r="N187" s="77"/>
    </row>
    <row r="188" spans="1:14" x14ac:dyDescent="0.25">
      <c r="A188" s="77"/>
    </row>
    <row r="189" spans="1:14" x14ac:dyDescent="0.25">
      <c r="A189" s="77"/>
    </row>
    <row r="190" spans="1:14" x14ac:dyDescent="0.25">
      <c r="A190" s="77"/>
    </row>
    <row r="191" spans="1:14" x14ac:dyDescent="0.25">
      <c r="A191" s="77"/>
    </row>
    <row r="192" spans="1:14" x14ac:dyDescent="0.25">
      <c r="A192" s="77"/>
    </row>
    <row r="193" spans="1:1" x14ac:dyDescent="0.25">
      <c r="A193" s="77"/>
    </row>
    <row r="194" spans="1:1" x14ac:dyDescent="0.25">
      <c r="A194" s="77"/>
    </row>
    <row r="195" spans="1:1" x14ac:dyDescent="0.25">
      <c r="A195" s="77"/>
    </row>
    <row r="196" spans="1:1" x14ac:dyDescent="0.25">
      <c r="A196" s="77"/>
    </row>
    <row r="197" spans="1:1" x14ac:dyDescent="0.25">
      <c r="A197" s="77"/>
    </row>
    <row r="198" spans="1:1" x14ac:dyDescent="0.25">
      <c r="A198" s="77"/>
    </row>
    <row r="199" spans="1:1" x14ac:dyDescent="0.25">
      <c r="A199" s="77"/>
    </row>
    <row r="200" spans="1:1" x14ac:dyDescent="0.25">
      <c r="A200" s="77"/>
    </row>
    <row r="201" spans="1:1" x14ac:dyDescent="0.25">
      <c r="A201" s="77"/>
    </row>
    <row r="202" spans="1:1" x14ac:dyDescent="0.25">
      <c r="A202" s="77"/>
    </row>
    <row r="203" spans="1:1" x14ac:dyDescent="0.25">
      <c r="A203" s="77"/>
    </row>
    <row r="204" spans="1:1" x14ac:dyDescent="0.25">
      <c r="A204" s="77"/>
    </row>
    <row r="205" spans="1:1" x14ac:dyDescent="0.25">
      <c r="A205" s="77"/>
    </row>
    <row r="206" spans="1:1" x14ac:dyDescent="0.25">
      <c r="A206" s="77"/>
    </row>
  </sheetData>
  <mergeCells count="266">
    <mergeCell ref="A11:B11"/>
    <mergeCell ref="A119:G119"/>
    <mergeCell ref="N120:U120"/>
    <mergeCell ref="A120:G120"/>
    <mergeCell ref="R109:S109"/>
    <mergeCell ref="A107:B107"/>
    <mergeCell ref="F107:G107"/>
    <mergeCell ref="N107:O107"/>
    <mergeCell ref="A112:C112"/>
    <mergeCell ref="F112:H112"/>
    <mergeCell ref="A108:B108"/>
    <mergeCell ref="F108:G108"/>
    <mergeCell ref="N108:O108"/>
    <mergeCell ref="P108:Q108"/>
    <mergeCell ref="R108:S108"/>
    <mergeCell ref="C104:E104"/>
    <mergeCell ref="F105:G105"/>
    <mergeCell ref="A106:B106"/>
    <mergeCell ref="F106:G106"/>
    <mergeCell ref="N106:O106"/>
    <mergeCell ref="P106:Q106"/>
    <mergeCell ref="R106:S106"/>
    <mergeCell ref="P107:Q107"/>
    <mergeCell ref="R107:S107"/>
    <mergeCell ref="N139:U139"/>
    <mergeCell ref="N119:U119"/>
    <mergeCell ref="N113:P113"/>
    <mergeCell ref="A113:C113"/>
    <mergeCell ref="F113:H113"/>
    <mergeCell ref="N114:T114"/>
    <mergeCell ref="A115:H115"/>
    <mergeCell ref="N112:P112"/>
    <mergeCell ref="A109:B109"/>
    <mergeCell ref="F109:G109"/>
    <mergeCell ref="N109:O109"/>
    <mergeCell ref="P109:Q109"/>
    <mergeCell ref="A110:B110"/>
    <mergeCell ref="N110:O110"/>
    <mergeCell ref="A99:B99"/>
    <mergeCell ref="N99:O99"/>
    <mergeCell ref="P99:R99"/>
    <mergeCell ref="A100:B100"/>
    <mergeCell ref="N100:O100"/>
    <mergeCell ref="P100:R100"/>
    <mergeCell ref="A103:C103"/>
    <mergeCell ref="F103:I103"/>
    <mergeCell ref="N103:U103"/>
    <mergeCell ref="C91:D91"/>
    <mergeCell ref="P91:Q91"/>
    <mergeCell ref="C92:D92"/>
    <mergeCell ref="P92:Q92"/>
    <mergeCell ref="C93:D93"/>
    <mergeCell ref="P93:T93"/>
    <mergeCell ref="A94:I94"/>
    <mergeCell ref="N94:U94"/>
    <mergeCell ref="F96:I96"/>
    <mergeCell ref="N96:P96"/>
    <mergeCell ref="Q96:T96"/>
    <mergeCell ref="A87:I87"/>
    <mergeCell ref="N87:U87"/>
    <mergeCell ref="C88:D88"/>
    <mergeCell ref="C89:D89"/>
    <mergeCell ref="N89:O89"/>
    <mergeCell ref="P89:Q89"/>
    <mergeCell ref="R89:U89"/>
    <mergeCell ref="C90:D90"/>
    <mergeCell ref="P90:Q90"/>
    <mergeCell ref="A80:C80"/>
    <mergeCell ref="N80:P80"/>
    <mergeCell ref="A85:C85"/>
    <mergeCell ref="N85:P85"/>
    <mergeCell ref="F73:H73"/>
    <mergeCell ref="N73:T73"/>
    <mergeCell ref="N74:T74"/>
    <mergeCell ref="A78:C78"/>
    <mergeCell ref="N78:P78"/>
    <mergeCell ref="A79:C79"/>
    <mergeCell ref="A69:C69"/>
    <mergeCell ref="N69:P69"/>
    <mergeCell ref="N79:P79"/>
    <mergeCell ref="A76:C76"/>
    <mergeCell ref="N76:P76"/>
    <mergeCell ref="A77:C77"/>
    <mergeCell ref="A70:C70"/>
    <mergeCell ref="A71:C71"/>
    <mergeCell ref="N71:P71"/>
    <mergeCell ref="A72:C72"/>
    <mergeCell ref="N77:P77"/>
    <mergeCell ref="N72:P72"/>
    <mergeCell ref="A65:B65"/>
    <mergeCell ref="D65:G65"/>
    <mergeCell ref="N65:O65"/>
    <mergeCell ref="Q65:S65"/>
    <mergeCell ref="T65:U65"/>
    <mergeCell ref="N66:S66"/>
    <mergeCell ref="T66:U66"/>
    <mergeCell ref="A68:C68"/>
    <mergeCell ref="N68:P68"/>
    <mergeCell ref="A62:B62"/>
    <mergeCell ref="D62:G62"/>
    <mergeCell ref="N62:O62"/>
    <mergeCell ref="Q62:S62"/>
    <mergeCell ref="T62:U62"/>
    <mergeCell ref="N63:S63"/>
    <mergeCell ref="T63:U63"/>
    <mergeCell ref="A64:I64"/>
    <mergeCell ref="N64:U64"/>
    <mergeCell ref="A59:B59"/>
    <mergeCell ref="F59:H59"/>
    <mergeCell ref="N59:O59"/>
    <mergeCell ref="P59:Q59"/>
    <mergeCell ref="R59:T59"/>
    <mergeCell ref="A60:I60"/>
    <mergeCell ref="N60:U60"/>
    <mergeCell ref="A61:I61"/>
    <mergeCell ref="N61:U61"/>
    <mergeCell ref="A50:B58"/>
    <mergeCell ref="N50:O58"/>
    <mergeCell ref="P50:Q50"/>
    <mergeCell ref="P51:Q51"/>
    <mergeCell ref="P52:Q52"/>
    <mergeCell ref="P53:Q53"/>
    <mergeCell ref="P54:Q54"/>
    <mergeCell ref="P55:Q55"/>
    <mergeCell ref="P56:Q56"/>
    <mergeCell ref="P57:Q57"/>
    <mergeCell ref="P58:Q58"/>
    <mergeCell ref="A42:B42"/>
    <mergeCell ref="N42:O42"/>
    <mergeCell ref="P42:T42"/>
    <mergeCell ref="N43:Q43"/>
    <mergeCell ref="S43:T43"/>
    <mergeCell ref="N45:Q45"/>
    <mergeCell ref="S45:T45"/>
    <mergeCell ref="N49:O49"/>
    <mergeCell ref="P49:Q49"/>
    <mergeCell ref="A39:B39"/>
    <mergeCell ref="N39:O39"/>
    <mergeCell ref="P39:T39"/>
    <mergeCell ref="A40:B40"/>
    <mergeCell ref="N40:O40"/>
    <mergeCell ref="P40:T40"/>
    <mergeCell ref="A41:B41"/>
    <mergeCell ref="N41:O41"/>
    <mergeCell ref="P41:T41"/>
    <mergeCell ref="N34:T34"/>
    <mergeCell ref="A36:B36"/>
    <mergeCell ref="N36:O36"/>
    <mergeCell ref="P36:T36"/>
    <mergeCell ref="A37:B37"/>
    <mergeCell ref="N37:O37"/>
    <mergeCell ref="P37:T37"/>
    <mergeCell ref="F33:H36"/>
    <mergeCell ref="A38:B38"/>
    <mergeCell ref="N38:O38"/>
    <mergeCell ref="P38:T38"/>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A20:B20"/>
    <mergeCell ref="F20:G20"/>
    <mergeCell ref="N20:O20"/>
    <mergeCell ref="P20:Q20"/>
    <mergeCell ref="R20:S20"/>
    <mergeCell ref="A21:B21"/>
    <mergeCell ref="F21:G21"/>
    <mergeCell ref="N21:O21"/>
    <mergeCell ref="P21:Q21"/>
    <mergeCell ref="R21:S21"/>
    <mergeCell ref="A18:B18"/>
    <mergeCell ref="F18:G18"/>
    <mergeCell ref="N18:O18"/>
    <mergeCell ref="P18:Q18"/>
    <mergeCell ref="R18:S18"/>
    <mergeCell ref="A19:B19"/>
    <mergeCell ref="F19:G19"/>
    <mergeCell ref="N19:O19"/>
    <mergeCell ref="P19:Q19"/>
    <mergeCell ref="R19:S19"/>
    <mergeCell ref="A16:B16"/>
    <mergeCell ref="F16:G16"/>
    <mergeCell ref="N16:O16"/>
    <mergeCell ref="P16:Q16"/>
    <mergeCell ref="R16:S16"/>
    <mergeCell ref="A17:B17"/>
    <mergeCell ref="F17:G17"/>
    <mergeCell ref="N17:O17"/>
    <mergeCell ref="P17:Q17"/>
    <mergeCell ref="R17:S17"/>
    <mergeCell ref="A14:B14"/>
    <mergeCell ref="F14:G14"/>
    <mergeCell ref="N14:O14"/>
    <mergeCell ref="P14:Q14"/>
    <mergeCell ref="R14:S14"/>
    <mergeCell ref="A15:B15"/>
    <mergeCell ref="F15:G15"/>
    <mergeCell ref="N15:O15"/>
    <mergeCell ref="P15:Q15"/>
    <mergeCell ref="R15:S15"/>
    <mergeCell ref="A12:B12"/>
    <mergeCell ref="F12:G12"/>
    <mergeCell ref="N12:O12"/>
    <mergeCell ref="P12:Q12"/>
    <mergeCell ref="R12:S12"/>
    <mergeCell ref="A13:B13"/>
    <mergeCell ref="F13:G13"/>
    <mergeCell ref="N13:O13"/>
    <mergeCell ref="P13:Q13"/>
    <mergeCell ref="R13:S13"/>
    <mergeCell ref="N8:O8"/>
    <mergeCell ref="P8:Q8"/>
    <mergeCell ref="R8:S8"/>
    <mergeCell ref="T8:U8"/>
    <mergeCell ref="F10:G10"/>
    <mergeCell ref="R10:S10"/>
    <mergeCell ref="F11:G11"/>
    <mergeCell ref="N11:O11"/>
    <mergeCell ref="P11:Q11"/>
    <mergeCell ref="R11:S11"/>
    <mergeCell ref="B1:I1"/>
    <mergeCell ref="O1:U1"/>
    <mergeCell ref="N2:U2"/>
    <mergeCell ref="N3:U3"/>
    <mergeCell ref="A4:B4"/>
    <mergeCell ref="C4:E4"/>
    <mergeCell ref="N4:O4"/>
    <mergeCell ref="P4:Q4"/>
    <mergeCell ref="A7:I7"/>
    <mergeCell ref="N7:U7"/>
  </mergeCells>
  <pageMargins left="0.1" right="0.1" top="0.5" bottom="0.5" header="0" footer="0.1"/>
  <pageSetup scale="70" fitToHeight="3" orientation="portrait" r:id="rId1"/>
  <headerFooter alignWithMargins="0">
    <oddFooter>&amp;R&amp;P of &amp;N</oddFooter>
  </headerFooter>
  <rowBreaks count="1" manualBreakCount="1">
    <brk id="138" max="16383" man="1"/>
  </rowBreaks>
  <colBreaks count="1" manualBreakCount="1">
    <brk id="9"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I57"/>
  <sheetViews>
    <sheetView showGridLines="0" zoomScaleNormal="100" workbookViewId="0">
      <pane ySplit="4" topLeftCell="A5" activePane="bottomLeft" state="frozen"/>
      <selection activeCell="E78" sqref="E78"/>
      <selection pane="bottomLeft" activeCell="C43" sqref="C43"/>
    </sheetView>
  </sheetViews>
  <sheetFormatPr defaultRowHeight="12.75" x14ac:dyDescent="0.2"/>
  <cols>
    <col min="1" max="1" width="4.140625" style="212" bestFit="1" customWidth="1"/>
    <col min="2" max="2" width="9.140625" style="212"/>
    <col min="3" max="3" width="52.140625" style="212" bestFit="1" customWidth="1"/>
    <col min="4" max="4" width="2.140625" style="212" customWidth="1"/>
    <col min="5" max="5" width="9.140625" style="212" customWidth="1"/>
    <col min="6" max="6" width="52.140625" style="212" bestFit="1" customWidth="1"/>
    <col min="7" max="16384" width="9.140625" style="212"/>
  </cols>
  <sheetData>
    <row r="1" spans="1:6" x14ac:dyDescent="0.2">
      <c r="B1" s="228" t="s">
        <v>233</v>
      </c>
      <c r="C1" s="229"/>
      <c r="D1" s="229"/>
      <c r="E1" s="230"/>
      <c r="F1" s="229"/>
    </row>
    <row r="2" spans="1:6" x14ac:dyDescent="0.2">
      <c r="B2" s="231"/>
      <c r="C2" s="229"/>
      <c r="D2" s="229"/>
      <c r="E2" s="230"/>
      <c r="F2" s="229"/>
    </row>
    <row r="3" spans="1:6" x14ac:dyDescent="0.2">
      <c r="B3" s="439" t="s">
        <v>373</v>
      </c>
      <c r="C3" s="440"/>
      <c r="D3" s="229"/>
      <c r="E3" s="439" t="s">
        <v>234</v>
      </c>
      <c r="F3" s="440"/>
    </row>
    <row r="4" spans="1:6" x14ac:dyDescent="0.2">
      <c r="B4" s="232" t="s">
        <v>235</v>
      </c>
      <c r="C4" s="233" t="s">
        <v>236</v>
      </c>
      <c r="D4" s="229"/>
      <c r="E4" s="232" t="s">
        <v>235</v>
      </c>
      <c r="F4" s="233" t="s">
        <v>236</v>
      </c>
    </row>
    <row r="5" spans="1:6" x14ac:dyDescent="0.2">
      <c r="A5" s="240">
        <v>1</v>
      </c>
      <c r="B5" s="234" t="s">
        <v>205</v>
      </c>
      <c r="C5" s="236" t="s">
        <v>237</v>
      </c>
      <c r="D5" s="229"/>
      <c r="E5" s="234" t="s">
        <v>205</v>
      </c>
      <c r="F5" s="236" t="s">
        <v>237</v>
      </c>
    </row>
    <row r="6" spans="1:6" x14ac:dyDescent="0.2">
      <c r="A6" s="240">
        <v>2</v>
      </c>
      <c r="B6" s="234" t="s">
        <v>206</v>
      </c>
      <c r="C6" s="236" t="s">
        <v>239</v>
      </c>
      <c r="D6" s="229"/>
      <c r="E6" s="234" t="s">
        <v>223</v>
      </c>
      <c r="F6" s="235" t="s">
        <v>238</v>
      </c>
    </row>
    <row r="7" spans="1:6" x14ac:dyDescent="0.2">
      <c r="A7" s="240">
        <v>3</v>
      </c>
      <c r="B7" s="234" t="s">
        <v>207</v>
      </c>
      <c r="C7" s="236" t="s">
        <v>241</v>
      </c>
      <c r="D7" s="229"/>
      <c r="E7" s="234" t="s">
        <v>228</v>
      </c>
      <c r="F7" s="235" t="s">
        <v>240</v>
      </c>
    </row>
    <row r="8" spans="1:6" x14ac:dyDescent="0.2">
      <c r="A8" s="240">
        <v>4</v>
      </c>
      <c r="B8" s="234" t="s">
        <v>208</v>
      </c>
      <c r="C8" s="236" t="s">
        <v>242</v>
      </c>
      <c r="D8" s="229"/>
      <c r="E8" s="234" t="s">
        <v>340</v>
      </c>
      <c r="F8" s="235" t="s">
        <v>341</v>
      </c>
    </row>
    <row r="9" spans="1:6" x14ac:dyDescent="0.2">
      <c r="A9" s="240">
        <v>5</v>
      </c>
      <c r="B9" s="234" t="s">
        <v>209</v>
      </c>
      <c r="C9" s="235" t="s">
        <v>243</v>
      </c>
      <c r="D9" s="229"/>
      <c r="E9" s="234" t="s">
        <v>327</v>
      </c>
      <c r="F9" s="235" t="s">
        <v>326</v>
      </c>
    </row>
    <row r="10" spans="1:6" x14ac:dyDescent="0.2">
      <c r="A10" s="240">
        <v>6</v>
      </c>
      <c r="B10" s="234" t="s">
        <v>210</v>
      </c>
      <c r="C10" s="235" t="s">
        <v>306</v>
      </c>
      <c r="D10" s="229"/>
      <c r="E10" s="234" t="s">
        <v>208</v>
      </c>
      <c r="F10" s="236" t="s">
        <v>242</v>
      </c>
    </row>
    <row r="11" spans="1:6" x14ac:dyDescent="0.2">
      <c r="A11" s="240">
        <v>7</v>
      </c>
      <c r="B11" s="234" t="s">
        <v>211</v>
      </c>
      <c r="C11" s="235" t="s">
        <v>457</v>
      </c>
      <c r="D11" s="229"/>
      <c r="E11" s="234" t="s">
        <v>222</v>
      </c>
      <c r="F11" s="235" t="s">
        <v>244</v>
      </c>
    </row>
    <row r="12" spans="1:6" x14ac:dyDescent="0.2">
      <c r="A12" s="240">
        <v>8</v>
      </c>
      <c r="B12" s="234" t="s">
        <v>212</v>
      </c>
      <c r="C12" s="236" t="s">
        <v>245</v>
      </c>
      <c r="D12" s="229"/>
      <c r="E12" s="234" t="s">
        <v>283</v>
      </c>
      <c r="F12" s="235" t="s">
        <v>284</v>
      </c>
    </row>
    <row r="13" spans="1:6" x14ac:dyDescent="0.2">
      <c r="A13" s="240">
        <v>9</v>
      </c>
      <c r="B13" s="234" t="s">
        <v>213</v>
      </c>
      <c r="C13" s="235" t="s">
        <v>246</v>
      </c>
      <c r="D13" s="229"/>
      <c r="E13" s="234" t="s">
        <v>247</v>
      </c>
      <c r="F13" s="235" t="s">
        <v>388</v>
      </c>
    </row>
    <row r="14" spans="1:6" x14ac:dyDescent="0.2">
      <c r="A14" s="240">
        <v>10</v>
      </c>
      <c r="B14" s="234" t="s">
        <v>214</v>
      </c>
      <c r="C14" s="235" t="s">
        <v>378</v>
      </c>
      <c r="D14" s="229"/>
      <c r="E14" s="234" t="s">
        <v>248</v>
      </c>
      <c r="F14" s="235" t="s">
        <v>390</v>
      </c>
    </row>
    <row r="15" spans="1:6" x14ac:dyDescent="0.2">
      <c r="A15" s="240">
        <v>11</v>
      </c>
      <c r="B15" s="234" t="s">
        <v>215</v>
      </c>
      <c r="C15" s="237" t="s">
        <v>475</v>
      </c>
      <c r="D15" s="229"/>
      <c r="E15" s="234" t="s">
        <v>229</v>
      </c>
      <c r="F15" s="236" t="s">
        <v>250</v>
      </c>
    </row>
    <row r="16" spans="1:6" x14ac:dyDescent="0.2">
      <c r="A16" s="240">
        <v>12</v>
      </c>
      <c r="B16" s="234" t="s">
        <v>216</v>
      </c>
      <c r="C16" s="236" t="s">
        <v>249</v>
      </c>
      <c r="D16" s="229"/>
      <c r="E16" s="234" t="s">
        <v>217</v>
      </c>
      <c r="F16" s="236" t="s">
        <v>251</v>
      </c>
    </row>
    <row r="17" spans="1:9" x14ac:dyDescent="0.2">
      <c r="A17" s="240">
        <v>13</v>
      </c>
      <c r="B17" s="234" t="s">
        <v>217</v>
      </c>
      <c r="C17" s="236" t="s">
        <v>251</v>
      </c>
      <c r="D17" s="229"/>
      <c r="E17" s="234" t="s">
        <v>221</v>
      </c>
      <c r="F17" s="236" t="s">
        <v>252</v>
      </c>
    </row>
    <row r="18" spans="1:9" x14ac:dyDescent="0.2">
      <c r="A18" s="240">
        <v>14</v>
      </c>
      <c r="B18" s="234" t="s">
        <v>218</v>
      </c>
      <c r="C18" s="236" t="s">
        <v>253</v>
      </c>
      <c r="D18" s="229"/>
      <c r="E18" s="234" t="s">
        <v>215</v>
      </c>
      <c r="F18" s="237" t="s">
        <v>475</v>
      </c>
    </row>
    <row r="19" spans="1:9" x14ac:dyDescent="0.2">
      <c r="A19" s="240">
        <v>15</v>
      </c>
      <c r="B19" s="234" t="s">
        <v>219</v>
      </c>
      <c r="C19" s="236" t="s">
        <v>254</v>
      </c>
      <c r="D19" s="229"/>
      <c r="E19" s="234" t="s">
        <v>216</v>
      </c>
      <c r="F19" s="236" t="s">
        <v>249</v>
      </c>
    </row>
    <row r="20" spans="1:9" x14ac:dyDescent="0.2">
      <c r="A20" s="240">
        <v>16</v>
      </c>
      <c r="B20" s="234" t="s">
        <v>220</v>
      </c>
      <c r="C20" s="235" t="s">
        <v>345</v>
      </c>
      <c r="D20" s="229"/>
      <c r="E20" s="234" t="s">
        <v>206</v>
      </c>
      <c r="F20" s="236" t="s">
        <v>239</v>
      </c>
    </row>
    <row r="21" spans="1:9" x14ac:dyDescent="0.2">
      <c r="A21" s="240">
        <v>17</v>
      </c>
      <c r="B21" s="234" t="s">
        <v>221</v>
      </c>
      <c r="C21" s="236" t="s">
        <v>252</v>
      </c>
      <c r="D21" s="229"/>
      <c r="E21" s="234" t="s">
        <v>219</v>
      </c>
      <c r="F21" s="236" t="s">
        <v>254</v>
      </c>
    </row>
    <row r="22" spans="1:9" x14ac:dyDescent="0.2">
      <c r="A22" s="240">
        <v>18</v>
      </c>
      <c r="B22" s="234" t="s">
        <v>222</v>
      </c>
      <c r="C22" s="235" t="s">
        <v>244</v>
      </c>
      <c r="D22" s="229"/>
      <c r="E22" s="234" t="s">
        <v>380</v>
      </c>
      <c r="F22" s="239" t="s">
        <v>377</v>
      </c>
    </row>
    <row r="23" spans="1:9" x14ac:dyDescent="0.2">
      <c r="A23" s="240">
        <v>19</v>
      </c>
      <c r="B23" s="234" t="s">
        <v>223</v>
      </c>
      <c r="C23" s="235" t="s">
        <v>238</v>
      </c>
      <c r="D23" s="229"/>
      <c r="E23" s="234" t="s">
        <v>211</v>
      </c>
      <c r="F23" s="235" t="s">
        <v>457</v>
      </c>
    </row>
    <row r="24" spans="1:9" x14ac:dyDescent="0.2">
      <c r="A24" s="240">
        <v>20</v>
      </c>
      <c r="B24" s="234" t="s">
        <v>224</v>
      </c>
      <c r="C24" s="236" t="s">
        <v>255</v>
      </c>
      <c r="D24" s="229"/>
      <c r="E24" s="234" t="s">
        <v>258</v>
      </c>
      <c r="F24" s="239" t="s">
        <v>456</v>
      </c>
    </row>
    <row r="25" spans="1:9" x14ac:dyDescent="0.2">
      <c r="A25" s="240">
        <v>21</v>
      </c>
      <c r="B25" s="234" t="s">
        <v>225</v>
      </c>
      <c r="C25" s="235" t="s">
        <v>256</v>
      </c>
      <c r="D25" s="229"/>
      <c r="E25" s="234" t="s">
        <v>230</v>
      </c>
      <c r="F25" s="236" t="s">
        <v>382</v>
      </c>
    </row>
    <row r="26" spans="1:9" x14ac:dyDescent="0.2">
      <c r="A26" s="240">
        <v>22</v>
      </c>
      <c r="B26" s="238" t="s">
        <v>226</v>
      </c>
      <c r="C26" s="235" t="s">
        <v>257</v>
      </c>
      <c r="D26" s="229"/>
      <c r="E26" s="234" t="s">
        <v>213</v>
      </c>
      <c r="F26" s="235" t="s">
        <v>246</v>
      </c>
    </row>
    <row r="27" spans="1:9" x14ac:dyDescent="0.2">
      <c r="A27" s="240">
        <v>23</v>
      </c>
      <c r="B27" s="234" t="s">
        <v>227</v>
      </c>
      <c r="C27" s="236" t="s">
        <v>259</v>
      </c>
      <c r="D27" s="229"/>
      <c r="E27" s="234" t="s">
        <v>209</v>
      </c>
      <c r="F27" s="235" t="s">
        <v>243</v>
      </c>
    </row>
    <row r="28" spans="1:9" x14ac:dyDescent="0.2">
      <c r="A28" s="240">
        <v>24</v>
      </c>
      <c r="B28" s="234" t="s">
        <v>260</v>
      </c>
      <c r="C28" s="235" t="s">
        <v>261</v>
      </c>
      <c r="D28" s="229"/>
      <c r="E28" s="234" t="s">
        <v>224</v>
      </c>
      <c r="F28" s="236" t="s">
        <v>255</v>
      </c>
    </row>
    <row r="29" spans="1:9" x14ac:dyDescent="0.2">
      <c r="A29" s="240">
        <v>25</v>
      </c>
      <c r="B29" s="234" t="s">
        <v>258</v>
      </c>
      <c r="C29" s="239" t="s">
        <v>456</v>
      </c>
      <c r="D29" s="229"/>
      <c r="E29" s="234" t="s">
        <v>262</v>
      </c>
      <c r="F29" s="235" t="s">
        <v>263</v>
      </c>
    </row>
    <row r="30" spans="1:9" x14ac:dyDescent="0.2">
      <c r="A30" s="240">
        <v>26</v>
      </c>
      <c r="B30" s="234" t="s">
        <v>228</v>
      </c>
      <c r="C30" s="235" t="s">
        <v>240</v>
      </c>
      <c r="D30" s="229"/>
      <c r="E30" s="234" t="s">
        <v>264</v>
      </c>
      <c r="F30" s="235" t="s">
        <v>265</v>
      </c>
      <c r="I30" s="331"/>
    </row>
    <row r="31" spans="1:9" x14ac:dyDescent="0.2">
      <c r="A31" s="240">
        <v>27</v>
      </c>
      <c r="B31" s="234" t="s">
        <v>229</v>
      </c>
      <c r="C31" s="236" t="s">
        <v>250</v>
      </c>
      <c r="D31" s="229"/>
      <c r="E31" s="234" t="s">
        <v>266</v>
      </c>
      <c r="F31" s="235" t="s">
        <v>267</v>
      </c>
      <c r="I31" s="331"/>
    </row>
    <row r="32" spans="1:9" x14ac:dyDescent="0.2">
      <c r="A32" s="240">
        <v>28</v>
      </c>
      <c r="B32" s="234" t="s">
        <v>230</v>
      </c>
      <c r="C32" s="236" t="s">
        <v>382</v>
      </c>
      <c r="D32" s="229"/>
      <c r="E32" s="234" t="s">
        <v>231</v>
      </c>
      <c r="F32" s="236" t="s">
        <v>268</v>
      </c>
    </row>
    <row r="33" spans="1:6" x14ac:dyDescent="0.2">
      <c r="A33" s="240">
        <v>29</v>
      </c>
      <c r="B33" s="234" t="s">
        <v>231</v>
      </c>
      <c r="C33" s="236" t="s">
        <v>268</v>
      </c>
      <c r="D33" s="229"/>
      <c r="E33" s="234" t="s">
        <v>227</v>
      </c>
      <c r="F33" s="236" t="s">
        <v>259</v>
      </c>
    </row>
    <row r="34" spans="1:6" x14ac:dyDescent="0.2">
      <c r="A34" s="240">
        <v>30</v>
      </c>
      <c r="B34" s="234" t="s">
        <v>266</v>
      </c>
      <c r="C34" s="235" t="s">
        <v>267</v>
      </c>
      <c r="D34" s="229"/>
      <c r="E34" s="234" t="s">
        <v>218</v>
      </c>
      <c r="F34" s="236" t="s">
        <v>253</v>
      </c>
    </row>
    <row r="35" spans="1:6" x14ac:dyDescent="0.2">
      <c r="A35" s="240">
        <v>31</v>
      </c>
      <c r="B35" s="234" t="s">
        <v>269</v>
      </c>
      <c r="C35" s="239" t="s">
        <v>270</v>
      </c>
      <c r="D35" s="229"/>
      <c r="E35" s="234">
        <v>4111</v>
      </c>
      <c r="F35" s="236" t="s">
        <v>383</v>
      </c>
    </row>
    <row r="36" spans="1:6" x14ac:dyDescent="0.2">
      <c r="A36" s="240">
        <v>32</v>
      </c>
      <c r="B36" s="234" t="s">
        <v>271</v>
      </c>
      <c r="C36" s="236" t="s">
        <v>272</v>
      </c>
      <c r="D36" s="229"/>
      <c r="E36" s="234" t="s">
        <v>225</v>
      </c>
      <c r="F36" s="235" t="s">
        <v>256</v>
      </c>
    </row>
    <row r="37" spans="1:6" x14ac:dyDescent="0.2">
      <c r="A37" s="240">
        <v>33</v>
      </c>
      <c r="B37" s="234" t="s">
        <v>247</v>
      </c>
      <c r="C37" s="235" t="s">
        <v>388</v>
      </c>
      <c r="D37" s="229"/>
      <c r="E37" s="234" t="s">
        <v>273</v>
      </c>
      <c r="F37" s="235" t="s">
        <v>274</v>
      </c>
    </row>
    <row r="38" spans="1:6" x14ac:dyDescent="0.2">
      <c r="A38" s="240">
        <v>34</v>
      </c>
      <c r="B38" s="234" t="s">
        <v>380</v>
      </c>
      <c r="C38" s="236" t="s">
        <v>377</v>
      </c>
      <c r="D38" s="229"/>
      <c r="E38" s="234" t="s">
        <v>271</v>
      </c>
      <c r="F38" s="236" t="s">
        <v>272</v>
      </c>
    </row>
    <row r="39" spans="1:6" x14ac:dyDescent="0.2">
      <c r="A39" s="240">
        <v>35</v>
      </c>
      <c r="B39" s="234">
        <v>4031</v>
      </c>
      <c r="C39" s="235" t="s">
        <v>395</v>
      </c>
      <c r="D39" s="229"/>
      <c r="E39" s="234" t="s">
        <v>269</v>
      </c>
      <c r="F39" s="239" t="s">
        <v>270</v>
      </c>
    </row>
    <row r="40" spans="1:6" x14ac:dyDescent="0.2">
      <c r="A40" s="240">
        <v>36</v>
      </c>
      <c r="B40" s="234" t="s">
        <v>273</v>
      </c>
      <c r="C40" s="235" t="s">
        <v>274</v>
      </c>
      <c r="D40" s="229"/>
      <c r="E40" s="234" t="s">
        <v>220</v>
      </c>
      <c r="F40" s="236" t="s">
        <v>345</v>
      </c>
    </row>
    <row r="41" spans="1:6" x14ac:dyDescent="0.2">
      <c r="A41" s="240">
        <v>37</v>
      </c>
      <c r="B41" s="234" t="s">
        <v>264</v>
      </c>
      <c r="C41" s="235" t="s">
        <v>265</v>
      </c>
      <c r="D41" s="229"/>
      <c r="E41" s="234">
        <v>4091</v>
      </c>
      <c r="F41" s="236" t="s">
        <v>334</v>
      </c>
    </row>
    <row r="42" spans="1:6" x14ac:dyDescent="0.2">
      <c r="A42" s="240">
        <v>38</v>
      </c>
      <c r="B42" s="234" t="s">
        <v>262</v>
      </c>
      <c r="C42" s="235" t="s">
        <v>263</v>
      </c>
      <c r="D42" s="229"/>
      <c r="E42" s="234">
        <v>4031</v>
      </c>
      <c r="F42" s="235" t="s">
        <v>395</v>
      </c>
    </row>
    <row r="43" spans="1:6" x14ac:dyDescent="0.2">
      <c r="A43" s="240">
        <v>39</v>
      </c>
      <c r="B43" s="234" t="s">
        <v>248</v>
      </c>
      <c r="C43" s="235" t="s">
        <v>390</v>
      </c>
      <c r="D43" s="229"/>
      <c r="E43" s="238" t="s">
        <v>451</v>
      </c>
      <c r="F43" s="235" t="s">
        <v>452</v>
      </c>
    </row>
    <row r="44" spans="1:6" x14ac:dyDescent="0.2">
      <c r="A44" s="240">
        <v>40</v>
      </c>
      <c r="B44" s="234" t="s">
        <v>289</v>
      </c>
      <c r="C44" s="235" t="s">
        <v>293</v>
      </c>
      <c r="D44" s="229"/>
      <c r="E44" s="234" t="s">
        <v>207</v>
      </c>
      <c r="F44" s="236" t="s">
        <v>241</v>
      </c>
    </row>
    <row r="45" spans="1:6" x14ac:dyDescent="0.2">
      <c r="A45" s="240">
        <v>41</v>
      </c>
      <c r="B45" s="272" t="s">
        <v>283</v>
      </c>
      <c r="C45" s="212" t="s">
        <v>284</v>
      </c>
      <c r="D45" s="229"/>
      <c r="E45" s="234" t="s">
        <v>260</v>
      </c>
      <c r="F45" s="235" t="s">
        <v>261</v>
      </c>
    </row>
    <row r="46" spans="1:6" x14ac:dyDescent="0.2">
      <c r="A46" s="240">
        <v>42</v>
      </c>
      <c r="B46" s="272">
        <v>4090</v>
      </c>
      <c r="C46" s="212" t="s">
        <v>335</v>
      </c>
      <c r="D46" s="229"/>
      <c r="E46" s="234">
        <v>4090</v>
      </c>
      <c r="F46" s="236" t="s">
        <v>335</v>
      </c>
    </row>
    <row r="47" spans="1:6" x14ac:dyDescent="0.2">
      <c r="A47" s="240">
        <v>43</v>
      </c>
      <c r="B47" s="272">
        <v>4091</v>
      </c>
      <c r="C47" s="212" t="s">
        <v>334</v>
      </c>
      <c r="D47" s="229"/>
      <c r="E47" s="234" t="s">
        <v>368</v>
      </c>
      <c r="F47" s="236" t="s">
        <v>369</v>
      </c>
    </row>
    <row r="48" spans="1:6" x14ac:dyDescent="0.2">
      <c r="A48" s="240">
        <v>44</v>
      </c>
      <c r="B48" s="234" t="s">
        <v>327</v>
      </c>
      <c r="C48" s="235" t="s">
        <v>326</v>
      </c>
      <c r="D48" s="229"/>
      <c r="E48" s="234" t="s">
        <v>214</v>
      </c>
      <c r="F48" s="235" t="s">
        <v>378</v>
      </c>
    </row>
    <row r="49" spans="1:6" x14ac:dyDescent="0.2">
      <c r="A49" s="240">
        <v>45</v>
      </c>
      <c r="B49" s="234" t="s">
        <v>340</v>
      </c>
      <c r="C49" s="235" t="s">
        <v>341</v>
      </c>
      <c r="D49" s="229"/>
      <c r="E49" s="234" t="s">
        <v>210</v>
      </c>
      <c r="F49" s="235" t="s">
        <v>306</v>
      </c>
    </row>
    <row r="50" spans="1:6" x14ac:dyDescent="0.2">
      <c r="A50" s="240">
        <v>46</v>
      </c>
      <c r="B50" s="234" t="s">
        <v>368</v>
      </c>
      <c r="C50" s="271" t="s">
        <v>369</v>
      </c>
      <c r="D50" s="229"/>
      <c r="E50" s="234" t="s">
        <v>289</v>
      </c>
      <c r="F50" s="235" t="s">
        <v>293</v>
      </c>
    </row>
    <row r="51" spans="1:6" x14ac:dyDescent="0.2">
      <c r="A51" s="240">
        <v>47</v>
      </c>
      <c r="B51" s="234">
        <v>4111</v>
      </c>
      <c r="C51" s="235" t="s">
        <v>383</v>
      </c>
      <c r="D51" s="229"/>
      <c r="E51" s="234" t="s">
        <v>212</v>
      </c>
      <c r="F51" s="236" t="s">
        <v>245</v>
      </c>
    </row>
    <row r="52" spans="1:6" x14ac:dyDescent="0.2">
      <c r="A52" s="240">
        <v>48</v>
      </c>
      <c r="B52" s="234" t="s">
        <v>451</v>
      </c>
      <c r="C52" s="235" t="s">
        <v>452</v>
      </c>
      <c r="D52" s="229"/>
      <c r="E52" s="238" t="s">
        <v>226</v>
      </c>
      <c r="F52" s="235" t="s">
        <v>257</v>
      </c>
    </row>
    <row r="53" spans="1:6" x14ac:dyDescent="0.2">
      <c r="A53" s="240"/>
      <c r="D53" s="229"/>
    </row>
    <row r="54" spans="1:6" x14ac:dyDescent="0.2">
      <c r="A54" s="240"/>
      <c r="D54" s="229"/>
    </row>
    <row r="55" spans="1:6" x14ac:dyDescent="0.2">
      <c r="A55" s="240"/>
      <c r="D55" s="229"/>
    </row>
    <row r="56" spans="1:6" x14ac:dyDescent="0.2">
      <c r="A56" s="240"/>
      <c r="D56" s="229"/>
    </row>
    <row r="57" spans="1:6" x14ac:dyDescent="0.2">
      <c r="D57" s="229"/>
    </row>
  </sheetData>
  <mergeCells count="2">
    <mergeCell ref="B3:C3"/>
    <mergeCell ref="E3:F3"/>
  </mergeCells>
  <conditionalFormatting sqref="E5:F50">
    <cfRule type="expression" dxfId="12" priority="8">
      <formula>MOD(ROW(),2)=0</formula>
    </cfRule>
  </conditionalFormatting>
  <conditionalFormatting sqref="B5:C51">
    <cfRule type="expression" dxfId="11" priority="7" stopIfTrue="1">
      <formula>MOD(ROW(),2)=0</formula>
    </cfRule>
  </conditionalFormatting>
  <conditionalFormatting sqref="E51:F51">
    <cfRule type="expression" dxfId="10" priority="5">
      <formula>MOD(ROW(),2)=0</formula>
    </cfRule>
  </conditionalFormatting>
  <conditionalFormatting sqref="B52:C52">
    <cfRule type="expression" dxfId="9" priority="2" stopIfTrue="1">
      <formula>MOD(ROW(),2)=0</formula>
    </cfRule>
  </conditionalFormatting>
  <conditionalFormatting sqref="E52:F52">
    <cfRule type="expression" dxfId="8" priority="1">
      <formula>MOD(ROW(),2)=0</formula>
    </cfRule>
  </conditionalFormatting>
  <pageMargins left="0.7" right="0.7" top="0.75" bottom="0.75" header="0.3" footer="0.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CCFFCC"/>
  </sheetPr>
  <dimension ref="A1:U206"/>
  <sheetViews>
    <sheetView showGridLines="0" zoomScaleNormal="100" workbookViewId="0">
      <pane ySplit="1" topLeftCell="A20" activePane="bottomLeft" state="frozen"/>
      <selection activeCell="I9" sqref="I9"/>
      <selection pane="bottomLeft" activeCell="D50" sqref="D50:D57"/>
    </sheetView>
  </sheetViews>
  <sheetFormatPr defaultRowHeight="15.75" x14ac:dyDescent="0.25"/>
  <cols>
    <col min="1" max="1" width="10.28515625" style="72" customWidth="1"/>
    <col min="2" max="2" width="30.28515625" style="3" bestFit="1" customWidth="1"/>
    <col min="3" max="4" width="10.7109375" style="3" customWidth="1"/>
    <col min="5" max="5" width="12.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72"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5">
        <v>50</v>
      </c>
      <c r="B1" s="441" t="s">
        <v>17</v>
      </c>
      <c r="C1" s="442"/>
      <c r="D1" s="442"/>
      <c r="E1" s="442"/>
      <c r="F1" s="442"/>
      <c r="G1" s="442"/>
      <c r="H1" s="442"/>
      <c r="I1" s="442"/>
      <c r="J1" s="157"/>
      <c r="K1" s="157"/>
      <c r="L1" s="157"/>
      <c r="N1" s="85">
        <f>A1</f>
        <v>50</v>
      </c>
      <c r="O1" s="527" t="s">
        <v>17</v>
      </c>
      <c r="P1" s="528"/>
      <c r="Q1" s="528"/>
      <c r="R1" s="528"/>
      <c r="S1" s="528"/>
      <c r="T1" s="528"/>
      <c r="U1" s="528"/>
    </row>
    <row r="2" spans="1:21" ht="21" x14ac:dyDescent="0.35">
      <c r="A2" s="1" t="s">
        <v>165</v>
      </c>
      <c r="B2" s="2"/>
      <c r="C2" s="2"/>
      <c r="D2" s="2"/>
      <c r="E2" s="2"/>
      <c r="F2" s="2"/>
      <c r="G2" s="2"/>
      <c r="H2" s="2"/>
      <c r="I2" s="2"/>
      <c r="N2" s="529" t="s">
        <v>23</v>
      </c>
      <c r="O2" s="529"/>
      <c r="P2" s="529"/>
      <c r="Q2" s="529"/>
      <c r="R2" s="529"/>
      <c r="S2" s="529"/>
      <c r="T2" s="529"/>
      <c r="U2" s="529"/>
    </row>
    <row r="3" spans="1:21" x14ac:dyDescent="0.25">
      <c r="A3" s="84" t="str">
        <f>'0664'!A3</f>
        <v>Based on the FLDOE 2022-23 FEFP Third Calculation</v>
      </c>
      <c r="N3" s="485" t="str">
        <f>A3</f>
        <v>Based on the FLDOE 2022-23 FEFP Third Calculation</v>
      </c>
      <c r="O3" s="485"/>
      <c r="P3" s="485"/>
      <c r="Q3" s="485"/>
      <c r="R3" s="485"/>
      <c r="S3" s="485"/>
      <c r="T3" s="485"/>
      <c r="U3" s="485"/>
    </row>
    <row r="4" spans="1:21" x14ac:dyDescent="0.25">
      <c r="A4" s="443" t="s">
        <v>0</v>
      </c>
      <c r="B4" s="443"/>
      <c r="C4" s="444" t="s">
        <v>9</v>
      </c>
      <c r="D4" s="444"/>
      <c r="E4" s="444"/>
      <c r="F4" s="4" t="str">
        <f>'0664'!F4</f>
        <v>Apr 2023</v>
      </c>
      <c r="G4" s="4"/>
      <c r="H4" s="4"/>
      <c r="I4" s="4"/>
      <c r="N4" s="530" t="s">
        <v>0</v>
      </c>
      <c r="O4" s="530"/>
      <c r="P4" s="531" t="str">
        <f>C4</f>
        <v>Palm Beach</v>
      </c>
      <c r="Q4" s="531"/>
      <c r="R4" s="5"/>
      <c r="S4" s="5"/>
      <c r="T4" s="5"/>
      <c r="U4" s="5"/>
    </row>
    <row r="5" spans="1:21" ht="12" customHeight="1" thickBot="1" x14ac:dyDescent="0.3">
      <c r="A5" s="262"/>
      <c r="B5" s="262"/>
      <c r="C5" s="253"/>
      <c r="D5" s="253"/>
      <c r="E5" s="253"/>
      <c r="F5" s="254"/>
      <c r="G5" s="254"/>
      <c r="H5" s="254"/>
      <c r="I5" s="254"/>
      <c r="N5" s="86"/>
      <c r="O5" s="86"/>
      <c r="P5" s="6"/>
      <c r="Q5" s="6"/>
      <c r="R5" s="5"/>
      <c r="S5" s="5"/>
      <c r="T5" s="5"/>
      <c r="U5" s="5"/>
    </row>
    <row r="6" spans="1:21" ht="12" customHeight="1" x14ac:dyDescent="0.25">
      <c r="A6" s="150"/>
      <c r="B6" s="150"/>
      <c r="C6" s="261"/>
      <c r="D6" s="261"/>
      <c r="E6" s="261"/>
      <c r="F6" s="4"/>
      <c r="G6" s="4"/>
      <c r="H6" s="4"/>
      <c r="I6" s="4"/>
      <c r="N6" s="86"/>
      <c r="O6" s="86"/>
      <c r="P6" s="6"/>
      <c r="Q6" s="6"/>
      <c r="R6" s="5"/>
      <c r="S6" s="5"/>
      <c r="T6" s="5"/>
      <c r="U6" s="5"/>
    </row>
    <row r="7" spans="1:21" x14ac:dyDescent="0.25">
      <c r="A7" s="445" t="str">
        <f>'0664'!A7:I7</f>
        <v>1.   2022-23 FEFP State and Local Funding</v>
      </c>
      <c r="B7" s="533"/>
      <c r="C7" s="533"/>
      <c r="D7" s="533"/>
      <c r="E7" s="533"/>
      <c r="F7" s="533"/>
      <c r="G7" s="533"/>
      <c r="H7" s="533"/>
      <c r="I7" s="533"/>
      <c r="N7" s="530" t="s">
        <v>86</v>
      </c>
      <c r="O7" s="530"/>
      <c r="P7" s="530"/>
      <c r="Q7" s="530"/>
      <c r="R7" s="530"/>
      <c r="S7" s="530"/>
      <c r="T7" s="530"/>
      <c r="U7" s="530"/>
    </row>
    <row r="8" spans="1:21" x14ac:dyDescent="0.25">
      <c r="A8" s="87"/>
      <c r="B8" s="88" t="s">
        <v>123</v>
      </c>
      <c r="C8" s="334">
        <f>'0664'!C8</f>
        <v>4587.3999999999996</v>
      </c>
      <c r="D8" s="89"/>
      <c r="E8" s="90"/>
      <c r="F8" s="87"/>
      <c r="G8" s="88" t="s">
        <v>122</v>
      </c>
      <c r="H8" s="320">
        <f>'0664'!H8</f>
        <v>1.0438000000000001</v>
      </c>
      <c r="I8" s="78"/>
      <c r="N8" s="534" t="s">
        <v>10</v>
      </c>
      <c r="O8" s="534"/>
      <c r="P8" s="535">
        <v>4154.45</v>
      </c>
      <c r="Q8" s="535"/>
      <c r="R8" s="518" t="s">
        <v>11</v>
      </c>
      <c r="S8" s="518"/>
      <c r="T8" s="519">
        <f>H8</f>
        <v>1.0438000000000001</v>
      </c>
      <c r="U8" s="519"/>
    </row>
    <row r="9" spans="1:21" x14ac:dyDescent="0.25">
      <c r="A9" s="7"/>
      <c r="B9" s="44" t="s">
        <v>370</v>
      </c>
      <c r="C9" s="372" t="s">
        <v>370</v>
      </c>
      <c r="D9" s="372" t="s">
        <v>370</v>
      </c>
      <c r="E9" s="8"/>
      <c r="F9" s="9"/>
      <c r="G9" s="9"/>
      <c r="H9" s="10"/>
      <c r="I9" s="340" t="str">
        <f>'0664'!I9</f>
        <v>2022-23</v>
      </c>
      <c r="N9" s="12"/>
      <c r="O9" s="12"/>
      <c r="P9" s="13"/>
      <c r="Q9" s="13"/>
      <c r="R9" s="14"/>
      <c r="S9" s="14"/>
      <c r="T9" s="15"/>
      <c r="U9" s="405" t="s">
        <v>405</v>
      </c>
    </row>
    <row r="10" spans="1:21" x14ac:dyDescent="0.25">
      <c r="A10" s="7"/>
      <c r="B10" s="7"/>
      <c r="C10" s="91" t="s">
        <v>463</v>
      </c>
      <c r="D10" s="371" t="s">
        <v>464</v>
      </c>
      <c r="E10" s="92" t="s">
        <v>8</v>
      </c>
      <c r="F10" s="446" t="s">
        <v>1</v>
      </c>
      <c r="G10" s="446"/>
      <c r="H10" s="10" t="s">
        <v>73</v>
      </c>
      <c r="I10" s="11" t="s">
        <v>36</v>
      </c>
      <c r="N10" s="12"/>
      <c r="O10" s="12"/>
      <c r="P10" s="13"/>
      <c r="Q10" s="13"/>
      <c r="R10" s="520" t="s">
        <v>1</v>
      </c>
      <c r="S10" s="520"/>
      <c r="T10" s="15" t="s">
        <v>73</v>
      </c>
      <c r="U10" s="16" t="s">
        <v>36</v>
      </c>
    </row>
    <row r="11" spans="1:21" x14ac:dyDescent="0.25">
      <c r="A11" s="447" t="s">
        <v>1</v>
      </c>
      <c r="B11" s="447"/>
      <c r="C11" s="362" t="s">
        <v>2</v>
      </c>
      <c r="D11" s="362" t="s">
        <v>2</v>
      </c>
      <c r="E11" s="362" t="s">
        <v>2</v>
      </c>
      <c r="F11" s="448" t="s">
        <v>76</v>
      </c>
      <c r="G11" s="448"/>
      <c r="H11" s="17" t="s">
        <v>72</v>
      </c>
      <c r="I11" s="18" t="s">
        <v>75</v>
      </c>
      <c r="N11" s="510" t="s">
        <v>1</v>
      </c>
      <c r="O11" s="510"/>
      <c r="P11" s="521" t="s">
        <v>24</v>
      </c>
      <c r="Q11" s="521"/>
      <c r="R11" s="522" t="s">
        <v>76</v>
      </c>
      <c r="S11" s="522"/>
      <c r="T11" s="19" t="s">
        <v>72</v>
      </c>
      <c r="U11" s="20" t="s">
        <v>75</v>
      </c>
    </row>
    <row r="12" spans="1:21" x14ac:dyDescent="0.25">
      <c r="A12" s="449" t="s">
        <v>47</v>
      </c>
      <c r="B12" s="449"/>
      <c r="C12" s="94"/>
      <c r="D12" s="94"/>
      <c r="E12" s="95" t="s">
        <v>48</v>
      </c>
      <c r="F12" s="450" t="s">
        <v>49</v>
      </c>
      <c r="G12" s="450"/>
      <c r="H12" s="21" t="s">
        <v>50</v>
      </c>
      <c r="I12" s="22" t="s">
        <v>51</v>
      </c>
      <c r="N12" s="523" t="s">
        <v>47</v>
      </c>
      <c r="O12" s="523"/>
      <c r="P12" s="524" t="s">
        <v>48</v>
      </c>
      <c r="Q12" s="524"/>
      <c r="R12" s="525" t="s">
        <v>49</v>
      </c>
      <c r="S12" s="525"/>
      <c r="T12" s="23" t="s">
        <v>50</v>
      </c>
      <c r="U12" s="24" t="s">
        <v>51</v>
      </c>
    </row>
    <row r="13" spans="1:21" x14ac:dyDescent="0.25">
      <c r="A13" s="451" t="s">
        <v>29</v>
      </c>
      <c r="B13" s="451"/>
      <c r="C13" s="165">
        <v>0</v>
      </c>
      <c r="D13" s="163">
        <v>0</v>
      </c>
      <c r="E13" s="210">
        <f>IF(D$29=0,C13*2,C13+D13)</f>
        <v>0</v>
      </c>
      <c r="F13" s="537">
        <f>'0664'!F13:G13</f>
        <v>1.1259999999999999</v>
      </c>
      <c r="G13" s="537"/>
      <c r="H13" s="167">
        <f>ROUND(E13*F13,4)</f>
        <v>0</v>
      </c>
      <c r="I13" s="119">
        <f t="shared" ref="I13:I28" si="0">ROUND(ROUND(H13*$C$8,4)*($H$8),2)</f>
        <v>0</v>
      </c>
      <c r="N13" s="512" t="s">
        <v>29</v>
      </c>
      <c r="O13" s="512"/>
      <c r="P13" s="513">
        <f t="shared" ref="P13:P28" si="1">IF($H$120=1,E13,0)</f>
        <v>0</v>
      </c>
      <c r="Q13" s="513"/>
      <c r="R13" s="526">
        <v>1</v>
      </c>
      <c r="S13" s="526"/>
      <c r="T13" s="98">
        <f>ROUND(P13*R13,4)</f>
        <v>0</v>
      </c>
      <c r="U13" s="99">
        <f t="shared" ref="U13:U28" si="2">ROUND(ROUND(T13*$C$8,4)*($H$8),0)</f>
        <v>0</v>
      </c>
    </row>
    <row r="14" spans="1:21" x14ac:dyDescent="0.25">
      <c r="A14" s="453" t="s">
        <v>30</v>
      </c>
      <c r="B14" s="453"/>
      <c r="C14" s="165">
        <v>0</v>
      </c>
      <c r="D14" s="165">
        <v>0</v>
      </c>
      <c r="E14" s="125">
        <f t="shared" ref="E14:E28" si="3">IF(D$29=0,C14*2,C14+D14)</f>
        <v>0</v>
      </c>
      <c r="F14" s="532">
        <f>'0664'!F14:G14</f>
        <v>1.1259999999999999</v>
      </c>
      <c r="G14" s="532"/>
      <c r="H14" s="83">
        <f t="shared" ref="H14:H28" si="4">ROUND(E14*F14,4)</f>
        <v>0</v>
      </c>
      <c r="I14" s="104">
        <f t="shared" si="0"/>
        <v>0</v>
      </c>
      <c r="J14" s="68" t="str">
        <f>IF(ROUND(E14,2)=ROUND(SUM(E50:E52),2)," ","CHECK PK-3 LINES BELOW")</f>
        <v xml:space="preserve"> </v>
      </c>
      <c r="N14" s="479" t="s">
        <v>30</v>
      </c>
      <c r="O14" s="479"/>
      <c r="P14" s="513">
        <f t="shared" si="1"/>
        <v>0</v>
      </c>
      <c r="Q14" s="513"/>
      <c r="R14" s="517">
        <v>1</v>
      </c>
      <c r="S14" s="517"/>
      <c r="T14" s="98">
        <f t="shared" ref="T14:T28" si="5">ROUND(P14*R14,4)</f>
        <v>0</v>
      </c>
      <c r="U14" s="99">
        <f t="shared" si="2"/>
        <v>0</v>
      </c>
    </row>
    <row r="15" spans="1:21" x14ac:dyDescent="0.25">
      <c r="A15" s="453" t="s">
        <v>31</v>
      </c>
      <c r="B15" s="453"/>
      <c r="C15" s="165">
        <v>0</v>
      </c>
      <c r="D15" s="165">
        <v>0</v>
      </c>
      <c r="E15" s="125">
        <f t="shared" si="3"/>
        <v>0</v>
      </c>
      <c r="F15" s="532">
        <f>'0664'!F15:G15</f>
        <v>1</v>
      </c>
      <c r="G15" s="532"/>
      <c r="H15" s="83">
        <f t="shared" si="4"/>
        <v>0</v>
      </c>
      <c r="I15" s="104">
        <f t="shared" si="0"/>
        <v>0</v>
      </c>
      <c r="N15" s="479" t="s">
        <v>31</v>
      </c>
      <c r="O15" s="479"/>
      <c r="P15" s="513">
        <f t="shared" si="1"/>
        <v>0</v>
      </c>
      <c r="Q15" s="513"/>
      <c r="R15" s="517">
        <v>1</v>
      </c>
      <c r="S15" s="517"/>
      <c r="T15" s="98">
        <f t="shared" si="5"/>
        <v>0</v>
      </c>
      <c r="U15" s="99">
        <f t="shared" si="2"/>
        <v>0</v>
      </c>
    </row>
    <row r="16" spans="1:21" x14ac:dyDescent="0.25">
      <c r="A16" s="453" t="s">
        <v>32</v>
      </c>
      <c r="B16" s="453"/>
      <c r="C16" s="165">
        <v>0</v>
      </c>
      <c r="D16" s="165">
        <v>0</v>
      </c>
      <c r="E16" s="125">
        <f t="shared" si="3"/>
        <v>0</v>
      </c>
      <c r="F16" s="532">
        <f>'0664'!F16:G16</f>
        <v>1</v>
      </c>
      <c r="G16" s="532"/>
      <c r="H16" s="83">
        <f t="shared" si="4"/>
        <v>0</v>
      </c>
      <c r="I16" s="104">
        <f t="shared" si="0"/>
        <v>0</v>
      </c>
      <c r="J16" s="68" t="str">
        <f>IF(ROUND(E16,2)=ROUND(SUM(E53:E55),2)," ","CHECK 4-8 LINES BELOW")</f>
        <v xml:space="preserve"> </v>
      </c>
      <c r="N16" s="479" t="s">
        <v>32</v>
      </c>
      <c r="O16" s="479"/>
      <c r="P16" s="513">
        <f t="shared" si="1"/>
        <v>0</v>
      </c>
      <c r="Q16" s="513"/>
      <c r="R16" s="517">
        <v>1</v>
      </c>
      <c r="S16" s="517"/>
      <c r="T16" s="98">
        <f t="shared" si="5"/>
        <v>0</v>
      </c>
      <c r="U16" s="99">
        <f t="shared" si="2"/>
        <v>0</v>
      </c>
    </row>
    <row r="17" spans="1:21" x14ac:dyDescent="0.25">
      <c r="A17" s="453" t="s">
        <v>33</v>
      </c>
      <c r="B17" s="453"/>
      <c r="C17" s="165">
        <v>295.82</v>
      </c>
      <c r="D17" s="165">
        <v>282.86</v>
      </c>
      <c r="E17" s="125">
        <f t="shared" si="3"/>
        <v>578.68000000000006</v>
      </c>
      <c r="F17" s="532">
        <f>'0664'!F17:G17</f>
        <v>0.999</v>
      </c>
      <c r="G17" s="532"/>
      <c r="H17" s="83">
        <f t="shared" si="4"/>
        <v>578.10130000000004</v>
      </c>
      <c r="I17" s="104">
        <f t="shared" si="0"/>
        <v>2768138.71</v>
      </c>
      <c r="N17" s="479" t="s">
        <v>33</v>
      </c>
      <c r="O17" s="479"/>
      <c r="P17" s="513">
        <f t="shared" si="1"/>
        <v>0</v>
      </c>
      <c r="Q17" s="513"/>
      <c r="R17" s="517">
        <v>1</v>
      </c>
      <c r="S17" s="517"/>
      <c r="T17" s="98">
        <f t="shared" si="5"/>
        <v>0</v>
      </c>
      <c r="U17" s="99">
        <f t="shared" si="2"/>
        <v>0</v>
      </c>
    </row>
    <row r="18" spans="1:21" x14ac:dyDescent="0.25">
      <c r="A18" s="453" t="s">
        <v>34</v>
      </c>
      <c r="B18" s="453"/>
      <c r="C18" s="165">
        <v>41.5</v>
      </c>
      <c r="D18" s="165">
        <v>42.4</v>
      </c>
      <c r="E18" s="125">
        <f t="shared" si="3"/>
        <v>83.9</v>
      </c>
      <c r="F18" s="532">
        <f>'0664'!F18:G18</f>
        <v>0.999</v>
      </c>
      <c r="G18" s="532"/>
      <c r="H18" s="83">
        <f t="shared" si="4"/>
        <v>83.816100000000006</v>
      </c>
      <c r="I18" s="104">
        <f t="shared" si="0"/>
        <v>401338.99</v>
      </c>
      <c r="J18" s="68" t="str">
        <f>IF(ROUND(E18,2)=ROUND(SUM(E56:E58),2)," ","CHECK 4-8 LINES BELOW")</f>
        <v xml:space="preserve"> </v>
      </c>
      <c r="N18" s="479" t="s">
        <v>34</v>
      </c>
      <c r="O18" s="479"/>
      <c r="P18" s="513">
        <f t="shared" si="1"/>
        <v>0</v>
      </c>
      <c r="Q18" s="513"/>
      <c r="R18" s="517">
        <v>1</v>
      </c>
      <c r="S18" s="517"/>
      <c r="T18" s="98">
        <f t="shared" si="5"/>
        <v>0</v>
      </c>
      <c r="U18" s="101">
        <f t="shared" si="2"/>
        <v>0</v>
      </c>
    </row>
    <row r="19" spans="1:21" x14ac:dyDescent="0.25">
      <c r="A19" s="453" t="s">
        <v>108</v>
      </c>
      <c r="B19" s="453"/>
      <c r="C19" s="165">
        <v>0</v>
      </c>
      <c r="D19" s="165">
        <v>0</v>
      </c>
      <c r="E19" s="125">
        <f t="shared" si="3"/>
        <v>0</v>
      </c>
      <c r="F19" s="532">
        <f>'0664'!F19:G19</f>
        <v>3.6739999999999999</v>
      </c>
      <c r="G19" s="532"/>
      <c r="H19" s="83">
        <f t="shared" si="4"/>
        <v>0</v>
      </c>
      <c r="I19" s="104">
        <f t="shared" si="0"/>
        <v>0</v>
      </c>
      <c r="N19" s="479" t="s">
        <v>108</v>
      </c>
      <c r="O19" s="479"/>
      <c r="P19" s="513">
        <f t="shared" si="1"/>
        <v>0</v>
      </c>
      <c r="Q19" s="513"/>
      <c r="R19" s="517">
        <v>1</v>
      </c>
      <c r="S19" s="517"/>
      <c r="T19" s="98">
        <f t="shared" si="5"/>
        <v>0</v>
      </c>
      <c r="U19" s="99">
        <f t="shared" si="2"/>
        <v>0</v>
      </c>
    </row>
    <row r="20" spans="1:21" x14ac:dyDescent="0.25">
      <c r="A20" s="453" t="s">
        <v>109</v>
      </c>
      <c r="B20" s="453"/>
      <c r="C20" s="165">
        <v>0</v>
      </c>
      <c r="D20" s="165">
        <v>0</v>
      </c>
      <c r="E20" s="125">
        <f t="shared" si="3"/>
        <v>0</v>
      </c>
      <c r="F20" s="532">
        <f>'0664'!F20:G20</f>
        <v>3.6739999999999999</v>
      </c>
      <c r="G20" s="532"/>
      <c r="H20" s="83">
        <f t="shared" si="4"/>
        <v>0</v>
      </c>
      <c r="I20" s="104">
        <f t="shared" si="0"/>
        <v>0</v>
      </c>
      <c r="N20" s="479" t="s">
        <v>109</v>
      </c>
      <c r="O20" s="479"/>
      <c r="P20" s="513">
        <f t="shared" si="1"/>
        <v>0</v>
      </c>
      <c r="Q20" s="513"/>
      <c r="R20" s="517">
        <v>1</v>
      </c>
      <c r="S20" s="517"/>
      <c r="T20" s="98">
        <f t="shared" si="5"/>
        <v>0</v>
      </c>
      <c r="U20" s="99">
        <f t="shared" si="2"/>
        <v>0</v>
      </c>
    </row>
    <row r="21" spans="1:21" x14ac:dyDescent="0.25">
      <c r="A21" s="453" t="s">
        <v>110</v>
      </c>
      <c r="B21" s="453"/>
      <c r="C21" s="165">
        <v>0</v>
      </c>
      <c r="D21" s="165">
        <v>0</v>
      </c>
      <c r="E21" s="125">
        <f t="shared" si="3"/>
        <v>0</v>
      </c>
      <c r="F21" s="532">
        <f>'0664'!F21:G21</f>
        <v>3.6739999999999999</v>
      </c>
      <c r="G21" s="532"/>
      <c r="H21" s="83">
        <f t="shared" si="4"/>
        <v>0</v>
      </c>
      <c r="I21" s="104">
        <f t="shared" si="0"/>
        <v>0</v>
      </c>
      <c r="N21" s="479" t="s">
        <v>110</v>
      </c>
      <c r="O21" s="479"/>
      <c r="P21" s="513">
        <f t="shared" si="1"/>
        <v>0</v>
      </c>
      <c r="Q21" s="513"/>
      <c r="R21" s="517">
        <v>1</v>
      </c>
      <c r="S21" s="517"/>
      <c r="T21" s="98">
        <f t="shared" si="5"/>
        <v>0</v>
      </c>
      <c r="U21" s="99">
        <f t="shared" si="2"/>
        <v>0</v>
      </c>
    </row>
    <row r="22" spans="1:21" x14ac:dyDescent="0.25">
      <c r="A22" s="453" t="s">
        <v>111</v>
      </c>
      <c r="B22" s="453"/>
      <c r="C22" s="165">
        <v>0</v>
      </c>
      <c r="D22" s="165">
        <v>0</v>
      </c>
      <c r="E22" s="125">
        <f t="shared" si="3"/>
        <v>0</v>
      </c>
      <c r="F22" s="532">
        <f>'0664'!F22:G22</f>
        <v>5.4009999999999998</v>
      </c>
      <c r="G22" s="532"/>
      <c r="H22" s="83">
        <f t="shared" si="4"/>
        <v>0</v>
      </c>
      <c r="I22" s="104">
        <f t="shared" si="0"/>
        <v>0</v>
      </c>
      <c r="N22" s="479" t="s">
        <v>111</v>
      </c>
      <c r="O22" s="479"/>
      <c r="P22" s="513">
        <f t="shared" si="1"/>
        <v>0</v>
      </c>
      <c r="Q22" s="513"/>
      <c r="R22" s="517">
        <v>1</v>
      </c>
      <c r="S22" s="517"/>
      <c r="T22" s="98">
        <f t="shared" si="5"/>
        <v>0</v>
      </c>
      <c r="U22" s="99">
        <f t="shared" si="2"/>
        <v>0</v>
      </c>
    </row>
    <row r="23" spans="1:21" x14ac:dyDescent="0.25">
      <c r="A23" s="453" t="s">
        <v>112</v>
      </c>
      <c r="B23" s="453"/>
      <c r="C23" s="165">
        <v>0</v>
      </c>
      <c r="D23" s="165">
        <v>0</v>
      </c>
      <c r="E23" s="125">
        <f t="shared" si="3"/>
        <v>0</v>
      </c>
      <c r="F23" s="532">
        <f>'0664'!F23:G23</f>
        <v>5.4009999999999998</v>
      </c>
      <c r="G23" s="532"/>
      <c r="H23" s="83">
        <f t="shared" si="4"/>
        <v>0</v>
      </c>
      <c r="I23" s="104">
        <f t="shared" si="0"/>
        <v>0</v>
      </c>
      <c r="N23" s="479" t="s">
        <v>112</v>
      </c>
      <c r="O23" s="479"/>
      <c r="P23" s="513">
        <f t="shared" si="1"/>
        <v>0</v>
      </c>
      <c r="Q23" s="513"/>
      <c r="R23" s="517">
        <v>1</v>
      </c>
      <c r="S23" s="517"/>
      <c r="T23" s="98">
        <f t="shared" si="5"/>
        <v>0</v>
      </c>
      <c r="U23" s="99">
        <f t="shared" si="2"/>
        <v>0</v>
      </c>
    </row>
    <row r="24" spans="1:21" x14ac:dyDescent="0.25">
      <c r="A24" s="453" t="s">
        <v>113</v>
      </c>
      <c r="B24" s="453"/>
      <c r="C24" s="165">
        <v>0</v>
      </c>
      <c r="D24" s="165">
        <v>0</v>
      </c>
      <c r="E24" s="125">
        <f t="shared" si="3"/>
        <v>0</v>
      </c>
      <c r="F24" s="532">
        <f>'0664'!F24:G24</f>
        <v>5.4009999999999998</v>
      </c>
      <c r="G24" s="532"/>
      <c r="H24" s="83">
        <f t="shared" si="4"/>
        <v>0</v>
      </c>
      <c r="I24" s="104">
        <f t="shared" si="0"/>
        <v>0</v>
      </c>
      <c r="N24" s="479" t="s">
        <v>113</v>
      </c>
      <c r="O24" s="479"/>
      <c r="P24" s="513">
        <f t="shared" si="1"/>
        <v>0</v>
      </c>
      <c r="Q24" s="513"/>
      <c r="R24" s="517">
        <v>1</v>
      </c>
      <c r="S24" s="517"/>
      <c r="T24" s="98">
        <f t="shared" si="5"/>
        <v>0</v>
      </c>
      <c r="U24" s="99">
        <f t="shared" si="2"/>
        <v>0</v>
      </c>
    </row>
    <row r="25" spans="1:21" x14ac:dyDescent="0.25">
      <c r="A25" s="453" t="s">
        <v>114</v>
      </c>
      <c r="B25" s="453"/>
      <c r="C25" s="165">
        <v>0</v>
      </c>
      <c r="D25" s="165">
        <v>0</v>
      </c>
      <c r="E25" s="125">
        <f t="shared" si="3"/>
        <v>0</v>
      </c>
      <c r="F25" s="532">
        <f>'0664'!F25:G25</f>
        <v>1.206</v>
      </c>
      <c r="G25" s="532"/>
      <c r="H25" s="83">
        <f t="shared" si="4"/>
        <v>0</v>
      </c>
      <c r="I25" s="104">
        <f t="shared" si="0"/>
        <v>0</v>
      </c>
      <c r="N25" s="479" t="s">
        <v>114</v>
      </c>
      <c r="O25" s="479"/>
      <c r="P25" s="513">
        <f t="shared" si="1"/>
        <v>0</v>
      </c>
      <c r="Q25" s="513"/>
      <c r="R25" s="517">
        <v>1</v>
      </c>
      <c r="S25" s="517"/>
      <c r="T25" s="98">
        <f t="shared" si="5"/>
        <v>0</v>
      </c>
      <c r="U25" s="99">
        <f t="shared" si="2"/>
        <v>0</v>
      </c>
    </row>
    <row r="26" spans="1:21" x14ac:dyDescent="0.25">
      <c r="A26" s="453" t="s">
        <v>115</v>
      </c>
      <c r="B26" s="453"/>
      <c r="C26" s="165">
        <v>0</v>
      </c>
      <c r="D26" s="165">
        <v>0</v>
      </c>
      <c r="E26" s="125">
        <f t="shared" si="3"/>
        <v>0</v>
      </c>
      <c r="F26" s="532">
        <f>'0664'!F26:G26</f>
        <v>1.206</v>
      </c>
      <c r="G26" s="532"/>
      <c r="H26" s="83">
        <f t="shared" si="4"/>
        <v>0</v>
      </c>
      <c r="I26" s="104">
        <f t="shared" si="0"/>
        <v>0</v>
      </c>
      <c r="N26" s="479" t="s">
        <v>115</v>
      </c>
      <c r="O26" s="479"/>
      <c r="P26" s="513">
        <f t="shared" si="1"/>
        <v>0</v>
      </c>
      <c r="Q26" s="513"/>
      <c r="R26" s="517">
        <v>1</v>
      </c>
      <c r="S26" s="517"/>
      <c r="T26" s="98">
        <f t="shared" si="5"/>
        <v>0</v>
      </c>
      <c r="U26" s="99">
        <f t="shared" si="2"/>
        <v>0</v>
      </c>
    </row>
    <row r="27" spans="1:21" x14ac:dyDescent="0.25">
      <c r="A27" s="453" t="s">
        <v>116</v>
      </c>
      <c r="B27" s="453"/>
      <c r="C27" s="165">
        <v>4.91</v>
      </c>
      <c r="D27" s="165">
        <v>7.27</v>
      </c>
      <c r="E27" s="125">
        <f t="shared" si="3"/>
        <v>12.18</v>
      </c>
      <c r="F27" s="532">
        <f>'0664'!F27:G27</f>
        <v>1.206</v>
      </c>
      <c r="G27" s="532"/>
      <c r="H27" s="83">
        <f t="shared" si="4"/>
        <v>14.6891</v>
      </c>
      <c r="I27" s="104">
        <f t="shared" si="0"/>
        <v>70336.23</v>
      </c>
      <c r="N27" s="479" t="s">
        <v>116</v>
      </c>
      <c r="O27" s="479"/>
      <c r="P27" s="513">
        <f t="shared" si="1"/>
        <v>0</v>
      </c>
      <c r="Q27" s="513"/>
      <c r="R27" s="517">
        <v>1</v>
      </c>
      <c r="S27" s="517"/>
      <c r="T27" s="98">
        <f t="shared" si="5"/>
        <v>0</v>
      </c>
      <c r="U27" s="99">
        <f t="shared" si="2"/>
        <v>0</v>
      </c>
    </row>
    <row r="28" spans="1:21" x14ac:dyDescent="0.25">
      <c r="A28" s="453" t="s">
        <v>117</v>
      </c>
      <c r="B28" s="453"/>
      <c r="C28" s="116">
        <v>32.79</v>
      </c>
      <c r="D28" s="116">
        <v>31.55</v>
      </c>
      <c r="E28" s="125">
        <f t="shared" si="3"/>
        <v>64.34</v>
      </c>
      <c r="F28" s="532">
        <f>'0664'!F28:G28</f>
        <v>0.999</v>
      </c>
      <c r="G28" s="532"/>
      <c r="H28" s="96">
        <f t="shared" si="4"/>
        <v>64.275700000000001</v>
      </c>
      <c r="I28" s="97">
        <f t="shared" si="0"/>
        <v>307773.14</v>
      </c>
      <c r="N28" s="482" t="s">
        <v>117</v>
      </c>
      <c r="O28" s="482"/>
      <c r="P28" s="513">
        <f t="shared" si="1"/>
        <v>0</v>
      </c>
      <c r="Q28" s="513"/>
      <c r="R28" s="514">
        <v>1</v>
      </c>
      <c r="S28" s="514"/>
      <c r="T28" s="98">
        <f t="shared" si="5"/>
        <v>0</v>
      </c>
      <c r="U28" s="99">
        <f t="shared" si="2"/>
        <v>0</v>
      </c>
    </row>
    <row r="29" spans="1:21" x14ac:dyDescent="0.25">
      <c r="A29" s="461" t="s">
        <v>5</v>
      </c>
      <c r="B29" s="461"/>
      <c r="C29" s="97">
        <f>SUM(C13:C28)</f>
        <v>375.02000000000004</v>
      </c>
      <c r="D29" s="97">
        <f>SUM(D13:D28)</f>
        <v>364.08</v>
      </c>
      <c r="E29" s="100">
        <f>SUM(E13:E28)</f>
        <v>739.1</v>
      </c>
      <c r="F29" s="457"/>
      <c r="G29" s="457"/>
      <c r="H29" s="102">
        <f>SUM(H13:H28)</f>
        <v>740.88220000000013</v>
      </c>
      <c r="I29" s="97">
        <f>SUM(I13:I28)</f>
        <v>3547587.0700000003</v>
      </c>
      <c r="N29" s="515" t="s">
        <v>5</v>
      </c>
      <c r="O29" s="515"/>
      <c r="P29" s="516">
        <f>SUM(P13:P28)</f>
        <v>0</v>
      </c>
      <c r="Q29" s="516"/>
      <c r="R29" s="508"/>
      <c r="S29" s="508"/>
      <c r="T29" s="103">
        <f>SUM(T13:T28)</f>
        <v>0</v>
      </c>
      <c r="U29" s="99">
        <f>SUM(U13:U28)</f>
        <v>0</v>
      </c>
    </row>
    <row r="30" spans="1:21" x14ac:dyDescent="0.25">
      <c r="A30" s="27"/>
      <c r="B30" s="27"/>
      <c r="C30" s="104"/>
      <c r="D30" s="104"/>
      <c r="E30" s="104"/>
      <c r="F30" s="28"/>
      <c r="G30" s="28"/>
      <c r="H30" s="83"/>
      <c r="I30" s="104"/>
      <c r="N30" s="29"/>
      <c r="O30" s="29"/>
      <c r="P30" s="30"/>
      <c r="Q30" s="30"/>
      <c r="R30" s="31"/>
      <c r="S30" s="31"/>
      <c r="T30" s="105"/>
      <c r="U30" s="106"/>
    </row>
    <row r="31" spans="1:21" x14ac:dyDescent="0.25">
      <c r="A31" s="168" t="s">
        <v>97</v>
      </c>
      <c r="B31" s="27"/>
      <c r="C31" s="104"/>
      <c r="D31" s="104"/>
      <c r="E31" s="104"/>
      <c r="F31" s="28"/>
      <c r="G31" s="28"/>
      <c r="H31" s="83"/>
      <c r="I31" s="104"/>
      <c r="N31" s="29"/>
      <c r="O31" s="29"/>
      <c r="P31" s="30"/>
      <c r="Q31" s="30"/>
      <c r="R31" s="31"/>
      <c r="S31" s="31"/>
      <c r="T31" s="105"/>
      <c r="U31" s="106"/>
    </row>
    <row r="32" spans="1:21" hidden="1" x14ac:dyDescent="0.25">
      <c r="A32" s="168"/>
      <c r="B32" s="27"/>
      <c r="C32" s="104"/>
      <c r="D32" s="104"/>
      <c r="E32" s="104"/>
      <c r="F32" s="28"/>
      <c r="G32" s="28"/>
      <c r="H32" s="83"/>
      <c r="I32" s="104"/>
      <c r="N32" s="29"/>
      <c r="O32" s="29"/>
      <c r="P32" s="30"/>
      <c r="Q32" s="30"/>
      <c r="R32" s="31"/>
      <c r="S32" s="31"/>
      <c r="T32" s="105"/>
      <c r="U32" s="106"/>
    </row>
    <row r="33" spans="1:21" hidden="1" x14ac:dyDescent="0.25">
      <c r="A33" s="168"/>
      <c r="B33" s="27"/>
      <c r="C33" s="104"/>
      <c r="D33" s="104"/>
      <c r="E33" s="104"/>
      <c r="F33" s="541" t="s">
        <v>282</v>
      </c>
      <c r="G33" s="541"/>
      <c r="H33" s="541"/>
      <c r="I33" s="104"/>
      <c r="N33" s="29"/>
      <c r="O33" s="29"/>
      <c r="P33" s="30"/>
      <c r="Q33" s="30"/>
      <c r="R33" s="31"/>
      <c r="S33" s="31"/>
      <c r="T33" s="105"/>
      <c r="U33" s="106"/>
    </row>
    <row r="34" spans="1:21" hidden="1" x14ac:dyDescent="0.25">
      <c r="A34" s="3"/>
      <c r="B34" s="72"/>
      <c r="C34" s="72"/>
      <c r="D34" s="72"/>
      <c r="E34" s="72"/>
      <c r="F34" s="541"/>
      <c r="G34" s="541"/>
      <c r="H34" s="541"/>
      <c r="I34" s="25" t="s">
        <v>74</v>
      </c>
      <c r="N34" s="485" t="s">
        <v>35</v>
      </c>
      <c r="O34" s="485"/>
      <c r="P34" s="485"/>
      <c r="Q34" s="485"/>
      <c r="R34" s="485"/>
      <c r="S34" s="485"/>
      <c r="T34" s="485"/>
      <c r="U34" s="26" t="s">
        <v>74</v>
      </c>
    </row>
    <row r="35" spans="1:21" hidden="1" x14ac:dyDescent="0.25">
      <c r="A35" s="27"/>
      <c r="B35" s="27"/>
      <c r="C35" s="91" t="s">
        <v>124</v>
      </c>
      <c r="D35" s="91" t="s">
        <v>125</v>
      </c>
      <c r="E35" s="92" t="s">
        <v>8</v>
      </c>
      <c r="F35" s="541"/>
      <c r="G35" s="541"/>
      <c r="H35" s="541"/>
      <c r="I35" s="25" t="s">
        <v>36</v>
      </c>
      <c r="N35" s="29"/>
      <c r="O35" s="29"/>
      <c r="P35" s="30"/>
      <c r="Q35" s="30"/>
      <c r="R35" s="31"/>
      <c r="S35" s="31"/>
      <c r="T35" s="105"/>
      <c r="U35" s="26" t="s">
        <v>36</v>
      </c>
    </row>
    <row r="36" spans="1:21" hidden="1" x14ac:dyDescent="0.25">
      <c r="A36" s="447" t="s">
        <v>63</v>
      </c>
      <c r="B36" s="447"/>
      <c r="C36" s="93" t="s">
        <v>2</v>
      </c>
      <c r="D36" s="93" t="s">
        <v>2</v>
      </c>
      <c r="E36" s="93" t="s">
        <v>2</v>
      </c>
      <c r="F36" s="542"/>
      <c r="G36" s="542"/>
      <c r="H36" s="542"/>
      <c r="I36" s="32" t="s">
        <v>75</v>
      </c>
      <c r="N36" s="510" t="s">
        <v>63</v>
      </c>
      <c r="O36" s="510"/>
      <c r="P36" s="511" t="s">
        <v>24</v>
      </c>
      <c r="Q36" s="511"/>
      <c r="R36" s="511"/>
      <c r="S36" s="511"/>
      <c r="T36" s="511"/>
      <c r="U36" s="20" t="s">
        <v>75</v>
      </c>
    </row>
    <row r="37" spans="1:21" hidden="1" x14ac:dyDescent="0.25">
      <c r="A37" s="451" t="s">
        <v>56</v>
      </c>
      <c r="B37" s="451"/>
      <c r="C37" s="169">
        <v>0</v>
      </c>
      <c r="D37" s="169">
        <v>0</v>
      </c>
      <c r="E37" s="210">
        <f t="shared" ref="E37:E42" si="6">IF(D$43=0,C37*2,C37+D37)</f>
        <v>0</v>
      </c>
      <c r="F37" s="170"/>
      <c r="G37" s="170"/>
      <c r="H37" s="170"/>
      <c r="I37" s="119">
        <f t="shared" ref="I37:I42" si="7">ROUND(ROUND(E37*$C$8,4)*($H$8),2)</f>
        <v>0</v>
      </c>
      <c r="N37" s="512" t="s">
        <v>56</v>
      </c>
      <c r="O37" s="512"/>
      <c r="P37" s="483">
        <f t="shared" ref="P37:P42" si="8">IF($H$120=1,E37,0)</f>
        <v>0</v>
      </c>
      <c r="Q37" s="483"/>
      <c r="R37" s="483"/>
      <c r="S37" s="483"/>
      <c r="T37" s="483"/>
      <c r="U37" s="101">
        <f t="shared" ref="U37:U42" si="9">ROUND(ROUND(P37*$C$8,4)*($H$8),0)</f>
        <v>0</v>
      </c>
    </row>
    <row r="38" spans="1:21" hidden="1" x14ac:dyDescent="0.25">
      <c r="A38" s="453" t="s">
        <v>57</v>
      </c>
      <c r="B38" s="453"/>
      <c r="C38" s="172">
        <v>0</v>
      </c>
      <c r="D38" s="172">
        <v>0</v>
      </c>
      <c r="E38" s="125">
        <f t="shared" si="6"/>
        <v>0</v>
      </c>
      <c r="F38" s="173"/>
      <c r="G38" s="173"/>
      <c r="H38" s="173"/>
      <c r="I38" s="104">
        <f t="shared" si="7"/>
        <v>0</v>
      </c>
      <c r="N38" s="479" t="s">
        <v>57</v>
      </c>
      <c r="O38" s="479"/>
      <c r="P38" s="483">
        <f t="shared" si="8"/>
        <v>0</v>
      </c>
      <c r="Q38" s="483"/>
      <c r="R38" s="483"/>
      <c r="S38" s="483"/>
      <c r="T38" s="483"/>
      <c r="U38" s="101">
        <f t="shared" si="9"/>
        <v>0</v>
      </c>
    </row>
    <row r="39" spans="1:21" hidden="1" x14ac:dyDescent="0.25">
      <c r="A39" s="458" t="s">
        <v>58</v>
      </c>
      <c r="B39" s="458"/>
      <c r="C39" s="172">
        <v>0</v>
      </c>
      <c r="D39" s="172">
        <v>0</v>
      </c>
      <c r="E39" s="125">
        <f t="shared" si="6"/>
        <v>0</v>
      </c>
      <c r="F39" s="173"/>
      <c r="G39" s="173"/>
      <c r="H39" s="173"/>
      <c r="I39" s="104">
        <f t="shared" si="7"/>
        <v>0</v>
      </c>
      <c r="N39" s="509" t="s">
        <v>58</v>
      </c>
      <c r="O39" s="509"/>
      <c r="P39" s="483">
        <f t="shared" si="8"/>
        <v>0</v>
      </c>
      <c r="Q39" s="483"/>
      <c r="R39" s="483"/>
      <c r="S39" s="483"/>
      <c r="T39" s="483"/>
      <c r="U39" s="101">
        <f t="shared" si="9"/>
        <v>0</v>
      </c>
    </row>
    <row r="40" spans="1:21" hidden="1" x14ac:dyDescent="0.25">
      <c r="A40" s="453" t="s">
        <v>59</v>
      </c>
      <c r="B40" s="453"/>
      <c r="C40" s="172">
        <v>0</v>
      </c>
      <c r="D40" s="172">
        <v>0</v>
      </c>
      <c r="E40" s="125">
        <f t="shared" si="6"/>
        <v>0</v>
      </c>
      <c r="F40" s="173"/>
      <c r="G40" s="173"/>
      <c r="H40" s="173"/>
      <c r="I40" s="104">
        <f t="shared" si="7"/>
        <v>0</v>
      </c>
      <c r="N40" s="479" t="s">
        <v>59</v>
      </c>
      <c r="O40" s="479"/>
      <c r="P40" s="483">
        <f t="shared" si="8"/>
        <v>0</v>
      </c>
      <c r="Q40" s="483"/>
      <c r="R40" s="483"/>
      <c r="S40" s="483"/>
      <c r="T40" s="483"/>
      <c r="U40" s="101">
        <f t="shared" si="9"/>
        <v>0</v>
      </c>
    </row>
    <row r="41" spans="1:21" hidden="1" x14ac:dyDescent="0.25">
      <c r="A41" s="453" t="s">
        <v>60</v>
      </c>
      <c r="B41" s="453"/>
      <c r="C41" s="172">
        <v>0</v>
      </c>
      <c r="D41" s="172">
        <v>0</v>
      </c>
      <c r="E41" s="125">
        <f t="shared" si="6"/>
        <v>0</v>
      </c>
      <c r="F41" s="173"/>
      <c r="G41" s="173"/>
      <c r="H41" s="173"/>
      <c r="I41" s="104">
        <f t="shared" si="7"/>
        <v>0</v>
      </c>
      <c r="N41" s="479" t="s">
        <v>60</v>
      </c>
      <c r="O41" s="479"/>
      <c r="P41" s="483">
        <f t="shared" si="8"/>
        <v>0</v>
      </c>
      <c r="Q41" s="483"/>
      <c r="R41" s="483"/>
      <c r="S41" s="483"/>
      <c r="T41" s="483"/>
      <c r="U41" s="101">
        <f t="shared" si="9"/>
        <v>0</v>
      </c>
    </row>
    <row r="42" spans="1:21" hidden="1" x14ac:dyDescent="0.25">
      <c r="A42" s="453" t="s">
        <v>52</v>
      </c>
      <c r="B42" s="453"/>
      <c r="C42" s="171">
        <v>0</v>
      </c>
      <c r="D42" s="171">
        <v>0</v>
      </c>
      <c r="E42" s="177">
        <f t="shared" si="6"/>
        <v>0</v>
      </c>
      <c r="F42" s="173"/>
      <c r="G42" s="173"/>
      <c r="H42" s="173"/>
      <c r="I42" s="97">
        <f t="shared" si="7"/>
        <v>0</v>
      </c>
      <c r="N42" s="482" t="s">
        <v>52</v>
      </c>
      <c r="O42" s="482"/>
      <c r="P42" s="483">
        <f t="shared" si="8"/>
        <v>0</v>
      </c>
      <c r="Q42" s="483"/>
      <c r="R42" s="483"/>
      <c r="S42" s="483"/>
      <c r="T42" s="483"/>
      <c r="U42" s="101">
        <f t="shared" si="9"/>
        <v>0</v>
      </c>
    </row>
    <row r="43" spans="1:21" hidden="1" x14ac:dyDescent="0.25">
      <c r="A43" s="3"/>
      <c r="B43" s="55" t="s">
        <v>126</v>
      </c>
      <c r="C43" s="100">
        <f>SUM(C37:C42)</f>
        <v>0</v>
      </c>
      <c r="D43" s="100">
        <f>SUM(D37:D42)</f>
        <v>0</v>
      </c>
      <c r="E43" s="100">
        <f>SUM(E37:E42)</f>
        <v>0</v>
      </c>
      <c r="F43" s="33"/>
      <c r="G43" s="109"/>
      <c r="H43" s="110" t="s">
        <v>128</v>
      </c>
      <c r="I43" s="100">
        <f>SUM(I37:I42)</f>
        <v>0</v>
      </c>
      <c r="N43" s="480" t="s">
        <v>54</v>
      </c>
      <c r="O43" s="480"/>
      <c r="P43" s="480"/>
      <c r="Q43" s="480"/>
      <c r="R43" s="34">
        <f>SUM(P37:R42)</f>
        <v>0</v>
      </c>
      <c r="S43" s="508" t="s">
        <v>64</v>
      </c>
      <c r="T43" s="508"/>
      <c r="U43" s="106">
        <f>SUM(U37:U42)</f>
        <v>0</v>
      </c>
    </row>
    <row r="44" spans="1:21" ht="16.5" hidden="1" thickBot="1" x14ac:dyDescent="0.3">
      <c r="A44" s="3"/>
      <c r="B44" s="55"/>
      <c r="C44" s="104"/>
      <c r="D44" s="104"/>
      <c r="E44" s="119"/>
      <c r="F44" s="33"/>
      <c r="G44" s="109"/>
      <c r="H44" s="110"/>
      <c r="I44" s="104"/>
      <c r="N44" s="29"/>
      <c r="O44" s="29"/>
      <c r="P44" s="29"/>
      <c r="Q44" s="29"/>
      <c r="R44" s="34"/>
      <c r="S44" s="31"/>
      <c r="T44" s="31"/>
      <c r="U44" s="106"/>
    </row>
    <row r="45" spans="1:21" ht="16.5" hidden="1" thickBot="1" x14ac:dyDescent="0.3">
      <c r="A45" s="3"/>
      <c r="B45" s="55" t="s">
        <v>127</v>
      </c>
      <c r="E45" s="174">
        <f>H29+E43</f>
        <v>740.88220000000013</v>
      </c>
      <c r="F45" s="35"/>
      <c r="G45" s="109"/>
      <c r="H45" s="110" t="s">
        <v>129</v>
      </c>
      <c r="I45" s="97">
        <f>SUM(I43,I29)</f>
        <v>3547587.0700000003</v>
      </c>
      <c r="N45" s="480" t="s">
        <v>55</v>
      </c>
      <c r="O45" s="480"/>
      <c r="P45" s="480"/>
      <c r="Q45" s="480"/>
      <c r="R45" s="36">
        <f>R43+T29</f>
        <v>0</v>
      </c>
      <c r="S45" s="508" t="s">
        <v>53</v>
      </c>
      <c r="T45" s="508"/>
      <c r="U45" s="111">
        <f>SUM(U43,U29)</f>
        <v>0</v>
      </c>
    </row>
    <row r="46" spans="1:21" hidden="1" x14ac:dyDescent="0.25">
      <c r="A46" s="27"/>
      <c r="B46" s="27"/>
      <c r="C46" s="27"/>
      <c r="D46" s="27"/>
      <c r="E46" s="27"/>
      <c r="F46" s="35"/>
      <c r="G46" s="28"/>
      <c r="H46" s="28"/>
      <c r="I46" s="104"/>
      <c r="N46" s="29"/>
      <c r="O46" s="29"/>
      <c r="P46" s="29"/>
      <c r="Q46" s="29"/>
      <c r="R46" s="36"/>
      <c r="S46" s="31"/>
      <c r="T46" s="31"/>
      <c r="U46" s="106"/>
    </row>
    <row r="47" spans="1:21" x14ac:dyDescent="0.25">
      <c r="A47" s="27"/>
      <c r="B47" s="55" t="s">
        <v>370</v>
      </c>
      <c r="C47" s="372" t="s">
        <v>370</v>
      </c>
      <c r="D47" s="372" t="s">
        <v>370</v>
      </c>
      <c r="E47" s="27"/>
      <c r="F47" s="35"/>
      <c r="G47" s="28"/>
      <c r="H47" s="28"/>
      <c r="I47" s="104"/>
      <c r="N47" s="29"/>
      <c r="O47" s="29"/>
      <c r="P47" s="29"/>
      <c r="Q47" s="29"/>
      <c r="R47" s="36"/>
      <c r="S47" s="31"/>
      <c r="T47" s="31"/>
      <c r="U47" s="106"/>
    </row>
    <row r="48" spans="1:21" x14ac:dyDescent="0.25">
      <c r="A48" s="27"/>
      <c r="B48" s="27"/>
      <c r="C48" s="91" t="s">
        <v>463</v>
      </c>
      <c r="D48" s="371" t="s">
        <v>464</v>
      </c>
      <c r="E48" s="92" t="s">
        <v>8</v>
      </c>
      <c r="F48" s="49" t="s">
        <v>130</v>
      </c>
      <c r="G48" s="112" t="s">
        <v>132</v>
      </c>
      <c r="H48" s="113" t="s">
        <v>133</v>
      </c>
      <c r="I48" s="104"/>
      <c r="N48" s="29"/>
      <c r="O48" s="29"/>
      <c r="P48" s="29"/>
      <c r="Q48" s="29"/>
      <c r="R48" s="36"/>
      <c r="S48" s="31"/>
      <c r="T48" s="31"/>
      <c r="U48" s="106"/>
    </row>
    <row r="49" spans="1:21" x14ac:dyDescent="0.25">
      <c r="A49" s="37" t="s">
        <v>87</v>
      </c>
      <c r="B49" s="37"/>
      <c r="C49" s="362" t="s">
        <v>2</v>
      </c>
      <c r="D49" s="362" t="s">
        <v>2</v>
      </c>
      <c r="E49" s="362" t="s">
        <v>2</v>
      </c>
      <c r="F49" s="95" t="s">
        <v>131</v>
      </c>
      <c r="G49" s="62" t="s">
        <v>131</v>
      </c>
      <c r="H49" s="114" t="s">
        <v>134</v>
      </c>
      <c r="I49" s="37"/>
      <c r="N49" s="482" t="s">
        <v>87</v>
      </c>
      <c r="O49" s="482"/>
      <c r="P49" s="503" t="s">
        <v>2</v>
      </c>
      <c r="Q49" s="503"/>
      <c r="R49" s="38" t="s">
        <v>25</v>
      </c>
      <c r="S49" s="63" t="s">
        <v>26</v>
      </c>
      <c r="T49" s="115" t="s">
        <v>27</v>
      </c>
      <c r="U49" s="38"/>
    </row>
    <row r="50" spans="1:21" x14ac:dyDescent="0.25">
      <c r="A50" s="459" t="s">
        <v>98</v>
      </c>
      <c r="B50" s="459"/>
      <c r="C50" s="165">
        <v>0</v>
      </c>
      <c r="D50" s="165">
        <v>0</v>
      </c>
      <c r="E50" s="125">
        <f>IF(D$59=0,C50*2,C50+D50)</f>
        <v>0</v>
      </c>
      <c r="F50" s="39" t="s">
        <v>21</v>
      </c>
      <c r="G50" s="39">
        <v>251</v>
      </c>
      <c r="H50" s="321">
        <f>'0664'!H50</f>
        <v>1047</v>
      </c>
      <c r="I50" s="104">
        <f>ROUND(E50*H50,2)</f>
        <v>0</v>
      </c>
      <c r="N50" s="504" t="s">
        <v>28</v>
      </c>
      <c r="O50" s="504"/>
      <c r="P50" s="505"/>
      <c r="Q50" s="505"/>
      <c r="R50" s="40" t="s">
        <v>21</v>
      </c>
      <c r="S50" s="40">
        <v>251</v>
      </c>
      <c r="T50" s="117">
        <f>H50</f>
        <v>1047</v>
      </c>
      <c r="U50" s="118">
        <f>ROUND(P50*T50,0)</f>
        <v>0</v>
      </c>
    </row>
    <row r="51" spans="1:21" x14ac:dyDescent="0.25">
      <c r="A51" s="460"/>
      <c r="B51" s="460"/>
      <c r="C51" s="165">
        <v>0</v>
      </c>
      <c r="D51" s="165">
        <v>0</v>
      </c>
      <c r="E51" s="125">
        <f t="shared" ref="E51:E58" si="10">IF(D$59=0,C51*2,C51+D51)</f>
        <v>0</v>
      </c>
      <c r="F51" s="39" t="s">
        <v>21</v>
      </c>
      <c r="G51" s="39">
        <v>252</v>
      </c>
      <c r="H51" s="321">
        <f>'0664'!H51</f>
        <v>3380</v>
      </c>
      <c r="I51" s="104">
        <f t="shared" ref="I51:I58" si="11">ROUND(E51*H51,2)</f>
        <v>0</v>
      </c>
      <c r="N51" s="504"/>
      <c r="O51" s="504"/>
      <c r="P51" s="506"/>
      <c r="Q51" s="506"/>
      <c r="R51" s="40" t="s">
        <v>21</v>
      </c>
      <c r="S51" s="40">
        <v>252</v>
      </c>
      <c r="T51" s="117">
        <f t="shared" ref="T51:T58" si="12">H51</f>
        <v>3380</v>
      </c>
      <c r="U51" s="118">
        <f t="shared" ref="U51:U58" si="13">ROUND(P51*T51,0)</f>
        <v>0</v>
      </c>
    </row>
    <row r="52" spans="1:21" x14ac:dyDescent="0.25">
      <c r="A52" s="460"/>
      <c r="B52" s="460"/>
      <c r="C52" s="165">
        <v>0</v>
      </c>
      <c r="D52" s="165">
        <v>0</v>
      </c>
      <c r="E52" s="125">
        <f t="shared" si="10"/>
        <v>0</v>
      </c>
      <c r="F52" s="39" t="s">
        <v>21</v>
      </c>
      <c r="G52" s="39">
        <v>253</v>
      </c>
      <c r="H52" s="321">
        <f>'0664'!H52</f>
        <v>6896</v>
      </c>
      <c r="I52" s="104">
        <f t="shared" si="11"/>
        <v>0</v>
      </c>
      <c r="N52" s="504"/>
      <c r="O52" s="504"/>
      <c r="P52" s="506"/>
      <c r="Q52" s="506"/>
      <c r="R52" s="40" t="s">
        <v>21</v>
      </c>
      <c r="S52" s="40">
        <v>253</v>
      </c>
      <c r="T52" s="117">
        <f t="shared" si="12"/>
        <v>6896</v>
      </c>
      <c r="U52" s="118">
        <f t="shared" si="13"/>
        <v>0</v>
      </c>
    </row>
    <row r="53" spans="1:21" x14ac:dyDescent="0.25">
      <c r="A53" s="460"/>
      <c r="B53" s="460"/>
      <c r="C53" s="165">
        <v>0</v>
      </c>
      <c r="D53" s="165">
        <v>0</v>
      </c>
      <c r="E53" s="125">
        <f t="shared" si="10"/>
        <v>0</v>
      </c>
      <c r="F53" s="41" t="s">
        <v>14</v>
      </c>
      <c r="G53" s="39">
        <v>251</v>
      </c>
      <c r="H53" s="321">
        <f>'0664'!H53</f>
        <v>1173</v>
      </c>
      <c r="I53" s="104">
        <f t="shared" si="11"/>
        <v>0</v>
      </c>
      <c r="N53" s="504"/>
      <c r="O53" s="504"/>
      <c r="P53" s="506"/>
      <c r="Q53" s="506"/>
      <c r="R53" s="42" t="s">
        <v>14</v>
      </c>
      <c r="S53" s="40">
        <v>251</v>
      </c>
      <c r="T53" s="117">
        <f t="shared" si="12"/>
        <v>1173</v>
      </c>
      <c r="U53" s="118">
        <f t="shared" si="13"/>
        <v>0</v>
      </c>
    </row>
    <row r="54" spans="1:21" x14ac:dyDescent="0.25">
      <c r="A54" s="460"/>
      <c r="B54" s="460"/>
      <c r="C54" s="165">
        <v>0</v>
      </c>
      <c r="D54" s="165">
        <v>0</v>
      </c>
      <c r="E54" s="125">
        <f t="shared" si="10"/>
        <v>0</v>
      </c>
      <c r="F54" s="41" t="s">
        <v>14</v>
      </c>
      <c r="G54" s="39">
        <v>252</v>
      </c>
      <c r="H54" s="321">
        <f>'0664'!H54</f>
        <v>3506</v>
      </c>
      <c r="I54" s="104">
        <f t="shared" si="11"/>
        <v>0</v>
      </c>
      <c r="N54" s="504"/>
      <c r="O54" s="504"/>
      <c r="P54" s="506"/>
      <c r="Q54" s="506"/>
      <c r="R54" s="42" t="s">
        <v>14</v>
      </c>
      <c r="S54" s="40">
        <v>252</v>
      </c>
      <c r="T54" s="117">
        <f t="shared" si="12"/>
        <v>3506</v>
      </c>
      <c r="U54" s="118">
        <f t="shared" si="13"/>
        <v>0</v>
      </c>
    </row>
    <row r="55" spans="1:21" x14ac:dyDescent="0.25">
      <c r="A55" s="460"/>
      <c r="B55" s="460"/>
      <c r="C55" s="165">
        <v>0</v>
      </c>
      <c r="D55" s="165">
        <v>0</v>
      </c>
      <c r="E55" s="125">
        <f t="shared" si="10"/>
        <v>0</v>
      </c>
      <c r="F55" s="41" t="s">
        <v>14</v>
      </c>
      <c r="G55" s="39">
        <v>253</v>
      </c>
      <c r="H55" s="321">
        <f>'0664'!H55</f>
        <v>7023</v>
      </c>
      <c r="I55" s="104">
        <f t="shared" si="11"/>
        <v>0</v>
      </c>
      <c r="N55" s="504"/>
      <c r="O55" s="504"/>
      <c r="P55" s="506"/>
      <c r="Q55" s="506"/>
      <c r="R55" s="42" t="s">
        <v>14</v>
      </c>
      <c r="S55" s="40">
        <v>253</v>
      </c>
      <c r="T55" s="117">
        <f t="shared" si="12"/>
        <v>7023</v>
      </c>
      <c r="U55" s="118">
        <f t="shared" si="13"/>
        <v>0</v>
      </c>
    </row>
    <row r="56" spans="1:21" x14ac:dyDescent="0.25">
      <c r="A56" s="460"/>
      <c r="B56" s="460"/>
      <c r="C56" s="165">
        <v>39.5</v>
      </c>
      <c r="D56" s="165">
        <v>40.36</v>
      </c>
      <c r="E56" s="125">
        <f t="shared" si="10"/>
        <v>79.86</v>
      </c>
      <c r="F56" s="41" t="s">
        <v>15</v>
      </c>
      <c r="G56" s="39">
        <v>251</v>
      </c>
      <c r="H56" s="321">
        <f>'0664'!H56</f>
        <v>835</v>
      </c>
      <c r="I56" s="104">
        <f t="shared" si="11"/>
        <v>66683.100000000006</v>
      </c>
      <c r="N56" s="504"/>
      <c r="O56" s="504"/>
      <c r="P56" s="506"/>
      <c r="Q56" s="506"/>
      <c r="R56" s="42" t="s">
        <v>15</v>
      </c>
      <c r="S56" s="40">
        <v>251</v>
      </c>
      <c r="T56" s="117">
        <f t="shared" si="12"/>
        <v>835</v>
      </c>
      <c r="U56" s="118">
        <f t="shared" si="13"/>
        <v>0</v>
      </c>
    </row>
    <row r="57" spans="1:21" x14ac:dyDescent="0.25">
      <c r="A57" s="460"/>
      <c r="B57" s="460"/>
      <c r="C57" s="165">
        <v>2</v>
      </c>
      <c r="D57" s="165">
        <v>2.04</v>
      </c>
      <c r="E57" s="125">
        <f t="shared" si="10"/>
        <v>4.04</v>
      </c>
      <c r="F57" s="41" t="s">
        <v>15</v>
      </c>
      <c r="G57" s="39">
        <v>252</v>
      </c>
      <c r="H57" s="321">
        <f>'0664'!H57</f>
        <v>3168</v>
      </c>
      <c r="I57" s="104">
        <f t="shared" si="11"/>
        <v>12798.72</v>
      </c>
      <c r="N57" s="504"/>
      <c r="O57" s="504"/>
      <c r="P57" s="506"/>
      <c r="Q57" s="506"/>
      <c r="R57" s="42" t="s">
        <v>15</v>
      </c>
      <c r="S57" s="40">
        <v>252</v>
      </c>
      <c r="T57" s="117">
        <f t="shared" si="12"/>
        <v>3168</v>
      </c>
      <c r="U57" s="118">
        <f t="shared" si="13"/>
        <v>0</v>
      </c>
    </row>
    <row r="58" spans="1:21" ht="16.5" thickBot="1" x14ac:dyDescent="0.3">
      <c r="A58" s="460"/>
      <c r="B58" s="460"/>
      <c r="C58" s="165">
        <v>0</v>
      </c>
      <c r="D58" s="165">
        <v>0</v>
      </c>
      <c r="E58" s="125">
        <f t="shared" si="10"/>
        <v>0</v>
      </c>
      <c r="F58" s="41" t="s">
        <v>15</v>
      </c>
      <c r="G58" s="39">
        <v>253</v>
      </c>
      <c r="H58" s="321">
        <f>'0664'!H58</f>
        <v>6685</v>
      </c>
      <c r="I58" s="104">
        <f t="shared" si="11"/>
        <v>0</v>
      </c>
      <c r="N58" s="504"/>
      <c r="O58" s="504"/>
      <c r="P58" s="507"/>
      <c r="Q58" s="507"/>
      <c r="R58" s="42" t="s">
        <v>15</v>
      </c>
      <c r="S58" s="40">
        <v>253</v>
      </c>
      <c r="T58" s="117">
        <f t="shared" si="12"/>
        <v>6685</v>
      </c>
      <c r="U58" s="120">
        <f t="shared" si="13"/>
        <v>0</v>
      </c>
    </row>
    <row r="59" spans="1:21" ht="16.5" thickBot="1" x14ac:dyDescent="0.3">
      <c r="A59" s="461" t="s">
        <v>16</v>
      </c>
      <c r="B59" s="461"/>
      <c r="C59" s="100">
        <f>SUM(C50:C58)</f>
        <v>41.5</v>
      </c>
      <c r="D59" s="100">
        <f>SUM(D50:D58)</f>
        <v>42.4</v>
      </c>
      <c r="E59" s="100">
        <f>SUM(E50:E58)</f>
        <v>83.9</v>
      </c>
      <c r="F59" s="461" t="s">
        <v>77</v>
      </c>
      <c r="G59" s="461"/>
      <c r="H59" s="461"/>
      <c r="I59" s="100">
        <f>SUM(I50:I58)</f>
        <v>79481.820000000007</v>
      </c>
      <c r="N59" s="480" t="s">
        <v>16</v>
      </c>
      <c r="O59" s="480"/>
      <c r="P59" s="502">
        <f>SUM(P50:P58)</f>
        <v>0</v>
      </c>
      <c r="Q59" s="502"/>
      <c r="R59" s="480" t="s">
        <v>77</v>
      </c>
      <c r="S59" s="480"/>
      <c r="T59" s="480"/>
      <c r="U59" s="111">
        <f>SUM(U50:U58)</f>
        <v>0</v>
      </c>
    </row>
    <row r="60" spans="1:21" x14ac:dyDescent="0.25">
      <c r="A60" s="462"/>
      <c r="B60" s="462"/>
      <c r="C60" s="462"/>
      <c r="D60" s="462"/>
      <c r="E60" s="462"/>
      <c r="F60" s="462"/>
      <c r="G60" s="462"/>
      <c r="H60" s="462"/>
      <c r="I60" s="462"/>
      <c r="N60" s="484"/>
      <c r="O60" s="484"/>
      <c r="P60" s="484"/>
      <c r="Q60" s="484"/>
      <c r="R60" s="484"/>
      <c r="S60" s="484"/>
      <c r="T60" s="484"/>
      <c r="U60" s="484"/>
    </row>
    <row r="61" spans="1:21" x14ac:dyDescent="0.25">
      <c r="A61" s="463" t="s">
        <v>136</v>
      </c>
      <c r="B61" s="453"/>
      <c r="C61" s="453"/>
      <c r="D61" s="453"/>
      <c r="E61" s="453"/>
      <c r="F61" s="453"/>
      <c r="G61" s="453"/>
      <c r="H61" s="453"/>
      <c r="I61" s="453"/>
      <c r="N61" s="479" t="s">
        <v>88</v>
      </c>
      <c r="O61" s="479"/>
      <c r="P61" s="479"/>
      <c r="Q61" s="479"/>
      <c r="R61" s="479"/>
      <c r="S61" s="479"/>
      <c r="T61" s="479"/>
      <c r="U61" s="479"/>
    </row>
    <row r="62" spans="1:21" x14ac:dyDescent="0.25">
      <c r="A62" s="463" t="s">
        <v>138</v>
      </c>
      <c r="B62" s="453"/>
      <c r="C62" s="121">
        <f>E29</f>
        <v>739.1</v>
      </c>
      <c r="D62" s="464" t="s">
        <v>135</v>
      </c>
      <c r="E62" s="464"/>
      <c r="F62" s="464"/>
      <c r="G62" s="464"/>
      <c r="H62" s="335">
        <f>'0664'!H62</f>
        <v>193340.76</v>
      </c>
      <c r="I62" s="122"/>
      <c r="N62" s="478" t="s">
        <v>312</v>
      </c>
      <c r="O62" s="479"/>
      <c r="P62" s="43">
        <f>P29</f>
        <v>0</v>
      </c>
      <c r="Q62" s="498" t="s">
        <v>78</v>
      </c>
      <c r="R62" s="498"/>
      <c r="S62" s="498"/>
      <c r="T62" s="497">
        <f>H62</f>
        <v>193340.76</v>
      </c>
      <c r="U62" s="497"/>
    </row>
    <row r="63" spans="1:21" x14ac:dyDescent="0.25">
      <c r="B63" s="72"/>
      <c r="G63" s="44" t="s">
        <v>13</v>
      </c>
      <c r="H63" s="123">
        <f>ROUND(C62/H62,6)</f>
        <v>3.823E-3</v>
      </c>
      <c r="I63" s="124"/>
      <c r="N63" s="479" t="s">
        <v>19</v>
      </c>
      <c r="O63" s="479"/>
      <c r="P63" s="479"/>
      <c r="Q63" s="479"/>
      <c r="R63" s="479"/>
      <c r="S63" s="479"/>
      <c r="T63" s="501">
        <f>ROUND(P62/T62,6)</f>
        <v>0</v>
      </c>
      <c r="U63" s="501"/>
    </row>
    <row r="64" spans="1:21" x14ac:dyDescent="0.25">
      <c r="A64" s="463" t="s">
        <v>137</v>
      </c>
      <c r="B64" s="453"/>
      <c r="C64" s="453"/>
      <c r="D64" s="453"/>
      <c r="E64" s="453"/>
      <c r="F64" s="453"/>
      <c r="G64" s="453"/>
      <c r="H64" s="453"/>
      <c r="I64" s="453"/>
      <c r="N64" s="479" t="s">
        <v>89</v>
      </c>
      <c r="O64" s="479"/>
      <c r="P64" s="479"/>
      <c r="Q64" s="479"/>
      <c r="R64" s="479"/>
      <c r="S64" s="479"/>
      <c r="T64" s="479"/>
      <c r="U64" s="479"/>
    </row>
    <row r="65" spans="1:21" x14ac:dyDescent="0.25">
      <c r="A65" s="463" t="s">
        <v>139</v>
      </c>
      <c r="B65" s="453"/>
      <c r="C65" s="121">
        <f>E45</f>
        <v>740.88220000000013</v>
      </c>
      <c r="D65" s="464" t="s">
        <v>140</v>
      </c>
      <c r="E65" s="464"/>
      <c r="F65" s="464"/>
      <c r="G65" s="464"/>
      <c r="H65" s="336">
        <f>'0664'!H65</f>
        <v>216845.88</v>
      </c>
      <c r="I65" s="125"/>
      <c r="N65" s="479" t="s">
        <v>80</v>
      </c>
      <c r="O65" s="479"/>
      <c r="P65" s="43">
        <f>R45</f>
        <v>0</v>
      </c>
      <c r="Q65" s="498" t="s">
        <v>79</v>
      </c>
      <c r="R65" s="498"/>
      <c r="S65" s="498"/>
      <c r="T65" s="497">
        <f>H65</f>
        <v>216845.88</v>
      </c>
      <c r="U65" s="497"/>
    </row>
    <row r="66" spans="1:21" s="37" customFormat="1" x14ac:dyDescent="0.25">
      <c r="A66" s="126"/>
      <c r="G66" s="45" t="s">
        <v>13</v>
      </c>
      <c r="H66" s="127">
        <f>ROUND(C65/H65,6)</f>
        <v>3.4169999999999999E-3</v>
      </c>
      <c r="I66" s="127"/>
      <c r="N66" s="482" t="s">
        <v>20</v>
      </c>
      <c r="O66" s="482"/>
      <c r="P66" s="482"/>
      <c r="Q66" s="482"/>
      <c r="R66" s="482"/>
      <c r="S66" s="482"/>
      <c r="T66" s="500">
        <f>ROUND(P65/T65,6)</f>
        <v>0</v>
      </c>
      <c r="U66" s="500"/>
    </row>
    <row r="67" spans="1:21" x14ac:dyDescent="0.25">
      <c r="G67" s="44"/>
      <c r="H67" s="123"/>
      <c r="I67" s="123"/>
      <c r="N67" s="48"/>
      <c r="O67" s="48"/>
      <c r="P67" s="48"/>
      <c r="Q67" s="48"/>
      <c r="R67" s="128"/>
      <c r="S67" s="48"/>
      <c r="T67" s="129"/>
      <c r="U67" s="130"/>
    </row>
    <row r="68" spans="1:21" x14ac:dyDescent="0.25">
      <c r="A68" s="453" t="s">
        <v>85</v>
      </c>
      <c r="B68" s="453"/>
      <c r="C68" s="453"/>
      <c r="D68" s="72"/>
      <c r="E68" s="46" t="s">
        <v>3</v>
      </c>
      <c r="F68" s="337">
        <f>'0664'!F68</f>
        <v>42465042</v>
      </c>
      <c r="G68" s="39" t="s">
        <v>6</v>
      </c>
      <c r="H68" s="131">
        <f>H63</f>
        <v>3.823E-3</v>
      </c>
      <c r="I68" s="104">
        <f>ROUND(F68*H68,2)</f>
        <v>162343.85999999999</v>
      </c>
      <c r="N68" s="479" t="s">
        <v>85</v>
      </c>
      <c r="O68" s="479"/>
      <c r="P68" s="479"/>
      <c r="Q68" s="47"/>
      <c r="R68" s="132">
        <f>F68</f>
        <v>42465042</v>
      </c>
      <c r="S68" s="40" t="s">
        <v>6</v>
      </c>
      <c r="T68" s="133">
        <f>T63</f>
        <v>0</v>
      </c>
      <c r="U68" s="99">
        <f>ROUND(R68*T68,0)</f>
        <v>0</v>
      </c>
    </row>
    <row r="69" spans="1:21" x14ac:dyDescent="0.25">
      <c r="A69" s="458" t="s">
        <v>96</v>
      </c>
      <c r="B69" s="453"/>
      <c r="C69" s="453"/>
      <c r="D69" s="72"/>
      <c r="E69" s="46"/>
      <c r="F69" s="136"/>
      <c r="G69" s="39"/>
      <c r="H69" s="131"/>
      <c r="I69" s="104"/>
      <c r="N69" s="479" t="s">
        <v>84</v>
      </c>
      <c r="O69" s="479"/>
      <c r="P69" s="479"/>
      <c r="Q69" s="54"/>
      <c r="R69" s="54"/>
      <c r="S69" s="54"/>
      <c r="T69" s="54"/>
      <c r="U69" s="54"/>
    </row>
    <row r="70" spans="1:21" x14ac:dyDescent="0.25">
      <c r="A70" s="465" t="s">
        <v>141</v>
      </c>
      <c r="B70" s="453"/>
      <c r="C70" s="453"/>
      <c r="D70" s="72"/>
      <c r="E70" s="46" t="s">
        <v>3</v>
      </c>
      <c r="F70" s="337">
        <f>'0664'!F70</f>
        <v>0</v>
      </c>
      <c r="G70" s="39" t="s">
        <v>6</v>
      </c>
      <c r="H70" s="131">
        <f>H63</f>
        <v>3.823E-3</v>
      </c>
      <c r="I70" s="104">
        <f>ROUND(F70*H70,2)</f>
        <v>0</v>
      </c>
      <c r="N70" s="48"/>
      <c r="O70" s="48"/>
      <c r="P70" s="48"/>
      <c r="Q70" s="47"/>
      <c r="R70" s="132">
        <f>F70</f>
        <v>0</v>
      </c>
      <c r="S70" s="40" t="s">
        <v>6</v>
      </c>
      <c r="T70" s="133">
        <f>T63</f>
        <v>0</v>
      </c>
      <c r="U70" s="99">
        <f>ROUND(R70*T70,0)</f>
        <v>0</v>
      </c>
    </row>
    <row r="71" spans="1:21" x14ac:dyDescent="0.25">
      <c r="A71" s="463" t="s">
        <v>433</v>
      </c>
      <c r="B71" s="453"/>
      <c r="C71" s="453"/>
      <c r="D71" s="72"/>
      <c r="E71" s="46" t="s">
        <v>3</v>
      </c>
      <c r="F71" s="337">
        <f>'0664'!F71</f>
        <v>13414654</v>
      </c>
      <c r="G71" s="39" t="s">
        <v>6</v>
      </c>
      <c r="H71" s="131">
        <f>H63</f>
        <v>3.823E-3</v>
      </c>
      <c r="I71" s="104">
        <f>ROUND(F71*H71,2)</f>
        <v>51284.22</v>
      </c>
      <c r="N71" s="479" t="s">
        <v>83</v>
      </c>
      <c r="O71" s="479"/>
      <c r="P71" s="479"/>
      <c r="Q71" s="47"/>
      <c r="R71" s="132">
        <f>F71</f>
        <v>13414654</v>
      </c>
      <c r="S71" s="40" t="s">
        <v>6</v>
      </c>
      <c r="T71" s="133">
        <f>T63</f>
        <v>0</v>
      </c>
      <c r="U71" s="99">
        <f>ROUND(R71*T71,0)</f>
        <v>0</v>
      </c>
    </row>
    <row r="72" spans="1:21" x14ac:dyDescent="0.25">
      <c r="A72" s="463" t="s">
        <v>434</v>
      </c>
      <c r="B72" s="453"/>
      <c r="C72" s="453"/>
      <c r="D72" s="72"/>
      <c r="E72" s="46" t="s">
        <v>3</v>
      </c>
      <c r="F72" s="337">
        <f>'0664'!F72</f>
        <v>14708421</v>
      </c>
      <c r="G72" s="39" t="s">
        <v>6</v>
      </c>
      <c r="H72" s="131">
        <f>H63</f>
        <v>3.823E-3</v>
      </c>
      <c r="I72" s="104">
        <f>ROUND(F72*H72,2)</f>
        <v>56230.29</v>
      </c>
      <c r="N72" s="479" t="s">
        <v>82</v>
      </c>
      <c r="O72" s="479"/>
      <c r="P72" s="479"/>
      <c r="Q72" s="47"/>
      <c r="R72" s="134">
        <f>F72</f>
        <v>14708421</v>
      </c>
      <c r="S72" s="40" t="s">
        <v>6</v>
      </c>
      <c r="T72" s="133">
        <f>T63</f>
        <v>0</v>
      </c>
      <c r="U72" s="99">
        <f>ROUND(R72*T72,0)</f>
        <v>0</v>
      </c>
    </row>
    <row r="73" spans="1:21" x14ac:dyDescent="0.25">
      <c r="A73" s="263" t="s">
        <v>99</v>
      </c>
      <c r="D73" s="72"/>
      <c r="E73" s="41" t="s">
        <v>353</v>
      </c>
      <c r="F73" s="466"/>
      <c r="G73" s="466"/>
      <c r="H73" s="466"/>
      <c r="I73" s="104">
        <v>0</v>
      </c>
      <c r="N73" s="499" t="s">
        <v>118</v>
      </c>
      <c r="O73" s="499"/>
      <c r="P73" s="499"/>
      <c r="Q73" s="499"/>
      <c r="R73" s="499"/>
      <c r="S73" s="499"/>
      <c r="T73" s="499"/>
      <c r="U73" s="99">
        <f>IF($H$120=1,I73,0)</f>
        <v>0</v>
      </c>
    </row>
    <row r="74" spans="1:21" x14ac:dyDescent="0.25">
      <c r="A74" s="264" t="s">
        <v>142</v>
      </c>
      <c r="I74" s="104"/>
      <c r="N74" s="499" t="s">
        <v>43</v>
      </c>
      <c r="O74" s="499"/>
      <c r="P74" s="499"/>
      <c r="Q74" s="499"/>
      <c r="R74" s="499"/>
      <c r="S74" s="499"/>
      <c r="T74" s="499"/>
      <c r="U74" s="99">
        <f>IF($H$120=1,I74,0)</f>
        <v>0</v>
      </c>
    </row>
    <row r="75" spans="1:21" x14ac:dyDescent="0.25">
      <c r="A75" s="324" t="s">
        <v>101</v>
      </c>
      <c r="B75" s="72"/>
      <c r="C75" s="72"/>
      <c r="D75" s="72"/>
      <c r="E75" s="72"/>
      <c r="F75" s="72"/>
      <c r="G75" s="72"/>
      <c r="H75" s="72"/>
      <c r="I75" s="135"/>
      <c r="N75" s="382" t="s">
        <v>44</v>
      </c>
      <c r="O75" s="48"/>
      <c r="P75" s="48"/>
      <c r="Q75" s="48"/>
      <c r="R75" s="48"/>
      <c r="S75" s="48"/>
      <c r="T75" s="48"/>
      <c r="U75" s="106"/>
    </row>
    <row r="76" spans="1:21" x14ac:dyDescent="0.25">
      <c r="A76" s="463" t="s">
        <v>435</v>
      </c>
      <c r="B76" s="453"/>
      <c r="C76" s="453"/>
      <c r="D76" s="72"/>
      <c r="E76" s="46" t="s">
        <v>3</v>
      </c>
      <c r="F76" s="337">
        <f>'0664'!F76</f>
        <v>8720092</v>
      </c>
      <c r="G76" s="39" t="s">
        <v>6</v>
      </c>
      <c r="H76" s="131">
        <f>H63</f>
        <v>3.823E-3</v>
      </c>
      <c r="I76" s="104">
        <f t="shared" ref="I76:I85" si="14">ROUND(F76*H76,2)</f>
        <v>33336.910000000003</v>
      </c>
      <c r="N76" s="478" t="s">
        <v>366</v>
      </c>
      <c r="O76" s="479"/>
      <c r="P76" s="479"/>
      <c r="Q76" s="47"/>
      <c r="R76" s="134">
        <f t="shared" ref="R76:R85" si="15">F76</f>
        <v>8720092</v>
      </c>
      <c r="S76" s="40" t="s">
        <v>6</v>
      </c>
      <c r="T76" s="133">
        <f>T63</f>
        <v>0</v>
      </c>
      <c r="U76" s="99">
        <f t="shared" ref="U76:U85" si="16">ROUND(R76*T76,0)</f>
        <v>0</v>
      </c>
    </row>
    <row r="77" spans="1:21" x14ac:dyDescent="0.25">
      <c r="A77" s="463" t="s">
        <v>436</v>
      </c>
      <c r="B77" s="453"/>
      <c r="C77" s="453"/>
      <c r="D77" s="72"/>
      <c r="E77" s="46" t="s">
        <v>3</v>
      </c>
      <c r="F77" s="337">
        <f>'0664'!F77</f>
        <v>0</v>
      </c>
      <c r="G77" s="39" t="s">
        <v>6</v>
      </c>
      <c r="H77" s="131">
        <f>H63</f>
        <v>3.823E-3</v>
      </c>
      <c r="I77" s="104">
        <f t="shared" si="14"/>
        <v>0</v>
      </c>
      <c r="N77" s="479" t="s">
        <v>367</v>
      </c>
      <c r="O77" s="479"/>
      <c r="P77" s="479"/>
      <c r="Q77" s="47"/>
      <c r="R77" s="134">
        <f t="shared" si="15"/>
        <v>0</v>
      </c>
      <c r="S77" s="40" t="s">
        <v>6</v>
      </c>
      <c r="T77" s="133">
        <f>T63</f>
        <v>0</v>
      </c>
      <c r="U77" s="99">
        <f t="shared" si="16"/>
        <v>0</v>
      </c>
    </row>
    <row r="78" spans="1:21" x14ac:dyDescent="0.25">
      <c r="A78" s="463" t="s">
        <v>437</v>
      </c>
      <c r="B78" s="453"/>
      <c r="C78" s="453"/>
      <c r="D78" s="72"/>
      <c r="E78" s="46" t="s">
        <v>4</v>
      </c>
      <c r="F78" s="337">
        <f>'0664'!F78</f>
        <v>0</v>
      </c>
      <c r="G78" s="39" t="s">
        <v>6</v>
      </c>
      <c r="H78" s="131">
        <f>H66</f>
        <v>3.4169999999999999E-3</v>
      </c>
      <c r="I78" s="104">
        <f t="shared" si="14"/>
        <v>0</v>
      </c>
      <c r="N78" s="478" t="s">
        <v>392</v>
      </c>
      <c r="O78" s="479"/>
      <c r="P78" s="479"/>
      <c r="Q78" s="47"/>
      <c r="R78" s="134">
        <f t="shared" si="15"/>
        <v>0</v>
      </c>
      <c r="S78" s="40" t="s">
        <v>6</v>
      </c>
      <c r="T78" s="133">
        <f>T66</f>
        <v>0</v>
      </c>
      <c r="U78" s="99">
        <f t="shared" si="16"/>
        <v>0</v>
      </c>
    </row>
    <row r="79" spans="1:21" x14ac:dyDescent="0.25">
      <c r="A79" s="463" t="s">
        <v>438</v>
      </c>
      <c r="B79" s="453"/>
      <c r="C79" s="453"/>
      <c r="D79" s="72"/>
      <c r="E79" s="46" t="s">
        <v>4</v>
      </c>
      <c r="F79" s="337">
        <f>'0664'!F79</f>
        <v>11278687</v>
      </c>
      <c r="G79" s="39" t="s">
        <v>6</v>
      </c>
      <c r="H79" s="131">
        <f>H66</f>
        <v>3.4169999999999999E-3</v>
      </c>
      <c r="I79" s="104">
        <f t="shared" si="14"/>
        <v>38539.269999999997</v>
      </c>
      <c r="N79" s="478" t="s">
        <v>393</v>
      </c>
      <c r="O79" s="479"/>
      <c r="P79" s="479"/>
      <c r="Q79" s="47"/>
      <c r="R79" s="134">
        <f t="shared" si="15"/>
        <v>11278687</v>
      </c>
      <c r="S79" s="40" t="s">
        <v>6</v>
      </c>
      <c r="T79" s="133">
        <f>T66</f>
        <v>0</v>
      </c>
      <c r="U79" s="99">
        <f t="shared" si="16"/>
        <v>0</v>
      </c>
    </row>
    <row r="80" spans="1:21" x14ac:dyDescent="0.25">
      <c r="A80" s="463" t="s">
        <v>439</v>
      </c>
      <c r="B80" s="453"/>
      <c r="C80" s="453"/>
      <c r="D80" s="72"/>
      <c r="E80" s="46" t="s">
        <v>4</v>
      </c>
      <c r="F80" s="337">
        <f>'0664'!F80</f>
        <v>206284749</v>
      </c>
      <c r="G80" s="39" t="s">
        <v>6</v>
      </c>
      <c r="H80" s="131">
        <f>H66</f>
        <v>3.4169999999999999E-3</v>
      </c>
      <c r="I80" s="104">
        <f t="shared" si="14"/>
        <v>704874.99</v>
      </c>
      <c r="N80" s="478" t="s">
        <v>397</v>
      </c>
      <c r="O80" s="479"/>
      <c r="P80" s="479"/>
      <c r="Q80" s="47"/>
      <c r="R80" s="134">
        <f t="shared" si="15"/>
        <v>206284749</v>
      </c>
      <c r="S80" s="40" t="s">
        <v>6</v>
      </c>
      <c r="T80" s="133">
        <f>T66</f>
        <v>0</v>
      </c>
      <c r="U80" s="99">
        <f t="shared" si="16"/>
        <v>0</v>
      </c>
    </row>
    <row r="81" spans="1:21" x14ac:dyDescent="0.25">
      <c r="A81" s="84" t="s">
        <v>440</v>
      </c>
      <c r="B81" s="72"/>
      <c r="C81" s="72"/>
      <c r="D81" s="72"/>
      <c r="E81" s="46"/>
      <c r="F81" s="337"/>
      <c r="G81" s="39"/>
      <c r="H81" s="131"/>
      <c r="I81" s="104"/>
      <c r="N81" s="419" t="s">
        <v>440</v>
      </c>
      <c r="O81" s="48"/>
      <c r="P81" s="48"/>
      <c r="Q81" s="47"/>
      <c r="R81" s="423"/>
      <c r="S81" s="40"/>
      <c r="T81" s="133"/>
      <c r="U81" s="120"/>
    </row>
    <row r="82" spans="1:21" x14ac:dyDescent="0.25">
      <c r="A82" s="264" t="s">
        <v>441</v>
      </c>
      <c r="B82" s="72"/>
      <c r="C82" s="72"/>
      <c r="D82" s="72"/>
      <c r="E82" s="46" t="s">
        <v>442</v>
      </c>
      <c r="F82" s="337">
        <f>'0664'!F82</f>
        <v>0</v>
      </c>
      <c r="G82" s="39" t="s">
        <v>6</v>
      </c>
      <c r="H82" s="131">
        <f>H66</f>
        <v>3.4169999999999999E-3</v>
      </c>
      <c r="I82" s="104">
        <v>128201.45</v>
      </c>
      <c r="N82" s="422" t="s">
        <v>441</v>
      </c>
      <c r="O82" s="48"/>
      <c r="P82" s="48"/>
      <c r="Q82" s="47"/>
      <c r="R82" s="134">
        <f t="shared" si="15"/>
        <v>0</v>
      </c>
      <c r="S82" s="40"/>
      <c r="T82" s="133"/>
      <c r="U82" s="99">
        <f t="shared" si="16"/>
        <v>0</v>
      </c>
    </row>
    <row r="83" spans="1:21" x14ac:dyDescent="0.25">
      <c r="A83" s="264" t="s">
        <v>443</v>
      </c>
      <c r="B83" s="72"/>
      <c r="C83" s="72"/>
      <c r="D83" s="72"/>
      <c r="E83" s="46" t="s">
        <v>442</v>
      </c>
      <c r="F83" s="337">
        <f>'0664'!F83</f>
        <v>0</v>
      </c>
      <c r="G83" s="39" t="s">
        <v>6</v>
      </c>
      <c r="H83" s="131">
        <f>H66</f>
        <v>3.4169999999999999E-3</v>
      </c>
      <c r="I83" s="104">
        <f t="shared" si="14"/>
        <v>0</v>
      </c>
      <c r="N83" s="422" t="s">
        <v>443</v>
      </c>
      <c r="O83" s="48"/>
      <c r="P83" s="48"/>
      <c r="Q83" s="47"/>
      <c r="R83" s="134">
        <f t="shared" si="15"/>
        <v>0</v>
      </c>
      <c r="S83" s="40"/>
      <c r="T83" s="133"/>
      <c r="U83" s="99">
        <f t="shared" si="16"/>
        <v>0</v>
      </c>
    </row>
    <row r="84" spans="1:21" x14ac:dyDescent="0.25">
      <c r="A84" s="420" t="s">
        <v>444</v>
      </c>
      <c r="B84" s="72"/>
      <c r="C84" s="72"/>
      <c r="D84" s="72"/>
      <c r="E84" s="46"/>
      <c r="F84" s="337"/>
      <c r="G84" s="39"/>
      <c r="H84" s="131"/>
      <c r="I84" s="104">
        <f>I82+I83</f>
        <v>128201.45</v>
      </c>
      <c r="N84" s="421" t="s">
        <v>444</v>
      </c>
      <c r="O84" s="48"/>
      <c r="P84" s="48"/>
      <c r="Q84" s="47"/>
      <c r="R84" s="423"/>
      <c r="S84" s="40"/>
      <c r="T84" s="133"/>
      <c r="U84" s="99">
        <f>U82+U83</f>
        <v>0</v>
      </c>
    </row>
    <row r="85" spans="1:21" x14ac:dyDescent="0.25">
      <c r="A85" s="463" t="s">
        <v>398</v>
      </c>
      <c r="B85" s="453"/>
      <c r="C85" s="453"/>
      <c r="D85" s="72"/>
      <c r="E85" s="46" t="s">
        <v>4</v>
      </c>
      <c r="F85" s="337">
        <f>'0664'!F85</f>
        <v>0</v>
      </c>
      <c r="G85" s="39" t="s">
        <v>6</v>
      </c>
      <c r="H85" s="131">
        <f>H66</f>
        <v>3.4169999999999999E-3</v>
      </c>
      <c r="I85" s="104">
        <f t="shared" si="14"/>
        <v>0</v>
      </c>
      <c r="N85" s="478" t="s">
        <v>398</v>
      </c>
      <c r="O85" s="479"/>
      <c r="P85" s="479"/>
      <c r="Q85" s="47"/>
      <c r="R85" s="132">
        <f t="shared" si="15"/>
        <v>0</v>
      </c>
      <c r="S85" s="40" t="s">
        <v>6</v>
      </c>
      <c r="T85" s="133">
        <f>T66</f>
        <v>0</v>
      </c>
      <c r="U85" s="99">
        <f t="shared" si="16"/>
        <v>0</v>
      </c>
    </row>
    <row r="86" spans="1:21" x14ac:dyDescent="0.25">
      <c r="B86" s="72"/>
      <c r="C86" s="72"/>
      <c r="D86" s="72"/>
      <c r="E86" s="46"/>
      <c r="F86" s="136"/>
      <c r="G86" s="39"/>
      <c r="H86" s="131"/>
      <c r="I86" s="104"/>
      <c r="N86" s="48"/>
      <c r="O86" s="48"/>
      <c r="P86" s="48"/>
      <c r="Q86" s="47"/>
      <c r="R86" s="137"/>
      <c r="S86" s="40"/>
      <c r="T86" s="133"/>
      <c r="U86" s="106"/>
    </row>
    <row r="87" spans="1:21" x14ac:dyDescent="0.25">
      <c r="A87" s="463" t="s">
        <v>445</v>
      </c>
      <c r="B87" s="453"/>
      <c r="C87" s="453"/>
      <c r="D87" s="453"/>
      <c r="E87" s="453"/>
      <c r="F87" s="453"/>
      <c r="G87" s="453"/>
      <c r="H87" s="453"/>
      <c r="I87" s="453"/>
      <c r="N87" s="478" t="s">
        <v>429</v>
      </c>
      <c r="O87" s="479"/>
      <c r="P87" s="479"/>
      <c r="Q87" s="479"/>
      <c r="R87" s="479"/>
      <c r="S87" s="479"/>
      <c r="T87" s="479"/>
      <c r="U87" s="479"/>
    </row>
    <row r="88" spans="1:21" x14ac:dyDescent="0.25">
      <c r="B88" s="72"/>
      <c r="C88" s="466" t="s">
        <v>73</v>
      </c>
      <c r="D88" s="466"/>
      <c r="E88" s="72"/>
      <c r="F88" s="41" t="s">
        <v>37</v>
      </c>
      <c r="G88" s="72"/>
      <c r="H88" s="72"/>
      <c r="I88" s="72"/>
      <c r="N88" s="48"/>
      <c r="O88" s="48"/>
      <c r="P88" s="48"/>
      <c r="Q88" s="48"/>
      <c r="R88" s="48"/>
      <c r="S88" s="48"/>
      <c r="T88" s="48"/>
      <c r="U88" s="48"/>
    </row>
    <row r="89" spans="1:21" x14ac:dyDescent="0.25">
      <c r="A89" s="3"/>
      <c r="B89" s="138"/>
      <c r="C89" s="462" t="s">
        <v>144</v>
      </c>
      <c r="D89" s="462"/>
      <c r="E89" s="139" t="s">
        <v>150</v>
      </c>
      <c r="F89" s="140" t="s">
        <v>149</v>
      </c>
      <c r="G89" s="141"/>
      <c r="H89" s="141"/>
      <c r="I89" s="141"/>
      <c r="N89" s="495" t="s">
        <v>46</v>
      </c>
      <c r="O89" s="495"/>
      <c r="P89" s="496" t="s">
        <v>119</v>
      </c>
      <c r="Q89" s="496"/>
      <c r="R89" s="497" t="s">
        <v>40</v>
      </c>
      <c r="S89" s="497"/>
      <c r="T89" s="497"/>
      <c r="U89" s="497"/>
    </row>
    <row r="90" spans="1:21" x14ac:dyDescent="0.25">
      <c r="A90" s="27"/>
      <c r="B90" s="55" t="s">
        <v>148</v>
      </c>
      <c r="C90" s="467">
        <f>H13+H14+H19+H22+H25</f>
        <v>0</v>
      </c>
      <c r="D90" s="467"/>
      <c r="E90" s="49">
        <f>H8</f>
        <v>1.0438000000000001</v>
      </c>
      <c r="F90" s="338">
        <f>'0664'!F90</f>
        <v>957.94</v>
      </c>
      <c r="G90" s="41" t="s">
        <v>13</v>
      </c>
      <c r="H90" s="104">
        <f>ROUND(C90*E90*F90,2)</f>
        <v>0</v>
      </c>
      <c r="I90" s="107"/>
      <c r="N90" s="29" t="s">
        <v>22</v>
      </c>
      <c r="O90" s="50">
        <f>T13+T14+T19+T22+T25</f>
        <v>0</v>
      </c>
      <c r="P90" s="490">
        <f>T8</f>
        <v>1.0438000000000001</v>
      </c>
      <c r="Q90" s="490"/>
      <c r="R90" s="51">
        <f>F90</f>
        <v>957.94</v>
      </c>
      <c r="S90" s="42" t="s">
        <v>13</v>
      </c>
      <c r="T90" s="134">
        <f>ROUND(O90*P90*R90,0)</f>
        <v>0</v>
      </c>
      <c r="U90" s="105"/>
    </row>
    <row r="91" spans="1:21" x14ac:dyDescent="0.25">
      <c r="A91" s="52"/>
      <c r="B91" s="52" t="s">
        <v>147</v>
      </c>
      <c r="C91" s="467">
        <f>H15+H16+H20+H23+H26</f>
        <v>0</v>
      </c>
      <c r="D91" s="467"/>
      <c r="E91" s="49">
        <f>H8</f>
        <v>1.0438000000000001</v>
      </c>
      <c r="F91" s="338">
        <f>'0664'!F91</f>
        <v>914.63</v>
      </c>
      <c r="G91" s="41" t="s">
        <v>13</v>
      </c>
      <c r="H91" s="104">
        <f>ROUND(C91*E91*F91,2)</f>
        <v>0</v>
      </c>
      <c r="N91" s="53" t="s">
        <v>14</v>
      </c>
      <c r="O91" s="50">
        <f>T15+T16+T20+T23+T26</f>
        <v>0</v>
      </c>
      <c r="P91" s="490">
        <f>T8</f>
        <v>1.0438000000000001</v>
      </c>
      <c r="Q91" s="490"/>
      <c r="R91" s="51">
        <f>F91</f>
        <v>914.63</v>
      </c>
      <c r="S91" s="42" t="s">
        <v>13</v>
      </c>
      <c r="T91" s="134">
        <f>ROUND(O91*P91*R91,0)</f>
        <v>0</v>
      </c>
      <c r="U91" s="54"/>
    </row>
    <row r="92" spans="1:21" ht="16.5" thickBot="1" x14ac:dyDescent="0.3">
      <c r="A92" s="55"/>
      <c r="B92" s="55" t="s">
        <v>146</v>
      </c>
      <c r="C92" s="467">
        <f>H17+H18+H21+H24+H27+H28</f>
        <v>740.88220000000013</v>
      </c>
      <c r="D92" s="467"/>
      <c r="E92" s="49">
        <f>H8</f>
        <v>1.0438000000000001</v>
      </c>
      <c r="F92" s="338">
        <f>'0664'!F92</f>
        <v>916.84</v>
      </c>
      <c r="G92" s="41" t="s">
        <v>13</v>
      </c>
      <c r="H92" s="97">
        <f>ROUND(C92*E92*F92,2)</f>
        <v>709022.48</v>
      </c>
      <c r="N92" s="56" t="s">
        <v>15</v>
      </c>
      <c r="O92" s="57">
        <f>T17+T18+T21+T24+T27+T28</f>
        <v>0</v>
      </c>
      <c r="P92" s="490">
        <f>T8</f>
        <v>1.0438000000000001</v>
      </c>
      <c r="Q92" s="490"/>
      <c r="R92" s="51">
        <f>F92</f>
        <v>916.84</v>
      </c>
      <c r="S92" s="42" t="s">
        <v>13</v>
      </c>
      <c r="T92" s="134">
        <f>ROUND(O92*P92*R92,0)</f>
        <v>0</v>
      </c>
      <c r="U92" s="54"/>
    </row>
    <row r="93" spans="1:21" ht="16.5" thickBot="1" x14ac:dyDescent="0.3">
      <c r="A93" s="58"/>
      <c r="B93" s="142" t="s">
        <v>145</v>
      </c>
      <c r="C93" s="469">
        <f>SUM(C90:C92)</f>
        <v>740.88220000000013</v>
      </c>
      <c r="D93" s="469"/>
      <c r="E93" s="143"/>
      <c r="F93" s="143"/>
      <c r="G93" s="143"/>
      <c r="H93" s="144" t="s">
        <v>143</v>
      </c>
      <c r="I93" s="104">
        <f>IF(A1=75,0,H92+H91+H90)</f>
        <v>709022.48</v>
      </c>
      <c r="N93" s="59" t="s">
        <v>120</v>
      </c>
      <c r="O93" s="60">
        <f>SUM(O90:O92)</f>
        <v>0</v>
      </c>
      <c r="P93" s="491" t="s">
        <v>18</v>
      </c>
      <c r="Q93" s="492"/>
      <c r="R93" s="492"/>
      <c r="S93" s="492"/>
      <c r="T93" s="492"/>
      <c r="U93" s="99">
        <f>IF(N1=75,0,T92+T91+T90)</f>
        <v>0</v>
      </c>
    </row>
    <row r="94" spans="1:21" ht="16.5" thickTop="1" x14ac:dyDescent="0.25">
      <c r="A94" s="540" t="s">
        <v>90</v>
      </c>
      <c r="B94" s="540"/>
      <c r="C94" s="540"/>
      <c r="D94" s="540"/>
      <c r="E94" s="540"/>
      <c r="F94" s="540"/>
      <c r="G94" s="540"/>
      <c r="H94" s="540"/>
      <c r="I94" s="540"/>
      <c r="N94" s="493" t="s">
        <v>90</v>
      </c>
      <c r="O94" s="493"/>
      <c r="P94" s="493"/>
      <c r="Q94" s="493"/>
      <c r="R94" s="493"/>
      <c r="S94" s="493"/>
      <c r="T94" s="493"/>
      <c r="U94" s="493"/>
    </row>
    <row r="95" spans="1:21" x14ac:dyDescent="0.25">
      <c r="A95" s="145"/>
      <c r="B95" s="145"/>
      <c r="C95" s="145"/>
      <c r="D95" s="145"/>
      <c r="E95" s="145"/>
      <c r="F95" s="145"/>
      <c r="G95" s="145"/>
      <c r="H95" s="145"/>
      <c r="I95" s="145"/>
      <c r="N95" s="146"/>
      <c r="O95" s="146"/>
      <c r="P95" s="146"/>
      <c r="Q95" s="146"/>
      <c r="R95" s="146"/>
      <c r="S95" s="146"/>
      <c r="T95" s="146"/>
      <c r="U95" s="146"/>
    </row>
    <row r="96" spans="1:21" x14ac:dyDescent="0.25">
      <c r="A96" s="84" t="s">
        <v>446</v>
      </c>
      <c r="C96" s="46"/>
      <c r="D96" s="72"/>
      <c r="E96" s="46" t="s">
        <v>100</v>
      </c>
      <c r="F96" s="471"/>
      <c r="G96" s="471"/>
      <c r="H96" s="471"/>
      <c r="I96" s="471"/>
      <c r="N96" s="478" t="s">
        <v>426</v>
      </c>
      <c r="O96" s="479"/>
      <c r="P96" s="479"/>
      <c r="Q96" s="494"/>
      <c r="R96" s="494"/>
      <c r="S96" s="494"/>
      <c r="T96" s="494"/>
      <c r="U96" s="106"/>
    </row>
    <row r="97" spans="1:21" x14ac:dyDescent="0.25">
      <c r="B97" s="72"/>
      <c r="C97" s="91" t="s">
        <v>409</v>
      </c>
      <c r="D97" s="371" t="s">
        <v>410</v>
      </c>
      <c r="E97" s="92" t="s">
        <v>151</v>
      </c>
      <c r="F97" s="46"/>
      <c r="G97" s="46"/>
      <c r="H97" s="46"/>
      <c r="I97" s="46"/>
      <c r="N97" s="48"/>
      <c r="O97" s="48"/>
      <c r="P97" s="48"/>
      <c r="Q97" s="147"/>
      <c r="R97" s="147"/>
      <c r="S97" s="147"/>
      <c r="T97" s="147"/>
      <c r="U97" s="106"/>
    </row>
    <row r="98" spans="1:21" x14ac:dyDescent="0.25">
      <c r="B98" s="72"/>
      <c r="C98" s="362" t="s">
        <v>2</v>
      </c>
      <c r="D98" s="362" t="s">
        <v>2</v>
      </c>
      <c r="E98" s="362" t="s">
        <v>2</v>
      </c>
      <c r="F98" s="46"/>
      <c r="G98" s="46"/>
      <c r="H98" s="46"/>
      <c r="I98" s="46"/>
      <c r="N98" s="48"/>
      <c r="O98" s="48"/>
      <c r="P98" s="48"/>
      <c r="Q98" s="147"/>
      <c r="R98" s="147"/>
      <c r="S98" s="147"/>
      <c r="T98" s="147"/>
      <c r="U98" s="106"/>
    </row>
    <row r="99" spans="1:21" x14ac:dyDescent="0.25">
      <c r="A99" s="536" t="s">
        <v>470</v>
      </c>
      <c r="B99" s="461"/>
      <c r="C99" s="165">
        <v>274</v>
      </c>
      <c r="D99" s="165">
        <v>0</v>
      </c>
      <c r="E99" s="125">
        <f>C99</f>
        <v>274</v>
      </c>
      <c r="F99" s="148" t="s">
        <v>39</v>
      </c>
      <c r="G99" s="339">
        <f>'0664'!G99</f>
        <v>558</v>
      </c>
      <c r="I99" s="104">
        <f>ROUND(G99*E99,2)</f>
        <v>152892</v>
      </c>
      <c r="N99" s="488" t="s">
        <v>65</v>
      </c>
      <c r="O99" s="488"/>
      <c r="P99" s="489">
        <f>IF(H120=1,E99,0)</f>
        <v>0</v>
      </c>
      <c r="Q99" s="489"/>
      <c r="R99" s="489"/>
      <c r="S99" s="86" t="s">
        <v>39</v>
      </c>
      <c r="T99" s="61">
        <f>G99</f>
        <v>558</v>
      </c>
      <c r="U99" s="99">
        <f>ROUND(T99*P99,0)</f>
        <v>0</v>
      </c>
    </row>
    <row r="100" spans="1:21" x14ac:dyDescent="0.25">
      <c r="A100" s="536" t="s">
        <v>471</v>
      </c>
      <c r="B100" s="461"/>
      <c r="C100" s="165">
        <v>1</v>
      </c>
      <c r="D100" s="165">
        <v>0</v>
      </c>
      <c r="E100" s="125">
        <f>C100</f>
        <v>1</v>
      </c>
      <c r="F100" s="148" t="s">
        <v>39</v>
      </c>
      <c r="G100" s="339">
        <f>'0664'!G100</f>
        <v>1707</v>
      </c>
      <c r="I100" s="104">
        <f>ROUND(G100*E100,2)</f>
        <v>1707</v>
      </c>
      <c r="N100" s="488" t="s">
        <v>81</v>
      </c>
      <c r="O100" s="488"/>
      <c r="P100" s="483"/>
      <c r="Q100" s="483"/>
      <c r="R100" s="483"/>
      <c r="S100" s="86" t="s">
        <v>39</v>
      </c>
      <c r="T100" s="61">
        <f>G100</f>
        <v>1707</v>
      </c>
      <c r="U100" s="99">
        <f>ROUND(T100*P100,0)</f>
        <v>0</v>
      </c>
    </row>
    <row r="101" spans="1:21" x14ac:dyDescent="0.25">
      <c r="A101" s="149"/>
      <c r="B101" s="149"/>
      <c r="C101" s="68"/>
      <c r="D101" s="68"/>
      <c r="E101" s="68"/>
      <c r="F101" s="68"/>
      <c r="G101" s="150"/>
      <c r="H101" s="151"/>
      <c r="I101" s="104"/>
      <c r="N101" s="152"/>
      <c r="O101" s="152"/>
      <c r="P101" s="153"/>
      <c r="Q101" s="153"/>
      <c r="R101" s="153"/>
      <c r="S101" s="86"/>
      <c r="T101" s="61"/>
      <c r="U101" s="106"/>
    </row>
    <row r="102" spans="1:21" x14ac:dyDescent="0.25">
      <c r="A102" s="149"/>
      <c r="B102" s="149"/>
      <c r="C102" s="68"/>
      <c r="D102" s="68"/>
      <c r="E102" s="68"/>
      <c r="F102" s="68"/>
      <c r="G102" s="150"/>
      <c r="H102" s="151"/>
      <c r="I102" s="104"/>
      <c r="N102" s="152"/>
      <c r="O102" s="152"/>
      <c r="P102" s="153"/>
      <c r="Q102" s="153"/>
      <c r="R102" s="153"/>
      <c r="S102" s="86"/>
      <c r="T102" s="61"/>
      <c r="U102" s="106"/>
    </row>
    <row r="103" spans="1:21" hidden="1" x14ac:dyDescent="0.25">
      <c r="A103" s="463" t="s">
        <v>447</v>
      </c>
      <c r="B103" s="453"/>
      <c r="C103" s="453"/>
      <c r="D103" s="72"/>
      <c r="E103" s="41" t="s">
        <v>41</v>
      </c>
      <c r="F103" s="466"/>
      <c r="G103" s="466"/>
      <c r="H103" s="466"/>
      <c r="I103" s="466"/>
      <c r="N103" s="478" t="s">
        <v>362</v>
      </c>
      <c r="O103" s="479"/>
      <c r="P103" s="479"/>
      <c r="Q103" s="479"/>
      <c r="R103" s="479"/>
      <c r="S103" s="479"/>
      <c r="T103" s="479"/>
      <c r="U103" s="479"/>
    </row>
    <row r="104" spans="1:21" hidden="1" x14ac:dyDescent="0.25">
      <c r="B104" s="72"/>
      <c r="C104" s="462" t="s">
        <v>91</v>
      </c>
      <c r="D104" s="462"/>
      <c r="E104" s="462"/>
      <c r="F104" s="39"/>
      <c r="G104" s="39"/>
      <c r="H104" s="41" t="s">
        <v>152</v>
      </c>
      <c r="I104" s="39"/>
      <c r="N104" s="48"/>
      <c r="O104" s="48"/>
      <c r="P104" s="48"/>
      <c r="Q104" s="48"/>
      <c r="R104" s="48"/>
      <c r="S104" s="48"/>
      <c r="T104" s="48"/>
      <c r="U104" s="48"/>
    </row>
    <row r="105" spans="1:21" hidden="1" x14ac:dyDescent="0.25">
      <c r="B105" s="72"/>
      <c r="C105" s="91" t="s">
        <v>371</v>
      </c>
      <c r="D105" s="91" t="s">
        <v>351</v>
      </c>
      <c r="E105" s="159" t="s">
        <v>8</v>
      </c>
      <c r="F105" s="464" t="s">
        <v>153</v>
      </c>
      <c r="G105" s="466"/>
      <c r="H105" s="39" t="s">
        <v>38</v>
      </c>
      <c r="I105" s="39"/>
      <c r="N105" s="48"/>
      <c r="O105" s="48"/>
      <c r="P105" s="48"/>
      <c r="Q105" s="48"/>
      <c r="R105" s="48"/>
      <c r="S105" s="48"/>
      <c r="T105" s="48"/>
      <c r="U105" s="48"/>
    </row>
    <row r="106" spans="1:21" hidden="1" x14ac:dyDescent="0.25">
      <c r="A106" s="462" t="s">
        <v>94</v>
      </c>
      <c r="B106" s="462"/>
      <c r="C106" s="93" t="s">
        <v>2</v>
      </c>
      <c r="D106" s="93" t="s">
        <v>2</v>
      </c>
      <c r="E106" s="62" t="s">
        <v>2</v>
      </c>
      <c r="F106" s="462" t="s">
        <v>37</v>
      </c>
      <c r="G106" s="462"/>
      <c r="H106" s="62" t="s">
        <v>37</v>
      </c>
      <c r="I106" s="62" t="s">
        <v>8</v>
      </c>
      <c r="N106" s="484" t="s">
        <v>66</v>
      </c>
      <c r="O106" s="484"/>
      <c r="P106" s="489" t="s">
        <v>91</v>
      </c>
      <c r="Q106" s="489"/>
      <c r="R106" s="484" t="s">
        <v>67</v>
      </c>
      <c r="S106" s="484"/>
      <c r="T106" s="63" t="s">
        <v>68</v>
      </c>
      <c r="U106" s="63" t="s">
        <v>8</v>
      </c>
    </row>
    <row r="107" spans="1:21" hidden="1" x14ac:dyDescent="0.25">
      <c r="A107" s="473" t="s">
        <v>69</v>
      </c>
      <c r="B107" s="473"/>
      <c r="C107" s="163">
        <v>0</v>
      </c>
      <c r="D107" s="163">
        <v>0</v>
      </c>
      <c r="E107" s="210">
        <f>IF(D$59=0,C107*2,C107+D107)</f>
        <v>0</v>
      </c>
      <c r="F107" s="474">
        <v>0</v>
      </c>
      <c r="G107" s="474"/>
      <c r="H107" s="250">
        <f>IF(C107=0,0,125)</f>
        <v>0</v>
      </c>
      <c r="I107" s="104">
        <f>ROUND((H107+F107)*E107,2)</f>
        <v>0</v>
      </c>
      <c r="N107" s="479" t="s">
        <v>69</v>
      </c>
      <c r="O107" s="479"/>
      <c r="P107" s="483">
        <f>IF(H$120=1,C107,0)</f>
        <v>0</v>
      </c>
      <c r="Q107" s="483"/>
      <c r="R107" s="486">
        <f>F107</f>
        <v>0</v>
      </c>
      <c r="S107" s="486"/>
      <c r="T107" s="65">
        <f>H107</f>
        <v>0</v>
      </c>
      <c r="U107" s="99">
        <f>ROUND((T107+R107)*P107,0)</f>
        <v>0</v>
      </c>
    </row>
    <row r="108" spans="1:21" hidden="1" x14ac:dyDescent="0.25">
      <c r="A108" s="456" t="s">
        <v>70</v>
      </c>
      <c r="B108" s="456"/>
      <c r="C108" s="165">
        <v>0</v>
      </c>
      <c r="D108" s="165">
        <v>0</v>
      </c>
      <c r="E108" s="125">
        <f>IF(D$59=0,C108*2,C108+D108)</f>
        <v>0</v>
      </c>
      <c r="F108" s="468">
        <f>ROUND(F107/2,2)</f>
        <v>0</v>
      </c>
      <c r="G108" s="468"/>
      <c r="H108" s="250">
        <f>IF(C108=0,0,62.5)</f>
        <v>0</v>
      </c>
      <c r="I108" s="104">
        <f>ROUND((H108+F108)*E108,2)</f>
        <v>0</v>
      </c>
      <c r="N108" s="479" t="s">
        <v>70</v>
      </c>
      <c r="O108" s="479"/>
      <c r="P108" s="483">
        <f>IF(H$120=1,C108,0)</f>
        <v>0</v>
      </c>
      <c r="Q108" s="483"/>
      <c r="R108" s="487">
        <f>ROUND(R107/2,2)</f>
        <v>0</v>
      </c>
      <c r="S108" s="487"/>
      <c r="T108" s="65">
        <f>H108</f>
        <v>0</v>
      </c>
      <c r="U108" s="99">
        <f>ROUND((T108+R108)*P108,0)</f>
        <v>0</v>
      </c>
    </row>
    <row r="109" spans="1:21" ht="16.5" hidden="1" thickBot="1" x14ac:dyDescent="0.3">
      <c r="A109" s="456" t="s">
        <v>71</v>
      </c>
      <c r="B109" s="456"/>
      <c r="C109" s="165">
        <v>0</v>
      </c>
      <c r="D109" s="165">
        <v>0</v>
      </c>
      <c r="E109" s="125">
        <f>IF(D$59=0,C109*2,C109+D109)</f>
        <v>0</v>
      </c>
      <c r="F109" s="475"/>
      <c r="G109" s="475"/>
      <c r="H109" s="251">
        <f>IF(H107&gt;0,436,0)</f>
        <v>0</v>
      </c>
      <c r="I109" s="104">
        <f>ROUND(H109*E109,2)</f>
        <v>0</v>
      </c>
      <c r="N109" s="482" t="s">
        <v>71</v>
      </c>
      <c r="O109" s="482"/>
      <c r="P109" s="483">
        <f>IF(H$120=1,C109,0)</f>
        <v>0</v>
      </c>
      <c r="Q109" s="483"/>
      <c r="R109" s="484"/>
      <c r="S109" s="484"/>
      <c r="T109" s="67">
        <f>H109</f>
        <v>0</v>
      </c>
      <c r="U109" s="106">
        <f>ROUND(T109*P109,0)</f>
        <v>0</v>
      </c>
    </row>
    <row r="110" spans="1:21" ht="16.5" hidden="1" thickBot="1" x14ac:dyDescent="0.3">
      <c r="A110" s="466" t="s">
        <v>8</v>
      </c>
      <c r="B110" s="466"/>
      <c r="C110" s="68"/>
      <c r="D110" s="68"/>
      <c r="E110" s="68"/>
      <c r="F110" s="68"/>
      <c r="G110" s="68"/>
      <c r="H110" s="68"/>
      <c r="I110" s="100">
        <f>SUM(I107:I109)</f>
        <v>0</v>
      </c>
      <c r="N110" s="485" t="s">
        <v>8</v>
      </c>
      <c r="O110" s="485"/>
      <c r="P110" s="69"/>
      <c r="Q110" s="69"/>
      <c r="R110" s="69"/>
      <c r="S110" s="69"/>
      <c r="T110" s="69"/>
      <c r="U110" s="70">
        <f>SUM(U107:U109)</f>
        <v>0</v>
      </c>
    </row>
    <row r="111" spans="1:21" hidden="1" x14ac:dyDescent="0.25">
      <c r="A111" s="39"/>
      <c r="B111" s="39"/>
      <c r="C111" s="68"/>
      <c r="D111" s="68"/>
      <c r="E111" s="68"/>
      <c r="F111" s="68"/>
      <c r="G111" s="68"/>
      <c r="H111" s="68"/>
      <c r="I111" s="104"/>
      <c r="N111" s="40"/>
      <c r="O111" s="40"/>
      <c r="P111" s="69"/>
      <c r="Q111" s="69"/>
      <c r="R111" s="69"/>
      <c r="S111" s="69"/>
      <c r="T111" s="69"/>
      <c r="U111" s="160"/>
    </row>
    <row r="112" spans="1:21" x14ac:dyDescent="0.25">
      <c r="A112" s="463" t="s">
        <v>448</v>
      </c>
      <c r="B112" s="453"/>
      <c r="C112" s="453"/>
      <c r="D112" s="72"/>
      <c r="E112" s="71" t="s">
        <v>354</v>
      </c>
      <c r="F112" s="472"/>
      <c r="G112" s="472"/>
      <c r="H112" s="472"/>
      <c r="I112" s="125">
        <v>0</v>
      </c>
      <c r="N112" s="478" t="s">
        <v>427</v>
      </c>
      <c r="O112" s="479"/>
      <c r="P112" s="479"/>
      <c r="Q112" s="341"/>
      <c r="R112" s="341"/>
      <c r="S112" s="341"/>
      <c r="T112" s="341"/>
      <c r="U112" s="99">
        <f>IF($H$120=1,I112,0)</f>
        <v>0</v>
      </c>
    </row>
    <row r="113" spans="1:21" x14ac:dyDescent="0.25">
      <c r="A113" s="463" t="s">
        <v>449</v>
      </c>
      <c r="B113" s="453"/>
      <c r="C113" s="453"/>
      <c r="D113" s="72"/>
      <c r="E113" s="71" t="s">
        <v>45</v>
      </c>
      <c r="F113" s="472"/>
      <c r="G113" s="472"/>
      <c r="H113" s="472"/>
      <c r="I113" s="177">
        <v>0</v>
      </c>
      <c r="N113" s="478" t="s">
        <v>428</v>
      </c>
      <c r="O113" s="479"/>
      <c r="P113" s="479"/>
      <c r="Q113" s="341"/>
      <c r="R113" s="341"/>
      <c r="S113" s="341"/>
      <c r="T113" s="341"/>
      <c r="U113" s="99">
        <f>IF($H$120=1,I113,0)</f>
        <v>0</v>
      </c>
    </row>
    <row r="114" spans="1:21" ht="16.5" thickBot="1" x14ac:dyDescent="0.3">
      <c r="B114" s="72"/>
      <c r="C114" s="72"/>
      <c r="D114" s="72"/>
      <c r="E114" s="71"/>
      <c r="F114" s="71"/>
      <c r="G114" s="71"/>
      <c r="H114" s="71"/>
      <c r="I114" s="125"/>
      <c r="N114" s="480" t="s">
        <v>42</v>
      </c>
      <c r="O114" s="480"/>
      <c r="P114" s="480"/>
      <c r="Q114" s="480"/>
      <c r="R114" s="480"/>
      <c r="S114" s="480"/>
      <c r="T114" s="480"/>
      <c r="U114" s="154">
        <f>SUM(U112,U110,U100,U99,U93,U77,U76,U74,U73,U72,U71,U70,U68,U59,U45,U78,U79,U80,U85,U113)</f>
        <v>0</v>
      </c>
    </row>
    <row r="115" spans="1:21" ht="16.5" thickTop="1" x14ac:dyDescent="0.25">
      <c r="A115" s="461" t="s">
        <v>8</v>
      </c>
      <c r="B115" s="461"/>
      <c r="C115" s="461"/>
      <c r="D115" s="461"/>
      <c r="E115" s="461"/>
      <c r="F115" s="461"/>
      <c r="G115" s="461"/>
      <c r="H115" s="461"/>
      <c r="I115" s="97">
        <f>SUM(I113,I112,I110,I100,I99,I93,I85,I84,I80,I79,I78,I77,I76,I74,I73,I72,I71,I70,I68,I59,I45)</f>
        <v>5665501.3599999994</v>
      </c>
      <c r="N115" s="29"/>
      <c r="O115" s="29"/>
      <c r="P115" s="29"/>
      <c r="Q115" s="29"/>
      <c r="R115" s="29"/>
      <c r="S115" s="29"/>
      <c r="T115" s="29"/>
      <c r="U115" s="160"/>
    </row>
    <row r="116" spans="1:21" x14ac:dyDescent="0.25">
      <c r="A116" s="27"/>
      <c r="B116" s="27"/>
      <c r="C116" s="27"/>
      <c r="D116" s="27"/>
      <c r="E116" s="27"/>
      <c r="F116" s="27"/>
      <c r="G116" s="27"/>
      <c r="H116" s="27"/>
      <c r="I116" s="104"/>
      <c r="N116" s="29"/>
      <c r="O116" s="29"/>
      <c r="P116" s="29"/>
      <c r="Q116" s="29"/>
      <c r="R116" s="29"/>
      <c r="S116" s="29"/>
      <c r="T116" s="29"/>
      <c r="U116" s="160"/>
    </row>
    <row r="117" spans="1:21" x14ac:dyDescent="0.25">
      <c r="A117" s="432" t="s">
        <v>467</v>
      </c>
      <c r="B117" s="27"/>
      <c r="C117" s="27"/>
      <c r="D117" s="27"/>
      <c r="E117" s="27"/>
      <c r="F117" s="27"/>
      <c r="G117" s="27"/>
      <c r="H117" s="27"/>
      <c r="I117" s="104">
        <f>I115-I84</f>
        <v>5537299.9099999992</v>
      </c>
      <c r="N117" s="29"/>
      <c r="O117" s="29"/>
      <c r="P117" s="29"/>
      <c r="Q117" s="29"/>
      <c r="R117" s="29"/>
      <c r="S117" s="29"/>
      <c r="T117" s="29"/>
      <c r="U117" s="160"/>
    </row>
    <row r="118" spans="1:21" x14ac:dyDescent="0.25">
      <c r="A118" s="27"/>
      <c r="B118" s="27"/>
      <c r="C118" s="27"/>
      <c r="D118" s="27"/>
      <c r="E118" s="27"/>
      <c r="F118" s="27"/>
      <c r="G118" s="27"/>
      <c r="H118" s="27"/>
      <c r="I118" s="104"/>
      <c r="N118" s="29"/>
      <c r="O118" s="29"/>
      <c r="P118" s="29"/>
      <c r="Q118" s="29"/>
      <c r="R118" s="29"/>
      <c r="S118" s="29"/>
      <c r="T118" s="29"/>
      <c r="U118" s="160"/>
    </row>
    <row r="119" spans="1:21" x14ac:dyDescent="0.25">
      <c r="A119" s="463" t="s">
        <v>468</v>
      </c>
      <c r="B119" s="453"/>
      <c r="C119" s="453"/>
      <c r="D119" s="453"/>
      <c r="E119" s="453"/>
      <c r="F119" s="453"/>
      <c r="G119" s="453"/>
      <c r="H119" s="84" t="s">
        <v>394</v>
      </c>
      <c r="I119" s="156"/>
      <c r="N119" s="481"/>
      <c r="O119" s="481"/>
      <c r="P119" s="481"/>
      <c r="Q119" s="481"/>
      <c r="R119" s="481"/>
      <c r="S119" s="481"/>
      <c r="T119" s="481"/>
      <c r="U119" s="481"/>
    </row>
    <row r="120" spans="1:21" x14ac:dyDescent="0.25">
      <c r="A120" s="453" t="s">
        <v>95</v>
      </c>
      <c r="B120" s="453"/>
      <c r="C120" s="453"/>
      <c r="D120" s="453"/>
      <c r="E120" s="453"/>
      <c r="F120" s="453"/>
      <c r="G120" s="453"/>
      <c r="H120" s="73" t="str">
        <f>IF(E29=0,"",IF((E14+E16+SUM(E18:E24))/E29&gt;0.75,1,""))</f>
        <v/>
      </c>
      <c r="I120" s="125">
        <f>U114</f>
        <v>0</v>
      </c>
      <c r="N120" s="476" t="s">
        <v>7</v>
      </c>
      <c r="O120" s="476"/>
      <c r="P120" s="476"/>
      <c r="Q120" s="476"/>
      <c r="R120" s="476"/>
      <c r="S120" s="476"/>
      <c r="T120" s="476"/>
      <c r="U120" s="476"/>
    </row>
    <row r="121" spans="1:21" x14ac:dyDescent="0.25">
      <c r="B121" s="72"/>
      <c r="C121" s="72"/>
      <c r="D121" s="72"/>
      <c r="E121" s="72"/>
      <c r="F121" s="72"/>
      <c r="G121" s="72"/>
      <c r="H121" s="68"/>
      <c r="I121" s="104"/>
      <c r="N121" s="74" t="s">
        <v>106</v>
      </c>
      <c r="O121" s="74"/>
      <c r="P121" s="74"/>
      <c r="Q121" s="74"/>
      <c r="R121" s="74"/>
      <c r="S121" s="74"/>
      <c r="T121" s="74"/>
      <c r="U121" s="74"/>
    </row>
    <row r="122" spans="1:21" x14ac:dyDescent="0.25">
      <c r="A122" s="3" t="s">
        <v>102</v>
      </c>
      <c r="B122" s="72"/>
      <c r="C122" s="72"/>
      <c r="D122" s="72"/>
      <c r="E122" s="72"/>
      <c r="F122" s="72"/>
      <c r="G122" s="287"/>
      <c r="H122" s="161">
        <f>IF(H120=1,I120,I117)</f>
        <v>5537299.9099999992</v>
      </c>
      <c r="I122" s="97">
        <f>ROUND(IF(E29=0,0,IF(E29&gt;250,-(((250/E29)*H122)*IF(G122="H",0.02,0.05)),IF(G122="H",-0.02*H122,-0.05*H122))),2)</f>
        <v>-93649.37</v>
      </c>
      <c r="N122" s="75" t="s">
        <v>107</v>
      </c>
      <c r="O122" s="74"/>
      <c r="P122" s="74"/>
      <c r="Q122" s="74"/>
      <c r="R122" s="74"/>
      <c r="S122" s="74"/>
      <c r="T122" s="74"/>
      <c r="U122" s="74"/>
    </row>
    <row r="123" spans="1:21" x14ac:dyDescent="0.25">
      <c r="B123" s="72"/>
      <c r="C123" s="72"/>
      <c r="D123" s="72"/>
      <c r="E123" s="72"/>
      <c r="F123" s="72"/>
      <c r="G123" s="72"/>
      <c r="H123" s="68"/>
      <c r="I123" s="104"/>
      <c r="N123" s="76"/>
      <c r="O123" s="76"/>
      <c r="P123" s="76"/>
      <c r="Q123" s="76"/>
      <c r="R123" s="76"/>
      <c r="S123" s="76"/>
      <c r="T123" s="76"/>
      <c r="U123" s="76"/>
    </row>
    <row r="124" spans="1:21" x14ac:dyDescent="0.25">
      <c r="A124" s="345" t="s">
        <v>103</v>
      </c>
      <c r="B124" s="346"/>
      <c r="C124" s="346"/>
      <c r="D124" s="346"/>
      <c r="E124" s="346"/>
      <c r="F124" s="346"/>
      <c r="G124" s="346"/>
      <c r="H124" s="347"/>
      <c r="I124" s="348">
        <f>I115+I122</f>
        <v>5571851.9899999993</v>
      </c>
      <c r="N124" s="76"/>
      <c r="O124" s="76"/>
      <c r="P124" s="76"/>
      <c r="Q124" s="76"/>
      <c r="R124" s="76"/>
      <c r="S124" s="76"/>
      <c r="T124" s="76"/>
      <c r="U124" s="76"/>
    </row>
    <row r="125" spans="1:21" x14ac:dyDescent="0.25">
      <c r="B125" s="72"/>
      <c r="C125" s="72"/>
      <c r="D125" s="72"/>
      <c r="E125" s="72"/>
      <c r="F125" s="72"/>
      <c r="G125" s="72"/>
      <c r="H125" s="68"/>
      <c r="I125" s="104"/>
      <c r="N125" s="76"/>
      <c r="O125" s="76"/>
      <c r="P125" s="76"/>
      <c r="Q125" s="76"/>
      <c r="R125" s="76"/>
      <c r="S125" s="76"/>
      <c r="T125" s="76"/>
      <c r="U125" s="76"/>
    </row>
    <row r="126" spans="1:21" x14ac:dyDescent="0.25">
      <c r="A126" s="3" t="s">
        <v>104</v>
      </c>
      <c r="B126" s="72"/>
      <c r="C126" s="162"/>
      <c r="D126" s="72"/>
      <c r="F126" s="72"/>
      <c r="G126" s="72"/>
      <c r="H126" s="68"/>
      <c r="I126" s="302">
        <v>-4160074.39</v>
      </c>
      <c r="N126" s="76"/>
      <c r="O126" s="76"/>
      <c r="P126" s="76"/>
      <c r="Q126" s="76"/>
      <c r="R126" s="76"/>
      <c r="S126" s="76"/>
      <c r="T126" s="76"/>
      <c r="U126" s="76"/>
    </row>
    <row r="127" spans="1:21" x14ac:dyDescent="0.25">
      <c r="B127" s="72"/>
      <c r="C127" s="72"/>
      <c r="D127" s="72"/>
      <c r="E127" s="72"/>
      <c r="F127" s="72"/>
      <c r="G127" s="72"/>
      <c r="H127" s="68"/>
      <c r="I127" s="104"/>
      <c r="N127" s="76"/>
      <c r="O127" s="76"/>
      <c r="P127" s="76"/>
      <c r="Q127" s="76"/>
      <c r="R127" s="76"/>
      <c r="S127" s="76"/>
      <c r="T127" s="76"/>
      <c r="U127" s="76"/>
    </row>
    <row r="128" spans="1:21" x14ac:dyDescent="0.25">
      <c r="A128" s="84" t="s">
        <v>297</v>
      </c>
      <c r="B128" s="72"/>
      <c r="C128" s="72"/>
      <c r="D128" s="72"/>
      <c r="E128" s="72"/>
      <c r="F128" s="72"/>
      <c r="G128" s="72"/>
      <c r="H128" s="68"/>
      <c r="I128" s="104">
        <f>I124+I126</f>
        <v>1411777.5999999992</v>
      </c>
      <c r="N128" s="76"/>
      <c r="O128" s="76"/>
      <c r="P128" s="76"/>
      <c r="Q128" s="76"/>
      <c r="R128" s="76"/>
      <c r="S128" s="76"/>
      <c r="T128" s="76"/>
      <c r="U128" s="76"/>
    </row>
    <row r="129" spans="1:21" x14ac:dyDescent="0.25">
      <c r="A129" s="84"/>
      <c r="B129" s="72"/>
      <c r="C129" s="72"/>
      <c r="D129" s="72"/>
      <c r="E129" s="72"/>
      <c r="F129" s="72"/>
      <c r="G129" s="72"/>
      <c r="H129" s="68"/>
      <c r="I129" s="104"/>
      <c r="N129" s="76"/>
      <c r="O129" s="76"/>
      <c r="P129" s="76"/>
      <c r="Q129" s="76"/>
      <c r="R129" s="76"/>
      <c r="S129" s="76"/>
      <c r="T129" s="76"/>
      <c r="U129" s="76"/>
    </row>
    <row r="130" spans="1:21" x14ac:dyDescent="0.25">
      <c r="A130" s="84" t="s">
        <v>298</v>
      </c>
      <c r="B130" s="72"/>
      <c r="C130" s="72"/>
      <c r="D130" s="72"/>
      <c r="E130" s="72"/>
      <c r="F130" s="72"/>
      <c r="G130" s="72"/>
      <c r="H130" s="68"/>
      <c r="I130" s="303">
        <f>'0664'!I130</f>
        <v>3</v>
      </c>
      <c r="N130" s="76"/>
      <c r="O130" s="76"/>
      <c r="P130" s="76"/>
      <c r="Q130" s="76"/>
      <c r="R130" s="76"/>
      <c r="S130" s="76"/>
      <c r="T130" s="76"/>
      <c r="U130" s="76"/>
    </row>
    <row r="131" spans="1:21" x14ac:dyDescent="0.25">
      <c r="B131" s="72"/>
      <c r="C131" s="72"/>
      <c r="D131" s="72"/>
      <c r="E131" s="72"/>
      <c r="F131" s="72"/>
      <c r="G131" s="72"/>
      <c r="H131" s="68"/>
      <c r="I131" s="104"/>
      <c r="N131" s="76"/>
      <c r="O131" s="76"/>
      <c r="P131" s="76"/>
      <c r="Q131" s="76"/>
      <c r="R131" s="76"/>
      <c r="S131" s="76"/>
      <c r="T131" s="76"/>
      <c r="U131" s="76"/>
    </row>
    <row r="132" spans="1:21" ht="16.5" thickBot="1" x14ac:dyDescent="0.3">
      <c r="A132" s="3" t="s">
        <v>105</v>
      </c>
      <c r="B132" s="72"/>
      <c r="C132" s="72"/>
      <c r="D132" s="72"/>
      <c r="E132" s="72"/>
      <c r="F132" s="72"/>
      <c r="G132" s="72"/>
      <c r="H132" s="68"/>
      <c r="I132" s="178">
        <f>ROUND(I128/I130,2)</f>
        <v>470592.53</v>
      </c>
      <c r="N132" s="76"/>
      <c r="O132" s="76"/>
      <c r="P132" s="76"/>
      <c r="Q132" s="76"/>
      <c r="R132" s="76"/>
      <c r="S132" s="76"/>
      <c r="T132" s="76"/>
      <c r="U132" s="76"/>
    </row>
    <row r="133" spans="1:21" ht="16.5" thickTop="1" x14ac:dyDescent="0.25">
      <c r="B133" s="72"/>
      <c r="C133" s="72"/>
      <c r="D133" s="72"/>
      <c r="E133" s="72"/>
      <c r="F133" s="72"/>
      <c r="G133" s="72"/>
      <c r="H133" s="68"/>
      <c r="I133" s="104"/>
      <c r="N133" s="76"/>
      <c r="O133" s="76"/>
      <c r="P133" s="76"/>
      <c r="Q133" s="76"/>
      <c r="R133" s="76"/>
      <c r="S133" s="76"/>
      <c r="T133" s="76"/>
      <c r="U133" s="76"/>
    </row>
    <row r="134" spans="1:21" ht="16.5" thickBot="1" x14ac:dyDescent="0.3">
      <c r="A134" s="3" t="s">
        <v>121</v>
      </c>
      <c r="B134" s="72"/>
      <c r="C134" s="72"/>
      <c r="D134" s="72"/>
      <c r="E134" s="72"/>
      <c r="F134" s="72"/>
      <c r="G134" s="72"/>
      <c r="H134" s="68"/>
      <c r="I134" s="155">
        <f>ROUND(IF(G122="H",(H122*0.02)+I122,(H122*0.05)+I122),2)</f>
        <v>183215.63</v>
      </c>
      <c r="N134" s="76"/>
      <c r="O134" s="76"/>
      <c r="P134" s="76"/>
      <c r="Q134" s="76"/>
      <c r="R134" s="76"/>
      <c r="S134" s="76"/>
      <c r="T134" s="76"/>
      <c r="U134" s="76"/>
    </row>
    <row r="135" spans="1:21" ht="16.5" thickTop="1" x14ac:dyDescent="0.25">
      <c r="B135" s="72"/>
      <c r="C135" s="72"/>
      <c r="D135" s="72"/>
      <c r="E135" s="72"/>
      <c r="F135" s="72"/>
      <c r="G135" s="72"/>
      <c r="H135" s="68"/>
      <c r="I135" s="156"/>
      <c r="N135" s="76"/>
      <c r="O135" s="76"/>
      <c r="P135" s="76"/>
      <c r="Q135" s="76"/>
      <c r="R135" s="76"/>
      <c r="S135" s="76"/>
      <c r="T135" s="76"/>
      <c r="U135" s="76"/>
    </row>
    <row r="136" spans="1:21" x14ac:dyDescent="0.25">
      <c r="B136" s="72"/>
      <c r="C136" s="72"/>
      <c r="D136" s="72"/>
      <c r="E136" s="72"/>
      <c r="F136" s="72"/>
      <c r="G136" s="72"/>
      <c r="H136" s="68"/>
      <c r="I136" s="104"/>
      <c r="N136" s="76"/>
      <c r="O136" s="76"/>
      <c r="P136" s="76"/>
      <c r="Q136" s="76"/>
      <c r="R136" s="76"/>
      <c r="S136" s="76"/>
      <c r="T136" s="76"/>
      <c r="U136" s="76"/>
    </row>
    <row r="137" spans="1:21" x14ac:dyDescent="0.25">
      <c r="B137" s="72"/>
      <c r="C137" s="72"/>
      <c r="D137" s="72"/>
      <c r="E137" s="72"/>
      <c r="F137" s="72"/>
      <c r="G137" s="72"/>
      <c r="H137" s="68"/>
      <c r="I137" s="156"/>
      <c r="N137" s="76"/>
      <c r="O137" s="76"/>
      <c r="P137" s="76"/>
      <c r="Q137" s="76"/>
      <c r="R137" s="76"/>
      <c r="S137" s="76"/>
      <c r="T137" s="76"/>
      <c r="U137" s="76"/>
    </row>
    <row r="138" spans="1:21" x14ac:dyDescent="0.25">
      <c r="A138" s="281" t="s">
        <v>7</v>
      </c>
      <c r="B138" s="281"/>
      <c r="C138" s="281"/>
      <c r="D138" s="281"/>
      <c r="E138" s="281"/>
      <c r="F138" s="281"/>
      <c r="G138" s="281"/>
      <c r="H138" s="281"/>
      <c r="I138" s="281"/>
      <c r="J138" s="156"/>
      <c r="N138" s="76"/>
      <c r="O138" s="76"/>
      <c r="P138" s="76"/>
      <c r="Q138" s="76"/>
      <c r="R138" s="76"/>
      <c r="S138" s="76"/>
      <c r="T138" s="76"/>
      <c r="U138" s="76"/>
    </row>
    <row r="139" spans="1:21" ht="15.75" customHeight="1" x14ac:dyDescent="0.25">
      <c r="A139" s="356" t="str">
        <f>'0664'!A139</f>
        <v>(a) Additional FTE includes FTE earned through Advanced Placement, International Baccalaureate, Advanced International Certificate of Education, Industry Certified Career</v>
      </c>
      <c r="B139" s="357"/>
      <c r="C139" s="357"/>
      <c r="D139" s="357"/>
      <c r="E139" s="357"/>
      <c r="F139" s="357"/>
      <c r="G139" s="357"/>
      <c r="H139" s="357"/>
      <c r="I139" s="357"/>
      <c r="J139" s="80"/>
      <c r="K139" s="79"/>
      <c r="L139" s="79"/>
      <c r="M139" s="79"/>
      <c r="N139" s="477"/>
      <c r="O139" s="477"/>
      <c r="P139" s="477"/>
      <c r="Q139" s="477"/>
      <c r="R139" s="477"/>
      <c r="S139" s="477"/>
      <c r="T139" s="477"/>
      <c r="U139" s="477"/>
    </row>
    <row r="140" spans="1:21" ht="15.75" customHeight="1" x14ac:dyDescent="0.25">
      <c r="A140" s="390" t="str">
        <f>'0664'!A140</f>
        <v xml:space="preserve">Education (CAPE), Early High School Graduation and the small district ESE Supplement, pursuant to s. 1011.62(1)(l-p), F.S. </v>
      </c>
      <c r="B140" s="357"/>
      <c r="C140" s="357"/>
      <c r="D140" s="357"/>
      <c r="E140" s="357"/>
      <c r="F140" s="357"/>
      <c r="G140" s="357"/>
      <c r="H140" s="357"/>
      <c r="I140" s="357"/>
      <c r="J140" s="80"/>
      <c r="K140" s="79"/>
      <c r="L140" s="79"/>
      <c r="M140" s="79"/>
      <c r="N140" s="76"/>
      <c r="O140" s="76"/>
      <c r="P140" s="76"/>
      <c r="Q140" s="76"/>
      <c r="R140" s="76"/>
      <c r="S140" s="76"/>
      <c r="T140" s="76"/>
      <c r="U140" s="76"/>
    </row>
    <row r="141" spans="1:21" x14ac:dyDescent="0.25">
      <c r="A141" s="356" t="str">
        <f>'0664'!A141</f>
        <v>(b) District allocations multiplied by percentage from item 3A.</v>
      </c>
      <c r="B141" s="281"/>
      <c r="C141" s="281"/>
      <c r="D141" s="281"/>
      <c r="E141" s="281"/>
      <c r="F141" s="281"/>
      <c r="G141" s="281"/>
      <c r="H141" s="281"/>
      <c r="I141" s="281"/>
      <c r="J141" s="79"/>
      <c r="K141" s="79"/>
      <c r="L141" s="79"/>
      <c r="M141" s="79"/>
      <c r="N141" s="81"/>
      <c r="O141" s="82"/>
      <c r="P141" s="82"/>
      <c r="Q141" s="82"/>
      <c r="R141" s="82"/>
      <c r="S141" s="82"/>
      <c r="T141" s="82"/>
      <c r="U141" s="82"/>
    </row>
    <row r="142" spans="1:21" s="79" customFormat="1" x14ac:dyDescent="0.2">
      <c r="A142" s="356" t="str">
        <f>'0664'!A142</f>
        <v>(c) District allocations multiplied by percentage from item 3B.</v>
      </c>
      <c r="B142" s="281"/>
      <c r="C142" s="281"/>
      <c r="D142" s="281"/>
      <c r="E142" s="281"/>
      <c r="F142" s="281"/>
      <c r="G142" s="281"/>
      <c r="H142" s="281"/>
      <c r="I142" s="281"/>
      <c r="N142" s="81"/>
    </row>
    <row r="143" spans="1:21" s="79" customFormat="1" ht="15.75" customHeight="1" x14ac:dyDescent="0.2">
      <c r="A143" s="356" t="str">
        <f>'0664'!A143</f>
        <v>(d) The Digital Classroom Allocation is provided pursuant to s. 1011.62(12), F.S.</v>
      </c>
      <c r="B143" s="281"/>
      <c r="C143" s="281"/>
      <c r="D143" s="281"/>
      <c r="E143" s="281"/>
      <c r="F143" s="281"/>
      <c r="G143" s="281"/>
      <c r="H143" s="281"/>
      <c r="I143" s="281"/>
      <c r="N143" s="81"/>
    </row>
    <row r="144" spans="1:21" s="79" customFormat="1" ht="15.75" customHeight="1" x14ac:dyDescent="0.2">
      <c r="A144" s="356" t="str">
        <f>'0664'!A144</f>
        <v>(e) School districts are required to pay for instructional materials used for the instruction of public high school students who are earning credit toward high school</v>
      </c>
      <c r="B144" s="281"/>
      <c r="C144" s="281"/>
      <c r="D144" s="281"/>
      <c r="E144" s="281"/>
      <c r="F144" s="281"/>
      <c r="G144" s="281"/>
      <c r="H144" s="281"/>
      <c r="I144" s="281"/>
      <c r="N144" s="81"/>
    </row>
    <row r="145" spans="1:14" s="79" customFormat="1" ht="15.75" customHeight="1" x14ac:dyDescent="0.2">
      <c r="A145" s="390" t="str">
        <f>'0664'!A145</f>
        <v xml:space="preserve">graduation under the dual enrollment program as provided in s. 1011.62(l)(i), F.S.  </v>
      </c>
      <c r="B145" s="281"/>
      <c r="C145" s="281"/>
      <c r="D145" s="281"/>
      <c r="E145" s="281"/>
      <c r="F145" s="281"/>
      <c r="G145" s="281"/>
      <c r="H145" s="281"/>
      <c r="I145" s="281"/>
      <c r="N145" s="81"/>
    </row>
    <row r="146" spans="1:14" s="79" customFormat="1" x14ac:dyDescent="0.2">
      <c r="A146" s="356" t="str">
        <f>'0664'!A146</f>
        <v>(f) This allocation will be frozen as of the 2021-22 FEFP Second Calculation and will not be recalculated throughout the year. Charter school allocations should be</v>
      </c>
      <c r="B146" s="281"/>
      <c r="C146" s="281"/>
      <c r="D146" s="281"/>
      <c r="E146" s="281"/>
      <c r="F146" s="281"/>
      <c r="G146" s="281"/>
      <c r="H146" s="281"/>
      <c r="I146" s="281"/>
      <c r="N146" s="81"/>
    </row>
    <row r="147" spans="1:14" s="79" customFormat="1" x14ac:dyDescent="0.2">
      <c r="A147" s="358" t="str">
        <f>'0664'!A147</f>
        <v xml:space="preserve">distributed on weighted FTE (or base funding as is done in the FEFP) and should not be recalculated with fluctuations in student enrollment later in the year. </v>
      </c>
      <c r="B147" s="281"/>
      <c r="C147" s="281"/>
      <c r="D147" s="281"/>
      <c r="E147" s="281"/>
      <c r="F147" s="281"/>
      <c r="G147" s="281"/>
      <c r="H147" s="281"/>
      <c r="I147" s="281"/>
      <c r="N147" s="81"/>
    </row>
    <row r="148" spans="1:14" s="79" customFormat="1" x14ac:dyDescent="0.2">
      <c r="A148" s="356" t="str">
        <f>'0664'!A148</f>
        <v>(g) Numbers entered here will be multiplied by the district level transportation funding per rider. "All Adjusted Fundable Riders" should include both basic and ESE Riders.</v>
      </c>
      <c r="B148" s="281"/>
      <c r="C148" s="281"/>
      <c r="D148" s="281"/>
      <c r="E148" s="281"/>
      <c r="F148" s="281"/>
      <c r="G148" s="281"/>
      <c r="H148" s="281"/>
      <c r="I148" s="281"/>
      <c r="N148" s="81"/>
    </row>
    <row r="149" spans="1:14" s="79" customFormat="1" x14ac:dyDescent="0.2">
      <c r="A149" s="390" t="str">
        <f>'0664'!A149</f>
        <v>"All Adjusted ESE Riders" should include only ESE Riders.</v>
      </c>
      <c r="B149" s="281"/>
      <c r="C149" s="281"/>
      <c r="D149" s="281"/>
      <c r="E149" s="281"/>
      <c r="F149" s="281"/>
      <c r="G149" s="281"/>
      <c r="H149" s="281"/>
      <c r="I149" s="281"/>
      <c r="N149" s="81"/>
    </row>
    <row r="150" spans="1:14" s="79" customFormat="1" x14ac:dyDescent="0.2">
      <c r="A150" s="356" t="str">
        <f>'0664'!A150</f>
        <v xml:space="preserve">(h) The Federally Connected Student Supplement provides additional funding for students on federal lands that receive Section 8003 impact aide pursuant to s. 1011.62(13), F.S. </v>
      </c>
      <c r="B150" s="281"/>
      <c r="C150" s="281"/>
      <c r="D150" s="281"/>
      <c r="E150" s="281"/>
      <c r="F150" s="281"/>
      <c r="G150" s="281"/>
      <c r="H150" s="281"/>
      <c r="I150" s="281"/>
      <c r="N150" s="81"/>
    </row>
    <row r="151" spans="1:14" s="79" customFormat="1" x14ac:dyDescent="0.2">
      <c r="A151" s="356" t="str">
        <f>'0664'!A151</f>
        <v>(i) Teacher Classroom Supply Assistance Program allocation pursuant to s. 1012.71, F.S., for certified teachers employed by a public school district or public charter school</v>
      </c>
      <c r="B151" s="281"/>
      <c r="C151" s="281"/>
      <c r="D151" s="281"/>
      <c r="E151" s="281"/>
      <c r="F151" s="281"/>
      <c r="G151" s="281"/>
      <c r="H151" s="281"/>
      <c r="I151" s="281"/>
      <c r="N151" s="81"/>
    </row>
    <row r="152" spans="1:14" s="79" customFormat="1" x14ac:dyDescent="0.2">
      <c r="A152" s="358" t="str">
        <f>'0664'!A152</f>
        <v xml:space="preserve">before September 1 of each year whose full-time or job-share responsibility is the classroom instruction of students in prekindergarten through grade 12, including </v>
      </c>
      <c r="B152" s="281"/>
      <c r="C152" s="281"/>
      <c r="D152" s="281"/>
      <c r="E152" s="281"/>
      <c r="F152" s="281"/>
      <c r="G152" s="281"/>
      <c r="H152" s="281"/>
      <c r="I152" s="281"/>
      <c r="N152" s="81"/>
    </row>
    <row r="153" spans="1:14" s="79" customFormat="1" ht="15.75" customHeight="1" x14ac:dyDescent="0.2">
      <c r="A153" s="358" t="str">
        <f>'0664'!A153</f>
        <v>full-time media specialists and certified school counselors serving students in prekindergarten through grade 12, who are funded through the FEFP.</v>
      </c>
      <c r="B153" s="281"/>
      <c r="C153" s="281"/>
      <c r="D153" s="281"/>
      <c r="E153" s="281"/>
      <c r="F153" s="281"/>
      <c r="G153" s="281"/>
      <c r="H153" s="281"/>
      <c r="I153" s="281"/>
      <c r="N153" s="81"/>
    </row>
    <row r="154" spans="1:14" s="79" customFormat="1" ht="15.75" customHeight="1" x14ac:dyDescent="0.2">
      <c r="A154" s="356" t="str">
        <f>'0664'!A154</f>
        <v xml:space="preserve">(j) Funding based on student eligibility and meals provided, if participating in the National School Lunch Program. </v>
      </c>
      <c r="B154" s="328"/>
      <c r="C154" s="328"/>
      <c r="D154" s="328"/>
      <c r="E154" s="328"/>
      <c r="F154" s="328"/>
      <c r="G154" s="328"/>
      <c r="H154" s="328"/>
      <c r="I154" s="328"/>
      <c r="N154" s="81"/>
    </row>
    <row r="155" spans="1:14" s="79" customFormat="1" ht="15.75" customHeight="1" x14ac:dyDescent="0.2">
      <c r="A155" s="356" t="str">
        <f>'0664'!A155</f>
        <v>(k) Consistent with s. 1002.33(20)(a), F.S., for charter schools with a population of 75% or more ESE students, the administrative fee shall be calculated based on</v>
      </c>
      <c r="B155" s="381"/>
      <c r="C155" s="381"/>
      <c r="D155" s="381"/>
      <c r="E155" s="381"/>
      <c r="F155" s="381"/>
      <c r="G155" s="381"/>
      <c r="H155" s="381"/>
      <c r="I155" s="381"/>
      <c r="N155" s="81"/>
    </row>
    <row r="156" spans="1:14" s="79" customFormat="1" ht="15.75" customHeight="1" x14ac:dyDescent="0.2">
      <c r="A156" s="390" t="str">
        <f>'0664'!A156</f>
        <v xml:space="preserve">unweighted full-time equivalent students. </v>
      </c>
      <c r="B156" s="381"/>
      <c r="C156" s="381"/>
      <c r="D156" s="381"/>
      <c r="E156" s="381"/>
      <c r="F156" s="381"/>
      <c r="G156" s="381"/>
      <c r="H156" s="381"/>
      <c r="I156" s="381"/>
      <c r="N156" s="81"/>
    </row>
    <row r="157" spans="1:14" s="79" customFormat="1" ht="15.75" customHeight="1" x14ac:dyDescent="0.2">
      <c r="A157" s="356"/>
      <c r="B157" s="381"/>
      <c r="C157" s="381"/>
      <c r="D157" s="381"/>
      <c r="E157" s="381"/>
      <c r="F157" s="381"/>
      <c r="G157" s="381"/>
      <c r="H157" s="381"/>
      <c r="I157" s="381"/>
      <c r="N157" s="81"/>
    </row>
    <row r="158" spans="1:14" s="79" customFormat="1" ht="15.75" customHeight="1" x14ac:dyDescent="0.25">
      <c r="A158" s="398" t="str">
        <f>'0664'!A158</f>
        <v>Administrative fees:</v>
      </c>
      <c r="B158" s="328"/>
      <c r="C158" s="328"/>
      <c r="D158" s="328"/>
      <c r="E158" s="328"/>
      <c r="F158" s="328"/>
      <c r="G158" s="328"/>
      <c r="H158" s="328"/>
      <c r="I158" s="328"/>
      <c r="J158" s="3"/>
      <c r="K158" s="3"/>
      <c r="L158" s="3"/>
      <c r="M158" s="3"/>
      <c r="N158" s="81"/>
    </row>
    <row r="159" spans="1:14" s="79" customFormat="1" ht="15.75" customHeight="1" x14ac:dyDescent="0.25">
      <c r="A159" s="399" t="str">
        <f>'0664'!A159</f>
        <v xml:space="preserve">Administrative fees charged by the school district pursuant to s. 1002.33(20)(a), F.S., shall be calculated based upon 5% of available funds from the FEFP and categorical </v>
      </c>
      <c r="B159" s="328"/>
      <c r="C159" s="328"/>
      <c r="D159" s="328"/>
      <c r="E159" s="328"/>
      <c r="F159" s="328"/>
      <c r="G159" s="328"/>
      <c r="H159" s="328"/>
      <c r="I159" s="328"/>
      <c r="J159" s="3"/>
      <c r="K159" s="3"/>
      <c r="L159" s="3"/>
      <c r="M159" s="3"/>
      <c r="N159" s="81"/>
    </row>
    <row r="160" spans="1:14" s="79" customFormat="1" ht="15.75" customHeight="1" x14ac:dyDescent="0.25">
      <c r="A160" s="400" t="str">
        <f>'0664'!A160</f>
        <v>funding for which charter students may be eligible.  To calculate the administrative fee to be withheld for schools with more than 250 students, divide the school</v>
      </c>
      <c r="B160" s="328"/>
      <c r="C160" s="328"/>
      <c r="D160" s="328"/>
      <c r="E160" s="328"/>
      <c r="F160" s="328"/>
      <c r="G160" s="328"/>
      <c r="H160" s="328"/>
      <c r="I160" s="328"/>
      <c r="J160" s="3"/>
      <c r="K160" s="3"/>
      <c r="L160" s="3"/>
      <c r="M160" s="3"/>
      <c r="N160" s="81"/>
    </row>
    <row r="161" spans="1:21" s="79" customFormat="1" ht="15.75" customHeight="1" x14ac:dyDescent="0.25">
      <c r="A161" s="400" t="str">
        <f>'0664'!A161</f>
        <v xml:space="preserve">population into 250. Multiply that fraction times the funds available, then times 5%.  </v>
      </c>
      <c r="B161" s="328"/>
      <c r="C161" s="328"/>
      <c r="D161" s="328"/>
      <c r="E161" s="328"/>
      <c r="F161" s="328"/>
      <c r="G161" s="328"/>
      <c r="H161" s="328"/>
      <c r="I161" s="328"/>
      <c r="J161" s="3"/>
      <c r="K161" s="3"/>
      <c r="L161" s="3"/>
      <c r="M161" s="3"/>
      <c r="N161" s="81"/>
    </row>
    <row r="162" spans="1:21" s="79" customFormat="1" ht="15.75" customHeight="1" x14ac:dyDescent="0.25">
      <c r="A162" s="399"/>
      <c r="B162" s="394"/>
      <c r="C162" s="394"/>
      <c r="D162" s="394"/>
      <c r="E162" s="394"/>
      <c r="F162" s="394"/>
      <c r="G162" s="394"/>
      <c r="H162" s="394"/>
      <c r="I162" s="394"/>
      <c r="N162" s="77"/>
      <c r="O162" s="3"/>
      <c r="P162" s="3"/>
      <c r="Q162" s="3"/>
      <c r="R162" s="3"/>
      <c r="S162" s="3"/>
      <c r="T162" s="3"/>
      <c r="U162" s="3"/>
    </row>
    <row r="163" spans="1:21" ht="15.75" customHeight="1" x14ac:dyDescent="0.25">
      <c r="A163" s="399" t="str">
        <f>'0664'!A163</f>
        <v xml:space="preserve">For high performing charter schools, administrative fees charged by the school district shall be calculated based upon 2% of available funds from the FEFP and categorical </v>
      </c>
      <c r="B163" s="328"/>
      <c r="C163" s="328"/>
      <c r="D163" s="328"/>
      <c r="E163" s="328"/>
      <c r="F163" s="328"/>
      <c r="G163" s="328"/>
      <c r="H163" s="328"/>
      <c r="I163" s="328"/>
      <c r="J163" s="79"/>
      <c r="K163" s="79"/>
      <c r="L163" s="79"/>
      <c r="M163" s="79"/>
      <c r="N163" s="81"/>
      <c r="O163" s="79"/>
      <c r="P163" s="79"/>
      <c r="Q163" s="79"/>
      <c r="R163" s="79"/>
      <c r="S163" s="79"/>
      <c r="T163" s="79"/>
      <c r="U163" s="79"/>
    </row>
    <row r="164" spans="1:21" ht="15.75" customHeight="1" x14ac:dyDescent="0.25">
      <c r="A164" s="400" t="str">
        <f>'0664'!A164</f>
        <v>funding for which charter students may be eligible.  To calculate the administrative fee to be withheld for schools with more than 250 students, divide the school</v>
      </c>
      <c r="B164" s="381"/>
      <c r="C164" s="381"/>
      <c r="D164" s="381"/>
      <c r="E164" s="381"/>
      <c r="F164" s="381"/>
      <c r="G164" s="381"/>
      <c r="H164" s="381"/>
      <c r="I164" s="381"/>
      <c r="J164" s="79"/>
      <c r="K164" s="79"/>
      <c r="L164" s="79"/>
      <c r="M164" s="79"/>
      <c r="N164" s="81"/>
      <c r="O164" s="79"/>
      <c r="P164" s="79"/>
      <c r="Q164" s="79"/>
      <c r="R164" s="79"/>
      <c r="S164" s="79"/>
      <c r="T164" s="79"/>
      <c r="U164" s="79"/>
    </row>
    <row r="165" spans="1:21" s="79" customFormat="1" ht="15.75" customHeight="1" x14ac:dyDescent="0.2">
      <c r="A165" s="400" t="str">
        <f>'0664'!A165</f>
        <v xml:space="preserve">population into 250. Multiply that fraction times the funds available, then times 2%.  </v>
      </c>
      <c r="B165" s="328"/>
      <c r="C165" s="328"/>
      <c r="D165" s="328"/>
      <c r="E165" s="328"/>
      <c r="F165" s="328"/>
      <c r="G165" s="328"/>
      <c r="H165" s="328"/>
      <c r="I165" s="328"/>
      <c r="N165" s="81"/>
    </row>
    <row r="166" spans="1:21" x14ac:dyDescent="0.25">
      <c r="A166" s="356"/>
      <c r="N166" s="77"/>
    </row>
    <row r="167" spans="1:21" x14ac:dyDescent="0.25">
      <c r="A167" s="398" t="str">
        <f>'0664'!A167</f>
        <v>Other:</v>
      </c>
      <c r="N167" s="77"/>
    </row>
    <row r="168" spans="1:21" x14ac:dyDescent="0.25">
      <c r="A168" s="399" t="str">
        <f>'0664'!A168</f>
        <v>FEFP and categorical funding are recalculated during the year to reflect the revised number of full-time equivalent students reported during the survey periods designated</v>
      </c>
      <c r="N168" s="77"/>
    </row>
    <row r="169" spans="1:21" x14ac:dyDescent="0.25">
      <c r="A169" s="402" t="str">
        <f>'0664'!A169</f>
        <v>by the Commissioner of Education.</v>
      </c>
      <c r="N169" s="77"/>
    </row>
    <row r="170" spans="1:21" x14ac:dyDescent="0.25">
      <c r="A170" s="399" t="str">
        <f>'0664'!A170</f>
        <v>Revenues flow to districts from state sources and from county tax collectors on various distribution schedules.</v>
      </c>
      <c r="N170" s="77"/>
    </row>
    <row r="171" spans="1:21" x14ac:dyDescent="0.25">
      <c r="A171" s="77"/>
      <c r="N171" s="77"/>
    </row>
    <row r="172" spans="1:21" x14ac:dyDescent="0.25">
      <c r="A172" s="77"/>
      <c r="N172" s="77"/>
    </row>
    <row r="173" spans="1:21" x14ac:dyDescent="0.25">
      <c r="A173" s="77"/>
      <c r="N173" s="77"/>
    </row>
    <row r="174" spans="1:21" x14ac:dyDescent="0.25">
      <c r="A174" s="77"/>
      <c r="N174" s="77"/>
    </row>
    <row r="175" spans="1:21" x14ac:dyDescent="0.25">
      <c r="A175" s="77"/>
      <c r="N175" s="77"/>
    </row>
    <row r="176" spans="1:21" x14ac:dyDescent="0.25">
      <c r="A176" s="77"/>
      <c r="N176" s="77"/>
    </row>
    <row r="177" spans="1:14" x14ac:dyDescent="0.25">
      <c r="A177" s="77"/>
      <c r="N177" s="77"/>
    </row>
    <row r="178" spans="1:14" x14ac:dyDescent="0.25">
      <c r="A178" s="77"/>
      <c r="N178" s="77"/>
    </row>
    <row r="179" spans="1:14" x14ac:dyDescent="0.25">
      <c r="A179" s="77"/>
      <c r="N179" s="77"/>
    </row>
    <row r="180" spans="1:14" x14ac:dyDescent="0.25">
      <c r="A180" s="77"/>
      <c r="N180" s="77"/>
    </row>
    <row r="181" spans="1:14" x14ac:dyDescent="0.25">
      <c r="A181" s="77"/>
      <c r="N181" s="77"/>
    </row>
    <row r="182" spans="1:14" x14ac:dyDescent="0.25">
      <c r="A182" s="77"/>
      <c r="N182" s="77"/>
    </row>
    <row r="183" spans="1:14" x14ac:dyDescent="0.25">
      <c r="A183" s="77"/>
      <c r="N183" s="77"/>
    </row>
    <row r="184" spans="1:14" x14ac:dyDescent="0.25">
      <c r="A184" s="77"/>
      <c r="N184" s="77"/>
    </row>
    <row r="185" spans="1:14" x14ac:dyDescent="0.25">
      <c r="A185" s="77"/>
      <c r="N185" s="77"/>
    </row>
    <row r="186" spans="1:14" x14ac:dyDescent="0.25">
      <c r="A186" s="77"/>
      <c r="N186" s="77"/>
    </row>
    <row r="187" spans="1:14" x14ac:dyDescent="0.25">
      <c r="A187" s="77"/>
      <c r="N187" s="77"/>
    </row>
    <row r="188" spans="1:14" x14ac:dyDescent="0.25">
      <c r="A188" s="77"/>
    </row>
    <row r="189" spans="1:14" x14ac:dyDescent="0.25">
      <c r="A189" s="77"/>
    </row>
    <row r="190" spans="1:14" x14ac:dyDescent="0.25">
      <c r="A190" s="77"/>
    </row>
    <row r="191" spans="1:14" x14ac:dyDescent="0.25">
      <c r="A191" s="77"/>
    </row>
    <row r="192" spans="1:14" x14ac:dyDescent="0.25">
      <c r="A192" s="77"/>
    </row>
    <row r="193" spans="1:1" x14ac:dyDescent="0.25">
      <c r="A193" s="77"/>
    </row>
    <row r="194" spans="1:1" x14ac:dyDescent="0.25">
      <c r="A194" s="77"/>
    </row>
    <row r="195" spans="1:1" x14ac:dyDescent="0.25">
      <c r="A195" s="77"/>
    </row>
    <row r="196" spans="1:1" x14ac:dyDescent="0.25">
      <c r="A196" s="77"/>
    </row>
    <row r="197" spans="1:1" x14ac:dyDescent="0.25">
      <c r="A197" s="77"/>
    </row>
    <row r="198" spans="1:1" x14ac:dyDescent="0.25">
      <c r="A198" s="77"/>
    </row>
    <row r="199" spans="1:1" x14ac:dyDescent="0.25">
      <c r="A199" s="77"/>
    </row>
    <row r="200" spans="1:1" x14ac:dyDescent="0.25">
      <c r="A200" s="77"/>
    </row>
    <row r="201" spans="1:1" x14ac:dyDescent="0.25">
      <c r="A201" s="77"/>
    </row>
    <row r="202" spans="1:1" x14ac:dyDescent="0.25">
      <c r="A202" s="77"/>
    </row>
    <row r="203" spans="1:1" x14ac:dyDescent="0.25">
      <c r="A203" s="77"/>
    </row>
    <row r="204" spans="1:1" x14ac:dyDescent="0.25">
      <c r="A204" s="77"/>
    </row>
    <row r="205" spans="1:1" x14ac:dyDescent="0.25">
      <c r="A205" s="77"/>
    </row>
    <row r="206" spans="1:1" x14ac:dyDescent="0.25">
      <c r="A206" s="77"/>
    </row>
  </sheetData>
  <mergeCells count="266">
    <mergeCell ref="A11:B11"/>
    <mergeCell ref="A119:G119"/>
    <mergeCell ref="N120:U120"/>
    <mergeCell ref="A120:G120"/>
    <mergeCell ref="R109:S109"/>
    <mergeCell ref="A107:B107"/>
    <mergeCell ref="F107:G107"/>
    <mergeCell ref="N107:O107"/>
    <mergeCell ref="A112:C112"/>
    <mergeCell ref="F112:H112"/>
    <mergeCell ref="A108:B108"/>
    <mergeCell ref="F108:G108"/>
    <mergeCell ref="N108:O108"/>
    <mergeCell ref="P108:Q108"/>
    <mergeCell ref="R108:S108"/>
    <mergeCell ref="C104:E104"/>
    <mergeCell ref="F105:G105"/>
    <mergeCell ref="A106:B106"/>
    <mergeCell ref="F106:G106"/>
    <mergeCell ref="N106:O106"/>
    <mergeCell ref="P106:Q106"/>
    <mergeCell ref="R106:S106"/>
    <mergeCell ref="P107:Q107"/>
    <mergeCell ref="R107:S107"/>
    <mergeCell ref="N139:U139"/>
    <mergeCell ref="N119:U119"/>
    <mergeCell ref="N113:P113"/>
    <mergeCell ref="A113:C113"/>
    <mergeCell ref="F113:H113"/>
    <mergeCell ref="N114:T114"/>
    <mergeCell ref="A115:H115"/>
    <mergeCell ref="N112:P112"/>
    <mergeCell ref="A109:B109"/>
    <mergeCell ref="F109:G109"/>
    <mergeCell ref="N109:O109"/>
    <mergeCell ref="P109:Q109"/>
    <mergeCell ref="A110:B110"/>
    <mergeCell ref="N110:O110"/>
    <mergeCell ref="A99:B99"/>
    <mergeCell ref="N99:O99"/>
    <mergeCell ref="P99:R99"/>
    <mergeCell ref="A100:B100"/>
    <mergeCell ref="N100:O100"/>
    <mergeCell ref="P100:R100"/>
    <mergeCell ref="A103:C103"/>
    <mergeCell ref="F103:I103"/>
    <mergeCell ref="N103:U103"/>
    <mergeCell ref="C91:D91"/>
    <mergeCell ref="P91:Q91"/>
    <mergeCell ref="C92:D92"/>
    <mergeCell ref="P92:Q92"/>
    <mergeCell ref="C93:D93"/>
    <mergeCell ref="P93:T93"/>
    <mergeCell ref="A94:I94"/>
    <mergeCell ref="N94:U94"/>
    <mergeCell ref="F96:I96"/>
    <mergeCell ref="N96:P96"/>
    <mergeCell ref="Q96:T96"/>
    <mergeCell ref="A87:I87"/>
    <mergeCell ref="N87:U87"/>
    <mergeCell ref="C88:D88"/>
    <mergeCell ref="C89:D89"/>
    <mergeCell ref="N89:O89"/>
    <mergeCell ref="P89:Q89"/>
    <mergeCell ref="R89:U89"/>
    <mergeCell ref="C90:D90"/>
    <mergeCell ref="P90:Q90"/>
    <mergeCell ref="A80:C80"/>
    <mergeCell ref="N80:P80"/>
    <mergeCell ref="A85:C85"/>
    <mergeCell ref="N85:P85"/>
    <mergeCell ref="F73:H73"/>
    <mergeCell ref="N73:T73"/>
    <mergeCell ref="N74:T74"/>
    <mergeCell ref="A78:C78"/>
    <mergeCell ref="N78:P78"/>
    <mergeCell ref="A79:C79"/>
    <mergeCell ref="A69:C69"/>
    <mergeCell ref="N69:P69"/>
    <mergeCell ref="N79:P79"/>
    <mergeCell ref="A76:C76"/>
    <mergeCell ref="N76:P76"/>
    <mergeCell ref="A77:C77"/>
    <mergeCell ref="A70:C70"/>
    <mergeCell ref="A71:C71"/>
    <mergeCell ref="N71:P71"/>
    <mergeCell ref="A72:C72"/>
    <mergeCell ref="N77:P77"/>
    <mergeCell ref="N72:P72"/>
    <mergeCell ref="A65:B65"/>
    <mergeCell ref="D65:G65"/>
    <mergeCell ref="N65:O65"/>
    <mergeCell ref="Q65:S65"/>
    <mergeCell ref="T65:U65"/>
    <mergeCell ref="N66:S66"/>
    <mergeCell ref="T66:U66"/>
    <mergeCell ref="A68:C68"/>
    <mergeCell ref="N68:P68"/>
    <mergeCell ref="A62:B62"/>
    <mergeCell ref="D62:G62"/>
    <mergeCell ref="N62:O62"/>
    <mergeCell ref="Q62:S62"/>
    <mergeCell ref="T62:U62"/>
    <mergeCell ref="N63:S63"/>
    <mergeCell ref="T63:U63"/>
    <mergeCell ref="A64:I64"/>
    <mergeCell ref="N64:U64"/>
    <mergeCell ref="A59:B59"/>
    <mergeCell ref="F59:H59"/>
    <mergeCell ref="N59:O59"/>
    <mergeCell ref="P59:Q59"/>
    <mergeCell ref="R59:T59"/>
    <mergeCell ref="A60:I60"/>
    <mergeCell ref="N60:U60"/>
    <mergeCell ref="A61:I61"/>
    <mergeCell ref="N61:U61"/>
    <mergeCell ref="A50:B58"/>
    <mergeCell ref="N50:O58"/>
    <mergeCell ref="P50:Q50"/>
    <mergeCell ref="P51:Q51"/>
    <mergeCell ref="P52:Q52"/>
    <mergeCell ref="P53:Q53"/>
    <mergeCell ref="P54:Q54"/>
    <mergeCell ref="P55:Q55"/>
    <mergeCell ref="P56:Q56"/>
    <mergeCell ref="P57:Q57"/>
    <mergeCell ref="P58:Q58"/>
    <mergeCell ref="A42:B42"/>
    <mergeCell ref="N42:O42"/>
    <mergeCell ref="P42:T42"/>
    <mergeCell ref="N43:Q43"/>
    <mergeCell ref="S43:T43"/>
    <mergeCell ref="N45:Q45"/>
    <mergeCell ref="S45:T45"/>
    <mergeCell ref="N49:O49"/>
    <mergeCell ref="P49:Q49"/>
    <mergeCell ref="A39:B39"/>
    <mergeCell ref="N39:O39"/>
    <mergeCell ref="P39:T39"/>
    <mergeCell ref="A40:B40"/>
    <mergeCell ref="N40:O40"/>
    <mergeCell ref="P40:T40"/>
    <mergeCell ref="A41:B41"/>
    <mergeCell ref="N41:O41"/>
    <mergeCell ref="P41:T41"/>
    <mergeCell ref="N34:T34"/>
    <mergeCell ref="A36:B36"/>
    <mergeCell ref="N36:O36"/>
    <mergeCell ref="P36:T36"/>
    <mergeCell ref="A37:B37"/>
    <mergeCell ref="N37:O37"/>
    <mergeCell ref="P37:T37"/>
    <mergeCell ref="F33:H36"/>
    <mergeCell ref="A38:B38"/>
    <mergeCell ref="N38:O38"/>
    <mergeCell ref="P38:T38"/>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A20:B20"/>
    <mergeCell ref="F20:G20"/>
    <mergeCell ref="N20:O20"/>
    <mergeCell ref="P20:Q20"/>
    <mergeCell ref="R20:S20"/>
    <mergeCell ref="A21:B21"/>
    <mergeCell ref="F21:G21"/>
    <mergeCell ref="N21:O21"/>
    <mergeCell ref="P21:Q21"/>
    <mergeCell ref="R21:S21"/>
    <mergeCell ref="A18:B18"/>
    <mergeCell ref="F18:G18"/>
    <mergeCell ref="N18:O18"/>
    <mergeCell ref="P18:Q18"/>
    <mergeCell ref="R18:S18"/>
    <mergeCell ref="A19:B19"/>
    <mergeCell ref="F19:G19"/>
    <mergeCell ref="N19:O19"/>
    <mergeCell ref="P19:Q19"/>
    <mergeCell ref="R19:S19"/>
    <mergeCell ref="A16:B16"/>
    <mergeCell ref="F16:G16"/>
    <mergeCell ref="N16:O16"/>
    <mergeCell ref="P16:Q16"/>
    <mergeCell ref="R16:S16"/>
    <mergeCell ref="A17:B17"/>
    <mergeCell ref="F17:G17"/>
    <mergeCell ref="N17:O17"/>
    <mergeCell ref="P17:Q17"/>
    <mergeCell ref="R17:S17"/>
    <mergeCell ref="A14:B14"/>
    <mergeCell ref="F14:G14"/>
    <mergeCell ref="N14:O14"/>
    <mergeCell ref="P14:Q14"/>
    <mergeCell ref="R14:S14"/>
    <mergeCell ref="A15:B15"/>
    <mergeCell ref="F15:G15"/>
    <mergeCell ref="N15:O15"/>
    <mergeCell ref="P15:Q15"/>
    <mergeCell ref="R15:S15"/>
    <mergeCell ref="A12:B12"/>
    <mergeCell ref="F12:G12"/>
    <mergeCell ref="N12:O12"/>
    <mergeCell ref="P12:Q12"/>
    <mergeCell ref="R12:S12"/>
    <mergeCell ref="A13:B13"/>
    <mergeCell ref="F13:G13"/>
    <mergeCell ref="N13:O13"/>
    <mergeCell ref="P13:Q13"/>
    <mergeCell ref="R13:S13"/>
    <mergeCell ref="N8:O8"/>
    <mergeCell ref="P8:Q8"/>
    <mergeCell ref="R8:S8"/>
    <mergeCell ref="T8:U8"/>
    <mergeCell ref="F10:G10"/>
    <mergeCell ref="R10:S10"/>
    <mergeCell ref="F11:G11"/>
    <mergeCell ref="N11:O11"/>
    <mergeCell ref="P11:Q11"/>
    <mergeCell ref="R11:S11"/>
    <mergeCell ref="B1:I1"/>
    <mergeCell ref="O1:U1"/>
    <mergeCell ref="N2:U2"/>
    <mergeCell ref="N3:U3"/>
    <mergeCell ref="A4:B4"/>
    <mergeCell ref="C4:E4"/>
    <mergeCell ref="N4:O4"/>
    <mergeCell ref="P4:Q4"/>
    <mergeCell ref="A7:I7"/>
    <mergeCell ref="N7:U7"/>
  </mergeCells>
  <pageMargins left="0.1" right="0.1" top="0.5" bottom="0.5" header="0" footer="0.1"/>
  <pageSetup scale="70" fitToHeight="3" orientation="portrait" r:id="rId1"/>
  <headerFooter alignWithMargins="0">
    <oddFooter>&amp;R&amp;P of &amp;N</oddFooter>
  </headerFooter>
  <rowBreaks count="1" manualBreakCount="1">
    <brk id="138" max="16383" man="1"/>
  </rowBreaks>
  <colBreaks count="1" manualBreakCount="1">
    <brk id="9" max="1048575" man="1"/>
  </col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CCFFCC"/>
  </sheetPr>
  <dimension ref="A1:U206"/>
  <sheetViews>
    <sheetView showGridLines="0" zoomScaleNormal="100" workbookViewId="0">
      <pane ySplit="1" topLeftCell="A14" activePane="bottomLeft" state="frozen"/>
      <selection activeCell="I9" sqref="I9"/>
      <selection pane="bottomLeft" activeCell="D50" sqref="D50:D56"/>
    </sheetView>
  </sheetViews>
  <sheetFormatPr defaultRowHeight="15.75" x14ac:dyDescent="0.25"/>
  <cols>
    <col min="1" max="1" width="10.28515625" style="72"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72"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5">
        <v>50</v>
      </c>
      <c r="B1" s="441" t="s">
        <v>17</v>
      </c>
      <c r="C1" s="442"/>
      <c r="D1" s="442"/>
      <c r="E1" s="442"/>
      <c r="F1" s="442"/>
      <c r="G1" s="442"/>
      <c r="H1" s="442"/>
      <c r="I1" s="442"/>
      <c r="J1" s="157"/>
      <c r="K1" s="157"/>
      <c r="L1" s="157"/>
      <c r="N1" s="85">
        <f>A1</f>
        <v>50</v>
      </c>
      <c r="O1" s="527" t="s">
        <v>17</v>
      </c>
      <c r="P1" s="528"/>
      <c r="Q1" s="528"/>
      <c r="R1" s="528"/>
      <c r="S1" s="528"/>
      <c r="T1" s="528"/>
      <c r="U1" s="528"/>
    </row>
    <row r="2" spans="1:21" ht="21" x14ac:dyDescent="0.35">
      <c r="A2" s="1" t="s">
        <v>166</v>
      </c>
      <c r="B2" s="2"/>
      <c r="C2" s="2"/>
      <c r="D2" s="2"/>
      <c r="E2" s="2"/>
      <c r="F2" s="2"/>
      <c r="G2" s="2"/>
      <c r="H2" s="2"/>
      <c r="I2" s="2"/>
      <c r="N2" s="529" t="s">
        <v>23</v>
      </c>
      <c r="O2" s="529"/>
      <c r="P2" s="529"/>
      <c r="Q2" s="529"/>
      <c r="R2" s="529"/>
      <c r="S2" s="529"/>
      <c r="T2" s="529"/>
      <c r="U2" s="529"/>
    </row>
    <row r="3" spans="1:21" x14ac:dyDescent="0.25">
      <c r="A3" s="84" t="str">
        <f>'0664'!A3</f>
        <v>Based on the FLDOE 2022-23 FEFP Third Calculation</v>
      </c>
      <c r="N3" s="485" t="str">
        <f>A3</f>
        <v>Based on the FLDOE 2022-23 FEFP Third Calculation</v>
      </c>
      <c r="O3" s="485"/>
      <c r="P3" s="485"/>
      <c r="Q3" s="485"/>
      <c r="R3" s="485"/>
      <c r="S3" s="485"/>
      <c r="T3" s="485"/>
      <c r="U3" s="485"/>
    </row>
    <row r="4" spans="1:21" x14ac:dyDescent="0.25">
      <c r="A4" s="443" t="s">
        <v>0</v>
      </c>
      <c r="B4" s="443"/>
      <c r="C4" s="444" t="s">
        <v>9</v>
      </c>
      <c r="D4" s="444"/>
      <c r="E4" s="444"/>
      <c r="F4" s="4" t="str">
        <f>'0664'!F4</f>
        <v>Apr 2023</v>
      </c>
      <c r="G4" s="4"/>
      <c r="H4" s="4"/>
      <c r="I4" s="4"/>
      <c r="N4" s="530" t="s">
        <v>0</v>
      </c>
      <c r="O4" s="530"/>
      <c r="P4" s="531" t="str">
        <f>C4</f>
        <v>Palm Beach</v>
      </c>
      <c r="Q4" s="531"/>
      <c r="R4" s="5"/>
      <c r="S4" s="5"/>
      <c r="T4" s="5"/>
      <c r="U4" s="5"/>
    </row>
    <row r="5" spans="1:21" ht="12" customHeight="1" thickBot="1" x14ac:dyDescent="0.3">
      <c r="A5" s="262"/>
      <c r="B5" s="262"/>
      <c r="C5" s="253"/>
      <c r="D5" s="253"/>
      <c r="E5" s="253"/>
      <c r="F5" s="254"/>
      <c r="G5" s="254"/>
      <c r="H5" s="254"/>
      <c r="I5" s="254"/>
      <c r="N5" s="86"/>
      <c r="O5" s="86"/>
      <c r="P5" s="6"/>
      <c r="Q5" s="6"/>
      <c r="R5" s="5"/>
      <c r="S5" s="5"/>
      <c r="T5" s="5"/>
      <c r="U5" s="5"/>
    </row>
    <row r="6" spans="1:21" ht="12" customHeight="1" x14ac:dyDescent="0.25">
      <c r="A6" s="150"/>
      <c r="B6" s="150"/>
      <c r="C6" s="261"/>
      <c r="D6" s="261"/>
      <c r="E6" s="261"/>
      <c r="F6" s="4"/>
      <c r="G6" s="4"/>
      <c r="H6" s="4"/>
      <c r="I6" s="4"/>
      <c r="N6" s="86"/>
      <c r="O6" s="86"/>
      <c r="P6" s="6"/>
      <c r="Q6" s="6"/>
      <c r="R6" s="5"/>
      <c r="S6" s="5"/>
      <c r="T6" s="5"/>
      <c r="U6" s="5"/>
    </row>
    <row r="7" spans="1:21" x14ac:dyDescent="0.25">
      <c r="A7" s="445" t="str">
        <f>'0664'!A7:I7</f>
        <v>1.   2022-23 FEFP State and Local Funding</v>
      </c>
      <c r="B7" s="533"/>
      <c r="C7" s="533"/>
      <c r="D7" s="533"/>
      <c r="E7" s="533"/>
      <c r="F7" s="533"/>
      <c r="G7" s="533"/>
      <c r="H7" s="533"/>
      <c r="I7" s="533"/>
      <c r="N7" s="530" t="s">
        <v>86</v>
      </c>
      <c r="O7" s="530"/>
      <c r="P7" s="530"/>
      <c r="Q7" s="530"/>
      <c r="R7" s="530"/>
      <c r="S7" s="530"/>
      <c r="T7" s="530"/>
      <c r="U7" s="530"/>
    </row>
    <row r="8" spans="1:21" x14ac:dyDescent="0.25">
      <c r="A8" s="87"/>
      <c r="B8" s="88" t="s">
        <v>123</v>
      </c>
      <c r="C8" s="334">
        <f>'0664'!C8</f>
        <v>4587.3999999999996</v>
      </c>
      <c r="D8" s="89"/>
      <c r="E8" s="90"/>
      <c r="F8" s="87"/>
      <c r="G8" s="88" t="s">
        <v>122</v>
      </c>
      <c r="H8" s="320">
        <f>'0664'!H8</f>
        <v>1.0438000000000001</v>
      </c>
      <c r="I8" s="78"/>
      <c r="N8" s="534" t="s">
        <v>10</v>
      </c>
      <c r="O8" s="534"/>
      <c r="P8" s="535">
        <v>4154.45</v>
      </c>
      <c r="Q8" s="535"/>
      <c r="R8" s="518" t="s">
        <v>11</v>
      </c>
      <c r="S8" s="518"/>
      <c r="T8" s="519">
        <f>H8</f>
        <v>1.0438000000000001</v>
      </c>
      <c r="U8" s="519"/>
    </row>
    <row r="9" spans="1:21" x14ac:dyDescent="0.25">
      <c r="A9" s="7"/>
      <c r="B9" s="44" t="s">
        <v>370</v>
      </c>
      <c r="C9" s="372" t="s">
        <v>370</v>
      </c>
      <c r="D9" s="372" t="s">
        <v>370</v>
      </c>
      <c r="E9" s="8"/>
      <c r="F9" s="9"/>
      <c r="G9" s="9"/>
      <c r="H9" s="10"/>
      <c r="I9" s="340" t="str">
        <f>'0664'!I9</f>
        <v>2022-23</v>
      </c>
      <c r="N9" s="12"/>
      <c r="O9" s="12"/>
      <c r="P9" s="13"/>
      <c r="Q9" s="13"/>
      <c r="R9" s="14"/>
      <c r="S9" s="14"/>
      <c r="T9" s="15"/>
      <c r="U9" s="405" t="s">
        <v>405</v>
      </c>
    </row>
    <row r="10" spans="1:21" x14ac:dyDescent="0.25">
      <c r="A10" s="7"/>
      <c r="B10" s="7"/>
      <c r="C10" s="91" t="s">
        <v>463</v>
      </c>
      <c r="D10" s="371" t="s">
        <v>464</v>
      </c>
      <c r="E10" s="92" t="s">
        <v>8</v>
      </c>
      <c r="F10" s="446" t="s">
        <v>1</v>
      </c>
      <c r="G10" s="446"/>
      <c r="H10" s="10" t="s">
        <v>73</v>
      </c>
      <c r="I10" s="11" t="s">
        <v>36</v>
      </c>
      <c r="N10" s="12"/>
      <c r="O10" s="12"/>
      <c r="P10" s="13"/>
      <c r="Q10" s="13"/>
      <c r="R10" s="520" t="s">
        <v>1</v>
      </c>
      <c r="S10" s="520"/>
      <c r="T10" s="15" t="s">
        <v>73</v>
      </c>
      <c r="U10" s="16" t="s">
        <v>36</v>
      </c>
    </row>
    <row r="11" spans="1:21" x14ac:dyDescent="0.25">
      <c r="A11" s="447" t="s">
        <v>1</v>
      </c>
      <c r="B11" s="447"/>
      <c r="C11" s="362" t="s">
        <v>2</v>
      </c>
      <c r="D11" s="362" t="s">
        <v>2</v>
      </c>
      <c r="E11" s="362" t="s">
        <v>2</v>
      </c>
      <c r="F11" s="448" t="s">
        <v>76</v>
      </c>
      <c r="G11" s="448"/>
      <c r="H11" s="17" t="s">
        <v>72</v>
      </c>
      <c r="I11" s="18" t="s">
        <v>75</v>
      </c>
      <c r="N11" s="510" t="s">
        <v>1</v>
      </c>
      <c r="O11" s="510"/>
      <c r="P11" s="521" t="s">
        <v>24</v>
      </c>
      <c r="Q11" s="521"/>
      <c r="R11" s="522" t="s">
        <v>76</v>
      </c>
      <c r="S11" s="522"/>
      <c r="T11" s="19" t="s">
        <v>72</v>
      </c>
      <c r="U11" s="20" t="s">
        <v>75</v>
      </c>
    </row>
    <row r="12" spans="1:21" x14ac:dyDescent="0.25">
      <c r="A12" s="449" t="s">
        <v>47</v>
      </c>
      <c r="B12" s="449"/>
      <c r="C12" s="94"/>
      <c r="D12" s="94"/>
      <c r="E12" s="95" t="s">
        <v>48</v>
      </c>
      <c r="F12" s="450" t="s">
        <v>49</v>
      </c>
      <c r="G12" s="450"/>
      <c r="H12" s="21" t="s">
        <v>50</v>
      </c>
      <c r="I12" s="22" t="s">
        <v>51</v>
      </c>
      <c r="N12" s="523" t="s">
        <v>47</v>
      </c>
      <c r="O12" s="523"/>
      <c r="P12" s="524" t="s">
        <v>48</v>
      </c>
      <c r="Q12" s="524"/>
      <c r="R12" s="525" t="s">
        <v>49</v>
      </c>
      <c r="S12" s="525"/>
      <c r="T12" s="23" t="s">
        <v>50</v>
      </c>
      <c r="U12" s="24" t="s">
        <v>51</v>
      </c>
    </row>
    <row r="13" spans="1:21" x14ac:dyDescent="0.25">
      <c r="A13" s="451" t="s">
        <v>29</v>
      </c>
      <c r="B13" s="451"/>
      <c r="C13" s="165">
        <v>0</v>
      </c>
      <c r="D13" s="163">
        <v>0</v>
      </c>
      <c r="E13" s="210">
        <f>IF(D$29=0,C13*2,C13+D13)</f>
        <v>0</v>
      </c>
      <c r="F13" s="537">
        <f>'0664'!F13:G13</f>
        <v>1.1259999999999999</v>
      </c>
      <c r="G13" s="537"/>
      <c r="H13" s="167">
        <f>ROUND(E13*F13,4)</f>
        <v>0</v>
      </c>
      <c r="I13" s="119">
        <f t="shared" ref="I13:I28" si="0">ROUND(ROUND(H13*$C$8,4)*($H$8),2)</f>
        <v>0</v>
      </c>
      <c r="N13" s="512" t="s">
        <v>29</v>
      </c>
      <c r="O13" s="512"/>
      <c r="P13" s="513">
        <f t="shared" ref="P13:P28" si="1">IF($H$120=1,E13,0)</f>
        <v>0</v>
      </c>
      <c r="Q13" s="513"/>
      <c r="R13" s="526">
        <v>1</v>
      </c>
      <c r="S13" s="526"/>
      <c r="T13" s="98">
        <f>ROUND(P13*R13,4)</f>
        <v>0</v>
      </c>
      <c r="U13" s="99">
        <f t="shared" ref="U13:U28" si="2">ROUND(ROUND(T13*$C$8,4)*($H$8),0)</f>
        <v>0</v>
      </c>
    </row>
    <row r="14" spans="1:21" x14ac:dyDescent="0.25">
      <c r="A14" s="453" t="s">
        <v>30</v>
      </c>
      <c r="B14" s="453"/>
      <c r="C14" s="165">
        <v>0</v>
      </c>
      <c r="D14" s="165">
        <v>0</v>
      </c>
      <c r="E14" s="125">
        <f t="shared" ref="E14:E28" si="3">IF(D$29=0,C14*2,C14+D14)</f>
        <v>0</v>
      </c>
      <c r="F14" s="532">
        <f>'0664'!F14:G14</f>
        <v>1.1259999999999999</v>
      </c>
      <c r="G14" s="532"/>
      <c r="H14" s="83">
        <f t="shared" ref="H14:H28" si="4">ROUND(E14*F14,4)</f>
        <v>0</v>
      </c>
      <c r="I14" s="104">
        <f t="shared" si="0"/>
        <v>0</v>
      </c>
      <c r="J14" s="68" t="str">
        <f>IF(ROUND(E14,2)=ROUND(SUM(E50:E52),2)," ","CHECK PK-3 LINES BELOW")</f>
        <v xml:space="preserve"> </v>
      </c>
      <c r="N14" s="479" t="s">
        <v>30</v>
      </c>
      <c r="O14" s="479"/>
      <c r="P14" s="513">
        <f t="shared" si="1"/>
        <v>0</v>
      </c>
      <c r="Q14" s="513"/>
      <c r="R14" s="517">
        <v>1</v>
      </c>
      <c r="S14" s="517"/>
      <c r="T14" s="98">
        <f t="shared" ref="T14:T28" si="5">ROUND(P14*R14,4)</f>
        <v>0</v>
      </c>
      <c r="U14" s="99">
        <f t="shared" si="2"/>
        <v>0</v>
      </c>
    </row>
    <row r="15" spans="1:21" x14ac:dyDescent="0.25">
      <c r="A15" s="453" t="s">
        <v>31</v>
      </c>
      <c r="B15" s="453"/>
      <c r="C15" s="165">
        <v>5.5</v>
      </c>
      <c r="D15" s="165">
        <v>3.5</v>
      </c>
      <c r="E15" s="125">
        <f t="shared" si="3"/>
        <v>9</v>
      </c>
      <c r="F15" s="532">
        <f>'0664'!F15:G15</f>
        <v>1</v>
      </c>
      <c r="G15" s="532"/>
      <c r="H15" s="83">
        <f t="shared" si="4"/>
        <v>9</v>
      </c>
      <c r="I15" s="104">
        <f t="shared" si="0"/>
        <v>43094.95</v>
      </c>
      <c r="N15" s="479" t="s">
        <v>31</v>
      </c>
      <c r="O15" s="479"/>
      <c r="P15" s="513">
        <f t="shared" si="1"/>
        <v>0</v>
      </c>
      <c r="Q15" s="513"/>
      <c r="R15" s="517">
        <v>1</v>
      </c>
      <c r="S15" s="517"/>
      <c r="T15" s="98">
        <f t="shared" si="5"/>
        <v>0</v>
      </c>
      <c r="U15" s="99">
        <f t="shared" si="2"/>
        <v>0</v>
      </c>
    </row>
    <row r="16" spans="1:21" x14ac:dyDescent="0.25">
      <c r="A16" s="453" t="s">
        <v>32</v>
      </c>
      <c r="B16" s="453"/>
      <c r="C16" s="165">
        <v>1.5</v>
      </c>
      <c r="D16" s="165">
        <v>2</v>
      </c>
      <c r="E16" s="125">
        <f t="shared" si="3"/>
        <v>3.5</v>
      </c>
      <c r="F16" s="532">
        <f>'0664'!F16:G16</f>
        <v>1</v>
      </c>
      <c r="G16" s="532"/>
      <c r="H16" s="83">
        <f t="shared" si="4"/>
        <v>3.5</v>
      </c>
      <c r="I16" s="104">
        <f t="shared" si="0"/>
        <v>16759.150000000001</v>
      </c>
      <c r="J16" s="68" t="str">
        <f>IF(ROUND(E16,2)=ROUND(SUM(E53:E55),2)," ","CHECK 4-8 LINES BELOW")</f>
        <v xml:space="preserve"> </v>
      </c>
      <c r="N16" s="479" t="s">
        <v>32</v>
      </c>
      <c r="O16" s="479"/>
      <c r="P16" s="513">
        <f t="shared" si="1"/>
        <v>0</v>
      </c>
      <c r="Q16" s="513"/>
      <c r="R16" s="517">
        <v>1</v>
      </c>
      <c r="S16" s="517"/>
      <c r="T16" s="98">
        <f t="shared" si="5"/>
        <v>0</v>
      </c>
      <c r="U16" s="99">
        <f t="shared" si="2"/>
        <v>0</v>
      </c>
    </row>
    <row r="17" spans="1:21" x14ac:dyDescent="0.25">
      <c r="A17" s="453" t="s">
        <v>33</v>
      </c>
      <c r="B17" s="453"/>
      <c r="C17" s="165">
        <v>48.5</v>
      </c>
      <c r="D17" s="165">
        <v>48.19</v>
      </c>
      <c r="E17" s="125">
        <f t="shared" si="3"/>
        <v>96.69</v>
      </c>
      <c r="F17" s="532">
        <f>'0664'!F17:G17</f>
        <v>0.999</v>
      </c>
      <c r="G17" s="532"/>
      <c r="H17" s="83">
        <f t="shared" si="4"/>
        <v>96.593299999999999</v>
      </c>
      <c r="I17" s="104">
        <f t="shared" si="0"/>
        <v>462520.41</v>
      </c>
      <c r="N17" s="479" t="s">
        <v>33</v>
      </c>
      <c r="O17" s="479"/>
      <c r="P17" s="513">
        <f t="shared" si="1"/>
        <v>0</v>
      </c>
      <c r="Q17" s="513"/>
      <c r="R17" s="517">
        <v>1</v>
      </c>
      <c r="S17" s="517"/>
      <c r="T17" s="98">
        <f t="shared" si="5"/>
        <v>0</v>
      </c>
      <c r="U17" s="99">
        <f t="shared" si="2"/>
        <v>0</v>
      </c>
    </row>
    <row r="18" spans="1:21" x14ac:dyDescent="0.25">
      <c r="A18" s="453" t="s">
        <v>34</v>
      </c>
      <c r="B18" s="453"/>
      <c r="C18" s="165">
        <v>12.44</v>
      </c>
      <c r="D18" s="165">
        <v>13.96</v>
      </c>
      <c r="E18" s="125">
        <f t="shared" si="3"/>
        <v>26.4</v>
      </c>
      <c r="F18" s="532">
        <f>'0664'!F18:G18</f>
        <v>0.999</v>
      </c>
      <c r="G18" s="532"/>
      <c r="H18" s="83">
        <f t="shared" si="4"/>
        <v>26.3736</v>
      </c>
      <c r="I18" s="104">
        <f t="shared" si="0"/>
        <v>126285.45</v>
      </c>
      <c r="J18" s="68" t="str">
        <f>IF(ROUND(E18,2)=ROUND(SUM(E56:E58),2)," ","CHECK 4-8 LINES BELOW")</f>
        <v xml:space="preserve"> </v>
      </c>
      <c r="N18" s="479" t="s">
        <v>34</v>
      </c>
      <c r="O18" s="479"/>
      <c r="P18" s="513">
        <f t="shared" si="1"/>
        <v>0</v>
      </c>
      <c r="Q18" s="513"/>
      <c r="R18" s="517">
        <v>1</v>
      </c>
      <c r="S18" s="517"/>
      <c r="T18" s="98">
        <f t="shared" si="5"/>
        <v>0</v>
      </c>
      <c r="U18" s="101">
        <f t="shared" si="2"/>
        <v>0</v>
      </c>
    </row>
    <row r="19" spans="1:21" x14ac:dyDescent="0.25">
      <c r="A19" s="453" t="s">
        <v>108</v>
      </c>
      <c r="B19" s="453"/>
      <c r="C19" s="165">
        <v>0</v>
      </c>
      <c r="D19" s="165">
        <v>0</v>
      </c>
      <c r="E19" s="125">
        <f t="shared" si="3"/>
        <v>0</v>
      </c>
      <c r="F19" s="532">
        <f>'0664'!F19:G19</f>
        <v>3.6739999999999999</v>
      </c>
      <c r="G19" s="532"/>
      <c r="H19" s="83">
        <f t="shared" si="4"/>
        <v>0</v>
      </c>
      <c r="I19" s="104">
        <f t="shared" si="0"/>
        <v>0</v>
      </c>
      <c r="N19" s="479" t="s">
        <v>108</v>
      </c>
      <c r="O19" s="479"/>
      <c r="P19" s="513">
        <f t="shared" si="1"/>
        <v>0</v>
      </c>
      <c r="Q19" s="513"/>
      <c r="R19" s="517">
        <v>1</v>
      </c>
      <c r="S19" s="517"/>
      <c r="T19" s="98">
        <f t="shared" si="5"/>
        <v>0</v>
      </c>
      <c r="U19" s="99">
        <f t="shared" si="2"/>
        <v>0</v>
      </c>
    </row>
    <row r="20" spans="1:21" x14ac:dyDescent="0.25">
      <c r="A20" s="453" t="s">
        <v>109</v>
      </c>
      <c r="B20" s="453"/>
      <c r="C20" s="165">
        <v>0</v>
      </c>
      <c r="D20" s="165">
        <v>0</v>
      </c>
      <c r="E20" s="125">
        <f t="shared" si="3"/>
        <v>0</v>
      </c>
      <c r="F20" s="532">
        <f>'0664'!F20:G20</f>
        <v>3.6739999999999999</v>
      </c>
      <c r="G20" s="532"/>
      <c r="H20" s="83">
        <f t="shared" si="4"/>
        <v>0</v>
      </c>
      <c r="I20" s="104">
        <f t="shared" si="0"/>
        <v>0</v>
      </c>
      <c r="N20" s="479" t="s">
        <v>109</v>
      </c>
      <c r="O20" s="479"/>
      <c r="P20" s="513">
        <f t="shared" si="1"/>
        <v>0</v>
      </c>
      <c r="Q20" s="513"/>
      <c r="R20" s="517">
        <v>1</v>
      </c>
      <c r="S20" s="517"/>
      <c r="T20" s="98">
        <f t="shared" si="5"/>
        <v>0</v>
      </c>
      <c r="U20" s="99">
        <f t="shared" si="2"/>
        <v>0</v>
      </c>
    </row>
    <row r="21" spans="1:21" x14ac:dyDescent="0.25">
      <c r="A21" s="453" t="s">
        <v>110</v>
      </c>
      <c r="B21" s="453"/>
      <c r="C21" s="165">
        <v>0</v>
      </c>
      <c r="D21" s="165">
        <v>0</v>
      </c>
      <c r="E21" s="125">
        <f t="shared" si="3"/>
        <v>0</v>
      </c>
      <c r="F21" s="532">
        <f>'0664'!F21:G21</f>
        <v>3.6739999999999999</v>
      </c>
      <c r="G21" s="532"/>
      <c r="H21" s="83">
        <f t="shared" si="4"/>
        <v>0</v>
      </c>
      <c r="I21" s="104">
        <f t="shared" si="0"/>
        <v>0</v>
      </c>
      <c r="N21" s="479" t="s">
        <v>110</v>
      </c>
      <c r="O21" s="479"/>
      <c r="P21" s="513">
        <f t="shared" si="1"/>
        <v>0</v>
      </c>
      <c r="Q21" s="513"/>
      <c r="R21" s="517">
        <v>1</v>
      </c>
      <c r="S21" s="517"/>
      <c r="T21" s="98">
        <f t="shared" si="5"/>
        <v>0</v>
      </c>
      <c r="U21" s="99">
        <f t="shared" si="2"/>
        <v>0</v>
      </c>
    </row>
    <row r="22" spans="1:21" x14ac:dyDescent="0.25">
      <c r="A22" s="453" t="s">
        <v>111</v>
      </c>
      <c r="B22" s="453"/>
      <c r="C22" s="165">
        <v>0</v>
      </c>
      <c r="D22" s="165">
        <v>0</v>
      </c>
      <c r="E22" s="125">
        <f t="shared" si="3"/>
        <v>0</v>
      </c>
      <c r="F22" s="532">
        <f>'0664'!F22:G22</f>
        <v>5.4009999999999998</v>
      </c>
      <c r="G22" s="532"/>
      <c r="H22" s="83">
        <f t="shared" si="4"/>
        <v>0</v>
      </c>
      <c r="I22" s="104">
        <f t="shared" si="0"/>
        <v>0</v>
      </c>
      <c r="N22" s="479" t="s">
        <v>111</v>
      </c>
      <c r="O22" s="479"/>
      <c r="P22" s="513">
        <f t="shared" si="1"/>
        <v>0</v>
      </c>
      <c r="Q22" s="513"/>
      <c r="R22" s="517">
        <v>1</v>
      </c>
      <c r="S22" s="517"/>
      <c r="T22" s="98">
        <f t="shared" si="5"/>
        <v>0</v>
      </c>
      <c r="U22" s="99">
        <f t="shared" si="2"/>
        <v>0</v>
      </c>
    </row>
    <row r="23" spans="1:21" x14ac:dyDescent="0.25">
      <c r="A23" s="453" t="s">
        <v>112</v>
      </c>
      <c r="B23" s="453"/>
      <c r="C23" s="165">
        <v>0</v>
      </c>
      <c r="D23" s="165">
        <v>0</v>
      </c>
      <c r="E23" s="125">
        <f t="shared" si="3"/>
        <v>0</v>
      </c>
      <c r="F23" s="532">
        <f>'0664'!F23:G23</f>
        <v>5.4009999999999998</v>
      </c>
      <c r="G23" s="532"/>
      <c r="H23" s="83">
        <f t="shared" si="4"/>
        <v>0</v>
      </c>
      <c r="I23" s="104">
        <f t="shared" si="0"/>
        <v>0</v>
      </c>
      <c r="N23" s="479" t="s">
        <v>112</v>
      </c>
      <c r="O23" s="479"/>
      <c r="P23" s="513">
        <f t="shared" si="1"/>
        <v>0</v>
      </c>
      <c r="Q23" s="513"/>
      <c r="R23" s="517">
        <v>1</v>
      </c>
      <c r="S23" s="517"/>
      <c r="T23" s="98">
        <f t="shared" si="5"/>
        <v>0</v>
      </c>
      <c r="U23" s="99">
        <f t="shared" si="2"/>
        <v>0</v>
      </c>
    </row>
    <row r="24" spans="1:21" x14ac:dyDescent="0.25">
      <c r="A24" s="453" t="s">
        <v>113</v>
      </c>
      <c r="B24" s="453"/>
      <c r="C24" s="165">
        <v>0</v>
      </c>
      <c r="D24" s="165">
        <v>0</v>
      </c>
      <c r="E24" s="125">
        <f t="shared" si="3"/>
        <v>0</v>
      </c>
      <c r="F24" s="532">
        <f>'0664'!F24:G24</f>
        <v>5.4009999999999998</v>
      </c>
      <c r="G24" s="532"/>
      <c r="H24" s="83">
        <f t="shared" si="4"/>
        <v>0</v>
      </c>
      <c r="I24" s="104">
        <f t="shared" si="0"/>
        <v>0</v>
      </c>
      <c r="N24" s="479" t="s">
        <v>113</v>
      </c>
      <c r="O24" s="479"/>
      <c r="P24" s="513">
        <f t="shared" si="1"/>
        <v>0</v>
      </c>
      <c r="Q24" s="513"/>
      <c r="R24" s="517">
        <v>1</v>
      </c>
      <c r="S24" s="517"/>
      <c r="T24" s="98">
        <f t="shared" si="5"/>
        <v>0</v>
      </c>
      <c r="U24" s="99">
        <f t="shared" si="2"/>
        <v>0</v>
      </c>
    </row>
    <row r="25" spans="1:21" x14ac:dyDescent="0.25">
      <c r="A25" s="453" t="s">
        <v>114</v>
      </c>
      <c r="B25" s="453"/>
      <c r="C25" s="165">
        <v>0</v>
      </c>
      <c r="D25" s="165">
        <v>0</v>
      </c>
      <c r="E25" s="125">
        <f t="shared" si="3"/>
        <v>0</v>
      </c>
      <c r="F25" s="532">
        <f>'0664'!F25:G25</f>
        <v>1.206</v>
      </c>
      <c r="G25" s="532"/>
      <c r="H25" s="83">
        <f t="shared" si="4"/>
        <v>0</v>
      </c>
      <c r="I25" s="104">
        <f t="shared" si="0"/>
        <v>0</v>
      </c>
      <c r="N25" s="479" t="s">
        <v>114</v>
      </c>
      <c r="O25" s="479"/>
      <c r="P25" s="513">
        <f t="shared" si="1"/>
        <v>0</v>
      </c>
      <c r="Q25" s="513"/>
      <c r="R25" s="517">
        <v>1</v>
      </c>
      <c r="S25" s="517"/>
      <c r="T25" s="98">
        <f t="shared" si="5"/>
        <v>0</v>
      </c>
      <c r="U25" s="99">
        <f t="shared" si="2"/>
        <v>0</v>
      </c>
    </row>
    <row r="26" spans="1:21" x14ac:dyDescent="0.25">
      <c r="A26" s="453" t="s">
        <v>115</v>
      </c>
      <c r="B26" s="453"/>
      <c r="C26" s="165">
        <v>0</v>
      </c>
      <c r="D26" s="165">
        <v>0</v>
      </c>
      <c r="E26" s="125">
        <f t="shared" si="3"/>
        <v>0</v>
      </c>
      <c r="F26" s="532">
        <f>'0664'!F26:G26</f>
        <v>1.206</v>
      </c>
      <c r="G26" s="532"/>
      <c r="H26" s="83">
        <f t="shared" si="4"/>
        <v>0</v>
      </c>
      <c r="I26" s="104">
        <f t="shared" si="0"/>
        <v>0</v>
      </c>
      <c r="N26" s="479" t="s">
        <v>115</v>
      </c>
      <c r="O26" s="479"/>
      <c r="P26" s="513">
        <f t="shared" si="1"/>
        <v>0</v>
      </c>
      <c r="Q26" s="513"/>
      <c r="R26" s="517">
        <v>1</v>
      </c>
      <c r="S26" s="517"/>
      <c r="T26" s="98">
        <f t="shared" si="5"/>
        <v>0</v>
      </c>
      <c r="U26" s="99">
        <f t="shared" si="2"/>
        <v>0</v>
      </c>
    </row>
    <row r="27" spans="1:21" x14ac:dyDescent="0.25">
      <c r="A27" s="453" t="s">
        <v>116</v>
      </c>
      <c r="B27" s="453"/>
      <c r="C27" s="165">
        <v>0</v>
      </c>
      <c r="D27" s="165">
        <v>0</v>
      </c>
      <c r="E27" s="125">
        <f t="shared" si="3"/>
        <v>0</v>
      </c>
      <c r="F27" s="532">
        <f>'0664'!F27:G27</f>
        <v>1.206</v>
      </c>
      <c r="G27" s="532"/>
      <c r="H27" s="83">
        <f t="shared" si="4"/>
        <v>0</v>
      </c>
      <c r="I27" s="104">
        <f t="shared" si="0"/>
        <v>0</v>
      </c>
      <c r="N27" s="479" t="s">
        <v>116</v>
      </c>
      <c r="O27" s="479"/>
      <c r="P27" s="513">
        <f t="shared" si="1"/>
        <v>0</v>
      </c>
      <c r="Q27" s="513"/>
      <c r="R27" s="517">
        <v>1</v>
      </c>
      <c r="S27" s="517"/>
      <c r="T27" s="98">
        <f t="shared" si="5"/>
        <v>0</v>
      </c>
      <c r="U27" s="99">
        <f t="shared" si="2"/>
        <v>0</v>
      </c>
    </row>
    <row r="28" spans="1:21" x14ac:dyDescent="0.25">
      <c r="A28" s="453" t="s">
        <v>117</v>
      </c>
      <c r="B28" s="453"/>
      <c r="C28" s="116">
        <v>0</v>
      </c>
      <c r="D28" s="116">
        <v>0</v>
      </c>
      <c r="E28" s="125">
        <f t="shared" si="3"/>
        <v>0</v>
      </c>
      <c r="F28" s="532">
        <f>'0664'!F28:G28</f>
        <v>0.999</v>
      </c>
      <c r="G28" s="532"/>
      <c r="H28" s="96">
        <f t="shared" si="4"/>
        <v>0</v>
      </c>
      <c r="I28" s="97">
        <f t="shared" si="0"/>
        <v>0</v>
      </c>
      <c r="N28" s="482" t="s">
        <v>117</v>
      </c>
      <c r="O28" s="482"/>
      <c r="P28" s="513">
        <f t="shared" si="1"/>
        <v>0</v>
      </c>
      <c r="Q28" s="513"/>
      <c r="R28" s="514">
        <v>1</v>
      </c>
      <c r="S28" s="514"/>
      <c r="T28" s="98">
        <f t="shared" si="5"/>
        <v>0</v>
      </c>
      <c r="U28" s="99">
        <f t="shared" si="2"/>
        <v>0</v>
      </c>
    </row>
    <row r="29" spans="1:21" x14ac:dyDescent="0.25">
      <c r="A29" s="461" t="s">
        <v>5</v>
      </c>
      <c r="B29" s="461"/>
      <c r="C29" s="97">
        <f>SUM(C13:C28)</f>
        <v>67.94</v>
      </c>
      <c r="D29" s="97">
        <f>SUM(D13:D28)</f>
        <v>67.650000000000006</v>
      </c>
      <c r="E29" s="100">
        <f>SUM(E13:E28)</f>
        <v>135.59</v>
      </c>
      <c r="F29" s="457"/>
      <c r="G29" s="457"/>
      <c r="H29" s="102">
        <f>SUM(H13:H28)</f>
        <v>135.46690000000001</v>
      </c>
      <c r="I29" s="97">
        <f>SUM(I13:I28)</f>
        <v>648659.96</v>
      </c>
      <c r="N29" s="515" t="s">
        <v>5</v>
      </c>
      <c r="O29" s="515"/>
      <c r="P29" s="516">
        <f>SUM(P13:P28)</f>
        <v>0</v>
      </c>
      <c r="Q29" s="516"/>
      <c r="R29" s="508"/>
      <c r="S29" s="508"/>
      <c r="T29" s="103">
        <f>SUM(T13:T28)</f>
        <v>0</v>
      </c>
      <c r="U29" s="99">
        <f>SUM(U13:U28)</f>
        <v>0</v>
      </c>
    </row>
    <row r="30" spans="1:21" x14ac:dyDescent="0.25">
      <c r="A30" s="27"/>
      <c r="B30" s="27"/>
      <c r="C30" s="104"/>
      <c r="D30" s="104"/>
      <c r="E30" s="104"/>
      <c r="F30" s="28"/>
      <c r="G30" s="28"/>
      <c r="H30" s="83"/>
      <c r="I30" s="104"/>
      <c r="N30" s="29"/>
      <c r="O30" s="29"/>
      <c r="P30" s="30"/>
      <c r="Q30" s="30"/>
      <c r="R30" s="31"/>
      <c r="S30" s="31"/>
      <c r="T30" s="105"/>
      <c r="U30" s="106"/>
    </row>
    <row r="31" spans="1:21" x14ac:dyDescent="0.25">
      <c r="A31" s="168" t="s">
        <v>97</v>
      </c>
      <c r="B31" s="27"/>
      <c r="C31" s="104"/>
      <c r="D31" s="104"/>
      <c r="E31" s="104"/>
      <c r="F31" s="28"/>
      <c r="G31" s="28"/>
      <c r="H31" s="83"/>
      <c r="I31" s="104"/>
      <c r="N31" s="29"/>
      <c r="O31" s="29"/>
      <c r="P31" s="30"/>
      <c r="Q31" s="30"/>
      <c r="R31" s="31"/>
      <c r="S31" s="31"/>
      <c r="T31" s="105"/>
      <c r="U31" s="106"/>
    </row>
    <row r="32" spans="1:21" hidden="1" x14ac:dyDescent="0.25">
      <c r="A32" s="168"/>
      <c r="B32" s="27"/>
      <c r="C32" s="104"/>
      <c r="D32" s="104"/>
      <c r="E32" s="104"/>
      <c r="F32" s="28"/>
      <c r="G32" s="28"/>
      <c r="H32" s="83"/>
      <c r="I32" s="104"/>
      <c r="N32" s="29"/>
      <c r="O32" s="29"/>
      <c r="P32" s="30"/>
      <c r="Q32" s="30"/>
      <c r="R32" s="31"/>
      <c r="S32" s="31"/>
      <c r="T32" s="105"/>
      <c r="U32" s="106"/>
    </row>
    <row r="33" spans="1:21" hidden="1" x14ac:dyDescent="0.25">
      <c r="A33" s="168"/>
      <c r="B33" s="27"/>
      <c r="C33" s="104"/>
      <c r="D33" s="104"/>
      <c r="E33" s="104"/>
      <c r="F33" s="541" t="s">
        <v>282</v>
      </c>
      <c r="G33" s="541"/>
      <c r="H33" s="541"/>
      <c r="I33" s="104"/>
      <c r="N33" s="29"/>
      <c r="O33" s="29"/>
      <c r="P33" s="30"/>
      <c r="Q33" s="30"/>
      <c r="R33" s="31"/>
      <c r="S33" s="31"/>
      <c r="T33" s="105"/>
      <c r="U33" s="106"/>
    </row>
    <row r="34" spans="1:21" hidden="1" x14ac:dyDescent="0.25">
      <c r="A34" s="3"/>
      <c r="B34" s="72"/>
      <c r="C34" s="72"/>
      <c r="D34" s="72"/>
      <c r="E34" s="72"/>
      <c r="F34" s="541"/>
      <c r="G34" s="541"/>
      <c r="H34" s="541"/>
      <c r="I34" s="25" t="s">
        <v>74</v>
      </c>
      <c r="N34" s="485" t="s">
        <v>35</v>
      </c>
      <c r="O34" s="485"/>
      <c r="P34" s="485"/>
      <c r="Q34" s="485"/>
      <c r="R34" s="485"/>
      <c r="S34" s="485"/>
      <c r="T34" s="485"/>
      <c r="U34" s="26" t="s">
        <v>74</v>
      </c>
    </row>
    <row r="35" spans="1:21" hidden="1" x14ac:dyDescent="0.25">
      <c r="A35" s="27"/>
      <c r="B35" s="27"/>
      <c r="C35" s="91" t="s">
        <v>124</v>
      </c>
      <c r="D35" s="91" t="s">
        <v>125</v>
      </c>
      <c r="E35" s="92" t="s">
        <v>8</v>
      </c>
      <c r="F35" s="541"/>
      <c r="G35" s="541"/>
      <c r="H35" s="541"/>
      <c r="I35" s="25" t="s">
        <v>36</v>
      </c>
      <c r="N35" s="29"/>
      <c r="O35" s="29"/>
      <c r="P35" s="30"/>
      <c r="Q35" s="30"/>
      <c r="R35" s="31"/>
      <c r="S35" s="31"/>
      <c r="T35" s="105"/>
      <c r="U35" s="26" t="s">
        <v>36</v>
      </c>
    </row>
    <row r="36" spans="1:21" hidden="1" x14ac:dyDescent="0.25">
      <c r="A36" s="447" t="s">
        <v>63</v>
      </c>
      <c r="B36" s="447"/>
      <c r="C36" s="93" t="s">
        <v>2</v>
      </c>
      <c r="D36" s="93" t="s">
        <v>2</v>
      </c>
      <c r="E36" s="93" t="s">
        <v>2</v>
      </c>
      <c r="F36" s="542"/>
      <c r="G36" s="542"/>
      <c r="H36" s="542"/>
      <c r="I36" s="32" t="s">
        <v>75</v>
      </c>
      <c r="N36" s="510" t="s">
        <v>63</v>
      </c>
      <c r="O36" s="510"/>
      <c r="P36" s="511" t="s">
        <v>24</v>
      </c>
      <c r="Q36" s="511"/>
      <c r="R36" s="511"/>
      <c r="S36" s="511"/>
      <c r="T36" s="511"/>
      <c r="U36" s="20" t="s">
        <v>75</v>
      </c>
    </row>
    <row r="37" spans="1:21" hidden="1" x14ac:dyDescent="0.25">
      <c r="A37" s="451" t="s">
        <v>56</v>
      </c>
      <c r="B37" s="451"/>
      <c r="C37" s="169">
        <v>0</v>
      </c>
      <c r="D37" s="169">
        <v>0</v>
      </c>
      <c r="E37" s="210">
        <f t="shared" ref="E37:E42" si="6">IF(D$43=0,C37*2,C37+D37)</f>
        <v>0</v>
      </c>
      <c r="F37" s="170"/>
      <c r="G37" s="170"/>
      <c r="H37" s="170"/>
      <c r="I37" s="119">
        <f t="shared" ref="I37:I42" si="7">ROUND(ROUND(E37*$C$8,4)*($H$8),2)</f>
        <v>0</v>
      </c>
      <c r="N37" s="512" t="s">
        <v>56</v>
      </c>
      <c r="O37" s="512"/>
      <c r="P37" s="483">
        <f t="shared" ref="P37:P42" si="8">IF($H$120=1,E37,0)</f>
        <v>0</v>
      </c>
      <c r="Q37" s="483"/>
      <c r="R37" s="483"/>
      <c r="S37" s="483"/>
      <c r="T37" s="483"/>
      <c r="U37" s="101">
        <f t="shared" ref="U37:U42" si="9">ROUND(ROUND(P37*$C$8,4)*($H$8),0)</f>
        <v>0</v>
      </c>
    </row>
    <row r="38" spans="1:21" hidden="1" x14ac:dyDescent="0.25">
      <c r="A38" s="453" t="s">
        <v>57</v>
      </c>
      <c r="B38" s="453"/>
      <c r="C38" s="172">
        <v>0</v>
      </c>
      <c r="D38" s="172">
        <v>0</v>
      </c>
      <c r="E38" s="125">
        <f t="shared" si="6"/>
        <v>0</v>
      </c>
      <c r="F38" s="173"/>
      <c r="G38" s="173"/>
      <c r="H38" s="173"/>
      <c r="I38" s="104">
        <f t="shared" si="7"/>
        <v>0</v>
      </c>
      <c r="N38" s="479" t="s">
        <v>57</v>
      </c>
      <c r="O38" s="479"/>
      <c r="P38" s="483">
        <f t="shared" si="8"/>
        <v>0</v>
      </c>
      <c r="Q38" s="483"/>
      <c r="R38" s="483"/>
      <c r="S38" s="483"/>
      <c r="T38" s="483"/>
      <c r="U38" s="101">
        <f t="shared" si="9"/>
        <v>0</v>
      </c>
    </row>
    <row r="39" spans="1:21" hidden="1" x14ac:dyDescent="0.25">
      <c r="A39" s="458" t="s">
        <v>58</v>
      </c>
      <c r="B39" s="458"/>
      <c r="C39" s="172">
        <v>0</v>
      </c>
      <c r="D39" s="172">
        <v>0</v>
      </c>
      <c r="E39" s="125">
        <f t="shared" si="6"/>
        <v>0</v>
      </c>
      <c r="F39" s="173"/>
      <c r="G39" s="173"/>
      <c r="H39" s="173"/>
      <c r="I39" s="104">
        <f t="shared" si="7"/>
        <v>0</v>
      </c>
      <c r="N39" s="509" t="s">
        <v>58</v>
      </c>
      <c r="O39" s="509"/>
      <c r="P39" s="483">
        <f t="shared" si="8"/>
        <v>0</v>
      </c>
      <c r="Q39" s="483"/>
      <c r="R39" s="483"/>
      <c r="S39" s="483"/>
      <c r="T39" s="483"/>
      <c r="U39" s="101">
        <f t="shared" si="9"/>
        <v>0</v>
      </c>
    </row>
    <row r="40" spans="1:21" hidden="1" x14ac:dyDescent="0.25">
      <c r="A40" s="453" t="s">
        <v>59</v>
      </c>
      <c r="B40" s="453"/>
      <c r="C40" s="172">
        <v>0</v>
      </c>
      <c r="D40" s="172">
        <v>0</v>
      </c>
      <c r="E40" s="125">
        <f t="shared" si="6"/>
        <v>0</v>
      </c>
      <c r="F40" s="173"/>
      <c r="G40" s="173"/>
      <c r="H40" s="173"/>
      <c r="I40" s="104">
        <f t="shared" si="7"/>
        <v>0</v>
      </c>
      <c r="N40" s="479" t="s">
        <v>59</v>
      </c>
      <c r="O40" s="479"/>
      <c r="P40" s="483">
        <f t="shared" si="8"/>
        <v>0</v>
      </c>
      <c r="Q40" s="483"/>
      <c r="R40" s="483"/>
      <c r="S40" s="483"/>
      <c r="T40" s="483"/>
      <c r="U40" s="101">
        <f t="shared" si="9"/>
        <v>0</v>
      </c>
    </row>
    <row r="41" spans="1:21" hidden="1" x14ac:dyDescent="0.25">
      <c r="A41" s="453" t="s">
        <v>60</v>
      </c>
      <c r="B41" s="453"/>
      <c r="C41" s="172">
        <v>0</v>
      </c>
      <c r="D41" s="172">
        <v>0</v>
      </c>
      <c r="E41" s="125">
        <f t="shared" si="6"/>
        <v>0</v>
      </c>
      <c r="F41" s="173"/>
      <c r="G41" s="173"/>
      <c r="H41" s="173"/>
      <c r="I41" s="104">
        <f t="shared" si="7"/>
        <v>0</v>
      </c>
      <c r="N41" s="479" t="s">
        <v>60</v>
      </c>
      <c r="O41" s="479"/>
      <c r="P41" s="483">
        <f t="shared" si="8"/>
        <v>0</v>
      </c>
      <c r="Q41" s="483"/>
      <c r="R41" s="483"/>
      <c r="S41" s="483"/>
      <c r="T41" s="483"/>
      <c r="U41" s="101">
        <f t="shared" si="9"/>
        <v>0</v>
      </c>
    </row>
    <row r="42" spans="1:21" hidden="1" x14ac:dyDescent="0.25">
      <c r="A42" s="453" t="s">
        <v>52</v>
      </c>
      <c r="B42" s="453"/>
      <c r="C42" s="171">
        <v>0</v>
      </c>
      <c r="D42" s="171">
        <v>0</v>
      </c>
      <c r="E42" s="177">
        <f t="shared" si="6"/>
        <v>0</v>
      </c>
      <c r="F42" s="173"/>
      <c r="G42" s="173"/>
      <c r="H42" s="173"/>
      <c r="I42" s="97">
        <f t="shared" si="7"/>
        <v>0</v>
      </c>
      <c r="N42" s="482" t="s">
        <v>52</v>
      </c>
      <c r="O42" s="482"/>
      <c r="P42" s="483">
        <f t="shared" si="8"/>
        <v>0</v>
      </c>
      <c r="Q42" s="483"/>
      <c r="R42" s="483"/>
      <c r="S42" s="483"/>
      <c r="T42" s="483"/>
      <c r="U42" s="101">
        <f t="shared" si="9"/>
        <v>0</v>
      </c>
    </row>
    <row r="43" spans="1:21" hidden="1" x14ac:dyDescent="0.25">
      <c r="A43" s="3"/>
      <c r="B43" s="55" t="s">
        <v>126</v>
      </c>
      <c r="C43" s="100">
        <f>SUM(C37:C42)</f>
        <v>0</v>
      </c>
      <c r="D43" s="100">
        <f>SUM(D37:D42)</f>
        <v>0</v>
      </c>
      <c r="E43" s="100">
        <f>SUM(E37:E42)</f>
        <v>0</v>
      </c>
      <c r="F43" s="33"/>
      <c r="G43" s="109"/>
      <c r="H43" s="110" t="s">
        <v>128</v>
      </c>
      <c r="I43" s="100">
        <f>SUM(I37:I42)</f>
        <v>0</v>
      </c>
      <c r="N43" s="480" t="s">
        <v>54</v>
      </c>
      <c r="O43" s="480"/>
      <c r="P43" s="480"/>
      <c r="Q43" s="480"/>
      <c r="R43" s="34">
        <f>SUM(P37:R42)</f>
        <v>0</v>
      </c>
      <c r="S43" s="508" t="s">
        <v>64</v>
      </c>
      <c r="T43" s="508"/>
      <c r="U43" s="106">
        <f>SUM(U37:U42)</f>
        <v>0</v>
      </c>
    </row>
    <row r="44" spans="1:21" ht="16.5" hidden="1" thickBot="1" x14ac:dyDescent="0.3">
      <c r="A44" s="3"/>
      <c r="B44" s="55"/>
      <c r="C44" s="104"/>
      <c r="D44" s="104"/>
      <c r="E44" s="119"/>
      <c r="F44" s="33"/>
      <c r="G44" s="109"/>
      <c r="H44" s="110"/>
      <c r="I44" s="104"/>
      <c r="N44" s="29"/>
      <c r="O44" s="29"/>
      <c r="P44" s="29"/>
      <c r="Q44" s="29"/>
      <c r="R44" s="34"/>
      <c r="S44" s="31"/>
      <c r="T44" s="31"/>
      <c r="U44" s="106"/>
    </row>
    <row r="45" spans="1:21" ht="16.5" hidden="1" thickBot="1" x14ac:dyDescent="0.3">
      <c r="A45" s="3"/>
      <c r="B45" s="55" t="s">
        <v>127</v>
      </c>
      <c r="E45" s="174">
        <f>H29+E43</f>
        <v>135.46690000000001</v>
      </c>
      <c r="F45" s="35"/>
      <c r="G45" s="109"/>
      <c r="H45" s="110" t="s">
        <v>129</v>
      </c>
      <c r="I45" s="97">
        <f>SUM(I43,I29)</f>
        <v>648659.96</v>
      </c>
      <c r="N45" s="480" t="s">
        <v>55</v>
      </c>
      <c r="O45" s="480"/>
      <c r="P45" s="480"/>
      <c r="Q45" s="480"/>
      <c r="R45" s="36">
        <f>R43+T29</f>
        <v>0</v>
      </c>
      <c r="S45" s="508" t="s">
        <v>53</v>
      </c>
      <c r="T45" s="508"/>
      <c r="U45" s="111">
        <f>SUM(U43,U29)</f>
        <v>0</v>
      </c>
    </row>
    <row r="46" spans="1:21" hidden="1" x14ac:dyDescent="0.25">
      <c r="A46" s="27"/>
      <c r="B46" s="27"/>
      <c r="C46" s="27"/>
      <c r="D46" s="27"/>
      <c r="E46" s="27"/>
      <c r="F46" s="35"/>
      <c r="G46" s="28"/>
      <c r="H46" s="28"/>
      <c r="I46" s="104"/>
      <c r="N46" s="29"/>
      <c r="O46" s="29"/>
      <c r="P46" s="29"/>
      <c r="Q46" s="29"/>
      <c r="R46" s="36"/>
      <c r="S46" s="31"/>
      <c r="T46" s="31"/>
      <c r="U46" s="106"/>
    </row>
    <row r="47" spans="1:21" x14ac:dyDescent="0.25">
      <c r="A47" s="27"/>
      <c r="B47" s="55" t="s">
        <v>370</v>
      </c>
      <c r="C47" s="372" t="s">
        <v>370</v>
      </c>
      <c r="D47" s="372" t="s">
        <v>370</v>
      </c>
      <c r="E47" s="27"/>
      <c r="F47" s="35"/>
      <c r="G47" s="28"/>
      <c r="H47" s="28"/>
      <c r="I47" s="104"/>
      <c r="N47" s="29"/>
      <c r="O47" s="29"/>
      <c r="P47" s="29"/>
      <c r="Q47" s="29"/>
      <c r="R47" s="36"/>
      <c r="S47" s="31"/>
      <c r="T47" s="31"/>
      <c r="U47" s="106"/>
    </row>
    <row r="48" spans="1:21" x14ac:dyDescent="0.25">
      <c r="A48" s="27"/>
      <c r="B48" s="27"/>
      <c r="C48" s="91" t="s">
        <v>463</v>
      </c>
      <c r="D48" s="371" t="s">
        <v>464</v>
      </c>
      <c r="E48" s="92" t="s">
        <v>8</v>
      </c>
      <c r="F48" s="49" t="s">
        <v>130</v>
      </c>
      <c r="G48" s="112" t="s">
        <v>132</v>
      </c>
      <c r="H48" s="113" t="s">
        <v>133</v>
      </c>
      <c r="I48" s="104"/>
      <c r="N48" s="29"/>
      <c r="O48" s="29"/>
      <c r="P48" s="29"/>
      <c r="Q48" s="29"/>
      <c r="R48" s="36"/>
      <c r="S48" s="31"/>
      <c r="T48" s="31"/>
      <c r="U48" s="106"/>
    </row>
    <row r="49" spans="1:21" x14ac:dyDescent="0.25">
      <c r="A49" s="37" t="s">
        <v>87</v>
      </c>
      <c r="B49" s="37"/>
      <c r="C49" s="362" t="s">
        <v>2</v>
      </c>
      <c r="D49" s="362" t="s">
        <v>2</v>
      </c>
      <c r="E49" s="362" t="s">
        <v>2</v>
      </c>
      <c r="F49" s="95" t="s">
        <v>131</v>
      </c>
      <c r="G49" s="62" t="s">
        <v>131</v>
      </c>
      <c r="H49" s="114" t="s">
        <v>134</v>
      </c>
      <c r="I49" s="37"/>
      <c r="N49" s="482" t="s">
        <v>87</v>
      </c>
      <c r="O49" s="482"/>
      <c r="P49" s="503" t="s">
        <v>2</v>
      </c>
      <c r="Q49" s="503"/>
      <c r="R49" s="38" t="s">
        <v>25</v>
      </c>
      <c r="S49" s="63" t="s">
        <v>26</v>
      </c>
      <c r="T49" s="115" t="s">
        <v>27</v>
      </c>
      <c r="U49" s="38"/>
    </row>
    <row r="50" spans="1:21" x14ac:dyDescent="0.25">
      <c r="A50" s="459" t="s">
        <v>98</v>
      </c>
      <c r="B50" s="459"/>
      <c r="C50" s="165">
        <v>0</v>
      </c>
      <c r="D50" s="165">
        <v>0</v>
      </c>
      <c r="E50" s="125">
        <f>IF(D$59=0,C50*2,C50+D50)</f>
        <v>0</v>
      </c>
      <c r="F50" s="39" t="s">
        <v>21</v>
      </c>
      <c r="G50" s="39">
        <v>251</v>
      </c>
      <c r="H50" s="321">
        <f>'0664'!H50</f>
        <v>1047</v>
      </c>
      <c r="I50" s="104">
        <f>ROUND(E50*H50,2)</f>
        <v>0</v>
      </c>
      <c r="N50" s="504" t="s">
        <v>28</v>
      </c>
      <c r="O50" s="504"/>
      <c r="P50" s="505"/>
      <c r="Q50" s="505"/>
      <c r="R50" s="40" t="s">
        <v>21</v>
      </c>
      <c r="S50" s="40">
        <v>251</v>
      </c>
      <c r="T50" s="117">
        <f>H50</f>
        <v>1047</v>
      </c>
      <c r="U50" s="118">
        <f>ROUND(P50*T50,0)</f>
        <v>0</v>
      </c>
    </row>
    <row r="51" spans="1:21" x14ac:dyDescent="0.25">
      <c r="A51" s="460"/>
      <c r="B51" s="460"/>
      <c r="C51" s="165">
        <v>0</v>
      </c>
      <c r="D51" s="165">
        <v>0</v>
      </c>
      <c r="E51" s="125">
        <f t="shared" ref="E51:E58" si="10">IF(D$59=0,C51*2,C51+D51)</f>
        <v>0</v>
      </c>
      <c r="F51" s="39" t="s">
        <v>21</v>
      </c>
      <c r="G51" s="39">
        <v>252</v>
      </c>
      <c r="H51" s="321">
        <f>'0664'!H51</f>
        <v>3380</v>
      </c>
      <c r="I51" s="104">
        <f t="shared" ref="I51:I58" si="11">ROUND(E51*H51,2)</f>
        <v>0</v>
      </c>
      <c r="N51" s="504"/>
      <c r="O51" s="504"/>
      <c r="P51" s="506"/>
      <c r="Q51" s="506"/>
      <c r="R51" s="40" t="s">
        <v>21</v>
      </c>
      <c r="S51" s="40">
        <v>252</v>
      </c>
      <c r="T51" s="117">
        <f t="shared" ref="T51:T58" si="12">H51</f>
        <v>3380</v>
      </c>
      <c r="U51" s="118">
        <f t="shared" ref="U51:U58" si="13">ROUND(P51*T51,0)</f>
        <v>0</v>
      </c>
    </row>
    <row r="52" spans="1:21" x14ac:dyDescent="0.25">
      <c r="A52" s="460"/>
      <c r="B52" s="460"/>
      <c r="C52" s="165">
        <v>0</v>
      </c>
      <c r="D52" s="165">
        <v>0</v>
      </c>
      <c r="E52" s="125">
        <f t="shared" si="10"/>
        <v>0</v>
      </c>
      <c r="F52" s="39" t="s">
        <v>21</v>
      </c>
      <c r="G52" s="39">
        <v>253</v>
      </c>
      <c r="H52" s="321">
        <f>'0664'!H52</f>
        <v>6896</v>
      </c>
      <c r="I52" s="104">
        <f t="shared" si="11"/>
        <v>0</v>
      </c>
      <c r="N52" s="504"/>
      <c r="O52" s="504"/>
      <c r="P52" s="506"/>
      <c r="Q52" s="506"/>
      <c r="R52" s="40" t="s">
        <v>21</v>
      </c>
      <c r="S52" s="40">
        <v>253</v>
      </c>
      <c r="T52" s="117">
        <f t="shared" si="12"/>
        <v>6896</v>
      </c>
      <c r="U52" s="118">
        <f t="shared" si="13"/>
        <v>0</v>
      </c>
    </row>
    <row r="53" spans="1:21" x14ac:dyDescent="0.25">
      <c r="A53" s="460"/>
      <c r="B53" s="460"/>
      <c r="C53" s="165">
        <v>1.5</v>
      </c>
      <c r="D53" s="165">
        <v>2</v>
      </c>
      <c r="E53" s="125">
        <f t="shared" si="10"/>
        <v>3.5</v>
      </c>
      <c r="F53" s="41" t="s">
        <v>14</v>
      </c>
      <c r="G53" s="39">
        <v>251</v>
      </c>
      <c r="H53" s="321">
        <f>'0664'!H53</f>
        <v>1173</v>
      </c>
      <c r="I53" s="104">
        <f t="shared" si="11"/>
        <v>4105.5</v>
      </c>
      <c r="N53" s="504"/>
      <c r="O53" s="504"/>
      <c r="P53" s="506"/>
      <c r="Q53" s="506"/>
      <c r="R53" s="42" t="s">
        <v>14</v>
      </c>
      <c r="S53" s="40">
        <v>251</v>
      </c>
      <c r="T53" s="117">
        <f t="shared" si="12"/>
        <v>1173</v>
      </c>
      <c r="U53" s="118">
        <f t="shared" si="13"/>
        <v>0</v>
      </c>
    </row>
    <row r="54" spans="1:21" x14ac:dyDescent="0.25">
      <c r="A54" s="460"/>
      <c r="B54" s="460"/>
      <c r="C54" s="165">
        <v>0</v>
      </c>
      <c r="D54" s="165">
        <v>0</v>
      </c>
      <c r="E54" s="125">
        <f t="shared" si="10"/>
        <v>0</v>
      </c>
      <c r="F54" s="41" t="s">
        <v>14</v>
      </c>
      <c r="G54" s="39">
        <v>252</v>
      </c>
      <c r="H54" s="321">
        <f>'0664'!H54</f>
        <v>3506</v>
      </c>
      <c r="I54" s="104">
        <f t="shared" si="11"/>
        <v>0</v>
      </c>
      <c r="N54" s="504"/>
      <c r="O54" s="504"/>
      <c r="P54" s="506"/>
      <c r="Q54" s="506"/>
      <c r="R54" s="42" t="s">
        <v>14</v>
      </c>
      <c r="S54" s="40">
        <v>252</v>
      </c>
      <c r="T54" s="117">
        <f t="shared" si="12"/>
        <v>3506</v>
      </c>
      <c r="U54" s="118">
        <f t="shared" si="13"/>
        <v>0</v>
      </c>
    </row>
    <row r="55" spans="1:21" x14ac:dyDescent="0.25">
      <c r="A55" s="460"/>
      <c r="B55" s="460"/>
      <c r="C55" s="165">
        <v>0</v>
      </c>
      <c r="D55" s="165">
        <v>0</v>
      </c>
      <c r="E55" s="125">
        <f t="shared" si="10"/>
        <v>0</v>
      </c>
      <c r="F55" s="41" t="s">
        <v>14</v>
      </c>
      <c r="G55" s="39">
        <v>253</v>
      </c>
      <c r="H55" s="321">
        <f>'0664'!H55</f>
        <v>7023</v>
      </c>
      <c r="I55" s="104">
        <f t="shared" si="11"/>
        <v>0</v>
      </c>
      <c r="N55" s="504"/>
      <c r="O55" s="504"/>
      <c r="P55" s="506"/>
      <c r="Q55" s="506"/>
      <c r="R55" s="42" t="s">
        <v>14</v>
      </c>
      <c r="S55" s="40">
        <v>253</v>
      </c>
      <c r="T55" s="117">
        <f t="shared" si="12"/>
        <v>7023</v>
      </c>
      <c r="U55" s="118">
        <f t="shared" si="13"/>
        <v>0</v>
      </c>
    </row>
    <row r="56" spans="1:21" x14ac:dyDescent="0.25">
      <c r="A56" s="460"/>
      <c r="B56" s="460"/>
      <c r="C56" s="165">
        <v>12.44</v>
      </c>
      <c r="D56" s="165">
        <v>13.96</v>
      </c>
      <c r="E56" s="125">
        <f t="shared" si="10"/>
        <v>26.4</v>
      </c>
      <c r="F56" s="41" t="s">
        <v>15</v>
      </c>
      <c r="G56" s="39">
        <v>251</v>
      </c>
      <c r="H56" s="321">
        <f>'0664'!H56</f>
        <v>835</v>
      </c>
      <c r="I56" s="104">
        <f t="shared" si="11"/>
        <v>22044</v>
      </c>
      <c r="N56" s="504"/>
      <c r="O56" s="504"/>
      <c r="P56" s="506"/>
      <c r="Q56" s="506"/>
      <c r="R56" s="42" t="s">
        <v>15</v>
      </c>
      <c r="S56" s="40">
        <v>251</v>
      </c>
      <c r="T56" s="117">
        <f t="shared" si="12"/>
        <v>835</v>
      </c>
      <c r="U56" s="118">
        <f t="shared" si="13"/>
        <v>0</v>
      </c>
    </row>
    <row r="57" spans="1:21" x14ac:dyDescent="0.25">
      <c r="A57" s="460"/>
      <c r="B57" s="460"/>
      <c r="C57" s="165">
        <v>0</v>
      </c>
      <c r="D57" s="165">
        <v>0</v>
      </c>
      <c r="E57" s="125">
        <f t="shared" si="10"/>
        <v>0</v>
      </c>
      <c r="F57" s="41" t="s">
        <v>15</v>
      </c>
      <c r="G57" s="39">
        <v>252</v>
      </c>
      <c r="H57" s="321">
        <f>'0664'!H57</f>
        <v>3168</v>
      </c>
      <c r="I57" s="104">
        <f t="shared" si="11"/>
        <v>0</v>
      </c>
      <c r="N57" s="504"/>
      <c r="O57" s="504"/>
      <c r="P57" s="506"/>
      <c r="Q57" s="506"/>
      <c r="R57" s="42" t="s">
        <v>15</v>
      </c>
      <c r="S57" s="40">
        <v>252</v>
      </c>
      <c r="T57" s="117">
        <f t="shared" si="12"/>
        <v>3168</v>
      </c>
      <c r="U57" s="118">
        <f t="shared" si="13"/>
        <v>0</v>
      </c>
    </row>
    <row r="58" spans="1:21" ht="16.5" thickBot="1" x14ac:dyDescent="0.3">
      <c r="A58" s="460"/>
      <c r="B58" s="460"/>
      <c r="C58" s="165">
        <v>0</v>
      </c>
      <c r="D58" s="165">
        <v>0</v>
      </c>
      <c r="E58" s="125">
        <f t="shared" si="10"/>
        <v>0</v>
      </c>
      <c r="F58" s="41" t="s">
        <v>15</v>
      </c>
      <c r="G58" s="39">
        <v>253</v>
      </c>
      <c r="H58" s="321">
        <f>'0664'!H58</f>
        <v>6685</v>
      </c>
      <c r="I58" s="104">
        <f t="shared" si="11"/>
        <v>0</v>
      </c>
      <c r="N58" s="504"/>
      <c r="O58" s="504"/>
      <c r="P58" s="507"/>
      <c r="Q58" s="507"/>
      <c r="R58" s="42" t="s">
        <v>15</v>
      </c>
      <c r="S58" s="40">
        <v>253</v>
      </c>
      <c r="T58" s="117">
        <f t="shared" si="12"/>
        <v>6685</v>
      </c>
      <c r="U58" s="120">
        <f t="shared" si="13"/>
        <v>0</v>
      </c>
    </row>
    <row r="59" spans="1:21" ht="16.5" thickBot="1" x14ac:dyDescent="0.3">
      <c r="A59" s="461" t="s">
        <v>16</v>
      </c>
      <c r="B59" s="461"/>
      <c r="C59" s="100">
        <f>SUM(C50:C58)</f>
        <v>13.94</v>
      </c>
      <c r="D59" s="100">
        <f>SUM(D50:D58)</f>
        <v>15.96</v>
      </c>
      <c r="E59" s="100">
        <f>SUM(E50:E58)</f>
        <v>29.9</v>
      </c>
      <c r="F59" s="461" t="s">
        <v>77</v>
      </c>
      <c r="G59" s="461"/>
      <c r="H59" s="461"/>
      <c r="I59" s="100">
        <f>SUM(I50:I58)</f>
        <v>26149.5</v>
      </c>
      <c r="N59" s="480" t="s">
        <v>16</v>
      </c>
      <c r="O59" s="480"/>
      <c r="P59" s="502">
        <f>SUM(P50:P58)</f>
        <v>0</v>
      </c>
      <c r="Q59" s="502"/>
      <c r="R59" s="480" t="s">
        <v>77</v>
      </c>
      <c r="S59" s="480"/>
      <c r="T59" s="480"/>
      <c r="U59" s="111">
        <f>SUM(U50:U58)</f>
        <v>0</v>
      </c>
    </row>
    <row r="60" spans="1:21" x14ac:dyDescent="0.25">
      <c r="A60" s="462"/>
      <c r="B60" s="462"/>
      <c r="C60" s="462"/>
      <c r="D60" s="462"/>
      <c r="E60" s="462"/>
      <c r="F60" s="462"/>
      <c r="G60" s="462"/>
      <c r="H60" s="462"/>
      <c r="I60" s="462"/>
      <c r="N60" s="484"/>
      <c r="O60" s="484"/>
      <c r="P60" s="484"/>
      <c r="Q60" s="484"/>
      <c r="R60" s="484"/>
      <c r="S60" s="484"/>
      <c r="T60" s="484"/>
      <c r="U60" s="484"/>
    </row>
    <row r="61" spans="1:21" x14ac:dyDescent="0.25">
      <c r="A61" s="463" t="s">
        <v>136</v>
      </c>
      <c r="B61" s="453"/>
      <c r="C61" s="453"/>
      <c r="D61" s="453"/>
      <c r="E61" s="453"/>
      <c r="F61" s="453"/>
      <c r="G61" s="453"/>
      <c r="H61" s="453"/>
      <c r="I61" s="453"/>
      <c r="N61" s="479" t="s">
        <v>88</v>
      </c>
      <c r="O61" s="479"/>
      <c r="P61" s="479"/>
      <c r="Q61" s="479"/>
      <c r="R61" s="479"/>
      <c r="S61" s="479"/>
      <c r="T61" s="479"/>
      <c r="U61" s="479"/>
    </row>
    <row r="62" spans="1:21" x14ac:dyDescent="0.25">
      <c r="A62" s="463" t="s">
        <v>138</v>
      </c>
      <c r="B62" s="453"/>
      <c r="C62" s="121">
        <f>E29</f>
        <v>135.59</v>
      </c>
      <c r="D62" s="464" t="s">
        <v>135</v>
      </c>
      <c r="E62" s="464"/>
      <c r="F62" s="464"/>
      <c r="G62" s="464"/>
      <c r="H62" s="335">
        <f>'0664'!H62</f>
        <v>193340.76</v>
      </c>
      <c r="I62" s="122"/>
      <c r="N62" s="478" t="s">
        <v>312</v>
      </c>
      <c r="O62" s="479"/>
      <c r="P62" s="43">
        <f>P29</f>
        <v>0</v>
      </c>
      <c r="Q62" s="498" t="s">
        <v>78</v>
      </c>
      <c r="R62" s="498"/>
      <c r="S62" s="498"/>
      <c r="T62" s="497">
        <f>H62</f>
        <v>193340.76</v>
      </c>
      <c r="U62" s="497"/>
    </row>
    <row r="63" spans="1:21" x14ac:dyDescent="0.25">
      <c r="B63" s="72"/>
      <c r="G63" s="44" t="s">
        <v>13</v>
      </c>
      <c r="H63" s="123">
        <f>ROUND(C62/H62,6)</f>
        <v>7.0100000000000002E-4</v>
      </c>
      <c r="I63" s="124"/>
      <c r="N63" s="479" t="s">
        <v>19</v>
      </c>
      <c r="O63" s="479"/>
      <c r="P63" s="479"/>
      <c r="Q63" s="479"/>
      <c r="R63" s="479"/>
      <c r="S63" s="479"/>
      <c r="T63" s="501">
        <f>ROUND(P62/T62,6)</f>
        <v>0</v>
      </c>
      <c r="U63" s="501"/>
    </row>
    <row r="64" spans="1:21" x14ac:dyDescent="0.25">
      <c r="A64" s="463" t="s">
        <v>137</v>
      </c>
      <c r="B64" s="453"/>
      <c r="C64" s="453"/>
      <c r="D64" s="453"/>
      <c r="E64" s="453"/>
      <c r="F64" s="453"/>
      <c r="G64" s="453"/>
      <c r="H64" s="453"/>
      <c r="I64" s="453"/>
      <c r="N64" s="479" t="s">
        <v>89</v>
      </c>
      <c r="O64" s="479"/>
      <c r="P64" s="479"/>
      <c r="Q64" s="479"/>
      <c r="R64" s="479"/>
      <c r="S64" s="479"/>
      <c r="T64" s="479"/>
      <c r="U64" s="479"/>
    </row>
    <row r="65" spans="1:21" x14ac:dyDescent="0.25">
      <c r="A65" s="463" t="s">
        <v>139</v>
      </c>
      <c r="B65" s="453"/>
      <c r="C65" s="121">
        <f>E45</f>
        <v>135.46690000000001</v>
      </c>
      <c r="D65" s="464" t="s">
        <v>140</v>
      </c>
      <c r="E65" s="464"/>
      <c r="F65" s="464"/>
      <c r="G65" s="464"/>
      <c r="H65" s="336">
        <f>'0664'!H65</f>
        <v>216845.88</v>
      </c>
      <c r="I65" s="125"/>
      <c r="N65" s="479" t="s">
        <v>80</v>
      </c>
      <c r="O65" s="479"/>
      <c r="P65" s="43">
        <f>R45</f>
        <v>0</v>
      </c>
      <c r="Q65" s="498" t="s">
        <v>79</v>
      </c>
      <c r="R65" s="498"/>
      <c r="S65" s="498"/>
      <c r="T65" s="497">
        <f>H65</f>
        <v>216845.88</v>
      </c>
      <c r="U65" s="497"/>
    </row>
    <row r="66" spans="1:21" s="37" customFormat="1" x14ac:dyDescent="0.25">
      <c r="A66" s="126"/>
      <c r="G66" s="45" t="s">
        <v>13</v>
      </c>
      <c r="H66" s="127">
        <f>ROUND(C65/H65,6)</f>
        <v>6.2500000000000001E-4</v>
      </c>
      <c r="I66" s="127"/>
      <c r="N66" s="482" t="s">
        <v>20</v>
      </c>
      <c r="O66" s="482"/>
      <c r="P66" s="482"/>
      <c r="Q66" s="482"/>
      <c r="R66" s="482"/>
      <c r="S66" s="482"/>
      <c r="T66" s="500">
        <f>ROUND(P65/T65,6)</f>
        <v>0</v>
      </c>
      <c r="U66" s="500"/>
    </row>
    <row r="67" spans="1:21" x14ac:dyDescent="0.25">
      <c r="G67" s="44"/>
      <c r="H67" s="123"/>
      <c r="I67" s="123"/>
      <c r="N67" s="48"/>
      <c r="O67" s="48"/>
      <c r="P67" s="48"/>
      <c r="Q67" s="48"/>
      <c r="R67" s="128"/>
      <c r="S67" s="48"/>
      <c r="T67" s="129"/>
      <c r="U67" s="130"/>
    </row>
    <row r="68" spans="1:21" x14ac:dyDescent="0.25">
      <c r="A68" s="453" t="s">
        <v>85</v>
      </c>
      <c r="B68" s="453"/>
      <c r="C68" s="453"/>
      <c r="D68" s="72"/>
      <c r="E68" s="46" t="s">
        <v>3</v>
      </c>
      <c r="F68" s="337">
        <f>'0664'!F68</f>
        <v>42465042</v>
      </c>
      <c r="G68" s="39" t="s">
        <v>6</v>
      </c>
      <c r="H68" s="131">
        <f>H63</f>
        <v>7.0100000000000002E-4</v>
      </c>
      <c r="I68" s="104">
        <f>ROUND(F68*H68,2)</f>
        <v>29767.99</v>
      </c>
      <c r="N68" s="479" t="s">
        <v>85</v>
      </c>
      <c r="O68" s="479"/>
      <c r="P68" s="479"/>
      <c r="Q68" s="47"/>
      <c r="R68" s="132">
        <f>F68</f>
        <v>42465042</v>
      </c>
      <c r="S68" s="40" t="s">
        <v>6</v>
      </c>
      <c r="T68" s="133">
        <f>T63</f>
        <v>0</v>
      </c>
      <c r="U68" s="99">
        <f>ROUND(R68*T68,0)</f>
        <v>0</v>
      </c>
    </row>
    <row r="69" spans="1:21" x14ac:dyDescent="0.25">
      <c r="A69" s="458" t="s">
        <v>96</v>
      </c>
      <c r="B69" s="453"/>
      <c r="C69" s="453"/>
      <c r="D69" s="72"/>
      <c r="E69" s="46"/>
      <c r="F69" s="136"/>
      <c r="G69" s="39"/>
      <c r="H69" s="131"/>
      <c r="I69" s="104"/>
      <c r="N69" s="479" t="s">
        <v>84</v>
      </c>
      <c r="O69" s="479"/>
      <c r="P69" s="479"/>
      <c r="Q69" s="54"/>
      <c r="R69" s="54"/>
      <c r="S69" s="54"/>
      <c r="T69" s="54"/>
      <c r="U69" s="54"/>
    </row>
    <row r="70" spans="1:21" x14ac:dyDescent="0.25">
      <c r="A70" s="465" t="s">
        <v>141</v>
      </c>
      <c r="B70" s="453"/>
      <c r="C70" s="453"/>
      <c r="D70" s="72"/>
      <c r="E70" s="46" t="s">
        <v>3</v>
      </c>
      <c r="F70" s="337">
        <f>'0664'!F70</f>
        <v>0</v>
      </c>
      <c r="G70" s="39" t="s">
        <v>6</v>
      </c>
      <c r="H70" s="131">
        <f>H63</f>
        <v>7.0100000000000002E-4</v>
      </c>
      <c r="I70" s="104">
        <f>ROUND(F70*H70,2)</f>
        <v>0</v>
      </c>
      <c r="N70" s="48"/>
      <c r="O70" s="48"/>
      <c r="P70" s="48"/>
      <c r="Q70" s="47"/>
      <c r="R70" s="132">
        <f>F70</f>
        <v>0</v>
      </c>
      <c r="S70" s="40" t="s">
        <v>6</v>
      </c>
      <c r="T70" s="133">
        <f>T63</f>
        <v>0</v>
      </c>
      <c r="U70" s="99">
        <f>ROUND(R70*T70,0)</f>
        <v>0</v>
      </c>
    </row>
    <row r="71" spans="1:21" x14ac:dyDescent="0.25">
      <c r="A71" s="463" t="s">
        <v>433</v>
      </c>
      <c r="B71" s="453"/>
      <c r="C71" s="453"/>
      <c r="D71" s="72"/>
      <c r="E71" s="46" t="s">
        <v>3</v>
      </c>
      <c r="F71" s="337">
        <f>'0664'!F71</f>
        <v>13414654</v>
      </c>
      <c r="G71" s="39" t="s">
        <v>6</v>
      </c>
      <c r="H71" s="131">
        <f>H63</f>
        <v>7.0100000000000002E-4</v>
      </c>
      <c r="I71" s="104">
        <f>ROUND(F71*H71,2)</f>
        <v>9403.67</v>
      </c>
      <c r="N71" s="479" t="s">
        <v>83</v>
      </c>
      <c r="O71" s="479"/>
      <c r="P71" s="479"/>
      <c r="Q71" s="47"/>
      <c r="R71" s="132">
        <f>F71</f>
        <v>13414654</v>
      </c>
      <c r="S71" s="40" t="s">
        <v>6</v>
      </c>
      <c r="T71" s="133">
        <f>T63</f>
        <v>0</v>
      </c>
      <c r="U71" s="99">
        <f>ROUND(R71*T71,0)</f>
        <v>0</v>
      </c>
    </row>
    <row r="72" spans="1:21" x14ac:dyDescent="0.25">
      <c r="A72" s="463" t="s">
        <v>434</v>
      </c>
      <c r="B72" s="453"/>
      <c r="C72" s="453"/>
      <c r="D72" s="72"/>
      <c r="E72" s="46" t="s">
        <v>3</v>
      </c>
      <c r="F72" s="337">
        <f>'0664'!F72</f>
        <v>14708421</v>
      </c>
      <c r="G72" s="39" t="s">
        <v>6</v>
      </c>
      <c r="H72" s="131">
        <f>H63</f>
        <v>7.0100000000000002E-4</v>
      </c>
      <c r="I72" s="104">
        <f>ROUND(F72*H72,2)</f>
        <v>10310.6</v>
      </c>
      <c r="N72" s="479" t="s">
        <v>82</v>
      </c>
      <c r="O72" s="479"/>
      <c r="P72" s="479"/>
      <c r="Q72" s="47"/>
      <c r="R72" s="134">
        <f>F72</f>
        <v>14708421</v>
      </c>
      <c r="S72" s="40" t="s">
        <v>6</v>
      </c>
      <c r="T72" s="133">
        <f>T63</f>
        <v>0</v>
      </c>
      <c r="U72" s="99">
        <f>ROUND(R72*T72,0)</f>
        <v>0</v>
      </c>
    </row>
    <row r="73" spans="1:21" x14ac:dyDescent="0.25">
      <c r="A73" s="263" t="s">
        <v>99</v>
      </c>
      <c r="D73" s="72"/>
      <c r="E73" s="41" t="s">
        <v>353</v>
      </c>
      <c r="F73" s="466"/>
      <c r="G73" s="466"/>
      <c r="H73" s="466"/>
      <c r="I73" s="104">
        <v>0</v>
      </c>
      <c r="N73" s="499" t="s">
        <v>118</v>
      </c>
      <c r="O73" s="499"/>
      <c r="P73" s="499"/>
      <c r="Q73" s="499"/>
      <c r="R73" s="499"/>
      <c r="S73" s="499"/>
      <c r="T73" s="499"/>
      <c r="U73" s="99">
        <f>IF($H$120=1,I73,0)</f>
        <v>0</v>
      </c>
    </row>
    <row r="74" spans="1:21" x14ac:dyDescent="0.25">
      <c r="A74" s="264" t="s">
        <v>142</v>
      </c>
      <c r="I74" s="104"/>
      <c r="N74" s="499" t="s">
        <v>43</v>
      </c>
      <c r="O74" s="499"/>
      <c r="P74" s="499"/>
      <c r="Q74" s="499"/>
      <c r="R74" s="499"/>
      <c r="S74" s="499"/>
      <c r="T74" s="499"/>
      <c r="U74" s="99">
        <f>IF($H$120=1,I74,0)</f>
        <v>0</v>
      </c>
    </row>
    <row r="75" spans="1:21" x14ac:dyDescent="0.25">
      <c r="A75" s="324" t="s">
        <v>101</v>
      </c>
      <c r="B75" s="72"/>
      <c r="C75" s="72"/>
      <c r="D75" s="72"/>
      <c r="E75" s="72"/>
      <c r="F75" s="72"/>
      <c r="G75" s="72"/>
      <c r="H75" s="72"/>
      <c r="I75" s="135"/>
      <c r="N75" s="382" t="s">
        <v>44</v>
      </c>
      <c r="O75" s="48"/>
      <c r="P75" s="48"/>
      <c r="Q75" s="48"/>
      <c r="R75" s="48"/>
      <c r="S75" s="48"/>
      <c r="T75" s="48"/>
      <c r="U75" s="106"/>
    </row>
    <row r="76" spans="1:21" x14ac:dyDescent="0.25">
      <c r="A76" s="463" t="s">
        <v>435</v>
      </c>
      <c r="B76" s="453"/>
      <c r="C76" s="453"/>
      <c r="D76" s="72"/>
      <c r="E76" s="46" t="s">
        <v>3</v>
      </c>
      <c r="F76" s="337">
        <f>'0664'!F76</f>
        <v>8720092</v>
      </c>
      <c r="G76" s="39" t="s">
        <v>6</v>
      </c>
      <c r="H76" s="131">
        <f>H63</f>
        <v>7.0100000000000002E-4</v>
      </c>
      <c r="I76" s="104">
        <f t="shared" ref="I76:I85" si="14">ROUND(F76*H76,2)</f>
        <v>6112.78</v>
      </c>
      <c r="N76" s="478" t="s">
        <v>366</v>
      </c>
      <c r="O76" s="479"/>
      <c r="P76" s="479"/>
      <c r="Q76" s="47"/>
      <c r="R76" s="134">
        <f t="shared" ref="R76:R85" si="15">F76</f>
        <v>8720092</v>
      </c>
      <c r="S76" s="40" t="s">
        <v>6</v>
      </c>
      <c r="T76" s="133">
        <f>T63</f>
        <v>0</v>
      </c>
      <c r="U76" s="99">
        <f t="shared" ref="U76:U85" si="16">ROUND(R76*T76,0)</f>
        <v>0</v>
      </c>
    </row>
    <row r="77" spans="1:21" x14ac:dyDescent="0.25">
      <c r="A77" s="463" t="s">
        <v>436</v>
      </c>
      <c r="B77" s="453"/>
      <c r="C77" s="453"/>
      <c r="D77" s="72"/>
      <c r="E77" s="46" t="s">
        <v>3</v>
      </c>
      <c r="F77" s="337">
        <f>'0664'!F77</f>
        <v>0</v>
      </c>
      <c r="G77" s="39" t="s">
        <v>6</v>
      </c>
      <c r="H77" s="131">
        <f>H63</f>
        <v>7.0100000000000002E-4</v>
      </c>
      <c r="I77" s="104">
        <f t="shared" si="14"/>
        <v>0</v>
      </c>
      <c r="N77" s="479" t="s">
        <v>367</v>
      </c>
      <c r="O77" s="479"/>
      <c r="P77" s="479"/>
      <c r="Q77" s="47"/>
      <c r="R77" s="134">
        <f t="shared" si="15"/>
        <v>0</v>
      </c>
      <c r="S77" s="40" t="s">
        <v>6</v>
      </c>
      <c r="T77" s="133">
        <f>T63</f>
        <v>0</v>
      </c>
      <c r="U77" s="99">
        <f t="shared" si="16"/>
        <v>0</v>
      </c>
    </row>
    <row r="78" spans="1:21" x14ac:dyDescent="0.25">
      <c r="A78" s="463" t="s">
        <v>437</v>
      </c>
      <c r="B78" s="453"/>
      <c r="C78" s="453"/>
      <c r="D78" s="72"/>
      <c r="E78" s="46" t="s">
        <v>4</v>
      </c>
      <c r="F78" s="337">
        <f>'0664'!F78</f>
        <v>0</v>
      </c>
      <c r="G78" s="39" t="s">
        <v>6</v>
      </c>
      <c r="H78" s="131">
        <f>H66</f>
        <v>6.2500000000000001E-4</v>
      </c>
      <c r="I78" s="104">
        <f t="shared" si="14"/>
        <v>0</v>
      </c>
      <c r="N78" s="478" t="s">
        <v>392</v>
      </c>
      <c r="O78" s="479"/>
      <c r="P78" s="479"/>
      <c r="Q78" s="47"/>
      <c r="R78" s="134">
        <f t="shared" si="15"/>
        <v>0</v>
      </c>
      <c r="S78" s="40" t="s">
        <v>6</v>
      </c>
      <c r="T78" s="133">
        <f>T66</f>
        <v>0</v>
      </c>
      <c r="U78" s="99">
        <f t="shared" si="16"/>
        <v>0</v>
      </c>
    </row>
    <row r="79" spans="1:21" x14ac:dyDescent="0.25">
      <c r="A79" s="463" t="s">
        <v>438</v>
      </c>
      <c r="B79" s="453"/>
      <c r="C79" s="453"/>
      <c r="D79" s="72"/>
      <c r="E79" s="46" t="s">
        <v>4</v>
      </c>
      <c r="F79" s="337">
        <f>'0664'!F79</f>
        <v>11278687</v>
      </c>
      <c r="G79" s="39" t="s">
        <v>6</v>
      </c>
      <c r="H79" s="131">
        <f>H66</f>
        <v>6.2500000000000001E-4</v>
      </c>
      <c r="I79" s="104">
        <f t="shared" si="14"/>
        <v>7049.18</v>
      </c>
      <c r="N79" s="478" t="s">
        <v>393</v>
      </c>
      <c r="O79" s="479"/>
      <c r="P79" s="479"/>
      <c r="Q79" s="47"/>
      <c r="R79" s="134">
        <f t="shared" si="15"/>
        <v>11278687</v>
      </c>
      <c r="S79" s="40" t="s">
        <v>6</v>
      </c>
      <c r="T79" s="133">
        <f>T66</f>
        <v>0</v>
      </c>
      <c r="U79" s="99">
        <f t="shared" si="16"/>
        <v>0</v>
      </c>
    </row>
    <row r="80" spans="1:21" x14ac:dyDescent="0.25">
      <c r="A80" s="463" t="s">
        <v>439</v>
      </c>
      <c r="B80" s="453"/>
      <c r="C80" s="453"/>
      <c r="D80" s="72"/>
      <c r="E80" s="46" t="s">
        <v>4</v>
      </c>
      <c r="F80" s="337">
        <f>'0664'!F80</f>
        <v>206284749</v>
      </c>
      <c r="G80" s="39" t="s">
        <v>6</v>
      </c>
      <c r="H80" s="131">
        <f>H66</f>
        <v>6.2500000000000001E-4</v>
      </c>
      <c r="I80" s="104">
        <f t="shared" si="14"/>
        <v>128927.97</v>
      </c>
      <c r="N80" s="478" t="s">
        <v>397</v>
      </c>
      <c r="O80" s="479"/>
      <c r="P80" s="479"/>
      <c r="Q80" s="47"/>
      <c r="R80" s="134">
        <f t="shared" si="15"/>
        <v>206284749</v>
      </c>
      <c r="S80" s="40" t="s">
        <v>6</v>
      </c>
      <c r="T80" s="133">
        <f>T66</f>
        <v>0</v>
      </c>
      <c r="U80" s="99">
        <f t="shared" si="16"/>
        <v>0</v>
      </c>
    </row>
    <row r="81" spans="1:21" x14ac:dyDescent="0.25">
      <c r="A81" s="84" t="s">
        <v>440</v>
      </c>
      <c r="B81" s="72"/>
      <c r="C81" s="72"/>
      <c r="D81" s="72"/>
      <c r="E81" s="46"/>
      <c r="F81" s="337"/>
      <c r="G81" s="39"/>
      <c r="H81" s="131"/>
      <c r="I81" s="104"/>
      <c r="N81" s="419" t="s">
        <v>440</v>
      </c>
      <c r="O81" s="48"/>
      <c r="P81" s="48"/>
      <c r="Q81" s="47"/>
      <c r="R81" s="423"/>
      <c r="S81" s="40"/>
      <c r="T81" s="133"/>
      <c r="U81" s="120"/>
    </row>
    <row r="82" spans="1:21" x14ac:dyDescent="0.25">
      <c r="A82" s="264" t="s">
        <v>441</v>
      </c>
      <c r="B82" s="72"/>
      <c r="C82" s="72"/>
      <c r="D82" s="72"/>
      <c r="E82" s="46" t="s">
        <v>442</v>
      </c>
      <c r="F82" s="337">
        <f>'0664'!F82</f>
        <v>0</v>
      </c>
      <c r="G82" s="39" t="s">
        <v>6</v>
      </c>
      <c r="H82" s="131">
        <f>H66</f>
        <v>6.2500000000000001E-4</v>
      </c>
      <c r="I82" s="104">
        <v>21992.6</v>
      </c>
      <c r="N82" s="422" t="s">
        <v>441</v>
      </c>
      <c r="O82" s="48"/>
      <c r="P82" s="48"/>
      <c r="Q82" s="47"/>
      <c r="R82" s="134">
        <f t="shared" si="15"/>
        <v>0</v>
      </c>
      <c r="S82" s="40"/>
      <c r="T82" s="133"/>
      <c r="U82" s="99">
        <f t="shared" si="16"/>
        <v>0</v>
      </c>
    </row>
    <row r="83" spans="1:21" x14ac:dyDescent="0.25">
      <c r="A83" s="264" t="s">
        <v>443</v>
      </c>
      <c r="B83" s="72"/>
      <c r="C83" s="72"/>
      <c r="D83" s="72"/>
      <c r="E83" s="46" t="s">
        <v>442</v>
      </c>
      <c r="F83" s="337">
        <f>'0664'!F83</f>
        <v>0</v>
      </c>
      <c r="G83" s="39" t="s">
        <v>6</v>
      </c>
      <c r="H83" s="131">
        <f>H66</f>
        <v>6.2500000000000001E-4</v>
      </c>
      <c r="I83" s="104">
        <v>9996.64</v>
      </c>
      <c r="N83" s="422" t="s">
        <v>443</v>
      </c>
      <c r="O83" s="48"/>
      <c r="P83" s="48"/>
      <c r="Q83" s="47"/>
      <c r="R83" s="134">
        <f t="shared" si="15"/>
        <v>0</v>
      </c>
      <c r="S83" s="40"/>
      <c r="T83" s="133"/>
      <c r="U83" s="99">
        <f t="shared" si="16"/>
        <v>0</v>
      </c>
    </row>
    <row r="84" spans="1:21" x14ac:dyDescent="0.25">
      <c r="A84" s="420" t="s">
        <v>444</v>
      </c>
      <c r="B84" s="72"/>
      <c r="C84" s="72"/>
      <c r="D84" s="72"/>
      <c r="E84" s="46"/>
      <c r="F84" s="337"/>
      <c r="G84" s="39"/>
      <c r="H84" s="131"/>
      <c r="I84" s="104">
        <f>I82+I83</f>
        <v>31989.239999999998</v>
      </c>
      <c r="N84" s="421" t="s">
        <v>444</v>
      </c>
      <c r="O84" s="48"/>
      <c r="P84" s="48"/>
      <c r="Q84" s="47"/>
      <c r="R84" s="423"/>
      <c r="S84" s="40"/>
      <c r="T84" s="133"/>
      <c r="U84" s="99">
        <f>U82+U83</f>
        <v>0</v>
      </c>
    </row>
    <row r="85" spans="1:21" x14ac:dyDescent="0.25">
      <c r="A85" s="463" t="s">
        <v>398</v>
      </c>
      <c r="B85" s="453"/>
      <c r="C85" s="453"/>
      <c r="D85" s="72"/>
      <c r="E85" s="46" t="s">
        <v>4</v>
      </c>
      <c r="F85" s="337">
        <f>'0664'!F85</f>
        <v>0</v>
      </c>
      <c r="G85" s="39" t="s">
        <v>6</v>
      </c>
      <c r="H85" s="131">
        <f>H66</f>
        <v>6.2500000000000001E-4</v>
      </c>
      <c r="I85" s="104">
        <f t="shared" si="14"/>
        <v>0</v>
      </c>
      <c r="N85" s="478" t="s">
        <v>398</v>
      </c>
      <c r="O85" s="479"/>
      <c r="P85" s="479"/>
      <c r="Q85" s="47"/>
      <c r="R85" s="132">
        <f t="shared" si="15"/>
        <v>0</v>
      </c>
      <c r="S85" s="40" t="s">
        <v>6</v>
      </c>
      <c r="T85" s="133">
        <f>T66</f>
        <v>0</v>
      </c>
      <c r="U85" s="99">
        <f t="shared" si="16"/>
        <v>0</v>
      </c>
    </row>
    <row r="86" spans="1:21" x14ac:dyDescent="0.25">
      <c r="B86" s="72"/>
      <c r="C86" s="72"/>
      <c r="D86" s="72"/>
      <c r="E86" s="46"/>
      <c r="F86" s="136"/>
      <c r="G86" s="39"/>
      <c r="H86" s="131"/>
      <c r="I86" s="104"/>
      <c r="N86" s="48"/>
      <c r="O86" s="48"/>
      <c r="P86" s="48"/>
      <c r="Q86" s="47"/>
      <c r="R86" s="137"/>
      <c r="S86" s="40"/>
      <c r="T86" s="133"/>
      <c r="U86" s="106"/>
    </row>
    <row r="87" spans="1:21" x14ac:dyDescent="0.25">
      <c r="A87" s="463" t="s">
        <v>445</v>
      </c>
      <c r="B87" s="453"/>
      <c r="C87" s="453"/>
      <c r="D87" s="453"/>
      <c r="E87" s="453"/>
      <c r="F87" s="453"/>
      <c r="G87" s="453"/>
      <c r="H87" s="453"/>
      <c r="I87" s="453"/>
      <c r="N87" s="478" t="s">
        <v>429</v>
      </c>
      <c r="O87" s="479"/>
      <c r="P87" s="479"/>
      <c r="Q87" s="479"/>
      <c r="R87" s="479"/>
      <c r="S87" s="479"/>
      <c r="T87" s="479"/>
      <c r="U87" s="479"/>
    </row>
    <row r="88" spans="1:21" x14ac:dyDescent="0.25">
      <c r="B88" s="72"/>
      <c r="C88" s="466" t="s">
        <v>73</v>
      </c>
      <c r="D88" s="466"/>
      <c r="E88" s="72"/>
      <c r="F88" s="41" t="s">
        <v>37</v>
      </c>
      <c r="G88" s="72"/>
      <c r="H88" s="72"/>
      <c r="I88" s="72"/>
      <c r="N88" s="48"/>
      <c r="O88" s="48"/>
      <c r="P88" s="48"/>
      <c r="Q88" s="48"/>
      <c r="R88" s="48"/>
      <c r="S88" s="48"/>
      <c r="T88" s="48"/>
      <c r="U88" s="48"/>
    </row>
    <row r="89" spans="1:21" x14ac:dyDescent="0.25">
      <c r="A89" s="3"/>
      <c r="B89" s="138"/>
      <c r="C89" s="462" t="s">
        <v>144</v>
      </c>
      <c r="D89" s="462"/>
      <c r="E89" s="139" t="s">
        <v>150</v>
      </c>
      <c r="F89" s="140" t="s">
        <v>149</v>
      </c>
      <c r="G89" s="141"/>
      <c r="H89" s="141"/>
      <c r="I89" s="141"/>
      <c r="N89" s="495" t="s">
        <v>46</v>
      </c>
      <c r="O89" s="495"/>
      <c r="P89" s="496" t="s">
        <v>119</v>
      </c>
      <c r="Q89" s="496"/>
      <c r="R89" s="497" t="s">
        <v>40</v>
      </c>
      <c r="S89" s="497"/>
      <c r="T89" s="497"/>
      <c r="U89" s="497"/>
    </row>
    <row r="90" spans="1:21" x14ac:dyDescent="0.25">
      <c r="A90" s="27"/>
      <c r="B90" s="55" t="s">
        <v>148</v>
      </c>
      <c r="C90" s="467">
        <f>H13+H14+H19+H22+H25</f>
        <v>0</v>
      </c>
      <c r="D90" s="467"/>
      <c r="E90" s="49">
        <f>H8</f>
        <v>1.0438000000000001</v>
      </c>
      <c r="F90" s="338">
        <f>'0664'!F90</f>
        <v>957.94</v>
      </c>
      <c r="G90" s="41" t="s">
        <v>13</v>
      </c>
      <c r="H90" s="104">
        <f>ROUND(C90*E90*F90,2)</f>
        <v>0</v>
      </c>
      <c r="I90" s="107"/>
      <c r="N90" s="29" t="s">
        <v>22</v>
      </c>
      <c r="O90" s="50">
        <f>T13+T14+T19+T22+T25</f>
        <v>0</v>
      </c>
      <c r="P90" s="490">
        <f>T8</f>
        <v>1.0438000000000001</v>
      </c>
      <c r="Q90" s="490"/>
      <c r="R90" s="51">
        <f>F90</f>
        <v>957.94</v>
      </c>
      <c r="S90" s="42" t="s">
        <v>13</v>
      </c>
      <c r="T90" s="134">
        <f>ROUND(O90*P90*R90,0)</f>
        <v>0</v>
      </c>
      <c r="U90" s="105"/>
    </row>
    <row r="91" spans="1:21" x14ac:dyDescent="0.25">
      <c r="A91" s="52"/>
      <c r="B91" s="52" t="s">
        <v>147</v>
      </c>
      <c r="C91" s="467">
        <f>H15+H16+H20+H23+H26</f>
        <v>12.5</v>
      </c>
      <c r="D91" s="467"/>
      <c r="E91" s="49">
        <f>H8</f>
        <v>1.0438000000000001</v>
      </c>
      <c r="F91" s="338">
        <f>'0664'!F91</f>
        <v>914.63</v>
      </c>
      <c r="G91" s="41" t="s">
        <v>13</v>
      </c>
      <c r="H91" s="104">
        <f>ROUND(C91*E91*F91,2)</f>
        <v>11933.63</v>
      </c>
      <c r="N91" s="53" t="s">
        <v>14</v>
      </c>
      <c r="O91" s="50">
        <f>T15+T16+T20+T23+T26</f>
        <v>0</v>
      </c>
      <c r="P91" s="490">
        <f>T8</f>
        <v>1.0438000000000001</v>
      </c>
      <c r="Q91" s="490"/>
      <c r="R91" s="51">
        <f>F91</f>
        <v>914.63</v>
      </c>
      <c r="S91" s="42" t="s">
        <v>13</v>
      </c>
      <c r="T91" s="134">
        <f>ROUND(O91*P91*R91,0)</f>
        <v>0</v>
      </c>
      <c r="U91" s="54"/>
    </row>
    <row r="92" spans="1:21" ht="16.5" thickBot="1" x14ac:dyDescent="0.3">
      <c r="A92" s="55"/>
      <c r="B92" s="55" t="s">
        <v>146</v>
      </c>
      <c r="C92" s="467">
        <f>H17+H18+H21+H24+H27+H28</f>
        <v>122.9669</v>
      </c>
      <c r="D92" s="467"/>
      <c r="E92" s="49">
        <f>H8</f>
        <v>1.0438000000000001</v>
      </c>
      <c r="F92" s="338">
        <f>'0664'!F92</f>
        <v>916.84</v>
      </c>
      <c r="G92" s="41" t="s">
        <v>13</v>
      </c>
      <c r="H92" s="97">
        <f>ROUND(C92*E92*F92,2)</f>
        <v>117679.03</v>
      </c>
      <c r="N92" s="56" t="s">
        <v>15</v>
      </c>
      <c r="O92" s="57">
        <f>T17+T18+T21+T24+T27+T28</f>
        <v>0</v>
      </c>
      <c r="P92" s="490">
        <f>T8</f>
        <v>1.0438000000000001</v>
      </c>
      <c r="Q92" s="490"/>
      <c r="R92" s="51">
        <f>F92</f>
        <v>916.84</v>
      </c>
      <c r="S92" s="42" t="s">
        <v>13</v>
      </c>
      <c r="T92" s="134">
        <f>ROUND(O92*P92*R92,0)</f>
        <v>0</v>
      </c>
      <c r="U92" s="54"/>
    </row>
    <row r="93" spans="1:21" ht="16.5" thickBot="1" x14ac:dyDescent="0.3">
      <c r="A93" s="58"/>
      <c r="B93" s="142" t="s">
        <v>145</v>
      </c>
      <c r="C93" s="469">
        <f>SUM(C90:C92)</f>
        <v>135.46690000000001</v>
      </c>
      <c r="D93" s="469"/>
      <c r="E93" s="143"/>
      <c r="F93" s="143"/>
      <c r="G93" s="143"/>
      <c r="H93" s="144" t="s">
        <v>143</v>
      </c>
      <c r="I93" s="104">
        <f>IF(A1=75,0,H92+H91+H90)</f>
        <v>129612.66</v>
      </c>
      <c r="N93" s="59" t="s">
        <v>120</v>
      </c>
      <c r="O93" s="60">
        <f>SUM(O90:O92)</f>
        <v>0</v>
      </c>
      <c r="P93" s="491" t="s">
        <v>18</v>
      </c>
      <c r="Q93" s="492"/>
      <c r="R93" s="492"/>
      <c r="S93" s="492"/>
      <c r="T93" s="492"/>
      <c r="U93" s="99">
        <f>IF(N1=75,0,T92+T91+T90)</f>
        <v>0</v>
      </c>
    </row>
    <row r="94" spans="1:21" ht="16.5" thickTop="1" x14ac:dyDescent="0.25">
      <c r="A94" s="540" t="s">
        <v>90</v>
      </c>
      <c r="B94" s="540"/>
      <c r="C94" s="540"/>
      <c r="D94" s="540"/>
      <c r="E94" s="540"/>
      <c r="F94" s="540"/>
      <c r="G94" s="540"/>
      <c r="H94" s="540"/>
      <c r="I94" s="540"/>
      <c r="N94" s="493" t="s">
        <v>90</v>
      </c>
      <c r="O94" s="493"/>
      <c r="P94" s="493"/>
      <c r="Q94" s="493"/>
      <c r="R94" s="493"/>
      <c r="S94" s="493"/>
      <c r="T94" s="493"/>
      <c r="U94" s="493"/>
    </row>
    <row r="95" spans="1:21" x14ac:dyDescent="0.25">
      <c r="A95" s="145"/>
      <c r="B95" s="145"/>
      <c r="C95" s="145"/>
      <c r="D95" s="145"/>
      <c r="E95" s="145"/>
      <c r="F95" s="145"/>
      <c r="G95" s="145"/>
      <c r="H95" s="145"/>
      <c r="I95" s="145"/>
      <c r="N95" s="146"/>
      <c r="O95" s="146"/>
      <c r="P95" s="146"/>
      <c r="Q95" s="146"/>
      <c r="R95" s="146"/>
      <c r="S95" s="146"/>
      <c r="T95" s="146"/>
      <c r="U95" s="146"/>
    </row>
    <row r="96" spans="1:21" x14ac:dyDescent="0.25">
      <c r="A96" s="84" t="s">
        <v>446</v>
      </c>
      <c r="C96" s="46"/>
      <c r="D96" s="72"/>
      <c r="E96" s="46" t="s">
        <v>100</v>
      </c>
      <c r="F96" s="471"/>
      <c r="G96" s="471"/>
      <c r="H96" s="471"/>
      <c r="I96" s="471"/>
      <c r="N96" s="478" t="s">
        <v>426</v>
      </c>
      <c r="O96" s="479"/>
      <c r="P96" s="479"/>
      <c r="Q96" s="494"/>
      <c r="R96" s="494"/>
      <c r="S96" s="494"/>
      <c r="T96" s="494"/>
      <c r="U96" s="106"/>
    </row>
    <row r="97" spans="1:21" x14ac:dyDescent="0.25">
      <c r="B97" s="72"/>
      <c r="C97" s="91" t="s">
        <v>409</v>
      </c>
      <c r="D97" s="371" t="s">
        <v>410</v>
      </c>
      <c r="E97" s="92" t="s">
        <v>151</v>
      </c>
      <c r="F97" s="46"/>
      <c r="G97" s="46"/>
      <c r="H97" s="46"/>
      <c r="I97" s="46"/>
      <c r="N97" s="48"/>
      <c r="O97" s="48"/>
      <c r="P97" s="48"/>
      <c r="Q97" s="147"/>
      <c r="R97" s="147"/>
      <c r="S97" s="147"/>
      <c r="T97" s="147"/>
      <c r="U97" s="106"/>
    </row>
    <row r="98" spans="1:21" x14ac:dyDescent="0.25">
      <c r="B98" s="72"/>
      <c r="C98" s="362" t="s">
        <v>2</v>
      </c>
      <c r="D98" s="362" t="s">
        <v>2</v>
      </c>
      <c r="E98" s="362" t="s">
        <v>2</v>
      </c>
      <c r="F98" s="46"/>
      <c r="G98" s="46"/>
      <c r="H98" s="46"/>
      <c r="I98" s="46"/>
      <c r="N98" s="48"/>
      <c r="O98" s="48"/>
      <c r="P98" s="48"/>
      <c r="Q98" s="147"/>
      <c r="R98" s="147"/>
      <c r="S98" s="147"/>
      <c r="T98" s="147"/>
      <c r="U98" s="106"/>
    </row>
    <row r="99" spans="1:21" x14ac:dyDescent="0.25">
      <c r="A99" s="536" t="s">
        <v>470</v>
      </c>
      <c r="B99" s="461"/>
      <c r="C99" s="165">
        <v>82</v>
      </c>
      <c r="D99" s="165">
        <v>0</v>
      </c>
      <c r="E99" s="125">
        <f>C99</f>
        <v>82</v>
      </c>
      <c r="F99" s="148" t="s">
        <v>39</v>
      </c>
      <c r="G99" s="339">
        <f>'0664'!G99</f>
        <v>558</v>
      </c>
      <c r="I99" s="104">
        <f>ROUND(G99*E99,2)</f>
        <v>45756</v>
      </c>
      <c r="N99" s="488" t="s">
        <v>65</v>
      </c>
      <c r="O99" s="488"/>
      <c r="P99" s="489">
        <f>IF(H120=1,E99,0)</f>
        <v>0</v>
      </c>
      <c r="Q99" s="489"/>
      <c r="R99" s="489"/>
      <c r="S99" s="86" t="s">
        <v>39</v>
      </c>
      <c r="T99" s="61">
        <f>G99</f>
        <v>558</v>
      </c>
      <c r="U99" s="99">
        <f>ROUND(T99*P99,0)</f>
        <v>0</v>
      </c>
    </row>
    <row r="100" spans="1:21" x14ac:dyDescent="0.25">
      <c r="A100" s="536" t="s">
        <v>471</v>
      </c>
      <c r="B100" s="461"/>
      <c r="C100" s="165">
        <v>0</v>
      </c>
      <c r="D100" s="165">
        <v>0</v>
      </c>
      <c r="E100" s="125">
        <f>C100</f>
        <v>0</v>
      </c>
      <c r="F100" s="148" t="s">
        <v>39</v>
      </c>
      <c r="G100" s="339">
        <f>'0664'!G100</f>
        <v>1707</v>
      </c>
      <c r="I100" s="104">
        <f>ROUND(G100*E100,2)</f>
        <v>0</v>
      </c>
      <c r="N100" s="488" t="s">
        <v>81</v>
      </c>
      <c r="O100" s="488"/>
      <c r="P100" s="483"/>
      <c r="Q100" s="483"/>
      <c r="R100" s="483"/>
      <c r="S100" s="86" t="s">
        <v>39</v>
      </c>
      <c r="T100" s="61">
        <f>G100</f>
        <v>1707</v>
      </c>
      <c r="U100" s="99">
        <f>ROUND(T100*P100,0)</f>
        <v>0</v>
      </c>
    </row>
    <row r="101" spans="1:21" x14ac:dyDescent="0.25">
      <c r="A101" s="149"/>
      <c r="B101" s="149"/>
      <c r="C101" s="68"/>
      <c r="D101" s="68"/>
      <c r="E101" s="68"/>
      <c r="F101" s="68"/>
      <c r="G101" s="150"/>
      <c r="H101" s="151"/>
      <c r="I101" s="104"/>
      <c r="N101" s="152"/>
      <c r="O101" s="152"/>
      <c r="P101" s="153"/>
      <c r="Q101" s="153"/>
      <c r="R101" s="153"/>
      <c r="S101" s="86"/>
      <c r="T101" s="61"/>
      <c r="U101" s="106"/>
    </row>
    <row r="102" spans="1:21" x14ac:dyDescent="0.25">
      <c r="A102" s="149"/>
      <c r="B102" s="149"/>
      <c r="C102" s="68"/>
      <c r="D102" s="68"/>
      <c r="E102" s="68"/>
      <c r="F102" s="68"/>
      <c r="G102" s="150"/>
      <c r="H102" s="151"/>
      <c r="I102" s="104"/>
      <c r="N102" s="152"/>
      <c r="O102" s="152"/>
      <c r="P102" s="153"/>
      <c r="Q102" s="153"/>
      <c r="R102" s="153"/>
      <c r="S102" s="86"/>
      <c r="T102" s="61"/>
      <c r="U102" s="106"/>
    </row>
    <row r="103" spans="1:21" hidden="1" x14ac:dyDescent="0.25">
      <c r="A103" s="463" t="s">
        <v>447</v>
      </c>
      <c r="B103" s="453"/>
      <c r="C103" s="453"/>
      <c r="D103" s="72"/>
      <c r="E103" s="41" t="s">
        <v>41</v>
      </c>
      <c r="F103" s="466"/>
      <c r="G103" s="466"/>
      <c r="H103" s="466"/>
      <c r="I103" s="466"/>
      <c r="N103" s="478" t="s">
        <v>362</v>
      </c>
      <c r="O103" s="479"/>
      <c r="P103" s="479"/>
      <c r="Q103" s="479"/>
      <c r="R103" s="479"/>
      <c r="S103" s="479"/>
      <c r="T103" s="479"/>
      <c r="U103" s="479"/>
    </row>
    <row r="104" spans="1:21" hidden="1" x14ac:dyDescent="0.25">
      <c r="B104" s="72"/>
      <c r="C104" s="462" t="s">
        <v>91</v>
      </c>
      <c r="D104" s="462"/>
      <c r="E104" s="462"/>
      <c r="F104" s="39"/>
      <c r="G104" s="39"/>
      <c r="H104" s="41" t="s">
        <v>152</v>
      </c>
      <c r="I104" s="39"/>
      <c r="N104" s="48"/>
      <c r="O104" s="48"/>
      <c r="P104" s="48"/>
      <c r="Q104" s="48"/>
      <c r="R104" s="48"/>
      <c r="S104" s="48"/>
      <c r="T104" s="48"/>
      <c r="U104" s="48"/>
    </row>
    <row r="105" spans="1:21" hidden="1" x14ac:dyDescent="0.25">
      <c r="B105" s="72"/>
      <c r="C105" s="91" t="s">
        <v>371</v>
      </c>
      <c r="D105" s="91" t="s">
        <v>351</v>
      </c>
      <c r="E105" s="159" t="s">
        <v>8</v>
      </c>
      <c r="F105" s="464" t="s">
        <v>153</v>
      </c>
      <c r="G105" s="466"/>
      <c r="H105" s="39" t="s">
        <v>38</v>
      </c>
      <c r="I105" s="39"/>
      <c r="N105" s="48"/>
      <c r="O105" s="48"/>
      <c r="P105" s="48"/>
      <c r="Q105" s="48"/>
      <c r="R105" s="48"/>
      <c r="S105" s="48"/>
      <c r="T105" s="48"/>
      <c r="U105" s="48"/>
    </row>
    <row r="106" spans="1:21" hidden="1" x14ac:dyDescent="0.25">
      <c r="A106" s="462" t="s">
        <v>94</v>
      </c>
      <c r="B106" s="462"/>
      <c r="C106" s="93" t="s">
        <v>2</v>
      </c>
      <c r="D106" s="93" t="s">
        <v>2</v>
      </c>
      <c r="E106" s="62" t="s">
        <v>2</v>
      </c>
      <c r="F106" s="462" t="s">
        <v>37</v>
      </c>
      <c r="G106" s="462"/>
      <c r="H106" s="62" t="s">
        <v>37</v>
      </c>
      <c r="I106" s="62" t="s">
        <v>8</v>
      </c>
      <c r="N106" s="484" t="s">
        <v>66</v>
      </c>
      <c r="O106" s="484"/>
      <c r="P106" s="489" t="s">
        <v>91</v>
      </c>
      <c r="Q106" s="489"/>
      <c r="R106" s="484" t="s">
        <v>67</v>
      </c>
      <c r="S106" s="484"/>
      <c r="T106" s="63" t="s">
        <v>68</v>
      </c>
      <c r="U106" s="63" t="s">
        <v>8</v>
      </c>
    </row>
    <row r="107" spans="1:21" hidden="1" x14ac:dyDescent="0.25">
      <c r="A107" s="473" t="s">
        <v>69</v>
      </c>
      <c r="B107" s="473"/>
      <c r="C107" s="163">
        <v>0</v>
      </c>
      <c r="D107" s="163">
        <v>0</v>
      </c>
      <c r="E107" s="210">
        <f>IF(D$59=0,C107*2,C107+D107)</f>
        <v>0</v>
      </c>
      <c r="F107" s="474">
        <v>0</v>
      </c>
      <c r="G107" s="474"/>
      <c r="H107" s="250">
        <f>IF(C107=0,0,125)</f>
        <v>0</v>
      </c>
      <c r="I107" s="104">
        <f>ROUND((H107+F107)*E107,2)</f>
        <v>0</v>
      </c>
      <c r="N107" s="479" t="s">
        <v>69</v>
      </c>
      <c r="O107" s="479"/>
      <c r="P107" s="483">
        <f>IF(H$120=1,C107,0)</f>
        <v>0</v>
      </c>
      <c r="Q107" s="483"/>
      <c r="R107" s="486">
        <f>F107</f>
        <v>0</v>
      </c>
      <c r="S107" s="486"/>
      <c r="T107" s="65">
        <f>H107</f>
        <v>0</v>
      </c>
      <c r="U107" s="99">
        <f>ROUND((T107+R107)*P107,0)</f>
        <v>0</v>
      </c>
    </row>
    <row r="108" spans="1:21" hidden="1" x14ac:dyDescent="0.25">
      <c r="A108" s="456" t="s">
        <v>70</v>
      </c>
      <c r="B108" s="456"/>
      <c r="C108" s="165">
        <v>0</v>
      </c>
      <c r="D108" s="165">
        <v>0</v>
      </c>
      <c r="E108" s="125">
        <f>IF(D$59=0,C108*2,C108+D108)</f>
        <v>0</v>
      </c>
      <c r="F108" s="468">
        <f>ROUND(F107/2,2)</f>
        <v>0</v>
      </c>
      <c r="G108" s="468"/>
      <c r="H108" s="250">
        <f>IF(C108=0,0,62.5)</f>
        <v>0</v>
      </c>
      <c r="I108" s="104">
        <f>ROUND((H108+F108)*E108,2)</f>
        <v>0</v>
      </c>
      <c r="N108" s="479" t="s">
        <v>70</v>
      </c>
      <c r="O108" s="479"/>
      <c r="P108" s="483">
        <f>IF(H$120=1,C108,0)</f>
        <v>0</v>
      </c>
      <c r="Q108" s="483"/>
      <c r="R108" s="487">
        <f>ROUND(R107/2,2)</f>
        <v>0</v>
      </c>
      <c r="S108" s="487"/>
      <c r="T108" s="65">
        <f>H108</f>
        <v>0</v>
      </c>
      <c r="U108" s="99">
        <f>ROUND((T108+R108)*P108,0)</f>
        <v>0</v>
      </c>
    </row>
    <row r="109" spans="1:21" ht="16.5" hidden="1" thickBot="1" x14ac:dyDescent="0.3">
      <c r="A109" s="456" t="s">
        <v>71</v>
      </c>
      <c r="B109" s="456"/>
      <c r="C109" s="165">
        <v>0</v>
      </c>
      <c r="D109" s="165">
        <v>0</v>
      </c>
      <c r="E109" s="125">
        <f>IF(D$59=0,C109*2,C109+D109)</f>
        <v>0</v>
      </c>
      <c r="F109" s="475"/>
      <c r="G109" s="475"/>
      <c r="H109" s="251">
        <f>IF(H107&gt;0,436,0)</f>
        <v>0</v>
      </c>
      <c r="I109" s="104">
        <f>ROUND(H109*E109,2)</f>
        <v>0</v>
      </c>
      <c r="N109" s="482" t="s">
        <v>71</v>
      </c>
      <c r="O109" s="482"/>
      <c r="P109" s="483">
        <f>IF(H$120=1,C109,0)</f>
        <v>0</v>
      </c>
      <c r="Q109" s="483"/>
      <c r="R109" s="484"/>
      <c r="S109" s="484"/>
      <c r="T109" s="67">
        <f>H109</f>
        <v>0</v>
      </c>
      <c r="U109" s="106">
        <f>ROUND(T109*P109,0)</f>
        <v>0</v>
      </c>
    </row>
    <row r="110" spans="1:21" ht="16.5" hidden="1" thickBot="1" x14ac:dyDescent="0.3">
      <c r="A110" s="466" t="s">
        <v>8</v>
      </c>
      <c r="B110" s="466"/>
      <c r="C110" s="68"/>
      <c r="D110" s="68"/>
      <c r="E110" s="68"/>
      <c r="F110" s="68"/>
      <c r="G110" s="68"/>
      <c r="H110" s="68"/>
      <c r="I110" s="100">
        <f>SUM(I107:I109)</f>
        <v>0</v>
      </c>
      <c r="N110" s="485" t="s">
        <v>8</v>
      </c>
      <c r="O110" s="485"/>
      <c r="P110" s="69"/>
      <c r="Q110" s="69"/>
      <c r="R110" s="69"/>
      <c r="S110" s="69"/>
      <c r="T110" s="69"/>
      <c r="U110" s="70">
        <f>SUM(U107:U109)</f>
        <v>0</v>
      </c>
    </row>
    <row r="111" spans="1:21" hidden="1" x14ac:dyDescent="0.25">
      <c r="A111" s="39"/>
      <c r="B111" s="39"/>
      <c r="C111" s="68"/>
      <c r="D111" s="68"/>
      <c r="E111" s="68"/>
      <c r="F111" s="68"/>
      <c r="G111" s="68"/>
      <c r="H111" s="68"/>
      <c r="I111" s="104"/>
      <c r="N111" s="40"/>
      <c r="O111" s="40"/>
      <c r="P111" s="69"/>
      <c r="Q111" s="69"/>
      <c r="R111" s="69"/>
      <c r="S111" s="69"/>
      <c r="T111" s="69"/>
      <c r="U111" s="160"/>
    </row>
    <row r="112" spans="1:21" x14ac:dyDescent="0.25">
      <c r="A112" s="463" t="s">
        <v>448</v>
      </c>
      <c r="B112" s="453"/>
      <c r="C112" s="453"/>
      <c r="D112" s="72"/>
      <c r="E112" s="71" t="s">
        <v>354</v>
      </c>
      <c r="F112" s="472"/>
      <c r="G112" s="472"/>
      <c r="H112" s="472"/>
      <c r="I112" s="125">
        <v>0</v>
      </c>
      <c r="N112" s="478" t="s">
        <v>427</v>
      </c>
      <c r="O112" s="479"/>
      <c r="P112" s="479"/>
      <c r="Q112" s="341"/>
      <c r="R112" s="341"/>
      <c r="S112" s="341"/>
      <c r="T112" s="341"/>
      <c r="U112" s="99">
        <f>IF($H$120=1,I112,0)</f>
        <v>0</v>
      </c>
    </row>
    <row r="113" spans="1:21" x14ac:dyDescent="0.25">
      <c r="A113" s="463" t="s">
        <v>449</v>
      </c>
      <c r="B113" s="453"/>
      <c r="C113" s="453"/>
      <c r="D113" s="72"/>
      <c r="E113" s="71" t="s">
        <v>45</v>
      </c>
      <c r="F113" s="472"/>
      <c r="G113" s="472"/>
      <c r="H113" s="472"/>
      <c r="I113" s="177">
        <v>0</v>
      </c>
      <c r="N113" s="478" t="s">
        <v>428</v>
      </c>
      <c r="O113" s="479"/>
      <c r="P113" s="479"/>
      <c r="Q113" s="341"/>
      <c r="R113" s="341"/>
      <c r="S113" s="341"/>
      <c r="T113" s="341"/>
      <c r="U113" s="99">
        <f>IF($H$120=1,I113,0)</f>
        <v>0</v>
      </c>
    </row>
    <row r="114" spans="1:21" ht="16.5" thickBot="1" x14ac:dyDescent="0.3">
      <c r="B114" s="72"/>
      <c r="C114" s="72"/>
      <c r="D114" s="72"/>
      <c r="E114" s="71"/>
      <c r="F114" s="71"/>
      <c r="G114" s="71"/>
      <c r="H114" s="71"/>
      <c r="I114" s="125"/>
      <c r="N114" s="480" t="s">
        <v>42</v>
      </c>
      <c r="O114" s="480"/>
      <c r="P114" s="480"/>
      <c r="Q114" s="480"/>
      <c r="R114" s="480"/>
      <c r="S114" s="480"/>
      <c r="T114" s="480"/>
      <c r="U114" s="154">
        <f>SUM(U112,U110,U100,U99,U93,U77,U76,U74,U73,U72,U71,U70,U68,U59,U45,U78,U79,U80,U85,U113)</f>
        <v>0</v>
      </c>
    </row>
    <row r="115" spans="1:21" ht="16.5" thickTop="1" x14ac:dyDescent="0.25">
      <c r="A115" s="461" t="s">
        <v>8</v>
      </c>
      <c r="B115" s="461"/>
      <c r="C115" s="461"/>
      <c r="D115" s="461"/>
      <c r="E115" s="461"/>
      <c r="F115" s="461"/>
      <c r="G115" s="461"/>
      <c r="H115" s="461"/>
      <c r="I115" s="97">
        <f>SUM(I113,I112,I110,I100,I99,I93,I85,I84,I80,I79,I78,I77,I76,I74,I73,I72,I71,I70,I68,I59,I45)</f>
        <v>1073739.5499999998</v>
      </c>
      <c r="N115" s="29"/>
      <c r="O115" s="29"/>
      <c r="P115" s="29"/>
      <c r="Q115" s="29"/>
      <c r="R115" s="29"/>
      <c r="S115" s="29"/>
      <c r="T115" s="29"/>
      <c r="U115" s="160"/>
    </row>
    <row r="116" spans="1:21" x14ac:dyDescent="0.25">
      <c r="A116" s="27"/>
      <c r="B116" s="27"/>
      <c r="C116" s="27"/>
      <c r="D116" s="27"/>
      <c r="E116" s="27"/>
      <c r="F116" s="27"/>
      <c r="G116" s="27"/>
      <c r="H116" s="27"/>
      <c r="I116" s="104"/>
      <c r="N116" s="29"/>
      <c r="O116" s="29"/>
      <c r="P116" s="29"/>
      <c r="Q116" s="29"/>
      <c r="R116" s="29"/>
      <c r="S116" s="29"/>
      <c r="T116" s="29"/>
      <c r="U116" s="160"/>
    </row>
    <row r="117" spans="1:21" x14ac:dyDescent="0.25">
      <c r="A117" s="432" t="s">
        <v>467</v>
      </c>
      <c r="B117" s="27"/>
      <c r="C117" s="27"/>
      <c r="D117" s="27"/>
      <c r="E117" s="27"/>
      <c r="F117" s="27"/>
      <c r="G117" s="27"/>
      <c r="H117" s="27"/>
      <c r="I117" s="104">
        <f>I115-I84</f>
        <v>1041750.3099999998</v>
      </c>
      <c r="N117" s="29"/>
      <c r="O117" s="29"/>
      <c r="P117" s="29"/>
      <c r="Q117" s="29"/>
      <c r="R117" s="29"/>
      <c r="S117" s="29"/>
      <c r="T117" s="29"/>
      <c r="U117" s="160"/>
    </row>
    <row r="118" spans="1:21" x14ac:dyDescent="0.25">
      <c r="A118" s="27"/>
      <c r="B118" s="27"/>
      <c r="C118" s="27"/>
      <c r="D118" s="27"/>
      <c r="E118" s="27"/>
      <c r="F118" s="27"/>
      <c r="G118" s="27"/>
      <c r="H118" s="27"/>
      <c r="I118" s="104"/>
      <c r="N118" s="29"/>
      <c r="O118" s="29"/>
      <c r="P118" s="29"/>
      <c r="Q118" s="29"/>
      <c r="R118" s="29"/>
      <c r="S118" s="29"/>
      <c r="T118" s="29"/>
      <c r="U118" s="160"/>
    </row>
    <row r="119" spans="1:21" x14ac:dyDescent="0.25">
      <c r="A119" s="463" t="s">
        <v>468</v>
      </c>
      <c r="B119" s="453"/>
      <c r="C119" s="453"/>
      <c r="D119" s="453"/>
      <c r="E119" s="453"/>
      <c r="F119" s="453"/>
      <c r="G119" s="453"/>
      <c r="H119" s="84" t="s">
        <v>394</v>
      </c>
      <c r="I119" s="156"/>
      <c r="N119" s="481"/>
      <c r="O119" s="481"/>
      <c r="P119" s="481"/>
      <c r="Q119" s="481"/>
      <c r="R119" s="481"/>
      <c r="S119" s="481"/>
      <c r="T119" s="481"/>
      <c r="U119" s="481"/>
    </row>
    <row r="120" spans="1:21" x14ac:dyDescent="0.25">
      <c r="A120" s="453" t="s">
        <v>95</v>
      </c>
      <c r="B120" s="453"/>
      <c r="C120" s="453"/>
      <c r="D120" s="453"/>
      <c r="E120" s="453"/>
      <c r="F120" s="453"/>
      <c r="G120" s="453"/>
      <c r="H120" s="73" t="str">
        <f>IF(E29=0,"",IF((E14+E16+SUM(E18:E24))/E29&gt;0.75,1,""))</f>
        <v/>
      </c>
      <c r="I120" s="125">
        <f>U114</f>
        <v>0</v>
      </c>
      <c r="N120" s="476" t="s">
        <v>7</v>
      </c>
      <c r="O120" s="476"/>
      <c r="P120" s="476"/>
      <c r="Q120" s="476"/>
      <c r="R120" s="476"/>
      <c r="S120" s="476"/>
      <c r="T120" s="476"/>
      <c r="U120" s="476"/>
    </row>
    <row r="121" spans="1:21" x14ac:dyDescent="0.25">
      <c r="B121" s="72"/>
      <c r="C121" s="72"/>
      <c r="D121" s="72"/>
      <c r="E121" s="72"/>
      <c r="F121" s="72"/>
      <c r="G121" s="72"/>
      <c r="H121" s="68"/>
      <c r="I121" s="104"/>
      <c r="N121" s="74" t="s">
        <v>106</v>
      </c>
      <c r="O121" s="74"/>
      <c r="P121" s="74"/>
      <c r="Q121" s="74"/>
      <c r="R121" s="74"/>
      <c r="S121" s="74"/>
      <c r="T121" s="74"/>
      <c r="U121" s="74"/>
    </row>
    <row r="122" spans="1:21" x14ac:dyDescent="0.25">
      <c r="A122" s="3" t="s">
        <v>102</v>
      </c>
      <c r="B122" s="72"/>
      <c r="C122" s="72"/>
      <c r="D122" s="72"/>
      <c r="E122" s="72"/>
      <c r="F122" s="72"/>
      <c r="G122" s="286"/>
      <c r="H122" s="161">
        <f>IF(H120=1,I120,I117)</f>
        <v>1041750.3099999998</v>
      </c>
      <c r="I122" s="97">
        <f>ROUND(IF(E29=0,0,IF(E29&gt;250,-(((250/E29)*H122)*IF(G122="H",0.02,0.05)),IF(G122="H",-0.02*H122,-0.05*H122))),2)</f>
        <v>-52087.519999999997</v>
      </c>
      <c r="N122" s="75" t="s">
        <v>107</v>
      </c>
      <c r="O122" s="74"/>
      <c r="P122" s="74"/>
      <c r="Q122" s="74"/>
      <c r="R122" s="74"/>
      <c r="S122" s="74"/>
      <c r="T122" s="74"/>
      <c r="U122" s="74"/>
    </row>
    <row r="123" spans="1:21" x14ac:dyDescent="0.25">
      <c r="B123" s="72"/>
      <c r="C123" s="72"/>
      <c r="D123" s="72"/>
      <c r="E123" s="72"/>
      <c r="F123" s="72"/>
      <c r="G123" s="72"/>
      <c r="H123" s="68"/>
      <c r="I123" s="104"/>
      <c r="N123" s="76"/>
      <c r="O123" s="76"/>
      <c r="P123" s="76"/>
      <c r="Q123" s="76"/>
      <c r="R123" s="76"/>
      <c r="S123" s="76"/>
      <c r="T123" s="76"/>
      <c r="U123" s="76"/>
    </row>
    <row r="124" spans="1:21" x14ac:dyDescent="0.25">
      <c r="A124" s="345" t="s">
        <v>103</v>
      </c>
      <c r="B124" s="346"/>
      <c r="C124" s="346"/>
      <c r="D124" s="346"/>
      <c r="E124" s="346"/>
      <c r="F124" s="346"/>
      <c r="G124" s="346"/>
      <c r="H124" s="347"/>
      <c r="I124" s="348">
        <f>I115+I122</f>
        <v>1021652.0299999998</v>
      </c>
      <c r="N124" s="76"/>
      <c r="O124" s="76"/>
      <c r="P124" s="76"/>
      <c r="Q124" s="76"/>
      <c r="R124" s="76"/>
      <c r="S124" s="76"/>
      <c r="T124" s="76"/>
      <c r="U124" s="76"/>
    </row>
    <row r="125" spans="1:21" x14ac:dyDescent="0.25">
      <c r="B125" s="72"/>
      <c r="C125" s="72"/>
      <c r="D125" s="72"/>
      <c r="E125" s="72"/>
      <c r="F125" s="72"/>
      <c r="G125" s="72"/>
      <c r="H125" s="68"/>
      <c r="I125" s="104"/>
      <c r="N125" s="76"/>
      <c r="O125" s="76"/>
      <c r="P125" s="76"/>
      <c r="Q125" s="76"/>
      <c r="R125" s="76"/>
      <c r="S125" s="76"/>
      <c r="T125" s="76"/>
      <c r="U125" s="76"/>
    </row>
    <row r="126" spans="1:21" x14ac:dyDescent="0.25">
      <c r="A126" s="3" t="s">
        <v>104</v>
      </c>
      <c r="B126" s="72"/>
      <c r="C126" s="162"/>
      <c r="D126" s="72"/>
      <c r="F126" s="72"/>
      <c r="G126" s="72"/>
      <c r="H126" s="68"/>
      <c r="I126" s="302">
        <v>-749317.29</v>
      </c>
      <c r="N126" s="76"/>
      <c r="O126" s="76"/>
      <c r="P126" s="76"/>
      <c r="Q126" s="76"/>
      <c r="R126" s="76"/>
      <c r="S126" s="76"/>
      <c r="T126" s="76"/>
      <c r="U126" s="76"/>
    </row>
    <row r="127" spans="1:21" x14ac:dyDescent="0.25">
      <c r="B127" s="72"/>
      <c r="C127" s="72"/>
      <c r="D127" s="72"/>
      <c r="E127" s="72"/>
      <c r="F127" s="72"/>
      <c r="G127" s="72"/>
      <c r="H127" s="68"/>
      <c r="I127" s="104"/>
      <c r="N127" s="76"/>
      <c r="O127" s="76"/>
      <c r="P127" s="76"/>
      <c r="Q127" s="76"/>
      <c r="R127" s="76"/>
      <c r="S127" s="76"/>
      <c r="T127" s="76"/>
      <c r="U127" s="76"/>
    </row>
    <row r="128" spans="1:21" x14ac:dyDescent="0.25">
      <c r="A128" s="84" t="s">
        <v>297</v>
      </c>
      <c r="B128" s="72"/>
      <c r="C128" s="72"/>
      <c r="D128" s="72"/>
      <c r="E128" s="72"/>
      <c r="F128" s="72"/>
      <c r="G128" s="72"/>
      <c r="H128" s="68"/>
      <c r="I128" s="104">
        <f>I124+I126</f>
        <v>272334.73999999976</v>
      </c>
      <c r="N128" s="76"/>
      <c r="O128" s="76"/>
      <c r="P128" s="76"/>
      <c r="Q128" s="76"/>
      <c r="R128" s="76"/>
      <c r="S128" s="76"/>
      <c r="T128" s="76"/>
      <c r="U128" s="76"/>
    </row>
    <row r="129" spans="1:21" x14ac:dyDescent="0.25">
      <c r="A129" s="84"/>
      <c r="B129" s="72"/>
      <c r="C129" s="72"/>
      <c r="D129" s="72"/>
      <c r="E129" s="72"/>
      <c r="F129" s="72"/>
      <c r="G129" s="72"/>
      <c r="H129" s="68"/>
      <c r="I129" s="104"/>
      <c r="N129" s="76"/>
      <c r="O129" s="76"/>
      <c r="P129" s="76"/>
      <c r="Q129" s="76"/>
      <c r="R129" s="76"/>
      <c r="S129" s="76"/>
      <c r="T129" s="76"/>
      <c r="U129" s="76"/>
    </row>
    <row r="130" spans="1:21" x14ac:dyDescent="0.25">
      <c r="A130" s="84" t="s">
        <v>298</v>
      </c>
      <c r="B130" s="72"/>
      <c r="C130" s="72"/>
      <c r="D130" s="72"/>
      <c r="E130" s="72"/>
      <c r="F130" s="72"/>
      <c r="G130" s="72"/>
      <c r="H130" s="68"/>
      <c r="I130" s="303">
        <f>'0664'!I130</f>
        <v>3</v>
      </c>
      <c r="N130" s="76"/>
      <c r="O130" s="76"/>
      <c r="P130" s="76"/>
      <c r="Q130" s="76"/>
      <c r="R130" s="76"/>
      <c r="S130" s="76"/>
      <c r="T130" s="76"/>
      <c r="U130" s="76"/>
    </row>
    <row r="131" spans="1:21" x14ac:dyDescent="0.25">
      <c r="B131" s="72"/>
      <c r="C131" s="72"/>
      <c r="D131" s="72"/>
      <c r="E131" s="72"/>
      <c r="F131" s="72"/>
      <c r="G131" s="72"/>
      <c r="H131" s="68"/>
      <c r="I131" s="104"/>
      <c r="N131" s="76"/>
      <c r="O131" s="76"/>
      <c r="P131" s="76"/>
      <c r="Q131" s="76"/>
      <c r="R131" s="76"/>
      <c r="S131" s="76"/>
      <c r="T131" s="76"/>
      <c r="U131" s="76"/>
    </row>
    <row r="132" spans="1:21" ht="16.5" thickBot="1" x14ac:dyDescent="0.3">
      <c r="A132" s="3" t="s">
        <v>105</v>
      </c>
      <c r="B132" s="72"/>
      <c r="C132" s="72"/>
      <c r="D132" s="72"/>
      <c r="E132" s="72"/>
      <c r="F132" s="72"/>
      <c r="G132" s="72"/>
      <c r="H132" s="68"/>
      <c r="I132" s="178">
        <f>ROUND(I128/I130,2)</f>
        <v>90778.25</v>
      </c>
      <c r="N132" s="76"/>
      <c r="O132" s="76"/>
      <c r="P132" s="76"/>
      <c r="Q132" s="76"/>
      <c r="R132" s="76"/>
      <c r="S132" s="76"/>
      <c r="T132" s="76"/>
      <c r="U132" s="76"/>
    </row>
    <row r="133" spans="1:21" ht="16.5" thickTop="1" x14ac:dyDescent="0.25">
      <c r="B133" s="72"/>
      <c r="C133" s="72"/>
      <c r="D133" s="72"/>
      <c r="E133" s="72"/>
      <c r="F133" s="72"/>
      <c r="G133" s="72"/>
      <c r="H133" s="68"/>
      <c r="I133" s="104"/>
      <c r="N133" s="76"/>
      <c r="O133" s="76"/>
      <c r="P133" s="76"/>
      <c r="Q133" s="76"/>
      <c r="R133" s="76"/>
      <c r="S133" s="76"/>
      <c r="T133" s="76"/>
      <c r="U133" s="76"/>
    </row>
    <row r="134" spans="1:21" ht="16.5" thickBot="1" x14ac:dyDescent="0.3">
      <c r="A134" s="3" t="s">
        <v>121</v>
      </c>
      <c r="B134" s="72"/>
      <c r="C134" s="72"/>
      <c r="D134" s="72"/>
      <c r="E134" s="72"/>
      <c r="F134" s="72"/>
      <c r="G134" s="72"/>
      <c r="H134" s="68"/>
      <c r="I134" s="155">
        <f>ROUND(IF(G122="H",(H122*0.02)+I122,(H122*0.05)+I122),2)</f>
        <v>0</v>
      </c>
      <c r="N134" s="76"/>
      <c r="O134" s="76"/>
      <c r="P134" s="76"/>
      <c r="Q134" s="76"/>
      <c r="R134" s="76"/>
      <c r="S134" s="76"/>
      <c r="T134" s="76"/>
      <c r="U134" s="76"/>
    </row>
    <row r="135" spans="1:21" ht="16.5" thickTop="1" x14ac:dyDescent="0.25">
      <c r="B135" s="72"/>
      <c r="C135" s="72"/>
      <c r="D135" s="72"/>
      <c r="E135" s="72"/>
      <c r="F135" s="72"/>
      <c r="G135" s="72"/>
      <c r="H135" s="68"/>
      <c r="I135" s="156"/>
      <c r="N135" s="76"/>
      <c r="O135" s="76"/>
      <c r="P135" s="76"/>
      <c r="Q135" s="76"/>
      <c r="R135" s="76"/>
      <c r="S135" s="76"/>
      <c r="T135" s="76"/>
      <c r="U135" s="76"/>
    </row>
    <row r="136" spans="1:21" x14ac:dyDescent="0.25">
      <c r="B136" s="72"/>
      <c r="C136" s="72"/>
      <c r="D136" s="72"/>
      <c r="E136" s="72"/>
      <c r="F136" s="72"/>
      <c r="G136" s="72"/>
      <c r="H136" s="68"/>
      <c r="I136" s="104"/>
      <c r="N136" s="76"/>
      <c r="O136" s="76"/>
      <c r="P136" s="76"/>
      <c r="Q136" s="76"/>
      <c r="R136" s="76"/>
      <c r="S136" s="76"/>
      <c r="T136" s="76"/>
      <c r="U136" s="76"/>
    </row>
    <row r="137" spans="1:21" x14ac:dyDescent="0.25">
      <c r="B137" s="72"/>
      <c r="C137" s="72"/>
      <c r="D137" s="72"/>
      <c r="E137" s="72"/>
      <c r="F137" s="72"/>
      <c r="G137" s="72"/>
      <c r="H137" s="68"/>
      <c r="I137" s="156"/>
      <c r="N137" s="76"/>
      <c r="O137" s="76"/>
      <c r="P137" s="76"/>
      <c r="Q137" s="76"/>
      <c r="R137" s="76"/>
      <c r="S137" s="76"/>
      <c r="T137" s="76"/>
      <c r="U137" s="76"/>
    </row>
    <row r="138" spans="1:21" x14ac:dyDescent="0.25">
      <c r="A138" s="281" t="s">
        <v>7</v>
      </c>
      <c r="B138" s="281"/>
      <c r="C138" s="281"/>
      <c r="D138" s="281"/>
      <c r="E138" s="281"/>
      <c r="F138" s="281"/>
      <c r="G138" s="281"/>
      <c r="H138" s="281"/>
      <c r="I138" s="281"/>
      <c r="J138" s="156"/>
      <c r="N138" s="76"/>
      <c r="O138" s="76"/>
      <c r="P138" s="76"/>
      <c r="Q138" s="76"/>
      <c r="R138" s="76"/>
      <c r="S138" s="76"/>
      <c r="T138" s="76"/>
      <c r="U138" s="76"/>
    </row>
    <row r="139" spans="1:21" ht="15.75" customHeight="1" x14ac:dyDescent="0.25">
      <c r="A139" s="356" t="str">
        <f>'0664'!A139</f>
        <v>(a) Additional FTE includes FTE earned through Advanced Placement, International Baccalaureate, Advanced International Certificate of Education, Industry Certified Career</v>
      </c>
      <c r="B139" s="357"/>
      <c r="C139" s="357"/>
      <c r="D139" s="357"/>
      <c r="E139" s="357"/>
      <c r="F139" s="357"/>
      <c r="G139" s="357"/>
      <c r="H139" s="357"/>
      <c r="I139" s="357"/>
      <c r="J139" s="80"/>
      <c r="K139" s="79"/>
      <c r="L139" s="79"/>
      <c r="M139" s="79"/>
      <c r="N139" s="477"/>
      <c r="O139" s="477"/>
      <c r="P139" s="477"/>
      <c r="Q139" s="477"/>
      <c r="R139" s="477"/>
      <c r="S139" s="477"/>
      <c r="T139" s="477"/>
      <c r="U139" s="477"/>
    </row>
    <row r="140" spans="1:21" ht="15.75" customHeight="1" x14ac:dyDescent="0.25">
      <c r="A140" s="390" t="str">
        <f>'0664'!A140</f>
        <v xml:space="preserve">Education (CAPE), Early High School Graduation and the small district ESE Supplement, pursuant to s. 1011.62(1)(l-p), F.S. </v>
      </c>
      <c r="B140" s="357"/>
      <c r="C140" s="357"/>
      <c r="D140" s="357"/>
      <c r="E140" s="357"/>
      <c r="F140" s="357"/>
      <c r="G140" s="357"/>
      <c r="H140" s="357"/>
      <c r="I140" s="357"/>
      <c r="J140" s="80"/>
      <c r="K140" s="79"/>
      <c r="L140" s="79"/>
      <c r="M140" s="79"/>
      <c r="N140" s="76"/>
      <c r="O140" s="76"/>
      <c r="P140" s="76"/>
      <c r="Q140" s="76"/>
      <c r="R140" s="76"/>
      <c r="S140" s="76"/>
      <c r="T140" s="76"/>
      <c r="U140" s="76"/>
    </row>
    <row r="141" spans="1:21" x14ac:dyDescent="0.25">
      <c r="A141" s="356" t="str">
        <f>'0664'!A141</f>
        <v>(b) District allocations multiplied by percentage from item 3A.</v>
      </c>
      <c r="B141" s="281"/>
      <c r="C141" s="281"/>
      <c r="D141" s="281"/>
      <c r="E141" s="281"/>
      <c r="F141" s="281"/>
      <c r="G141" s="281"/>
      <c r="H141" s="281"/>
      <c r="I141" s="281"/>
      <c r="J141" s="79"/>
      <c r="K141" s="79"/>
      <c r="L141" s="79"/>
      <c r="M141" s="79"/>
      <c r="N141" s="81"/>
      <c r="O141" s="82"/>
      <c r="P141" s="82"/>
      <c r="Q141" s="82"/>
      <c r="R141" s="82"/>
      <c r="S141" s="82"/>
      <c r="T141" s="82"/>
      <c r="U141" s="82"/>
    </row>
    <row r="142" spans="1:21" s="79" customFormat="1" x14ac:dyDescent="0.2">
      <c r="A142" s="356" t="str">
        <f>'0664'!A142</f>
        <v>(c) District allocations multiplied by percentage from item 3B.</v>
      </c>
      <c r="B142" s="281"/>
      <c r="C142" s="281"/>
      <c r="D142" s="281"/>
      <c r="E142" s="281"/>
      <c r="F142" s="281"/>
      <c r="G142" s="281"/>
      <c r="H142" s="281"/>
      <c r="I142" s="281"/>
      <c r="N142" s="81"/>
    </row>
    <row r="143" spans="1:21" s="79" customFormat="1" ht="15.75" customHeight="1" x14ac:dyDescent="0.2">
      <c r="A143" s="356" t="str">
        <f>'0664'!A143</f>
        <v>(d) The Digital Classroom Allocation is provided pursuant to s. 1011.62(12), F.S.</v>
      </c>
      <c r="B143" s="281"/>
      <c r="C143" s="281"/>
      <c r="D143" s="281"/>
      <c r="E143" s="281"/>
      <c r="F143" s="281"/>
      <c r="G143" s="281"/>
      <c r="H143" s="281"/>
      <c r="I143" s="281"/>
      <c r="N143" s="81"/>
    </row>
    <row r="144" spans="1:21" s="79" customFormat="1" ht="15.75" customHeight="1" x14ac:dyDescent="0.2">
      <c r="A144" s="356" t="str">
        <f>'0664'!A144</f>
        <v>(e) School districts are required to pay for instructional materials used for the instruction of public high school students who are earning credit toward high school</v>
      </c>
      <c r="B144" s="281"/>
      <c r="C144" s="281"/>
      <c r="D144" s="281"/>
      <c r="E144" s="281"/>
      <c r="F144" s="281"/>
      <c r="G144" s="281"/>
      <c r="H144" s="281"/>
      <c r="I144" s="281"/>
      <c r="N144" s="81"/>
    </row>
    <row r="145" spans="1:14" s="79" customFormat="1" ht="15.75" customHeight="1" x14ac:dyDescent="0.2">
      <c r="A145" s="390" t="str">
        <f>'0664'!A145</f>
        <v xml:space="preserve">graduation under the dual enrollment program as provided in s. 1011.62(l)(i), F.S.  </v>
      </c>
      <c r="B145" s="281"/>
      <c r="C145" s="281"/>
      <c r="D145" s="281"/>
      <c r="E145" s="281"/>
      <c r="F145" s="281"/>
      <c r="G145" s="281"/>
      <c r="H145" s="281"/>
      <c r="I145" s="281"/>
      <c r="N145" s="81"/>
    </row>
    <row r="146" spans="1:14" s="79" customFormat="1" x14ac:dyDescent="0.2">
      <c r="A146" s="356" t="str">
        <f>'0664'!A146</f>
        <v>(f) This allocation will be frozen as of the 2021-22 FEFP Second Calculation and will not be recalculated throughout the year. Charter school allocations should be</v>
      </c>
      <c r="B146" s="281"/>
      <c r="C146" s="281"/>
      <c r="D146" s="281"/>
      <c r="E146" s="281"/>
      <c r="F146" s="281"/>
      <c r="G146" s="281"/>
      <c r="H146" s="281"/>
      <c r="I146" s="281"/>
      <c r="N146" s="81"/>
    </row>
    <row r="147" spans="1:14" s="79" customFormat="1" x14ac:dyDescent="0.2">
      <c r="A147" s="358" t="str">
        <f>'0664'!A147</f>
        <v xml:space="preserve">distributed on weighted FTE (or base funding as is done in the FEFP) and should not be recalculated with fluctuations in student enrollment later in the year. </v>
      </c>
      <c r="B147" s="281"/>
      <c r="C147" s="281"/>
      <c r="D147" s="281"/>
      <c r="E147" s="281"/>
      <c r="F147" s="281"/>
      <c r="G147" s="281"/>
      <c r="H147" s="281"/>
      <c r="I147" s="281"/>
      <c r="N147" s="81"/>
    </row>
    <row r="148" spans="1:14" s="79" customFormat="1" x14ac:dyDescent="0.2">
      <c r="A148" s="356" t="str">
        <f>'0664'!A148</f>
        <v>(g) Numbers entered here will be multiplied by the district level transportation funding per rider. "All Adjusted Fundable Riders" should include both basic and ESE Riders.</v>
      </c>
      <c r="B148" s="281"/>
      <c r="C148" s="281"/>
      <c r="D148" s="281"/>
      <c r="E148" s="281"/>
      <c r="F148" s="281"/>
      <c r="G148" s="281"/>
      <c r="H148" s="281"/>
      <c r="I148" s="281"/>
      <c r="N148" s="81"/>
    </row>
    <row r="149" spans="1:14" s="79" customFormat="1" x14ac:dyDescent="0.2">
      <c r="A149" s="390" t="str">
        <f>'0664'!A149</f>
        <v>"All Adjusted ESE Riders" should include only ESE Riders.</v>
      </c>
      <c r="B149" s="281"/>
      <c r="C149" s="281"/>
      <c r="D149" s="281"/>
      <c r="E149" s="281"/>
      <c r="F149" s="281"/>
      <c r="G149" s="281"/>
      <c r="H149" s="281"/>
      <c r="I149" s="281"/>
      <c r="N149" s="81"/>
    </row>
    <row r="150" spans="1:14" s="79" customFormat="1" x14ac:dyDescent="0.2">
      <c r="A150" s="356" t="str">
        <f>'0664'!A150</f>
        <v xml:space="preserve">(h) The Federally Connected Student Supplement provides additional funding for students on federal lands that receive Section 8003 impact aide pursuant to s. 1011.62(13), F.S. </v>
      </c>
      <c r="B150" s="281"/>
      <c r="C150" s="281"/>
      <c r="D150" s="281"/>
      <c r="E150" s="281"/>
      <c r="F150" s="281"/>
      <c r="G150" s="281"/>
      <c r="H150" s="281"/>
      <c r="I150" s="281"/>
      <c r="N150" s="81"/>
    </row>
    <row r="151" spans="1:14" s="79" customFormat="1" x14ac:dyDescent="0.2">
      <c r="A151" s="356" t="str">
        <f>'0664'!A151</f>
        <v>(i) Teacher Classroom Supply Assistance Program allocation pursuant to s. 1012.71, F.S., for certified teachers employed by a public school district or public charter school</v>
      </c>
      <c r="B151" s="281"/>
      <c r="C151" s="281"/>
      <c r="D151" s="281"/>
      <c r="E151" s="281"/>
      <c r="F151" s="281"/>
      <c r="G151" s="281"/>
      <c r="H151" s="281"/>
      <c r="I151" s="281"/>
      <c r="N151" s="81"/>
    </row>
    <row r="152" spans="1:14" s="79" customFormat="1" x14ac:dyDescent="0.2">
      <c r="A152" s="358" t="str">
        <f>'0664'!A152</f>
        <v xml:space="preserve">before September 1 of each year whose full-time or job-share responsibility is the classroom instruction of students in prekindergarten through grade 12, including </v>
      </c>
      <c r="B152" s="281"/>
      <c r="C152" s="281"/>
      <c r="D152" s="281"/>
      <c r="E152" s="281"/>
      <c r="F152" s="281"/>
      <c r="G152" s="281"/>
      <c r="H152" s="281"/>
      <c r="I152" s="281"/>
      <c r="N152" s="81"/>
    </row>
    <row r="153" spans="1:14" s="79" customFormat="1" ht="15.75" customHeight="1" x14ac:dyDescent="0.2">
      <c r="A153" s="358" t="str">
        <f>'0664'!A153</f>
        <v>full-time media specialists and certified school counselors serving students in prekindergarten through grade 12, who are funded through the FEFP.</v>
      </c>
      <c r="B153" s="281"/>
      <c r="C153" s="281"/>
      <c r="D153" s="281"/>
      <c r="E153" s="281"/>
      <c r="F153" s="281"/>
      <c r="G153" s="281"/>
      <c r="H153" s="281"/>
      <c r="I153" s="281"/>
      <c r="N153" s="81"/>
    </row>
    <row r="154" spans="1:14" s="79" customFormat="1" ht="15.75" customHeight="1" x14ac:dyDescent="0.2">
      <c r="A154" s="356" t="str">
        <f>'0664'!A154</f>
        <v xml:space="preserve">(j) Funding based on student eligibility and meals provided, if participating in the National School Lunch Program. </v>
      </c>
      <c r="B154" s="328"/>
      <c r="C154" s="328"/>
      <c r="D154" s="328"/>
      <c r="E154" s="328"/>
      <c r="F154" s="328"/>
      <c r="G154" s="328"/>
      <c r="H154" s="328"/>
      <c r="I154" s="328"/>
      <c r="N154" s="81"/>
    </row>
    <row r="155" spans="1:14" s="79" customFormat="1" ht="15.75" customHeight="1" x14ac:dyDescent="0.2">
      <c r="A155" s="356" t="str">
        <f>'0664'!A155</f>
        <v>(k) Consistent with s. 1002.33(20)(a), F.S., for charter schools with a population of 75% or more ESE students, the administrative fee shall be calculated based on</v>
      </c>
      <c r="B155" s="381"/>
      <c r="C155" s="381"/>
      <c r="D155" s="381"/>
      <c r="E155" s="381"/>
      <c r="F155" s="381"/>
      <c r="G155" s="381"/>
      <c r="H155" s="381"/>
      <c r="I155" s="381"/>
      <c r="N155" s="81"/>
    </row>
    <row r="156" spans="1:14" s="79" customFormat="1" ht="15.75" customHeight="1" x14ac:dyDescent="0.2">
      <c r="A156" s="390" t="str">
        <f>'0664'!A156</f>
        <v xml:space="preserve">unweighted full-time equivalent students. </v>
      </c>
      <c r="B156" s="381"/>
      <c r="C156" s="381"/>
      <c r="D156" s="381"/>
      <c r="E156" s="381"/>
      <c r="F156" s="381"/>
      <c r="G156" s="381"/>
      <c r="H156" s="381"/>
      <c r="I156" s="381"/>
      <c r="N156" s="81"/>
    </row>
    <row r="157" spans="1:14" s="79" customFormat="1" ht="15.75" customHeight="1" x14ac:dyDescent="0.2">
      <c r="A157" s="356"/>
      <c r="B157" s="381"/>
      <c r="C157" s="381"/>
      <c r="D157" s="381"/>
      <c r="E157" s="381"/>
      <c r="F157" s="381"/>
      <c r="G157" s="381"/>
      <c r="H157" s="381"/>
      <c r="I157" s="381"/>
      <c r="N157" s="81"/>
    </row>
    <row r="158" spans="1:14" s="79" customFormat="1" ht="15.75" customHeight="1" x14ac:dyDescent="0.25">
      <c r="A158" s="398" t="str">
        <f>'0664'!A158</f>
        <v>Administrative fees:</v>
      </c>
      <c r="B158" s="328"/>
      <c r="C158" s="328"/>
      <c r="D158" s="328"/>
      <c r="E158" s="328"/>
      <c r="F158" s="328"/>
      <c r="G158" s="328"/>
      <c r="H158" s="328"/>
      <c r="I158" s="328"/>
      <c r="J158" s="3"/>
      <c r="K158" s="3"/>
      <c r="L158" s="3"/>
      <c r="M158" s="3"/>
      <c r="N158" s="81"/>
    </row>
    <row r="159" spans="1:14" s="79" customFormat="1" ht="15.75" customHeight="1" x14ac:dyDescent="0.25">
      <c r="A159" s="399" t="str">
        <f>'0664'!A159</f>
        <v xml:space="preserve">Administrative fees charged by the school district pursuant to s. 1002.33(20)(a), F.S., shall be calculated based upon 5% of available funds from the FEFP and categorical </v>
      </c>
      <c r="B159" s="328"/>
      <c r="C159" s="328"/>
      <c r="D159" s="328"/>
      <c r="E159" s="328"/>
      <c r="F159" s="328"/>
      <c r="G159" s="328"/>
      <c r="H159" s="328"/>
      <c r="I159" s="328"/>
      <c r="J159" s="3"/>
      <c r="K159" s="3"/>
      <c r="L159" s="3"/>
      <c r="M159" s="3"/>
      <c r="N159" s="81"/>
    </row>
    <row r="160" spans="1:14" s="79" customFormat="1" ht="15.75" customHeight="1" x14ac:dyDescent="0.25">
      <c r="A160" s="400" t="str">
        <f>'0664'!A160</f>
        <v>funding for which charter students may be eligible.  To calculate the administrative fee to be withheld for schools with more than 250 students, divide the school</v>
      </c>
      <c r="B160" s="328"/>
      <c r="C160" s="328"/>
      <c r="D160" s="328"/>
      <c r="E160" s="328"/>
      <c r="F160" s="328"/>
      <c r="G160" s="328"/>
      <c r="H160" s="328"/>
      <c r="I160" s="328"/>
      <c r="J160" s="3"/>
      <c r="K160" s="3"/>
      <c r="L160" s="3"/>
      <c r="M160" s="3"/>
      <c r="N160" s="81"/>
    </row>
    <row r="161" spans="1:21" s="79" customFormat="1" ht="15.75" customHeight="1" x14ac:dyDescent="0.25">
      <c r="A161" s="400" t="str">
        <f>'0664'!A161</f>
        <v xml:space="preserve">population into 250. Multiply that fraction times the funds available, then times 5%.  </v>
      </c>
      <c r="B161" s="328"/>
      <c r="C161" s="328"/>
      <c r="D161" s="328"/>
      <c r="E161" s="328"/>
      <c r="F161" s="328"/>
      <c r="G161" s="328"/>
      <c r="H161" s="328"/>
      <c r="I161" s="328"/>
      <c r="J161" s="3"/>
      <c r="K161" s="3"/>
      <c r="L161" s="3"/>
      <c r="M161" s="3"/>
      <c r="N161" s="81"/>
    </row>
    <row r="162" spans="1:21" s="79" customFormat="1" ht="15.75" customHeight="1" x14ac:dyDescent="0.25">
      <c r="A162" s="399"/>
      <c r="B162" s="394"/>
      <c r="C162" s="394"/>
      <c r="D162" s="394"/>
      <c r="E162" s="394"/>
      <c r="F162" s="394"/>
      <c r="G162" s="394"/>
      <c r="H162" s="394"/>
      <c r="I162" s="394"/>
      <c r="N162" s="77"/>
      <c r="O162" s="3"/>
      <c r="P162" s="3"/>
      <c r="Q162" s="3"/>
      <c r="R162" s="3"/>
      <c r="S162" s="3"/>
      <c r="T162" s="3"/>
      <c r="U162" s="3"/>
    </row>
    <row r="163" spans="1:21" ht="15.75" customHeight="1" x14ac:dyDescent="0.25">
      <c r="A163" s="399" t="str">
        <f>'0664'!A163</f>
        <v xml:space="preserve">For high performing charter schools, administrative fees charged by the school district shall be calculated based upon 2% of available funds from the FEFP and categorical </v>
      </c>
      <c r="B163" s="328"/>
      <c r="C163" s="328"/>
      <c r="D163" s="328"/>
      <c r="E163" s="328"/>
      <c r="F163" s="328"/>
      <c r="G163" s="328"/>
      <c r="H163" s="328"/>
      <c r="I163" s="328"/>
      <c r="J163" s="79"/>
      <c r="K163" s="79"/>
      <c r="L163" s="79"/>
      <c r="M163" s="79"/>
      <c r="N163" s="81"/>
      <c r="O163" s="79"/>
      <c r="P163" s="79"/>
      <c r="Q163" s="79"/>
      <c r="R163" s="79"/>
      <c r="S163" s="79"/>
      <c r="T163" s="79"/>
      <c r="U163" s="79"/>
    </row>
    <row r="164" spans="1:21" ht="15.75" customHeight="1" x14ac:dyDescent="0.25">
      <c r="A164" s="400" t="str">
        <f>'0664'!A164</f>
        <v>funding for which charter students may be eligible.  To calculate the administrative fee to be withheld for schools with more than 250 students, divide the school</v>
      </c>
      <c r="B164" s="381"/>
      <c r="C164" s="381"/>
      <c r="D164" s="381"/>
      <c r="E164" s="381"/>
      <c r="F164" s="381"/>
      <c r="G164" s="381"/>
      <c r="H164" s="381"/>
      <c r="I164" s="381"/>
      <c r="J164" s="79"/>
      <c r="K164" s="79"/>
      <c r="L164" s="79"/>
      <c r="M164" s="79"/>
      <c r="N164" s="81"/>
      <c r="O164" s="79"/>
      <c r="P164" s="79"/>
      <c r="Q164" s="79"/>
      <c r="R164" s="79"/>
      <c r="S164" s="79"/>
      <c r="T164" s="79"/>
      <c r="U164" s="79"/>
    </row>
    <row r="165" spans="1:21" s="79" customFormat="1" ht="15.75" customHeight="1" x14ac:dyDescent="0.2">
      <c r="A165" s="400" t="str">
        <f>'0664'!A165</f>
        <v xml:space="preserve">population into 250. Multiply that fraction times the funds available, then times 2%.  </v>
      </c>
      <c r="B165" s="328"/>
      <c r="C165" s="328"/>
      <c r="D165" s="328"/>
      <c r="E165" s="328"/>
      <c r="F165" s="328"/>
      <c r="G165" s="328"/>
      <c r="H165" s="328"/>
      <c r="I165" s="328"/>
      <c r="N165" s="81"/>
    </row>
    <row r="166" spans="1:21" x14ac:dyDescent="0.25">
      <c r="A166" s="356"/>
      <c r="N166" s="77"/>
    </row>
    <row r="167" spans="1:21" x14ac:dyDescent="0.25">
      <c r="A167" s="398" t="str">
        <f>'0664'!A167</f>
        <v>Other:</v>
      </c>
      <c r="N167" s="77"/>
    </row>
    <row r="168" spans="1:21" x14ac:dyDescent="0.25">
      <c r="A168" s="399" t="str">
        <f>'0664'!A168</f>
        <v>FEFP and categorical funding are recalculated during the year to reflect the revised number of full-time equivalent students reported during the survey periods designated</v>
      </c>
      <c r="N168" s="77"/>
    </row>
    <row r="169" spans="1:21" x14ac:dyDescent="0.25">
      <c r="A169" s="402" t="str">
        <f>'0664'!A169</f>
        <v>by the Commissioner of Education.</v>
      </c>
      <c r="N169" s="77"/>
    </row>
    <row r="170" spans="1:21" x14ac:dyDescent="0.25">
      <c r="A170" s="399" t="str">
        <f>'0664'!A170</f>
        <v>Revenues flow to districts from state sources and from county tax collectors on various distribution schedules.</v>
      </c>
      <c r="N170" s="77"/>
    </row>
    <row r="171" spans="1:21" x14ac:dyDescent="0.25">
      <c r="A171" s="77"/>
      <c r="N171" s="77"/>
    </row>
    <row r="172" spans="1:21" x14ac:dyDescent="0.25">
      <c r="A172" s="77"/>
      <c r="N172" s="77"/>
    </row>
    <row r="173" spans="1:21" x14ac:dyDescent="0.25">
      <c r="A173" s="77"/>
      <c r="N173" s="77"/>
    </row>
    <row r="174" spans="1:21" x14ac:dyDescent="0.25">
      <c r="A174" s="77"/>
      <c r="N174" s="77"/>
    </row>
    <row r="175" spans="1:21" x14ac:dyDescent="0.25">
      <c r="A175" s="77"/>
      <c r="N175" s="77"/>
    </row>
    <row r="176" spans="1:21" x14ac:dyDescent="0.25">
      <c r="A176" s="77"/>
      <c r="N176" s="77"/>
    </row>
    <row r="177" spans="1:14" x14ac:dyDescent="0.25">
      <c r="A177" s="77"/>
      <c r="N177" s="77"/>
    </row>
    <row r="178" spans="1:14" x14ac:dyDescent="0.25">
      <c r="A178" s="77"/>
      <c r="N178" s="77"/>
    </row>
    <row r="179" spans="1:14" x14ac:dyDescent="0.25">
      <c r="A179" s="77"/>
      <c r="N179" s="77"/>
    </row>
    <row r="180" spans="1:14" x14ac:dyDescent="0.25">
      <c r="A180" s="77"/>
      <c r="N180" s="77"/>
    </row>
    <row r="181" spans="1:14" x14ac:dyDescent="0.25">
      <c r="A181" s="77"/>
      <c r="N181" s="77"/>
    </row>
    <row r="182" spans="1:14" x14ac:dyDescent="0.25">
      <c r="A182" s="77"/>
      <c r="N182" s="77"/>
    </row>
    <row r="183" spans="1:14" x14ac:dyDescent="0.25">
      <c r="A183" s="77"/>
      <c r="N183" s="77"/>
    </row>
    <row r="184" spans="1:14" x14ac:dyDescent="0.25">
      <c r="A184" s="77"/>
      <c r="N184" s="77"/>
    </row>
    <row r="185" spans="1:14" x14ac:dyDescent="0.25">
      <c r="A185" s="77"/>
      <c r="N185" s="77"/>
    </row>
    <row r="186" spans="1:14" x14ac:dyDescent="0.25">
      <c r="A186" s="77"/>
      <c r="N186" s="77"/>
    </row>
    <row r="187" spans="1:14" x14ac:dyDescent="0.25">
      <c r="A187" s="77"/>
      <c r="N187" s="77"/>
    </row>
    <row r="188" spans="1:14" x14ac:dyDescent="0.25">
      <c r="A188" s="77"/>
    </row>
    <row r="189" spans="1:14" x14ac:dyDescent="0.25">
      <c r="A189" s="77"/>
    </row>
    <row r="190" spans="1:14" x14ac:dyDescent="0.25">
      <c r="A190" s="77"/>
    </row>
    <row r="191" spans="1:14" x14ac:dyDescent="0.25">
      <c r="A191" s="77"/>
    </row>
    <row r="192" spans="1:14" x14ac:dyDescent="0.25">
      <c r="A192" s="77"/>
    </row>
    <row r="193" spans="1:1" x14ac:dyDescent="0.25">
      <c r="A193" s="77"/>
    </row>
    <row r="194" spans="1:1" x14ac:dyDescent="0.25">
      <c r="A194" s="77"/>
    </row>
    <row r="195" spans="1:1" x14ac:dyDescent="0.25">
      <c r="A195" s="77"/>
    </row>
    <row r="196" spans="1:1" x14ac:dyDescent="0.25">
      <c r="A196" s="77"/>
    </row>
    <row r="197" spans="1:1" x14ac:dyDescent="0.25">
      <c r="A197" s="77"/>
    </row>
    <row r="198" spans="1:1" x14ac:dyDescent="0.25">
      <c r="A198" s="77"/>
    </row>
    <row r="199" spans="1:1" x14ac:dyDescent="0.25">
      <c r="A199" s="77"/>
    </row>
    <row r="200" spans="1:1" x14ac:dyDescent="0.25">
      <c r="A200" s="77"/>
    </row>
    <row r="201" spans="1:1" x14ac:dyDescent="0.25">
      <c r="A201" s="77"/>
    </row>
    <row r="202" spans="1:1" x14ac:dyDescent="0.25">
      <c r="A202" s="77"/>
    </row>
    <row r="203" spans="1:1" x14ac:dyDescent="0.25">
      <c r="A203" s="77"/>
    </row>
    <row r="204" spans="1:1" x14ac:dyDescent="0.25">
      <c r="A204" s="77"/>
    </row>
    <row r="205" spans="1:1" x14ac:dyDescent="0.25">
      <c r="A205" s="77"/>
    </row>
    <row r="206" spans="1:1" x14ac:dyDescent="0.25">
      <c r="A206" s="77"/>
    </row>
  </sheetData>
  <mergeCells count="266">
    <mergeCell ref="A112:C112"/>
    <mergeCell ref="F112:H112"/>
    <mergeCell ref="N112:P112"/>
    <mergeCell ref="A109:B109"/>
    <mergeCell ref="F109:G109"/>
    <mergeCell ref="N109:O109"/>
    <mergeCell ref="P109:Q109"/>
    <mergeCell ref="N139:U139"/>
    <mergeCell ref="N119:U119"/>
    <mergeCell ref="N113:P113"/>
    <mergeCell ref="A113:C113"/>
    <mergeCell ref="F113:H113"/>
    <mergeCell ref="N114:T114"/>
    <mergeCell ref="A115:H115"/>
    <mergeCell ref="A119:G119"/>
    <mergeCell ref="N120:U120"/>
    <mergeCell ref="A120:G120"/>
    <mergeCell ref="R109:S109"/>
    <mergeCell ref="A110:B110"/>
    <mergeCell ref="N110:O110"/>
    <mergeCell ref="A107:B107"/>
    <mergeCell ref="F107:G107"/>
    <mergeCell ref="N107:O107"/>
    <mergeCell ref="P107:Q107"/>
    <mergeCell ref="R107:S107"/>
    <mergeCell ref="A108:B108"/>
    <mergeCell ref="F108:G108"/>
    <mergeCell ref="N108:O108"/>
    <mergeCell ref="P108:Q108"/>
    <mergeCell ref="R108:S108"/>
    <mergeCell ref="A103:C103"/>
    <mergeCell ref="F103:I103"/>
    <mergeCell ref="N103:U103"/>
    <mergeCell ref="C104:E104"/>
    <mergeCell ref="F105:G105"/>
    <mergeCell ref="A106:B106"/>
    <mergeCell ref="F106:G106"/>
    <mergeCell ref="N106:O106"/>
    <mergeCell ref="P106:Q106"/>
    <mergeCell ref="R106:S106"/>
    <mergeCell ref="A99:B99"/>
    <mergeCell ref="N99:O99"/>
    <mergeCell ref="P99:R99"/>
    <mergeCell ref="A100:B100"/>
    <mergeCell ref="N100:O100"/>
    <mergeCell ref="P100:R100"/>
    <mergeCell ref="C91:D91"/>
    <mergeCell ref="P91:Q91"/>
    <mergeCell ref="C92:D92"/>
    <mergeCell ref="P92:Q92"/>
    <mergeCell ref="C93:D93"/>
    <mergeCell ref="P93:T93"/>
    <mergeCell ref="A94:I94"/>
    <mergeCell ref="N94:U94"/>
    <mergeCell ref="F96:I96"/>
    <mergeCell ref="N96:P96"/>
    <mergeCell ref="Q96:T96"/>
    <mergeCell ref="A87:I87"/>
    <mergeCell ref="N87:U87"/>
    <mergeCell ref="C88:D88"/>
    <mergeCell ref="C89:D89"/>
    <mergeCell ref="N89:O89"/>
    <mergeCell ref="P89:Q89"/>
    <mergeCell ref="R89:U89"/>
    <mergeCell ref="C90:D90"/>
    <mergeCell ref="P90:Q90"/>
    <mergeCell ref="A80:C80"/>
    <mergeCell ref="N80:P80"/>
    <mergeCell ref="A85:C85"/>
    <mergeCell ref="N85:P85"/>
    <mergeCell ref="F73:H73"/>
    <mergeCell ref="N73:T73"/>
    <mergeCell ref="N74:T74"/>
    <mergeCell ref="A78:C78"/>
    <mergeCell ref="N78:P78"/>
    <mergeCell ref="A79:C79"/>
    <mergeCell ref="A69:C69"/>
    <mergeCell ref="N69:P69"/>
    <mergeCell ref="N79:P79"/>
    <mergeCell ref="A76:C76"/>
    <mergeCell ref="N76:P76"/>
    <mergeCell ref="A77:C77"/>
    <mergeCell ref="A70:C70"/>
    <mergeCell ref="A71:C71"/>
    <mergeCell ref="N71:P71"/>
    <mergeCell ref="A72:C72"/>
    <mergeCell ref="N77:P77"/>
    <mergeCell ref="N72:P72"/>
    <mergeCell ref="A65:B65"/>
    <mergeCell ref="D65:G65"/>
    <mergeCell ref="N65:O65"/>
    <mergeCell ref="Q65:S65"/>
    <mergeCell ref="T65:U65"/>
    <mergeCell ref="N66:S66"/>
    <mergeCell ref="T66:U66"/>
    <mergeCell ref="A68:C68"/>
    <mergeCell ref="N68:P68"/>
    <mergeCell ref="A62:B62"/>
    <mergeCell ref="D62:G62"/>
    <mergeCell ref="N62:O62"/>
    <mergeCell ref="Q62:S62"/>
    <mergeCell ref="T62:U62"/>
    <mergeCell ref="N63:S63"/>
    <mergeCell ref="T63:U63"/>
    <mergeCell ref="A64:I64"/>
    <mergeCell ref="N64:U64"/>
    <mergeCell ref="A59:B59"/>
    <mergeCell ref="F59:H59"/>
    <mergeCell ref="N59:O59"/>
    <mergeCell ref="P59:Q59"/>
    <mergeCell ref="R59:T59"/>
    <mergeCell ref="A60:I60"/>
    <mergeCell ref="N60:U60"/>
    <mergeCell ref="A61:I61"/>
    <mergeCell ref="N61:U61"/>
    <mergeCell ref="A50:B58"/>
    <mergeCell ref="N50:O58"/>
    <mergeCell ref="P50:Q50"/>
    <mergeCell ref="P51:Q51"/>
    <mergeCell ref="P52:Q52"/>
    <mergeCell ref="P53:Q53"/>
    <mergeCell ref="P54:Q54"/>
    <mergeCell ref="P55:Q55"/>
    <mergeCell ref="P56:Q56"/>
    <mergeCell ref="P57:Q57"/>
    <mergeCell ref="P58:Q58"/>
    <mergeCell ref="A42:B42"/>
    <mergeCell ref="N42:O42"/>
    <mergeCell ref="P42:T42"/>
    <mergeCell ref="N43:Q43"/>
    <mergeCell ref="S43:T43"/>
    <mergeCell ref="N45:Q45"/>
    <mergeCell ref="S45:T45"/>
    <mergeCell ref="N49:O49"/>
    <mergeCell ref="P49:Q49"/>
    <mergeCell ref="A39:B39"/>
    <mergeCell ref="N39:O39"/>
    <mergeCell ref="P39:T39"/>
    <mergeCell ref="A40:B40"/>
    <mergeCell ref="N40:O40"/>
    <mergeCell ref="P40:T40"/>
    <mergeCell ref="A41:B41"/>
    <mergeCell ref="N41:O41"/>
    <mergeCell ref="P41:T41"/>
    <mergeCell ref="N34:T34"/>
    <mergeCell ref="A36:B36"/>
    <mergeCell ref="N36:O36"/>
    <mergeCell ref="P36:T36"/>
    <mergeCell ref="A37:B37"/>
    <mergeCell ref="N37:O37"/>
    <mergeCell ref="P37:T37"/>
    <mergeCell ref="F33:H36"/>
    <mergeCell ref="A38:B38"/>
    <mergeCell ref="N38:O38"/>
    <mergeCell ref="P38:T38"/>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A20:B20"/>
    <mergeCell ref="F20:G20"/>
    <mergeCell ref="N20:O20"/>
    <mergeCell ref="P20:Q20"/>
    <mergeCell ref="R20:S20"/>
    <mergeCell ref="A21:B21"/>
    <mergeCell ref="F21:G21"/>
    <mergeCell ref="N21:O21"/>
    <mergeCell ref="P21:Q21"/>
    <mergeCell ref="R21:S21"/>
    <mergeCell ref="A18:B18"/>
    <mergeCell ref="F18:G18"/>
    <mergeCell ref="N18:O18"/>
    <mergeCell ref="P18:Q18"/>
    <mergeCell ref="R18:S18"/>
    <mergeCell ref="A19:B19"/>
    <mergeCell ref="F19:G19"/>
    <mergeCell ref="N19:O19"/>
    <mergeCell ref="P19:Q19"/>
    <mergeCell ref="R19:S19"/>
    <mergeCell ref="A16:B16"/>
    <mergeCell ref="F16:G16"/>
    <mergeCell ref="N16:O16"/>
    <mergeCell ref="P16:Q16"/>
    <mergeCell ref="R16:S16"/>
    <mergeCell ref="A17:B17"/>
    <mergeCell ref="F17:G17"/>
    <mergeCell ref="N17:O17"/>
    <mergeCell ref="P17:Q17"/>
    <mergeCell ref="R17:S17"/>
    <mergeCell ref="A14:B14"/>
    <mergeCell ref="F14:G14"/>
    <mergeCell ref="N14:O14"/>
    <mergeCell ref="P14:Q14"/>
    <mergeCell ref="R14:S14"/>
    <mergeCell ref="P15:Q15"/>
    <mergeCell ref="R15:S15"/>
    <mergeCell ref="A15:B15"/>
    <mergeCell ref="F15:G15"/>
    <mergeCell ref="N15:O15"/>
    <mergeCell ref="B1:I1"/>
    <mergeCell ref="A7:I7"/>
    <mergeCell ref="A11:B11"/>
    <mergeCell ref="F11:G11"/>
    <mergeCell ref="O1:U1"/>
    <mergeCell ref="N2:U2"/>
    <mergeCell ref="N3:U3"/>
    <mergeCell ref="A4:B4"/>
    <mergeCell ref="C4:E4"/>
    <mergeCell ref="N4:O4"/>
    <mergeCell ref="P4:Q4"/>
    <mergeCell ref="P8:Q8"/>
    <mergeCell ref="R8:S8"/>
    <mergeCell ref="T8:U8"/>
    <mergeCell ref="F10:G10"/>
    <mergeCell ref="R10:S10"/>
    <mergeCell ref="N7:U7"/>
    <mergeCell ref="N8:O8"/>
    <mergeCell ref="R13:S13"/>
    <mergeCell ref="A13:B13"/>
    <mergeCell ref="F13:G13"/>
    <mergeCell ref="A12:B12"/>
    <mergeCell ref="F12:G12"/>
    <mergeCell ref="N13:O13"/>
    <mergeCell ref="P13:Q13"/>
    <mergeCell ref="N11:O11"/>
    <mergeCell ref="P11:Q11"/>
    <mergeCell ref="R11:S11"/>
    <mergeCell ref="N12:O12"/>
    <mergeCell ref="P12:Q12"/>
    <mergeCell ref="R12:S12"/>
  </mergeCells>
  <pageMargins left="0.1" right="0.1" top="0.5" bottom="0.5" header="0" footer="0.1"/>
  <pageSetup scale="70" fitToHeight="3" orientation="portrait" r:id="rId1"/>
  <headerFooter alignWithMargins="0">
    <oddFooter>&amp;R&amp;P of &amp;N</oddFooter>
  </headerFooter>
  <rowBreaks count="1" manualBreakCount="1">
    <brk id="138" max="16383" man="1"/>
  </rowBreaks>
  <colBreaks count="1" manualBreakCount="1">
    <brk id="9"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CCFFCC"/>
  </sheetPr>
  <dimension ref="A1:U206"/>
  <sheetViews>
    <sheetView showGridLines="0" zoomScaleNormal="100" workbookViewId="0">
      <pane ySplit="1" topLeftCell="A17" activePane="bottomLeft" state="frozen"/>
      <selection activeCell="I9" sqref="I9"/>
      <selection pane="bottomLeft" activeCell="D57" sqref="D57:D58"/>
    </sheetView>
  </sheetViews>
  <sheetFormatPr defaultRowHeight="15.75" x14ac:dyDescent="0.25"/>
  <cols>
    <col min="1" max="1" width="10.28515625" style="72"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72"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5">
        <v>50</v>
      </c>
      <c r="B1" s="441" t="s">
        <v>17</v>
      </c>
      <c r="C1" s="442"/>
      <c r="D1" s="442"/>
      <c r="E1" s="442"/>
      <c r="F1" s="442"/>
      <c r="G1" s="442"/>
      <c r="H1" s="442"/>
      <c r="I1" s="442"/>
      <c r="J1" s="157"/>
      <c r="K1" s="157"/>
      <c r="L1" s="157"/>
      <c r="N1" s="85">
        <f>A1</f>
        <v>50</v>
      </c>
      <c r="O1" s="527" t="s">
        <v>17</v>
      </c>
      <c r="P1" s="528"/>
      <c r="Q1" s="528"/>
      <c r="R1" s="528"/>
      <c r="S1" s="528"/>
      <c r="T1" s="528"/>
      <c r="U1" s="528"/>
    </row>
    <row r="2" spans="1:21" ht="21" x14ac:dyDescent="0.35">
      <c r="A2" s="1" t="s">
        <v>158</v>
      </c>
      <c r="B2" s="2"/>
      <c r="C2" s="2"/>
      <c r="D2" s="2"/>
      <c r="E2" s="2"/>
      <c r="F2" s="2"/>
      <c r="G2" s="2"/>
      <c r="H2" s="2"/>
      <c r="I2" s="2"/>
      <c r="N2" s="529" t="s">
        <v>23</v>
      </c>
      <c r="O2" s="529"/>
      <c r="P2" s="529"/>
      <c r="Q2" s="529"/>
      <c r="R2" s="529"/>
      <c r="S2" s="529"/>
      <c r="T2" s="529"/>
      <c r="U2" s="529"/>
    </row>
    <row r="3" spans="1:21" x14ac:dyDescent="0.25">
      <c r="A3" s="84" t="str">
        <f>'0664'!A3</f>
        <v>Based on the FLDOE 2022-23 FEFP Third Calculation</v>
      </c>
      <c r="N3" s="485" t="str">
        <f>A3</f>
        <v>Based on the FLDOE 2022-23 FEFP Third Calculation</v>
      </c>
      <c r="O3" s="485"/>
      <c r="P3" s="485"/>
      <c r="Q3" s="485"/>
      <c r="R3" s="485"/>
      <c r="S3" s="485"/>
      <c r="T3" s="485"/>
      <c r="U3" s="485"/>
    </row>
    <row r="4" spans="1:21" x14ac:dyDescent="0.25">
      <c r="A4" s="443" t="s">
        <v>0</v>
      </c>
      <c r="B4" s="443"/>
      <c r="C4" s="444" t="s">
        <v>9</v>
      </c>
      <c r="D4" s="444"/>
      <c r="E4" s="444"/>
      <c r="F4" s="4" t="str">
        <f>'0664'!F4</f>
        <v>Apr 2023</v>
      </c>
      <c r="G4" s="4"/>
      <c r="H4" s="4"/>
      <c r="I4" s="4"/>
      <c r="N4" s="530" t="s">
        <v>0</v>
      </c>
      <c r="O4" s="530"/>
      <c r="P4" s="531" t="str">
        <f>C4</f>
        <v>Palm Beach</v>
      </c>
      <c r="Q4" s="531"/>
      <c r="R4" s="5"/>
      <c r="S4" s="5"/>
      <c r="T4" s="5"/>
      <c r="U4" s="5"/>
    </row>
    <row r="5" spans="1:21" ht="12" customHeight="1" thickBot="1" x14ac:dyDescent="0.3">
      <c r="A5" s="262"/>
      <c r="B5" s="262"/>
      <c r="C5" s="253"/>
      <c r="D5" s="253"/>
      <c r="E5" s="253"/>
      <c r="F5" s="254"/>
      <c r="G5" s="254"/>
      <c r="H5" s="254"/>
      <c r="I5" s="254"/>
      <c r="N5" s="86"/>
      <c r="O5" s="86"/>
      <c r="P5" s="6"/>
      <c r="Q5" s="6"/>
      <c r="R5" s="5"/>
      <c r="S5" s="5"/>
      <c r="T5" s="5"/>
      <c r="U5" s="5"/>
    </row>
    <row r="6" spans="1:21" ht="12" customHeight="1" x14ac:dyDescent="0.25">
      <c r="A6" s="150"/>
      <c r="B6" s="150"/>
      <c r="C6" s="261"/>
      <c r="D6" s="261"/>
      <c r="E6" s="261"/>
      <c r="F6" s="4"/>
      <c r="G6" s="4"/>
      <c r="H6" s="4"/>
      <c r="I6" s="4"/>
      <c r="N6" s="86"/>
      <c r="O6" s="86"/>
      <c r="P6" s="6"/>
      <c r="Q6" s="6"/>
      <c r="R6" s="5"/>
      <c r="S6" s="5"/>
      <c r="T6" s="5"/>
      <c r="U6" s="5"/>
    </row>
    <row r="7" spans="1:21" x14ac:dyDescent="0.25">
      <c r="A7" s="445" t="str">
        <f>'0664'!A7:I7</f>
        <v>1.   2022-23 FEFP State and Local Funding</v>
      </c>
      <c r="B7" s="533"/>
      <c r="C7" s="533"/>
      <c r="D7" s="533"/>
      <c r="E7" s="533"/>
      <c r="F7" s="533"/>
      <c r="G7" s="533"/>
      <c r="H7" s="533"/>
      <c r="I7" s="533"/>
      <c r="N7" s="530" t="s">
        <v>86</v>
      </c>
      <c r="O7" s="530"/>
      <c r="P7" s="530"/>
      <c r="Q7" s="530"/>
      <c r="R7" s="530"/>
      <c r="S7" s="530"/>
      <c r="T7" s="530"/>
      <c r="U7" s="530"/>
    </row>
    <row r="8" spans="1:21" x14ac:dyDescent="0.25">
      <c r="A8" s="87"/>
      <c r="B8" s="88" t="s">
        <v>123</v>
      </c>
      <c r="C8" s="334">
        <f>'0664'!C8</f>
        <v>4587.3999999999996</v>
      </c>
      <c r="D8" s="89"/>
      <c r="E8" s="90"/>
      <c r="F8" s="87"/>
      <c r="G8" s="88" t="s">
        <v>122</v>
      </c>
      <c r="H8" s="320">
        <f>'0664'!H8</f>
        <v>1.0438000000000001</v>
      </c>
      <c r="I8" s="78"/>
      <c r="N8" s="534" t="s">
        <v>10</v>
      </c>
      <c r="O8" s="534"/>
      <c r="P8" s="535">
        <v>4154.45</v>
      </c>
      <c r="Q8" s="535"/>
      <c r="R8" s="518" t="s">
        <v>11</v>
      </c>
      <c r="S8" s="518"/>
      <c r="T8" s="519">
        <f>H8</f>
        <v>1.0438000000000001</v>
      </c>
      <c r="U8" s="519"/>
    </row>
    <row r="9" spans="1:21" x14ac:dyDescent="0.25">
      <c r="A9" s="7"/>
      <c r="B9" s="44" t="s">
        <v>370</v>
      </c>
      <c r="C9" s="372" t="s">
        <v>370</v>
      </c>
      <c r="D9" s="372" t="s">
        <v>370</v>
      </c>
      <c r="E9" s="8"/>
      <c r="F9" s="9"/>
      <c r="G9" s="9"/>
      <c r="H9" s="10"/>
      <c r="I9" s="340" t="str">
        <f>'0664'!I9</f>
        <v>2022-23</v>
      </c>
      <c r="N9" s="12"/>
      <c r="O9" s="12"/>
      <c r="P9" s="13"/>
      <c r="Q9" s="13"/>
      <c r="R9" s="14"/>
      <c r="S9" s="14"/>
      <c r="T9" s="15"/>
      <c r="U9" s="405" t="s">
        <v>405</v>
      </c>
    </row>
    <row r="10" spans="1:21" x14ac:dyDescent="0.25">
      <c r="A10" s="7"/>
      <c r="B10" s="7"/>
      <c r="C10" s="91" t="s">
        <v>463</v>
      </c>
      <c r="D10" s="371" t="s">
        <v>464</v>
      </c>
      <c r="E10" s="92" t="s">
        <v>8</v>
      </c>
      <c r="F10" s="446" t="s">
        <v>1</v>
      </c>
      <c r="G10" s="446"/>
      <c r="H10" s="10" t="s">
        <v>73</v>
      </c>
      <c r="I10" s="11" t="s">
        <v>36</v>
      </c>
      <c r="N10" s="12"/>
      <c r="O10" s="12"/>
      <c r="P10" s="13"/>
      <c r="Q10" s="13"/>
      <c r="R10" s="520" t="s">
        <v>1</v>
      </c>
      <c r="S10" s="520"/>
      <c r="T10" s="15" t="s">
        <v>73</v>
      </c>
      <c r="U10" s="16" t="s">
        <v>36</v>
      </c>
    </row>
    <row r="11" spans="1:21" x14ac:dyDescent="0.25">
      <c r="A11" s="447" t="s">
        <v>1</v>
      </c>
      <c r="B11" s="447"/>
      <c r="C11" s="362" t="s">
        <v>2</v>
      </c>
      <c r="D11" s="362" t="s">
        <v>2</v>
      </c>
      <c r="E11" s="362" t="s">
        <v>2</v>
      </c>
      <c r="F11" s="448" t="s">
        <v>76</v>
      </c>
      <c r="G11" s="448"/>
      <c r="H11" s="17" t="s">
        <v>72</v>
      </c>
      <c r="I11" s="18" t="s">
        <v>75</v>
      </c>
      <c r="N11" s="510" t="s">
        <v>1</v>
      </c>
      <c r="O11" s="510"/>
      <c r="P11" s="521" t="s">
        <v>24</v>
      </c>
      <c r="Q11" s="521"/>
      <c r="R11" s="522" t="s">
        <v>76</v>
      </c>
      <c r="S11" s="522"/>
      <c r="T11" s="19" t="s">
        <v>72</v>
      </c>
      <c r="U11" s="20" t="s">
        <v>75</v>
      </c>
    </row>
    <row r="12" spans="1:21" x14ac:dyDescent="0.25">
      <c r="A12" s="449" t="s">
        <v>47</v>
      </c>
      <c r="B12" s="449"/>
      <c r="C12" s="94"/>
      <c r="D12" s="94"/>
      <c r="E12" s="95" t="s">
        <v>48</v>
      </c>
      <c r="F12" s="450" t="s">
        <v>49</v>
      </c>
      <c r="G12" s="450"/>
      <c r="H12" s="21" t="s">
        <v>50</v>
      </c>
      <c r="I12" s="22" t="s">
        <v>51</v>
      </c>
      <c r="N12" s="523" t="s">
        <v>47</v>
      </c>
      <c r="O12" s="523"/>
      <c r="P12" s="524" t="s">
        <v>48</v>
      </c>
      <c r="Q12" s="524"/>
      <c r="R12" s="525" t="s">
        <v>49</v>
      </c>
      <c r="S12" s="525"/>
      <c r="T12" s="23" t="s">
        <v>50</v>
      </c>
      <c r="U12" s="24" t="s">
        <v>51</v>
      </c>
    </row>
    <row r="13" spans="1:21" x14ac:dyDescent="0.25">
      <c r="A13" s="451" t="s">
        <v>29</v>
      </c>
      <c r="B13" s="451"/>
      <c r="C13" s="165">
        <v>0</v>
      </c>
      <c r="D13" s="163">
        <v>0</v>
      </c>
      <c r="E13" s="210">
        <f>IF(D$29=0,C13*2,C13+D13)</f>
        <v>0</v>
      </c>
      <c r="F13" s="537">
        <f>'0664'!F13:G13</f>
        <v>1.1259999999999999</v>
      </c>
      <c r="G13" s="537"/>
      <c r="H13" s="167">
        <f>ROUND(E13*F13,4)</f>
        <v>0</v>
      </c>
      <c r="I13" s="119">
        <f t="shared" ref="I13:I28" si="0">ROUND(ROUND(H13*$C$8,4)*($H$8),2)</f>
        <v>0</v>
      </c>
      <c r="N13" s="512" t="s">
        <v>29</v>
      </c>
      <c r="O13" s="512"/>
      <c r="P13" s="513">
        <f t="shared" ref="P13:P28" si="1">IF($H$120=1,E13,0)</f>
        <v>0</v>
      </c>
      <c r="Q13" s="513"/>
      <c r="R13" s="526">
        <v>1</v>
      </c>
      <c r="S13" s="526"/>
      <c r="T13" s="98">
        <f>ROUND(P13*R13,4)</f>
        <v>0</v>
      </c>
      <c r="U13" s="99">
        <f t="shared" ref="U13:U28" si="2">ROUND(ROUND(T13*$C$8,4)*($H$8),0)</f>
        <v>0</v>
      </c>
    </row>
    <row r="14" spans="1:21" x14ac:dyDescent="0.25">
      <c r="A14" s="453" t="s">
        <v>30</v>
      </c>
      <c r="B14" s="453"/>
      <c r="C14" s="165">
        <v>0</v>
      </c>
      <c r="D14" s="165">
        <v>0</v>
      </c>
      <c r="E14" s="125">
        <f t="shared" ref="E14:E28" si="3">IF(D$29=0,C14*2,C14+D14)</f>
        <v>0</v>
      </c>
      <c r="F14" s="532">
        <f>'0664'!F14:G14</f>
        <v>1.1259999999999999</v>
      </c>
      <c r="G14" s="532"/>
      <c r="H14" s="83">
        <f t="shared" ref="H14:H28" si="4">ROUND(E14*F14,4)</f>
        <v>0</v>
      </c>
      <c r="I14" s="104">
        <f t="shared" si="0"/>
        <v>0</v>
      </c>
      <c r="J14" s="68" t="str">
        <f>IF(ROUND(E14,2)=ROUND(SUM(E50:E52),2)," ","CHECK PK-3 LINES BELOW")</f>
        <v xml:space="preserve"> </v>
      </c>
      <c r="N14" s="479" t="s">
        <v>30</v>
      </c>
      <c r="O14" s="479"/>
      <c r="P14" s="513">
        <f t="shared" si="1"/>
        <v>0</v>
      </c>
      <c r="Q14" s="513"/>
      <c r="R14" s="517">
        <v>1</v>
      </c>
      <c r="S14" s="517"/>
      <c r="T14" s="98">
        <f t="shared" ref="T14:T28" si="5">ROUND(P14*R14,4)</f>
        <v>0</v>
      </c>
      <c r="U14" s="99">
        <f t="shared" si="2"/>
        <v>0</v>
      </c>
    </row>
    <row r="15" spans="1:21" x14ac:dyDescent="0.25">
      <c r="A15" s="453" t="s">
        <v>31</v>
      </c>
      <c r="B15" s="453"/>
      <c r="C15" s="165">
        <v>0</v>
      </c>
      <c r="D15" s="165">
        <v>0</v>
      </c>
      <c r="E15" s="125">
        <f t="shared" si="3"/>
        <v>0</v>
      </c>
      <c r="F15" s="532">
        <f>'0664'!F15:G15</f>
        <v>1</v>
      </c>
      <c r="G15" s="532"/>
      <c r="H15" s="83">
        <f t="shared" si="4"/>
        <v>0</v>
      </c>
      <c r="I15" s="104">
        <f t="shared" si="0"/>
        <v>0</v>
      </c>
      <c r="N15" s="479" t="s">
        <v>31</v>
      </c>
      <c r="O15" s="479"/>
      <c r="P15" s="513">
        <f t="shared" si="1"/>
        <v>0</v>
      </c>
      <c r="Q15" s="513"/>
      <c r="R15" s="517">
        <v>1</v>
      </c>
      <c r="S15" s="517"/>
      <c r="T15" s="98">
        <f t="shared" si="5"/>
        <v>0</v>
      </c>
      <c r="U15" s="99">
        <f t="shared" si="2"/>
        <v>0</v>
      </c>
    </row>
    <row r="16" spans="1:21" x14ac:dyDescent="0.25">
      <c r="A16" s="453" t="s">
        <v>32</v>
      </c>
      <c r="B16" s="453"/>
      <c r="C16" s="165">
        <v>0</v>
      </c>
      <c r="D16" s="165">
        <v>0</v>
      </c>
      <c r="E16" s="125">
        <f t="shared" si="3"/>
        <v>0</v>
      </c>
      <c r="F16" s="532">
        <f>'0664'!F16:G16</f>
        <v>1</v>
      </c>
      <c r="G16" s="532"/>
      <c r="H16" s="83">
        <f t="shared" si="4"/>
        <v>0</v>
      </c>
      <c r="I16" s="104">
        <f t="shared" si="0"/>
        <v>0</v>
      </c>
      <c r="J16" s="68" t="str">
        <f>IF(ROUND(E16,2)=ROUND(SUM(E53:E55),2)," ","CHECK 4-8 LINES BELOW")</f>
        <v xml:space="preserve"> </v>
      </c>
      <c r="N16" s="479" t="s">
        <v>32</v>
      </c>
      <c r="O16" s="479"/>
      <c r="P16" s="513">
        <f t="shared" si="1"/>
        <v>0</v>
      </c>
      <c r="Q16" s="513"/>
      <c r="R16" s="517">
        <v>1</v>
      </c>
      <c r="S16" s="517"/>
      <c r="T16" s="98">
        <f t="shared" si="5"/>
        <v>0</v>
      </c>
      <c r="U16" s="99">
        <f t="shared" si="2"/>
        <v>0</v>
      </c>
    </row>
    <row r="17" spans="1:21" x14ac:dyDescent="0.25">
      <c r="A17" s="453" t="s">
        <v>33</v>
      </c>
      <c r="B17" s="453"/>
      <c r="C17" s="165">
        <v>0</v>
      </c>
      <c r="D17" s="165">
        <v>0</v>
      </c>
      <c r="E17" s="125">
        <f t="shared" si="3"/>
        <v>0</v>
      </c>
      <c r="F17" s="532">
        <f>'0664'!F17:G17</f>
        <v>0.999</v>
      </c>
      <c r="G17" s="532"/>
      <c r="H17" s="83">
        <f t="shared" si="4"/>
        <v>0</v>
      </c>
      <c r="I17" s="104">
        <f t="shared" si="0"/>
        <v>0</v>
      </c>
      <c r="N17" s="479" t="s">
        <v>33</v>
      </c>
      <c r="O17" s="479"/>
      <c r="P17" s="513">
        <f t="shared" si="1"/>
        <v>0</v>
      </c>
      <c r="Q17" s="513"/>
      <c r="R17" s="517">
        <v>1</v>
      </c>
      <c r="S17" s="517"/>
      <c r="T17" s="98">
        <f t="shared" si="5"/>
        <v>0</v>
      </c>
      <c r="U17" s="99">
        <f t="shared" si="2"/>
        <v>0</v>
      </c>
    </row>
    <row r="18" spans="1:21" x14ac:dyDescent="0.25">
      <c r="A18" s="453" t="s">
        <v>34</v>
      </c>
      <c r="B18" s="453"/>
      <c r="C18" s="165">
        <v>46.93</v>
      </c>
      <c r="D18" s="165">
        <v>48.44</v>
      </c>
      <c r="E18" s="125">
        <f t="shared" si="3"/>
        <v>95.37</v>
      </c>
      <c r="F18" s="532">
        <f>'0664'!F18:G18</f>
        <v>0.999</v>
      </c>
      <c r="G18" s="532"/>
      <c r="H18" s="83">
        <f t="shared" si="4"/>
        <v>95.274600000000007</v>
      </c>
      <c r="I18" s="104">
        <f t="shared" si="0"/>
        <v>456206.05</v>
      </c>
      <c r="J18" s="68" t="str">
        <f>IF(ROUND(E18,2)=ROUND(SUM(E56:E58),2)," ","CHECK 4-8 LINES BELOW")</f>
        <v xml:space="preserve"> </v>
      </c>
      <c r="N18" s="479" t="s">
        <v>34</v>
      </c>
      <c r="O18" s="479"/>
      <c r="P18" s="513">
        <f t="shared" si="1"/>
        <v>95.37</v>
      </c>
      <c r="Q18" s="513"/>
      <c r="R18" s="517">
        <v>1</v>
      </c>
      <c r="S18" s="517"/>
      <c r="T18" s="98">
        <f t="shared" si="5"/>
        <v>95.37</v>
      </c>
      <c r="U18" s="101">
        <f t="shared" si="2"/>
        <v>456663</v>
      </c>
    </row>
    <row r="19" spans="1:21" x14ac:dyDescent="0.25">
      <c r="A19" s="453" t="s">
        <v>108</v>
      </c>
      <c r="B19" s="453"/>
      <c r="C19" s="165">
        <v>0</v>
      </c>
      <c r="D19" s="165">
        <v>0</v>
      </c>
      <c r="E19" s="125">
        <f t="shared" si="3"/>
        <v>0</v>
      </c>
      <c r="F19" s="532">
        <f>'0664'!F19:G19</f>
        <v>3.6739999999999999</v>
      </c>
      <c r="G19" s="532"/>
      <c r="H19" s="83">
        <f t="shared" si="4"/>
        <v>0</v>
      </c>
      <c r="I19" s="104">
        <f t="shared" si="0"/>
        <v>0</v>
      </c>
      <c r="N19" s="479" t="s">
        <v>108</v>
      </c>
      <c r="O19" s="479"/>
      <c r="P19" s="513">
        <f t="shared" si="1"/>
        <v>0</v>
      </c>
      <c r="Q19" s="513"/>
      <c r="R19" s="517">
        <v>1</v>
      </c>
      <c r="S19" s="517"/>
      <c r="T19" s="98">
        <f t="shared" si="5"/>
        <v>0</v>
      </c>
      <c r="U19" s="99">
        <f t="shared" si="2"/>
        <v>0</v>
      </c>
    </row>
    <row r="20" spans="1:21" x14ac:dyDescent="0.25">
      <c r="A20" s="453" t="s">
        <v>109</v>
      </c>
      <c r="B20" s="453"/>
      <c r="C20" s="165">
        <v>0</v>
      </c>
      <c r="D20" s="165">
        <v>0</v>
      </c>
      <c r="E20" s="125">
        <f t="shared" si="3"/>
        <v>0</v>
      </c>
      <c r="F20" s="532">
        <f>'0664'!F20:G20</f>
        <v>3.6739999999999999</v>
      </c>
      <c r="G20" s="532"/>
      <c r="H20" s="83">
        <f t="shared" si="4"/>
        <v>0</v>
      </c>
      <c r="I20" s="104">
        <f t="shared" si="0"/>
        <v>0</v>
      </c>
      <c r="N20" s="479" t="s">
        <v>109</v>
      </c>
      <c r="O20" s="479"/>
      <c r="P20" s="513">
        <f t="shared" si="1"/>
        <v>0</v>
      </c>
      <c r="Q20" s="513"/>
      <c r="R20" s="517">
        <v>1</v>
      </c>
      <c r="S20" s="517"/>
      <c r="T20" s="98">
        <f t="shared" si="5"/>
        <v>0</v>
      </c>
      <c r="U20" s="99">
        <f t="shared" si="2"/>
        <v>0</v>
      </c>
    </row>
    <row r="21" spans="1:21" x14ac:dyDescent="0.25">
      <c r="A21" s="453" t="s">
        <v>110</v>
      </c>
      <c r="B21" s="453"/>
      <c r="C21" s="165">
        <v>0</v>
      </c>
      <c r="D21" s="165">
        <v>0</v>
      </c>
      <c r="E21" s="125">
        <f t="shared" si="3"/>
        <v>0</v>
      </c>
      <c r="F21" s="532">
        <f>'0664'!F21:G21</f>
        <v>3.6739999999999999</v>
      </c>
      <c r="G21" s="532"/>
      <c r="H21" s="83">
        <f t="shared" si="4"/>
        <v>0</v>
      </c>
      <c r="I21" s="104">
        <f t="shared" si="0"/>
        <v>0</v>
      </c>
      <c r="N21" s="479" t="s">
        <v>110</v>
      </c>
      <c r="O21" s="479"/>
      <c r="P21" s="513">
        <f t="shared" si="1"/>
        <v>0</v>
      </c>
      <c r="Q21" s="513"/>
      <c r="R21" s="517">
        <v>1</v>
      </c>
      <c r="S21" s="517"/>
      <c r="T21" s="98">
        <f t="shared" si="5"/>
        <v>0</v>
      </c>
      <c r="U21" s="99">
        <f t="shared" si="2"/>
        <v>0</v>
      </c>
    </row>
    <row r="22" spans="1:21" x14ac:dyDescent="0.25">
      <c r="A22" s="453" t="s">
        <v>111</v>
      </c>
      <c r="B22" s="453"/>
      <c r="C22" s="165">
        <v>0</v>
      </c>
      <c r="D22" s="165">
        <v>0</v>
      </c>
      <c r="E22" s="125">
        <f t="shared" si="3"/>
        <v>0</v>
      </c>
      <c r="F22" s="532">
        <f>'0664'!F22:G22</f>
        <v>5.4009999999999998</v>
      </c>
      <c r="G22" s="532"/>
      <c r="H22" s="83">
        <f t="shared" si="4"/>
        <v>0</v>
      </c>
      <c r="I22" s="104">
        <f t="shared" si="0"/>
        <v>0</v>
      </c>
      <c r="N22" s="479" t="s">
        <v>111</v>
      </c>
      <c r="O22" s="479"/>
      <c r="P22" s="513">
        <f t="shared" si="1"/>
        <v>0</v>
      </c>
      <c r="Q22" s="513"/>
      <c r="R22" s="517">
        <v>1</v>
      </c>
      <c r="S22" s="517"/>
      <c r="T22" s="98">
        <f t="shared" si="5"/>
        <v>0</v>
      </c>
      <c r="U22" s="99">
        <f t="shared" si="2"/>
        <v>0</v>
      </c>
    </row>
    <row r="23" spans="1:21" x14ac:dyDescent="0.25">
      <c r="A23" s="453" t="s">
        <v>112</v>
      </c>
      <c r="B23" s="453"/>
      <c r="C23" s="165">
        <v>0</v>
      </c>
      <c r="D23" s="165">
        <v>0</v>
      </c>
      <c r="E23" s="125">
        <f t="shared" si="3"/>
        <v>0</v>
      </c>
      <c r="F23" s="532">
        <f>'0664'!F23:G23</f>
        <v>5.4009999999999998</v>
      </c>
      <c r="G23" s="532"/>
      <c r="H23" s="83">
        <f t="shared" si="4"/>
        <v>0</v>
      </c>
      <c r="I23" s="104">
        <f t="shared" si="0"/>
        <v>0</v>
      </c>
      <c r="N23" s="479" t="s">
        <v>112</v>
      </c>
      <c r="O23" s="479"/>
      <c r="P23" s="513">
        <f t="shared" si="1"/>
        <v>0</v>
      </c>
      <c r="Q23" s="513"/>
      <c r="R23" s="517">
        <v>1</v>
      </c>
      <c r="S23" s="517"/>
      <c r="T23" s="98">
        <f t="shared" si="5"/>
        <v>0</v>
      </c>
      <c r="U23" s="99">
        <f t="shared" si="2"/>
        <v>0</v>
      </c>
    </row>
    <row r="24" spans="1:21" x14ac:dyDescent="0.25">
      <c r="A24" s="453" t="s">
        <v>113</v>
      </c>
      <c r="B24" s="453"/>
      <c r="C24" s="165">
        <v>0</v>
      </c>
      <c r="D24" s="165">
        <v>0</v>
      </c>
      <c r="E24" s="125">
        <f t="shared" si="3"/>
        <v>0</v>
      </c>
      <c r="F24" s="532">
        <f>'0664'!F24:G24</f>
        <v>5.4009999999999998</v>
      </c>
      <c r="G24" s="532"/>
      <c r="H24" s="83">
        <f t="shared" si="4"/>
        <v>0</v>
      </c>
      <c r="I24" s="104">
        <f t="shared" si="0"/>
        <v>0</v>
      </c>
      <c r="N24" s="479" t="s">
        <v>113</v>
      </c>
      <c r="O24" s="479"/>
      <c r="P24" s="513">
        <f t="shared" si="1"/>
        <v>0</v>
      </c>
      <c r="Q24" s="513"/>
      <c r="R24" s="517">
        <v>1</v>
      </c>
      <c r="S24" s="517"/>
      <c r="T24" s="98">
        <f t="shared" si="5"/>
        <v>0</v>
      </c>
      <c r="U24" s="99">
        <f t="shared" si="2"/>
        <v>0</v>
      </c>
    </row>
    <row r="25" spans="1:21" x14ac:dyDescent="0.25">
      <c r="A25" s="453" t="s">
        <v>114</v>
      </c>
      <c r="B25" s="453"/>
      <c r="C25" s="165">
        <v>0</v>
      </c>
      <c r="D25" s="165">
        <v>0</v>
      </c>
      <c r="E25" s="125">
        <f t="shared" si="3"/>
        <v>0</v>
      </c>
      <c r="F25" s="532">
        <f>'0664'!F25:G25</f>
        <v>1.206</v>
      </c>
      <c r="G25" s="532"/>
      <c r="H25" s="83">
        <f t="shared" si="4"/>
        <v>0</v>
      </c>
      <c r="I25" s="104">
        <f t="shared" si="0"/>
        <v>0</v>
      </c>
      <c r="N25" s="479" t="s">
        <v>114</v>
      </c>
      <c r="O25" s="479"/>
      <c r="P25" s="513">
        <f t="shared" si="1"/>
        <v>0</v>
      </c>
      <c r="Q25" s="513"/>
      <c r="R25" s="517">
        <v>1</v>
      </c>
      <c r="S25" s="517"/>
      <c r="T25" s="98">
        <f t="shared" si="5"/>
        <v>0</v>
      </c>
      <c r="U25" s="99">
        <f t="shared" si="2"/>
        <v>0</v>
      </c>
    </row>
    <row r="26" spans="1:21" x14ac:dyDescent="0.25">
      <c r="A26" s="453" t="s">
        <v>115</v>
      </c>
      <c r="B26" s="453"/>
      <c r="C26" s="165">
        <v>0</v>
      </c>
      <c r="D26" s="165">
        <v>0</v>
      </c>
      <c r="E26" s="125">
        <f t="shared" si="3"/>
        <v>0</v>
      </c>
      <c r="F26" s="532">
        <f>'0664'!F26:G26</f>
        <v>1.206</v>
      </c>
      <c r="G26" s="532"/>
      <c r="H26" s="83">
        <f t="shared" si="4"/>
        <v>0</v>
      </c>
      <c r="I26" s="104">
        <f t="shared" si="0"/>
        <v>0</v>
      </c>
      <c r="N26" s="479" t="s">
        <v>115</v>
      </c>
      <c r="O26" s="479"/>
      <c r="P26" s="513">
        <f t="shared" si="1"/>
        <v>0</v>
      </c>
      <c r="Q26" s="513"/>
      <c r="R26" s="517">
        <v>1</v>
      </c>
      <c r="S26" s="517"/>
      <c r="T26" s="98">
        <f t="shared" si="5"/>
        <v>0</v>
      </c>
      <c r="U26" s="99">
        <f t="shared" si="2"/>
        <v>0</v>
      </c>
    </row>
    <row r="27" spans="1:21" x14ac:dyDescent="0.25">
      <c r="A27" s="453" t="s">
        <v>116</v>
      </c>
      <c r="B27" s="453"/>
      <c r="C27" s="165">
        <v>0</v>
      </c>
      <c r="D27" s="165">
        <v>0</v>
      </c>
      <c r="E27" s="125">
        <f t="shared" si="3"/>
        <v>0</v>
      </c>
      <c r="F27" s="532">
        <f>'0664'!F27:G27</f>
        <v>1.206</v>
      </c>
      <c r="G27" s="532"/>
      <c r="H27" s="83">
        <f t="shared" si="4"/>
        <v>0</v>
      </c>
      <c r="I27" s="104">
        <f t="shared" si="0"/>
        <v>0</v>
      </c>
      <c r="N27" s="479" t="s">
        <v>116</v>
      </c>
      <c r="O27" s="479"/>
      <c r="P27" s="513">
        <f t="shared" si="1"/>
        <v>0</v>
      </c>
      <c r="Q27" s="513"/>
      <c r="R27" s="517">
        <v>1</v>
      </c>
      <c r="S27" s="517"/>
      <c r="T27" s="98">
        <f t="shared" si="5"/>
        <v>0</v>
      </c>
      <c r="U27" s="99">
        <f t="shared" si="2"/>
        <v>0</v>
      </c>
    </row>
    <row r="28" spans="1:21" x14ac:dyDescent="0.25">
      <c r="A28" s="453" t="s">
        <v>117</v>
      </c>
      <c r="B28" s="453"/>
      <c r="C28" s="116">
        <v>0</v>
      </c>
      <c r="D28" s="116">
        <v>0</v>
      </c>
      <c r="E28" s="177">
        <f t="shared" si="3"/>
        <v>0</v>
      </c>
      <c r="F28" s="532">
        <f>'0664'!F28:G28</f>
        <v>0.999</v>
      </c>
      <c r="G28" s="532"/>
      <c r="H28" s="96">
        <f t="shared" si="4"/>
        <v>0</v>
      </c>
      <c r="I28" s="97">
        <f t="shared" si="0"/>
        <v>0</v>
      </c>
      <c r="N28" s="482" t="s">
        <v>117</v>
      </c>
      <c r="O28" s="482"/>
      <c r="P28" s="513">
        <f t="shared" si="1"/>
        <v>0</v>
      </c>
      <c r="Q28" s="513"/>
      <c r="R28" s="514">
        <v>1</v>
      </c>
      <c r="S28" s="514"/>
      <c r="T28" s="98">
        <f t="shared" si="5"/>
        <v>0</v>
      </c>
      <c r="U28" s="99">
        <f t="shared" si="2"/>
        <v>0</v>
      </c>
    </row>
    <row r="29" spans="1:21" x14ac:dyDescent="0.25">
      <c r="A29" s="461" t="s">
        <v>5</v>
      </c>
      <c r="B29" s="461"/>
      <c r="C29" s="97">
        <f>SUM(C13:C28)</f>
        <v>46.93</v>
      </c>
      <c r="D29" s="97">
        <f>SUM(D13:D28)</f>
        <v>48.44</v>
      </c>
      <c r="E29" s="97">
        <f>SUM(E13:E28)</f>
        <v>95.37</v>
      </c>
      <c r="F29" s="457"/>
      <c r="G29" s="457"/>
      <c r="H29" s="102">
        <f>SUM(H13:H28)</f>
        <v>95.274600000000007</v>
      </c>
      <c r="I29" s="97">
        <f>SUM(I13:I28)</f>
        <v>456206.05</v>
      </c>
      <c r="N29" s="515" t="s">
        <v>5</v>
      </c>
      <c r="O29" s="515"/>
      <c r="P29" s="516">
        <f>SUM(P13:P28)</f>
        <v>95.37</v>
      </c>
      <c r="Q29" s="516"/>
      <c r="R29" s="508"/>
      <c r="S29" s="508"/>
      <c r="T29" s="103">
        <f>SUM(T13:T28)</f>
        <v>95.37</v>
      </c>
      <c r="U29" s="99">
        <f>SUM(U13:U28)</f>
        <v>456663</v>
      </c>
    </row>
    <row r="30" spans="1:21" x14ac:dyDescent="0.25">
      <c r="A30" s="27"/>
      <c r="B30" s="27"/>
      <c r="C30" s="104"/>
      <c r="D30" s="104"/>
      <c r="E30" s="104"/>
      <c r="F30" s="28"/>
      <c r="G30" s="28"/>
      <c r="H30" s="83"/>
      <c r="I30" s="104"/>
      <c r="N30" s="29"/>
      <c r="O30" s="29"/>
      <c r="P30" s="30"/>
      <c r="Q30" s="30"/>
      <c r="R30" s="31"/>
      <c r="S30" s="31"/>
      <c r="T30" s="105"/>
      <c r="U30" s="106"/>
    </row>
    <row r="31" spans="1:21" x14ac:dyDescent="0.25">
      <c r="A31" s="168" t="s">
        <v>97</v>
      </c>
      <c r="B31" s="27"/>
      <c r="C31" s="104"/>
      <c r="D31" s="104"/>
      <c r="E31" s="104"/>
      <c r="F31" s="28"/>
      <c r="G31" s="28"/>
      <c r="H31" s="83"/>
      <c r="I31" s="104"/>
      <c r="N31" s="29"/>
      <c r="O31" s="29"/>
      <c r="P31" s="30"/>
      <c r="Q31" s="30"/>
      <c r="R31" s="31"/>
      <c r="S31" s="31"/>
      <c r="T31" s="105"/>
      <c r="U31" s="106"/>
    </row>
    <row r="32" spans="1:21" hidden="1" x14ac:dyDescent="0.25">
      <c r="A32" s="168"/>
      <c r="B32" s="27"/>
      <c r="C32" s="104"/>
      <c r="D32" s="104"/>
      <c r="E32" s="104"/>
      <c r="F32" s="28"/>
      <c r="G32" s="28"/>
      <c r="H32" s="83"/>
      <c r="I32" s="104"/>
      <c r="N32" s="29"/>
      <c r="O32" s="29"/>
      <c r="P32" s="30"/>
      <c r="Q32" s="30"/>
      <c r="R32" s="31"/>
      <c r="S32" s="31"/>
      <c r="T32" s="105"/>
      <c r="U32" s="106"/>
    </row>
    <row r="33" spans="1:21" hidden="1" x14ac:dyDescent="0.25">
      <c r="A33" s="168"/>
      <c r="B33" s="27"/>
      <c r="C33" s="104"/>
      <c r="D33" s="104"/>
      <c r="E33" s="104"/>
      <c r="F33" s="541" t="s">
        <v>282</v>
      </c>
      <c r="G33" s="541"/>
      <c r="H33" s="541"/>
      <c r="I33" s="104"/>
      <c r="N33" s="29"/>
      <c r="O33" s="29"/>
      <c r="P33" s="30"/>
      <c r="Q33" s="30"/>
      <c r="R33" s="31"/>
      <c r="S33" s="31"/>
      <c r="T33" s="105"/>
      <c r="U33" s="106"/>
    </row>
    <row r="34" spans="1:21" hidden="1" x14ac:dyDescent="0.25">
      <c r="A34" s="3"/>
      <c r="B34" s="72"/>
      <c r="C34" s="72"/>
      <c r="D34" s="72"/>
      <c r="E34" s="72"/>
      <c r="F34" s="541"/>
      <c r="G34" s="541"/>
      <c r="H34" s="541"/>
      <c r="I34" s="25" t="s">
        <v>74</v>
      </c>
      <c r="N34" s="485" t="s">
        <v>35</v>
      </c>
      <c r="O34" s="485"/>
      <c r="P34" s="485"/>
      <c r="Q34" s="485"/>
      <c r="R34" s="485"/>
      <c r="S34" s="485"/>
      <c r="T34" s="485"/>
      <c r="U34" s="26" t="s">
        <v>74</v>
      </c>
    </row>
    <row r="35" spans="1:21" hidden="1" x14ac:dyDescent="0.25">
      <c r="A35" s="27"/>
      <c r="B35" s="27"/>
      <c r="C35" s="91" t="s">
        <v>124</v>
      </c>
      <c r="D35" s="91" t="s">
        <v>125</v>
      </c>
      <c r="E35" s="92" t="s">
        <v>8</v>
      </c>
      <c r="F35" s="541"/>
      <c r="G35" s="541"/>
      <c r="H35" s="541"/>
      <c r="I35" s="25" t="s">
        <v>36</v>
      </c>
      <c r="N35" s="29"/>
      <c r="O35" s="29"/>
      <c r="P35" s="30"/>
      <c r="Q35" s="30"/>
      <c r="R35" s="31"/>
      <c r="S35" s="31"/>
      <c r="T35" s="105"/>
      <c r="U35" s="26" t="s">
        <v>36</v>
      </c>
    </row>
    <row r="36" spans="1:21" hidden="1" x14ac:dyDescent="0.25">
      <c r="A36" s="447" t="s">
        <v>63</v>
      </c>
      <c r="B36" s="447"/>
      <c r="C36" s="93" t="s">
        <v>2</v>
      </c>
      <c r="D36" s="93" t="s">
        <v>2</v>
      </c>
      <c r="E36" s="93" t="s">
        <v>2</v>
      </c>
      <c r="F36" s="542"/>
      <c r="G36" s="542"/>
      <c r="H36" s="542"/>
      <c r="I36" s="32" t="s">
        <v>75</v>
      </c>
      <c r="N36" s="510" t="s">
        <v>63</v>
      </c>
      <c r="O36" s="510"/>
      <c r="P36" s="511" t="s">
        <v>24</v>
      </c>
      <c r="Q36" s="511"/>
      <c r="R36" s="511"/>
      <c r="S36" s="511"/>
      <c r="T36" s="511"/>
      <c r="U36" s="20" t="s">
        <v>75</v>
      </c>
    </row>
    <row r="37" spans="1:21" hidden="1" x14ac:dyDescent="0.25">
      <c r="A37" s="451" t="s">
        <v>56</v>
      </c>
      <c r="B37" s="451"/>
      <c r="C37" s="169">
        <v>0</v>
      </c>
      <c r="D37" s="169">
        <v>0</v>
      </c>
      <c r="E37" s="210">
        <f t="shared" ref="E37:E42" si="6">IF(D$43=0,C37*2,C37+D37)</f>
        <v>0</v>
      </c>
      <c r="F37" s="170"/>
      <c r="G37" s="170"/>
      <c r="H37" s="170"/>
      <c r="I37" s="119">
        <f t="shared" ref="I37:I42" si="7">ROUND(ROUND(E37*$C$8,4)*($H$8),2)</f>
        <v>0</v>
      </c>
      <c r="N37" s="512" t="s">
        <v>56</v>
      </c>
      <c r="O37" s="512"/>
      <c r="P37" s="483">
        <f t="shared" ref="P37:P42" si="8">IF($H$120=1,E37,0)</f>
        <v>0</v>
      </c>
      <c r="Q37" s="483"/>
      <c r="R37" s="483"/>
      <c r="S37" s="483"/>
      <c r="T37" s="483"/>
      <c r="U37" s="101">
        <f t="shared" ref="U37:U42" si="9">ROUND(ROUND(P37*$C$8,4)*($H$8),0)</f>
        <v>0</v>
      </c>
    </row>
    <row r="38" spans="1:21" hidden="1" x14ac:dyDescent="0.25">
      <c r="A38" s="453" t="s">
        <v>57</v>
      </c>
      <c r="B38" s="453"/>
      <c r="C38" s="172">
        <v>0</v>
      </c>
      <c r="D38" s="172">
        <v>0</v>
      </c>
      <c r="E38" s="125">
        <f t="shared" si="6"/>
        <v>0</v>
      </c>
      <c r="F38" s="173"/>
      <c r="G38" s="173"/>
      <c r="H38" s="173"/>
      <c r="I38" s="104">
        <f t="shared" si="7"/>
        <v>0</v>
      </c>
      <c r="N38" s="479" t="s">
        <v>57</v>
      </c>
      <c r="O38" s="479"/>
      <c r="P38" s="483">
        <f t="shared" si="8"/>
        <v>0</v>
      </c>
      <c r="Q38" s="483"/>
      <c r="R38" s="483"/>
      <c r="S38" s="483"/>
      <c r="T38" s="483"/>
      <c r="U38" s="101">
        <f t="shared" si="9"/>
        <v>0</v>
      </c>
    </row>
    <row r="39" spans="1:21" hidden="1" x14ac:dyDescent="0.25">
      <c r="A39" s="458" t="s">
        <v>58</v>
      </c>
      <c r="B39" s="458"/>
      <c r="C39" s="172">
        <v>0</v>
      </c>
      <c r="D39" s="172">
        <v>0</v>
      </c>
      <c r="E39" s="125">
        <f t="shared" si="6"/>
        <v>0</v>
      </c>
      <c r="F39" s="173"/>
      <c r="G39" s="173"/>
      <c r="H39" s="173"/>
      <c r="I39" s="104">
        <f t="shared" si="7"/>
        <v>0</v>
      </c>
      <c r="N39" s="509" t="s">
        <v>58</v>
      </c>
      <c r="O39" s="509"/>
      <c r="P39" s="483">
        <f t="shared" si="8"/>
        <v>0</v>
      </c>
      <c r="Q39" s="483"/>
      <c r="R39" s="483"/>
      <c r="S39" s="483"/>
      <c r="T39" s="483"/>
      <c r="U39" s="101">
        <f t="shared" si="9"/>
        <v>0</v>
      </c>
    </row>
    <row r="40" spans="1:21" hidden="1" x14ac:dyDescent="0.25">
      <c r="A40" s="453" t="s">
        <v>59</v>
      </c>
      <c r="B40" s="453"/>
      <c r="C40" s="172">
        <v>0</v>
      </c>
      <c r="D40" s="172">
        <v>0</v>
      </c>
      <c r="E40" s="125">
        <f t="shared" si="6"/>
        <v>0</v>
      </c>
      <c r="F40" s="173"/>
      <c r="G40" s="173"/>
      <c r="H40" s="173"/>
      <c r="I40" s="104">
        <f t="shared" si="7"/>
        <v>0</v>
      </c>
      <c r="N40" s="479" t="s">
        <v>59</v>
      </c>
      <c r="O40" s="479"/>
      <c r="P40" s="483">
        <f t="shared" si="8"/>
        <v>0</v>
      </c>
      <c r="Q40" s="483"/>
      <c r="R40" s="483"/>
      <c r="S40" s="483"/>
      <c r="T40" s="483"/>
      <c r="U40" s="101">
        <f t="shared" si="9"/>
        <v>0</v>
      </c>
    </row>
    <row r="41" spans="1:21" hidden="1" x14ac:dyDescent="0.25">
      <c r="A41" s="453" t="s">
        <v>60</v>
      </c>
      <c r="B41" s="453"/>
      <c r="C41" s="172">
        <v>0</v>
      </c>
      <c r="D41" s="172">
        <v>0</v>
      </c>
      <c r="E41" s="125">
        <f t="shared" si="6"/>
        <v>0</v>
      </c>
      <c r="F41" s="173"/>
      <c r="G41" s="173"/>
      <c r="H41" s="173"/>
      <c r="I41" s="104">
        <f t="shared" si="7"/>
        <v>0</v>
      </c>
      <c r="N41" s="479" t="s">
        <v>60</v>
      </c>
      <c r="O41" s="479"/>
      <c r="P41" s="483">
        <f t="shared" si="8"/>
        <v>0</v>
      </c>
      <c r="Q41" s="483"/>
      <c r="R41" s="483"/>
      <c r="S41" s="483"/>
      <c r="T41" s="483"/>
      <c r="U41" s="101">
        <f t="shared" si="9"/>
        <v>0</v>
      </c>
    </row>
    <row r="42" spans="1:21" hidden="1" x14ac:dyDescent="0.25">
      <c r="A42" s="453" t="s">
        <v>52</v>
      </c>
      <c r="B42" s="453"/>
      <c r="C42" s="171">
        <v>0</v>
      </c>
      <c r="D42" s="171">
        <v>0</v>
      </c>
      <c r="E42" s="177">
        <f t="shared" si="6"/>
        <v>0</v>
      </c>
      <c r="F42" s="173"/>
      <c r="G42" s="173"/>
      <c r="H42" s="173"/>
      <c r="I42" s="97">
        <f t="shared" si="7"/>
        <v>0</v>
      </c>
      <c r="N42" s="482" t="s">
        <v>52</v>
      </c>
      <c r="O42" s="482"/>
      <c r="P42" s="483">
        <f t="shared" si="8"/>
        <v>0</v>
      </c>
      <c r="Q42" s="483"/>
      <c r="R42" s="483"/>
      <c r="S42" s="483"/>
      <c r="T42" s="483"/>
      <c r="U42" s="101">
        <f t="shared" si="9"/>
        <v>0</v>
      </c>
    </row>
    <row r="43" spans="1:21" hidden="1" x14ac:dyDescent="0.25">
      <c r="A43" s="3"/>
      <c r="B43" s="55" t="s">
        <v>126</v>
      </c>
      <c r="C43" s="100">
        <f>SUM(C37:C42)</f>
        <v>0</v>
      </c>
      <c r="D43" s="100">
        <f>SUM(D37:D42)</f>
        <v>0</v>
      </c>
      <c r="E43" s="100">
        <f>SUM(E37:E42)</f>
        <v>0</v>
      </c>
      <c r="F43" s="33"/>
      <c r="G43" s="109"/>
      <c r="H43" s="110" t="s">
        <v>128</v>
      </c>
      <c r="I43" s="100">
        <f>SUM(I37:I42)</f>
        <v>0</v>
      </c>
      <c r="N43" s="480" t="s">
        <v>54</v>
      </c>
      <c r="O43" s="480"/>
      <c r="P43" s="480"/>
      <c r="Q43" s="480"/>
      <c r="R43" s="34">
        <f>SUM(P37:R42)</f>
        <v>0</v>
      </c>
      <c r="S43" s="508" t="s">
        <v>64</v>
      </c>
      <c r="T43" s="508"/>
      <c r="U43" s="106">
        <f>SUM(U37:U42)</f>
        <v>0</v>
      </c>
    </row>
    <row r="44" spans="1:21" ht="16.5" hidden="1" thickBot="1" x14ac:dyDescent="0.3">
      <c r="A44" s="3"/>
      <c r="B44" s="55"/>
      <c r="C44" s="104"/>
      <c r="D44" s="104"/>
      <c r="E44" s="119"/>
      <c r="F44" s="33"/>
      <c r="G44" s="109"/>
      <c r="H44" s="110"/>
      <c r="I44" s="104"/>
      <c r="N44" s="29"/>
      <c r="O44" s="29"/>
      <c r="P44" s="29"/>
      <c r="Q44" s="29"/>
      <c r="R44" s="34"/>
      <c r="S44" s="31"/>
      <c r="T44" s="31"/>
      <c r="U44" s="106"/>
    </row>
    <row r="45" spans="1:21" ht="16.5" hidden="1" thickBot="1" x14ac:dyDescent="0.3">
      <c r="A45" s="3"/>
      <c r="B45" s="55" t="s">
        <v>127</v>
      </c>
      <c r="E45" s="174">
        <f>H29+E43</f>
        <v>95.274600000000007</v>
      </c>
      <c r="F45" s="35"/>
      <c r="G45" s="109"/>
      <c r="H45" s="110" t="s">
        <v>129</v>
      </c>
      <c r="I45" s="97">
        <f>SUM(I43,I29)</f>
        <v>456206.05</v>
      </c>
      <c r="N45" s="480" t="s">
        <v>55</v>
      </c>
      <c r="O45" s="480"/>
      <c r="P45" s="480"/>
      <c r="Q45" s="480"/>
      <c r="R45" s="36">
        <f>R43+T29</f>
        <v>95.37</v>
      </c>
      <c r="S45" s="508" t="s">
        <v>53</v>
      </c>
      <c r="T45" s="508"/>
      <c r="U45" s="111">
        <f>SUM(U43,U29)</f>
        <v>456663</v>
      </c>
    </row>
    <row r="46" spans="1:21" hidden="1" x14ac:dyDescent="0.25">
      <c r="A46" s="27"/>
      <c r="B46" s="27"/>
      <c r="C46" s="27"/>
      <c r="D46" s="27"/>
      <c r="E46" s="27"/>
      <c r="F46" s="35"/>
      <c r="G46" s="28"/>
      <c r="H46" s="28"/>
      <c r="I46" s="104"/>
      <c r="N46" s="29"/>
      <c r="O46" s="29"/>
      <c r="P46" s="29"/>
      <c r="Q46" s="29"/>
      <c r="R46" s="36"/>
      <c r="S46" s="31"/>
      <c r="T46" s="31"/>
      <c r="U46" s="106"/>
    </row>
    <row r="47" spans="1:21" x14ac:dyDescent="0.25">
      <c r="A47" s="27"/>
      <c r="B47" s="55" t="s">
        <v>370</v>
      </c>
      <c r="C47" s="372" t="s">
        <v>370</v>
      </c>
      <c r="D47" s="372" t="s">
        <v>370</v>
      </c>
      <c r="E47" s="27"/>
      <c r="F47" s="35"/>
      <c r="G47" s="28"/>
      <c r="H47" s="28"/>
      <c r="I47" s="104"/>
      <c r="N47" s="29"/>
      <c r="O47" s="29"/>
      <c r="P47" s="29"/>
      <c r="Q47" s="29"/>
      <c r="R47" s="36"/>
      <c r="S47" s="31"/>
      <c r="T47" s="31"/>
      <c r="U47" s="106"/>
    </row>
    <row r="48" spans="1:21" x14ac:dyDescent="0.25">
      <c r="A48" s="27"/>
      <c r="B48" s="27"/>
      <c r="C48" s="91" t="s">
        <v>463</v>
      </c>
      <c r="D48" s="371" t="s">
        <v>464</v>
      </c>
      <c r="E48" s="92" t="s">
        <v>8</v>
      </c>
      <c r="F48" s="49" t="s">
        <v>130</v>
      </c>
      <c r="G48" s="112" t="s">
        <v>132</v>
      </c>
      <c r="H48" s="113" t="s">
        <v>133</v>
      </c>
      <c r="I48" s="104"/>
      <c r="N48" s="29"/>
      <c r="O48" s="29"/>
      <c r="P48" s="29"/>
      <c r="Q48" s="29"/>
      <c r="R48" s="36"/>
      <c r="S48" s="31"/>
      <c r="T48" s="31"/>
      <c r="U48" s="106"/>
    </row>
    <row r="49" spans="1:21" x14ac:dyDescent="0.25">
      <c r="A49" s="37" t="s">
        <v>87</v>
      </c>
      <c r="B49" s="37"/>
      <c r="C49" s="362" t="s">
        <v>2</v>
      </c>
      <c r="D49" s="362" t="s">
        <v>2</v>
      </c>
      <c r="E49" s="362" t="s">
        <v>2</v>
      </c>
      <c r="F49" s="95" t="s">
        <v>131</v>
      </c>
      <c r="G49" s="62" t="s">
        <v>131</v>
      </c>
      <c r="H49" s="114" t="s">
        <v>134</v>
      </c>
      <c r="I49" s="37"/>
      <c r="N49" s="482" t="s">
        <v>87</v>
      </c>
      <c r="O49" s="482"/>
      <c r="P49" s="503" t="s">
        <v>2</v>
      </c>
      <c r="Q49" s="503"/>
      <c r="R49" s="38" t="s">
        <v>25</v>
      </c>
      <c r="S49" s="63" t="s">
        <v>26</v>
      </c>
      <c r="T49" s="115" t="s">
        <v>27</v>
      </c>
      <c r="U49" s="38"/>
    </row>
    <row r="50" spans="1:21" x14ac:dyDescent="0.25">
      <c r="A50" s="459" t="s">
        <v>98</v>
      </c>
      <c r="B50" s="459"/>
      <c r="C50" s="165">
        <v>0</v>
      </c>
      <c r="D50" s="165">
        <v>0</v>
      </c>
      <c r="E50" s="125">
        <f>IF(D$59=0,C50*2,C50+D50)</f>
        <v>0</v>
      </c>
      <c r="F50" s="39" t="s">
        <v>21</v>
      </c>
      <c r="G50" s="39">
        <v>251</v>
      </c>
      <c r="H50" s="321">
        <f>'0664'!H50</f>
        <v>1047</v>
      </c>
      <c r="I50" s="104">
        <f>ROUND(E50*H50,2)</f>
        <v>0</v>
      </c>
      <c r="N50" s="504" t="s">
        <v>28</v>
      </c>
      <c r="O50" s="504"/>
      <c r="P50" s="505"/>
      <c r="Q50" s="505"/>
      <c r="R50" s="40" t="s">
        <v>21</v>
      </c>
      <c r="S50" s="40">
        <v>251</v>
      </c>
      <c r="T50" s="117">
        <f>H50</f>
        <v>1047</v>
      </c>
      <c r="U50" s="118">
        <f>ROUND(P50*T50,0)</f>
        <v>0</v>
      </c>
    </row>
    <row r="51" spans="1:21" x14ac:dyDescent="0.25">
      <c r="A51" s="460"/>
      <c r="B51" s="460"/>
      <c r="C51" s="165">
        <v>0</v>
      </c>
      <c r="D51" s="165">
        <v>0</v>
      </c>
      <c r="E51" s="125">
        <f t="shared" ref="E51:E58" si="10">IF(D$59=0,C51*2,C51+D51)</f>
        <v>0</v>
      </c>
      <c r="F51" s="39" t="s">
        <v>21</v>
      </c>
      <c r="G51" s="39">
        <v>252</v>
      </c>
      <c r="H51" s="321">
        <f>'0664'!H51</f>
        <v>3380</v>
      </c>
      <c r="I51" s="104">
        <f t="shared" ref="I51:I58" si="11">ROUND(E51*H51,2)</f>
        <v>0</v>
      </c>
      <c r="N51" s="504"/>
      <c r="O51" s="504"/>
      <c r="P51" s="506"/>
      <c r="Q51" s="506"/>
      <c r="R51" s="40" t="s">
        <v>21</v>
      </c>
      <c r="S51" s="40">
        <v>252</v>
      </c>
      <c r="T51" s="117">
        <f t="shared" ref="T51:T58" si="12">H51</f>
        <v>3380</v>
      </c>
      <c r="U51" s="118">
        <f t="shared" ref="U51:U58" si="13">ROUND(P51*T51,0)</f>
        <v>0</v>
      </c>
    </row>
    <row r="52" spans="1:21" x14ac:dyDescent="0.25">
      <c r="A52" s="460"/>
      <c r="B52" s="460"/>
      <c r="C52" s="165">
        <v>0</v>
      </c>
      <c r="D52" s="165">
        <v>0</v>
      </c>
      <c r="E52" s="125">
        <f t="shared" si="10"/>
        <v>0</v>
      </c>
      <c r="F52" s="39" t="s">
        <v>21</v>
      </c>
      <c r="G52" s="39">
        <v>253</v>
      </c>
      <c r="H52" s="321">
        <f>'0664'!H52</f>
        <v>6896</v>
      </c>
      <c r="I52" s="104">
        <f t="shared" si="11"/>
        <v>0</v>
      </c>
      <c r="N52" s="504"/>
      <c r="O52" s="504"/>
      <c r="P52" s="506"/>
      <c r="Q52" s="506"/>
      <c r="R52" s="40" t="s">
        <v>21</v>
      </c>
      <c r="S52" s="40">
        <v>253</v>
      </c>
      <c r="T52" s="117">
        <f t="shared" si="12"/>
        <v>6896</v>
      </c>
      <c r="U52" s="118">
        <f t="shared" si="13"/>
        <v>0</v>
      </c>
    </row>
    <row r="53" spans="1:21" x14ac:dyDescent="0.25">
      <c r="A53" s="460"/>
      <c r="B53" s="460"/>
      <c r="C53" s="165">
        <v>0</v>
      </c>
      <c r="D53" s="165">
        <v>0</v>
      </c>
      <c r="E53" s="125">
        <f t="shared" si="10"/>
        <v>0</v>
      </c>
      <c r="F53" s="41" t="s">
        <v>14</v>
      </c>
      <c r="G53" s="39">
        <v>251</v>
      </c>
      <c r="H53" s="321">
        <f>'0664'!H53</f>
        <v>1173</v>
      </c>
      <c r="I53" s="104">
        <f t="shared" si="11"/>
        <v>0</v>
      </c>
      <c r="N53" s="504"/>
      <c r="O53" s="504"/>
      <c r="P53" s="506"/>
      <c r="Q53" s="506"/>
      <c r="R53" s="42" t="s">
        <v>14</v>
      </c>
      <c r="S53" s="40">
        <v>251</v>
      </c>
      <c r="T53" s="117">
        <f t="shared" si="12"/>
        <v>1173</v>
      </c>
      <c r="U53" s="118">
        <f t="shared" si="13"/>
        <v>0</v>
      </c>
    </row>
    <row r="54" spans="1:21" x14ac:dyDescent="0.25">
      <c r="A54" s="460"/>
      <c r="B54" s="460"/>
      <c r="C54" s="165">
        <v>0</v>
      </c>
      <c r="D54" s="165">
        <v>0</v>
      </c>
      <c r="E54" s="125">
        <f t="shared" si="10"/>
        <v>0</v>
      </c>
      <c r="F54" s="41" t="s">
        <v>14</v>
      </c>
      <c r="G54" s="39">
        <v>252</v>
      </c>
      <c r="H54" s="321">
        <f>'0664'!H54</f>
        <v>3506</v>
      </c>
      <c r="I54" s="104">
        <f t="shared" si="11"/>
        <v>0</v>
      </c>
      <c r="N54" s="504"/>
      <c r="O54" s="504"/>
      <c r="P54" s="506"/>
      <c r="Q54" s="506"/>
      <c r="R54" s="42" t="s">
        <v>14</v>
      </c>
      <c r="S54" s="40">
        <v>252</v>
      </c>
      <c r="T54" s="117">
        <f t="shared" si="12"/>
        <v>3506</v>
      </c>
      <c r="U54" s="118">
        <f t="shared" si="13"/>
        <v>0</v>
      </c>
    </row>
    <row r="55" spans="1:21" x14ac:dyDescent="0.25">
      <c r="A55" s="460"/>
      <c r="B55" s="460"/>
      <c r="C55" s="165">
        <v>0</v>
      </c>
      <c r="D55" s="165">
        <v>0</v>
      </c>
      <c r="E55" s="125">
        <f t="shared" si="10"/>
        <v>0</v>
      </c>
      <c r="F55" s="41" t="s">
        <v>14</v>
      </c>
      <c r="G55" s="39">
        <v>253</v>
      </c>
      <c r="H55" s="321">
        <f>'0664'!H55</f>
        <v>7023</v>
      </c>
      <c r="I55" s="104">
        <f t="shared" si="11"/>
        <v>0</v>
      </c>
      <c r="N55" s="504"/>
      <c r="O55" s="504"/>
      <c r="P55" s="506"/>
      <c r="Q55" s="506"/>
      <c r="R55" s="42" t="s">
        <v>14</v>
      </c>
      <c r="S55" s="40">
        <v>253</v>
      </c>
      <c r="T55" s="117">
        <f t="shared" si="12"/>
        <v>7023</v>
      </c>
      <c r="U55" s="118">
        <f t="shared" si="13"/>
        <v>0</v>
      </c>
    </row>
    <row r="56" spans="1:21" x14ac:dyDescent="0.25">
      <c r="A56" s="460"/>
      <c r="B56" s="460"/>
      <c r="C56" s="165">
        <v>0</v>
      </c>
      <c r="D56" s="165">
        <v>0</v>
      </c>
      <c r="E56" s="125">
        <f t="shared" si="10"/>
        <v>0</v>
      </c>
      <c r="F56" s="41" t="s">
        <v>15</v>
      </c>
      <c r="G56" s="39">
        <v>251</v>
      </c>
      <c r="H56" s="321">
        <f>'0664'!H56</f>
        <v>835</v>
      </c>
      <c r="I56" s="104">
        <f t="shared" si="11"/>
        <v>0</v>
      </c>
      <c r="N56" s="504"/>
      <c r="O56" s="504"/>
      <c r="P56" s="506"/>
      <c r="Q56" s="506"/>
      <c r="R56" s="42" t="s">
        <v>15</v>
      </c>
      <c r="S56" s="40">
        <v>251</v>
      </c>
      <c r="T56" s="117">
        <f t="shared" si="12"/>
        <v>835</v>
      </c>
      <c r="U56" s="118">
        <f t="shared" si="13"/>
        <v>0</v>
      </c>
    </row>
    <row r="57" spans="1:21" x14ac:dyDescent="0.25">
      <c r="A57" s="460"/>
      <c r="B57" s="460"/>
      <c r="C57" s="165">
        <v>24.92</v>
      </c>
      <c r="D57" s="165">
        <v>25.72</v>
      </c>
      <c r="E57" s="125">
        <f t="shared" si="10"/>
        <v>50.64</v>
      </c>
      <c r="F57" s="41" t="s">
        <v>15</v>
      </c>
      <c r="G57" s="39">
        <v>252</v>
      </c>
      <c r="H57" s="321">
        <f>'0664'!H57</f>
        <v>3168</v>
      </c>
      <c r="I57" s="104">
        <f t="shared" si="11"/>
        <v>160427.51999999999</v>
      </c>
      <c r="N57" s="504"/>
      <c r="O57" s="504"/>
      <c r="P57" s="506"/>
      <c r="Q57" s="506"/>
      <c r="R57" s="42" t="s">
        <v>15</v>
      </c>
      <c r="S57" s="40">
        <v>252</v>
      </c>
      <c r="T57" s="117">
        <f t="shared" si="12"/>
        <v>3168</v>
      </c>
      <c r="U57" s="118">
        <f t="shared" si="13"/>
        <v>0</v>
      </c>
    </row>
    <row r="58" spans="1:21" ht="16.5" thickBot="1" x14ac:dyDescent="0.3">
      <c r="A58" s="460"/>
      <c r="B58" s="460"/>
      <c r="C58" s="165">
        <v>22.01</v>
      </c>
      <c r="D58" s="165">
        <v>22.72</v>
      </c>
      <c r="E58" s="125">
        <f t="shared" si="10"/>
        <v>44.730000000000004</v>
      </c>
      <c r="F58" s="41" t="s">
        <v>15</v>
      </c>
      <c r="G58" s="39">
        <v>253</v>
      </c>
      <c r="H58" s="321">
        <f>'0664'!H58</f>
        <v>6685</v>
      </c>
      <c r="I58" s="104">
        <f t="shared" si="11"/>
        <v>299020.05</v>
      </c>
      <c r="N58" s="504"/>
      <c r="O58" s="504"/>
      <c r="P58" s="507"/>
      <c r="Q58" s="507"/>
      <c r="R58" s="42" t="s">
        <v>15</v>
      </c>
      <c r="S58" s="40">
        <v>253</v>
      </c>
      <c r="T58" s="117">
        <f t="shared" si="12"/>
        <v>6685</v>
      </c>
      <c r="U58" s="120">
        <f t="shared" si="13"/>
        <v>0</v>
      </c>
    </row>
    <row r="59" spans="1:21" ht="16.5" thickBot="1" x14ac:dyDescent="0.3">
      <c r="A59" s="461" t="s">
        <v>16</v>
      </c>
      <c r="B59" s="461"/>
      <c r="C59" s="100">
        <f>SUM(C50:C58)</f>
        <v>46.930000000000007</v>
      </c>
      <c r="D59" s="100">
        <f>SUM(D50:D58)</f>
        <v>48.44</v>
      </c>
      <c r="E59" s="100">
        <f>SUM(E50:E58)</f>
        <v>95.37</v>
      </c>
      <c r="F59" s="461" t="s">
        <v>77</v>
      </c>
      <c r="G59" s="461"/>
      <c r="H59" s="461"/>
      <c r="I59" s="100">
        <f>SUM(I50:I58)</f>
        <v>459447.56999999995</v>
      </c>
      <c r="N59" s="480" t="s">
        <v>16</v>
      </c>
      <c r="O59" s="480"/>
      <c r="P59" s="502">
        <f>SUM(P50:P58)</f>
        <v>0</v>
      </c>
      <c r="Q59" s="502"/>
      <c r="R59" s="480" t="s">
        <v>77</v>
      </c>
      <c r="S59" s="480"/>
      <c r="T59" s="480"/>
      <c r="U59" s="111">
        <f>SUM(U50:U58)</f>
        <v>0</v>
      </c>
    </row>
    <row r="60" spans="1:21" x14ac:dyDescent="0.25">
      <c r="A60" s="462"/>
      <c r="B60" s="462"/>
      <c r="C60" s="462"/>
      <c r="D60" s="462"/>
      <c r="E60" s="462"/>
      <c r="F60" s="462"/>
      <c r="G60" s="462"/>
      <c r="H60" s="462"/>
      <c r="I60" s="462"/>
      <c r="N60" s="484"/>
      <c r="O60" s="484"/>
      <c r="P60" s="484"/>
      <c r="Q60" s="484"/>
      <c r="R60" s="484"/>
      <c r="S60" s="484"/>
      <c r="T60" s="484"/>
      <c r="U60" s="484"/>
    </row>
    <row r="61" spans="1:21" x14ac:dyDescent="0.25">
      <c r="A61" s="463" t="s">
        <v>136</v>
      </c>
      <c r="B61" s="453"/>
      <c r="C61" s="453"/>
      <c r="D61" s="453"/>
      <c r="E61" s="453"/>
      <c r="F61" s="453"/>
      <c r="G61" s="453"/>
      <c r="H61" s="453"/>
      <c r="I61" s="453"/>
      <c r="N61" s="479" t="s">
        <v>88</v>
      </c>
      <c r="O61" s="479"/>
      <c r="P61" s="479"/>
      <c r="Q61" s="479"/>
      <c r="R61" s="479"/>
      <c r="S61" s="479"/>
      <c r="T61" s="479"/>
      <c r="U61" s="479"/>
    </row>
    <row r="62" spans="1:21" x14ac:dyDescent="0.25">
      <c r="A62" s="463" t="s">
        <v>138</v>
      </c>
      <c r="B62" s="453"/>
      <c r="C62" s="121">
        <f>E29</f>
        <v>95.37</v>
      </c>
      <c r="D62" s="464" t="s">
        <v>135</v>
      </c>
      <c r="E62" s="464"/>
      <c r="F62" s="464"/>
      <c r="G62" s="464"/>
      <c r="H62" s="335">
        <f>'0664'!H62</f>
        <v>193340.76</v>
      </c>
      <c r="I62" s="122"/>
      <c r="N62" s="478" t="s">
        <v>312</v>
      </c>
      <c r="O62" s="479"/>
      <c r="P62" s="43">
        <f>P29</f>
        <v>95.37</v>
      </c>
      <c r="Q62" s="498" t="s">
        <v>78</v>
      </c>
      <c r="R62" s="498"/>
      <c r="S62" s="498"/>
      <c r="T62" s="497">
        <f>H62</f>
        <v>193340.76</v>
      </c>
      <c r="U62" s="497"/>
    </row>
    <row r="63" spans="1:21" x14ac:dyDescent="0.25">
      <c r="B63" s="72"/>
      <c r="G63" s="44" t="s">
        <v>13</v>
      </c>
      <c r="H63" s="123">
        <f>ROUND(C62/H62,6)</f>
        <v>4.9299999999999995E-4</v>
      </c>
      <c r="I63" s="124"/>
      <c r="N63" s="479" t="s">
        <v>19</v>
      </c>
      <c r="O63" s="479"/>
      <c r="P63" s="479"/>
      <c r="Q63" s="479"/>
      <c r="R63" s="479"/>
      <c r="S63" s="479"/>
      <c r="T63" s="501">
        <f>ROUND(P62/T62,6)</f>
        <v>4.9299999999999995E-4</v>
      </c>
      <c r="U63" s="501"/>
    </row>
    <row r="64" spans="1:21" x14ac:dyDescent="0.25">
      <c r="A64" s="463" t="s">
        <v>137</v>
      </c>
      <c r="B64" s="453"/>
      <c r="C64" s="453"/>
      <c r="D64" s="453"/>
      <c r="E64" s="453"/>
      <c r="F64" s="453"/>
      <c r="G64" s="453"/>
      <c r="H64" s="453"/>
      <c r="I64" s="453"/>
      <c r="N64" s="479" t="s">
        <v>89</v>
      </c>
      <c r="O64" s="479"/>
      <c r="P64" s="479"/>
      <c r="Q64" s="479"/>
      <c r="R64" s="479"/>
      <c r="S64" s="479"/>
      <c r="T64" s="479"/>
      <c r="U64" s="479"/>
    </row>
    <row r="65" spans="1:21" x14ac:dyDescent="0.25">
      <c r="A65" s="463" t="s">
        <v>139</v>
      </c>
      <c r="B65" s="453"/>
      <c r="C65" s="121">
        <f>E45</f>
        <v>95.274600000000007</v>
      </c>
      <c r="D65" s="464" t="s">
        <v>140</v>
      </c>
      <c r="E65" s="464"/>
      <c r="F65" s="464"/>
      <c r="G65" s="464"/>
      <c r="H65" s="336">
        <f>'0664'!H65</f>
        <v>216845.88</v>
      </c>
      <c r="I65" s="125"/>
      <c r="N65" s="479" t="s">
        <v>80</v>
      </c>
      <c r="O65" s="479"/>
      <c r="P65" s="43">
        <f>R45</f>
        <v>95.37</v>
      </c>
      <c r="Q65" s="498" t="s">
        <v>79</v>
      </c>
      <c r="R65" s="498"/>
      <c r="S65" s="498"/>
      <c r="T65" s="497">
        <f>H65</f>
        <v>216845.88</v>
      </c>
      <c r="U65" s="497"/>
    </row>
    <row r="66" spans="1:21" s="37" customFormat="1" x14ac:dyDescent="0.25">
      <c r="A66" s="126"/>
      <c r="G66" s="45" t="s">
        <v>13</v>
      </c>
      <c r="H66" s="127">
        <f>ROUND(C65/H65,6)</f>
        <v>4.3899999999999999E-4</v>
      </c>
      <c r="I66" s="127"/>
      <c r="N66" s="482" t="s">
        <v>20</v>
      </c>
      <c r="O66" s="482"/>
      <c r="P66" s="482"/>
      <c r="Q66" s="482"/>
      <c r="R66" s="482"/>
      <c r="S66" s="482"/>
      <c r="T66" s="500">
        <f>ROUND(P65/T65,6)</f>
        <v>4.4000000000000002E-4</v>
      </c>
      <c r="U66" s="500"/>
    </row>
    <row r="67" spans="1:21" x14ac:dyDescent="0.25">
      <c r="G67" s="44"/>
      <c r="H67" s="123"/>
      <c r="I67" s="123"/>
      <c r="N67" s="48"/>
      <c r="O67" s="48"/>
      <c r="P67" s="48"/>
      <c r="Q67" s="48"/>
      <c r="R67" s="128"/>
      <c r="S67" s="48"/>
      <c r="T67" s="129"/>
      <c r="U67" s="130"/>
    </row>
    <row r="68" spans="1:21" x14ac:dyDescent="0.25">
      <c r="A68" s="453" t="s">
        <v>85</v>
      </c>
      <c r="B68" s="453"/>
      <c r="C68" s="453"/>
      <c r="D68" s="72"/>
      <c r="E68" s="46" t="s">
        <v>3</v>
      </c>
      <c r="F68" s="337">
        <f>'0664'!F68</f>
        <v>42465042</v>
      </c>
      <c r="G68" s="39" t="s">
        <v>6</v>
      </c>
      <c r="H68" s="131">
        <f>H63</f>
        <v>4.9299999999999995E-4</v>
      </c>
      <c r="I68" s="104">
        <f>ROUND(F68*H68,2)</f>
        <v>20935.27</v>
      </c>
      <c r="N68" s="479" t="s">
        <v>85</v>
      </c>
      <c r="O68" s="479"/>
      <c r="P68" s="479"/>
      <c r="Q68" s="47"/>
      <c r="R68" s="132">
        <f>F68</f>
        <v>42465042</v>
      </c>
      <c r="S68" s="40" t="s">
        <v>6</v>
      </c>
      <c r="T68" s="133">
        <f>T63</f>
        <v>4.9299999999999995E-4</v>
      </c>
      <c r="U68" s="99">
        <f>ROUND(R68*T68,0)</f>
        <v>20935</v>
      </c>
    </row>
    <row r="69" spans="1:21" x14ac:dyDescent="0.25">
      <c r="A69" s="458" t="s">
        <v>96</v>
      </c>
      <c r="B69" s="453"/>
      <c r="C69" s="453"/>
      <c r="D69" s="72"/>
      <c r="E69" s="46"/>
      <c r="F69" s="136"/>
      <c r="G69" s="39"/>
      <c r="H69" s="131"/>
      <c r="I69" s="104"/>
      <c r="N69" s="479" t="s">
        <v>84</v>
      </c>
      <c r="O69" s="479"/>
      <c r="P69" s="479"/>
      <c r="Q69" s="54"/>
      <c r="R69" s="54"/>
      <c r="S69" s="54"/>
      <c r="T69" s="54"/>
      <c r="U69" s="54"/>
    </row>
    <row r="70" spans="1:21" x14ac:dyDescent="0.25">
      <c r="A70" s="465" t="s">
        <v>141</v>
      </c>
      <c r="B70" s="453"/>
      <c r="C70" s="453"/>
      <c r="D70" s="72"/>
      <c r="E70" s="46" t="s">
        <v>3</v>
      </c>
      <c r="F70" s="337">
        <f>'0664'!F70</f>
        <v>0</v>
      </c>
      <c r="G70" s="39" t="s">
        <v>6</v>
      </c>
      <c r="H70" s="131">
        <f>H63</f>
        <v>4.9299999999999995E-4</v>
      </c>
      <c r="I70" s="104">
        <f>ROUND(F70*H70,2)</f>
        <v>0</v>
      </c>
      <c r="N70" s="48"/>
      <c r="O70" s="48"/>
      <c r="P70" s="48"/>
      <c r="Q70" s="47"/>
      <c r="R70" s="132">
        <f>F70</f>
        <v>0</v>
      </c>
      <c r="S70" s="40" t="s">
        <v>6</v>
      </c>
      <c r="T70" s="133">
        <f>T63</f>
        <v>4.9299999999999995E-4</v>
      </c>
      <c r="U70" s="99">
        <f>ROUND(R70*T70,0)</f>
        <v>0</v>
      </c>
    </row>
    <row r="71" spans="1:21" x14ac:dyDescent="0.25">
      <c r="A71" s="463" t="s">
        <v>433</v>
      </c>
      <c r="B71" s="453"/>
      <c r="C71" s="453"/>
      <c r="D71" s="72"/>
      <c r="E71" s="46" t="s">
        <v>3</v>
      </c>
      <c r="F71" s="337">
        <f>'0664'!F71</f>
        <v>13414654</v>
      </c>
      <c r="G71" s="39" t="s">
        <v>6</v>
      </c>
      <c r="H71" s="131">
        <f>H63</f>
        <v>4.9299999999999995E-4</v>
      </c>
      <c r="I71" s="104">
        <f>ROUND(F71*H71,2)</f>
        <v>6613.42</v>
      </c>
      <c r="N71" s="479" t="s">
        <v>83</v>
      </c>
      <c r="O71" s="479"/>
      <c r="P71" s="479"/>
      <c r="Q71" s="47"/>
      <c r="R71" s="132">
        <f>F71</f>
        <v>13414654</v>
      </c>
      <c r="S71" s="40" t="s">
        <v>6</v>
      </c>
      <c r="T71" s="133">
        <f>T63</f>
        <v>4.9299999999999995E-4</v>
      </c>
      <c r="U71" s="99">
        <f>ROUND(R71*T71,0)</f>
        <v>6613</v>
      </c>
    </row>
    <row r="72" spans="1:21" x14ac:dyDescent="0.25">
      <c r="A72" s="463" t="s">
        <v>434</v>
      </c>
      <c r="B72" s="453"/>
      <c r="C72" s="453"/>
      <c r="D72" s="72"/>
      <c r="E72" s="46" t="s">
        <v>3</v>
      </c>
      <c r="F72" s="337">
        <f>'0664'!F72</f>
        <v>14708421</v>
      </c>
      <c r="G72" s="39" t="s">
        <v>6</v>
      </c>
      <c r="H72" s="131">
        <f>H63</f>
        <v>4.9299999999999995E-4</v>
      </c>
      <c r="I72" s="104">
        <f>ROUND(F72*H72,2)</f>
        <v>7251.25</v>
      </c>
      <c r="N72" s="479" t="s">
        <v>82</v>
      </c>
      <c r="O72" s="479"/>
      <c r="P72" s="479"/>
      <c r="Q72" s="47"/>
      <c r="R72" s="134">
        <f>F72</f>
        <v>14708421</v>
      </c>
      <c r="S72" s="40" t="s">
        <v>6</v>
      </c>
      <c r="T72" s="133">
        <f>T63</f>
        <v>4.9299999999999995E-4</v>
      </c>
      <c r="U72" s="99">
        <f>ROUND(R72*T72,0)</f>
        <v>7251</v>
      </c>
    </row>
    <row r="73" spans="1:21" x14ac:dyDescent="0.25">
      <c r="A73" s="263" t="s">
        <v>99</v>
      </c>
      <c r="D73" s="72"/>
      <c r="E73" s="41" t="s">
        <v>353</v>
      </c>
      <c r="F73" s="466"/>
      <c r="G73" s="466"/>
      <c r="H73" s="466"/>
      <c r="I73" s="104">
        <v>0</v>
      </c>
      <c r="N73" s="499" t="s">
        <v>118</v>
      </c>
      <c r="O73" s="499"/>
      <c r="P73" s="499"/>
      <c r="Q73" s="499"/>
      <c r="R73" s="499"/>
      <c r="S73" s="499"/>
      <c r="T73" s="499"/>
      <c r="U73" s="99">
        <f>IF($H$120=1,I73,0)</f>
        <v>0</v>
      </c>
    </row>
    <row r="74" spans="1:21" x14ac:dyDescent="0.25">
      <c r="A74" s="264" t="s">
        <v>142</v>
      </c>
      <c r="I74" s="104"/>
      <c r="N74" s="499" t="s">
        <v>43</v>
      </c>
      <c r="O74" s="499"/>
      <c r="P74" s="499"/>
      <c r="Q74" s="499"/>
      <c r="R74" s="499"/>
      <c r="S74" s="499"/>
      <c r="T74" s="499"/>
      <c r="U74" s="99">
        <f>IF($H$120=1,I74,0)</f>
        <v>0</v>
      </c>
    </row>
    <row r="75" spans="1:21" x14ac:dyDescent="0.25">
      <c r="A75" s="324" t="s">
        <v>101</v>
      </c>
      <c r="B75" s="72"/>
      <c r="C75" s="72"/>
      <c r="D75" s="72"/>
      <c r="E75" s="72"/>
      <c r="F75" s="72"/>
      <c r="G75" s="72"/>
      <c r="H75" s="72"/>
      <c r="I75" s="135"/>
      <c r="N75" s="382" t="s">
        <v>44</v>
      </c>
      <c r="O75" s="48"/>
      <c r="P75" s="48"/>
      <c r="Q75" s="48"/>
      <c r="R75" s="48"/>
      <c r="S75" s="48"/>
      <c r="T75" s="48"/>
      <c r="U75" s="106"/>
    </row>
    <row r="76" spans="1:21" x14ac:dyDescent="0.25">
      <c r="A76" s="463" t="s">
        <v>435</v>
      </c>
      <c r="B76" s="453"/>
      <c r="C76" s="453"/>
      <c r="D76" s="72"/>
      <c r="E76" s="46" t="s">
        <v>3</v>
      </c>
      <c r="F76" s="337">
        <f>'0664'!F76</f>
        <v>8720092</v>
      </c>
      <c r="G76" s="39" t="s">
        <v>6</v>
      </c>
      <c r="H76" s="131">
        <f>H63</f>
        <v>4.9299999999999995E-4</v>
      </c>
      <c r="I76" s="104">
        <f t="shared" ref="I76:I85" si="14">ROUND(F76*H76,2)</f>
        <v>4299.01</v>
      </c>
      <c r="N76" s="478" t="s">
        <v>366</v>
      </c>
      <c r="O76" s="479"/>
      <c r="P76" s="479"/>
      <c r="Q76" s="47"/>
      <c r="R76" s="134">
        <f t="shared" ref="R76:R85" si="15">F76</f>
        <v>8720092</v>
      </c>
      <c r="S76" s="40" t="s">
        <v>6</v>
      </c>
      <c r="T76" s="133">
        <f>T63</f>
        <v>4.9299999999999995E-4</v>
      </c>
      <c r="U76" s="99">
        <f t="shared" ref="U76:U85" si="16">ROUND(R76*T76,0)</f>
        <v>4299</v>
      </c>
    </row>
    <row r="77" spans="1:21" x14ac:dyDescent="0.25">
      <c r="A77" s="463" t="s">
        <v>436</v>
      </c>
      <c r="B77" s="453"/>
      <c r="C77" s="453"/>
      <c r="D77" s="72"/>
      <c r="E77" s="46" t="s">
        <v>3</v>
      </c>
      <c r="F77" s="337">
        <f>'0664'!F77</f>
        <v>0</v>
      </c>
      <c r="G77" s="39" t="s">
        <v>6</v>
      </c>
      <c r="H77" s="131">
        <f>H63</f>
        <v>4.9299999999999995E-4</v>
      </c>
      <c r="I77" s="104">
        <f t="shared" si="14"/>
        <v>0</v>
      </c>
      <c r="N77" s="479" t="s">
        <v>367</v>
      </c>
      <c r="O77" s="479"/>
      <c r="P77" s="479"/>
      <c r="Q77" s="47"/>
      <c r="R77" s="134">
        <f t="shared" si="15"/>
        <v>0</v>
      </c>
      <c r="S77" s="40" t="s">
        <v>6</v>
      </c>
      <c r="T77" s="133">
        <f>T63</f>
        <v>4.9299999999999995E-4</v>
      </c>
      <c r="U77" s="99">
        <f t="shared" si="16"/>
        <v>0</v>
      </c>
    </row>
    <row r="78" spans="1:21" x14ac:dyDescent="0.25">
      <c r="A78" s="463" t="s">
        <v>437</v>
      </c>
      <c r="B78" s="453"/>
      <c r="C78" s="453"/>
      <c r="D78" s="72"/>
      <c r="E78" s="46" t="s">
        <v>4</v>
      </c>
      <c r="F78" s="337">
        <f>'0664'!F78</f>
        <v>0</v>
      </c>
      <c r="G78" s="39" t="s">
        <v>6</v>
      </c>
      <c r="H78" s="131">
        <f>H66</f>
        <v>4.3899999999999999E-4</v>
      </c>
      <c r="I78" s="104">
        <f t="shared" si="14"/>
        <v>0</v>
      </c>
      <c r="N78" s="478" t="s">
        <v>392</v>
      </c>
      <c r="O78" s="479"/>
      <c r="P78" s="479"/>
      <c r="Q78" s="47"/>
      <c r="R78" s="134">
        <f t="shared" si="15"/>
        <v>0</v>
      </c>
      <c r="S78" s="40" t="s">
        <v>6</v>
      </c>
      <c r="T78" s="133">
        <f>T66</f>
        <v>4.4000000000000002E-4</v>
      </c>
      <c r="U78" s="99">
        <f t="shared" si="16"/>
        <v>0</v>
      </c>
    </row>
    <row r="79" spans="1:21" x14ac:dyDescent="0.25">
      <c r="A79" s="463" t="s">
        <v>438</v>
      </c>
      <c r="B79" s="453"/>
      <c r="C79" s="453"/>
      <c r="D79" s="72"/>
      <c r="E79" s="46" t="s">
        <v>4</v>
      </c>
      <c r="F79" s="337">
        <f>'0664'!F79</f>
        <v>11278687</v>
      </c>
      <c r="G79" s="39" t="s">
        <v>6</v>
      </c>
      <c r="H79" s="131">
        <f>H66</f>
        <v>4.3899999999999999E-4</v>
      </c>
      <c r="I79" s="104">
        <f t="shared" si="14"/>
        <v>4951.34</v>
      </c>
      <c r="N79" s="478" t="s">
        <v>393</v>
      </c>
      <c r="O79" s="479"/>
      <c r="P79" s="479"/>
      <c r="Q79" s="47"/>
      <c r="R79" s="134">
        <f t="shared" si="15"/>
        <v>11278687</v>
      </c>
      <c r="S79" s="40" t="s">
        <v>6</v>
      </c>
      <c r="T79" s="133">
        <f>T66</f>
        <v>4.4000000000000002E-4</v>
      </c>
      <c r="U79" s="99">
        <f t="shared" si="16"/>
        <v>4963</v>
      </c>
    </row>
    <row r="80" spans="1:21" x14ac:dyDescent="0.25">
      <c r="A80" s="463" t="s">
        <v>439</v>
      </c>
      <c r="B80" s="453"/>
      <c r="C80" s="453"/>
      <c r="D80" s="72"/>
      <c r="E80" s="46" t="s">
        <v>4</v>
      </c>
      <c r="F80" s="337">
        <f>'0664'!F80</f>
        <v>206284749</v>
      </c>
      <c r="G80" s="39" t="s">
        <v>6</v>
      </c>
      <c r="H80" s="131">
        <f>H66</f>
        <v>4.3899999999999999E-4</v>
      </c>
      <c r="I80" s="104">
        <f t="shared" si="14"/>
        <v>90559</v>
      </c>
      <c r="N80" s="478" t="s">
        <v>397</v>
      </c>
      <c r="O80" s="479"/>
      <c r="P80" s="479"/>
      <c r="Q80" s="47"/>
      <c r="R80" s="134">
        <f t="shared" si="15"/>
        <v>206284749</v>
      </c>
      <c r="S80" s="40" t="s">
        <v>6</v>
      </c>
      <c r="T80" s="133">
        <f>T66</f>
        <v>4.4000000000000002E-4</v>
      </c>
      <c r="U80" s="99">
        <f t="shared" si="16"/>
        <v>90765</v>
      </c>
    </row>
    <row r="81" spans="1:21" x14ac:dyDescent="0.25">
      <c r="A81" s="84" t="s">
        <v>440</v>
      </c>
      <c r="B81" s="72"/>
      <c r="C81" s="72"/>
      <c r="D81" s="72"/>
      <c r="E81" s="46"/>
      <c r="F81" s="337"/>
      <c r="G81" s="39"/>
      <c r="H81" s="131"/>
      <c r="I81" s="104"/>
      <c r="N81" s="419" t="s">
        <v>440</v>
      </c>
      <c r="O81" s="48"/>
      <c r="P81" s="48"/>
      <c r="Q81" s="47"/>
      <c r="R81" s="423"/>
      <c r="S81" s="40"/>
      <c r="T81" s="133"/>
      <c r="U81" s="120"/>
    </row>
    <row r="82" spans="1:21" x14ac:dyDescent="0.25">
      <c r="A82" s="264" t="s">
        <v>441</v>
      </c>
      <c r="B82" s="72"/>
      <c r="C82" s="72"/>
      <c r="D82" s="72"/>
      <c r="E82" s="46" t="s">
        <v>442</v>
      </c>
      <c r="F82" s="337">
        <f>'0664'!F82</f>
        <v>0</v>
      </c>
      <c r="G82" s="39" t="s">
        <v>6</v>
      </c>
      <c r="H82" s="131">
        <f>H66</f>
        <v>4.3899999999999999E-4</v>
      </c>
      <c r="I82" s="104">
        <v>16054.95</v>
      </c>
      <c r="N82" s="422" t="s">
        <v>441</v>
      </c>
      <c r="O82" s="48"/>
      <c r="P82" s="48"/>
      <c r="Q82" s="47"/>
      <c r="R82" s="134">
        <f t="shared" si="15"/>
        <v>0</v>
      </c>
      <c r="S82" s="40"/>
      <c r="T82" s="133"/>
      <c r="U82" s="99">
        <f t="shared" si="16"/>
        <v>0</v>
      </c>
    </row>
    <row r="83" spans="1:21" x14ac:dyDescent="0.25">
      <c r="A83" s="264" t="s">
        <v>443</v>
      </c>
      <c r="B83" s="72"/>
      <c r="C83" s="72"/>
      <c r="D83" s="72"/>
      <c r="E83" s="46" t="s">
        <v>442</v>
      </c>
      <c r="F83" s="337">
        <f>'0664'!F83</f>
        <v>0</v>
      </c>
      <c r="G83" s="39" t="s">
        <v>6</v>
      </c>
      <c r="H83" s="131">
        <f>H66</f>
        <v>4.3899999999999999E-4</v>
      </c>
      <c r="I83" s="104">
        <v>7297.7</v>
      </c>
      <c r="N83" s="422" t="s">
        <v>443</v>
      </c>
      <c r="O83" s="48"/>
      <c r="P83" s="48"/>
      <c r="Q83" s="47"/>
      <c r="R83" s="134">
        <f t="shared" si="15"/>
        <v>0</v>
      </c>
      <c r="S83" s="40"/>
      <c r="T83" s="133"/>
      <c r="U83" s="99">
        <f t="shared" si="16"/>
        <v>0</v>
      </c>
    </row>
    <row r="84" spans="1:21" x14ac:dyDescent="0.25">
      <c r="A84" s="420" t="s">
        <v>444</v>
      </c>
      <c r="B84" s="72"/>
      <c r="C84" s="72"/>
      <c r="D84" s="72"/>
      <c r="E84" s="46"/>
      <c r="F84" s="337"/>
      <c r="G84" s="39"/>
      <c r="H84" s="131"/>
      <c r="I84" s="104">
        <f>I82+I83</f>
        <v>23352.65</v>
      </c>
      <c r="N84" s="421" t="s">
        <v>444</v>
      </c>
      <c r="O84" s="48"/>
      <c r="P84" s="48"/>
      <c r="Q84" s="47"/>
      <c r="R84" s="423"/>
      <c r="S84" s="40"/>
      <c r="T84" s="133"/>
      <c r="U84" s="99">
        <f>U82+U83</f>
        <v>0</v>
      </c>
    </row>
    <row r="85" spans="1:21" x14ac:dyDescent="0.25">
      <c r="A85" s="463" t="s">
        <v>398</v>
      </c>
      <c r="B85" s="453"/>
      <c r="C85" s="453"/>
      <c r="D85" s="72"/>
      <c r="E85" s="46" t="s">
        <v>4</v>
      </c>
      <c r="F85" s="337">
        <f>'0664'!F85</f>
        <v>0</v>
      </c>
      <c r="G85" s="39" t="s">
        <v>6</v>
      </c>
      <c r="H85" s="131">
        <f>H66</f>
        <v>4.3899999999999999E-4</v>
      </c>
      <c r="I85" s="104">
        <f t="shared" si="14"/>
        <v>0</v>
      </c>
      <c r="N85" s="478" t="s">
        <v>398</v>
      </c>
      <c r="O85" s="479"/>
      <c r="P85" s="479"/>
      <c r="Q85" s="47"/>
      <c r="R85" s="132">
        <f t="shared" si="15"/>
        <v>0</v>
      </c>
      <c r="S85" s="40" t="s">
        <v>6</v>
      </c>
      <c r="T85" s="133">
        <f>T66</f>
        <v>4.4000000000000002E-4</v>
      </c>
      <c r="U85" s="99">
        <f t="shared" si="16"/>
        <v>0</v>
      </c>
    </row>
    <row r="86" spans="1:21" x14ac:dyDescent="0.25">
      <c r="B86" s="72"/>
      <c r="C86" s="72"/>
      <c r="D86" s="72"/>
      <c r="E86" s="46"/>
      <c r="F86" s="136"/>
      <c r="G86" s="39"/>
      <c r="H86" s="131"/>
      <c r="I86" s="104"/>
      <c r="N86" s="48"/>
      <c r="O86" s="48"/>
      <c r="P86" s="48"/>
      <c r="Q86" s="47"/>
      <c r="R86" s="137"/>
      <c r="S86" s="40"/>
      <c r="T86" s="133"/>
      <c r="U86" s="106"/>
    </row>
    <row r="87" spans="1:21" x14ac:dyDescent="0.25">
      <c r="A87" s="463" t="s">
        <v>445</v>
      </c>
      <c r="B87" s="453"/>
      <c r="C87" s="453"/>
      <c r="D87" s="453"/>
      <c r="E87" s="453"/>
      <c r="F87" s="453"/>
      <c r="G87" s="453"/>
      <c r="H87" s="453"/>
      <c r="I87" s="453"/>
      <c r="N87" s="478" t="s">
        <v>429</v>
      </c>
      <c r="O87" s="479"/>
      <c r="P87" s="479"/>
      <c r="Q87" s="479"/>
      <c r="R87" s="479"/>
      <c r="S87" s="479"/>
      <c r="T87" s="479"/>
      <c r="U87" s="479"/>
    </row>
    <row r="88" spans="1:21" x14ac:dyDescent="0.25">
      <c r="B88" s="72"/>
      <c r="C88" s="466" t="s">
        <v>73</v>
      </c>
      <c r="D88" s="466"/>
      <c r="E88" s="72"/>
      <c r="F88" s="41" t="s">
        <v>37</v>
      </c>
      <c r="G88" s="72"/>
      <c r="H88" s="72"/>
      <c r="I88" s="72"/>
      <c r="N88" s="48"/>
      <c r="O88" s="48"/>
      <c r="P88" s="48"/>
      <c r="Q88" s="48"/>
      <c r="R88" s="48"/>
      <c r="S88" s="48"/>
      <c r="T88" s="48"/>
      <c r="U88" s="48"/>
    </row>
    <row r="89" spans="1:21" x14ac:dyDescent="0.25">
      <c r="A89" s="3"/>
      <c r="B89" s="138"/>
      <c r="C89" s="462" t="s">
        <v>144</v>
      </c>
      <c r="D89" s="462"/>
      <c r="E89" s="139" t="s">
        <v>150</v>
      </c>
      <c r="F89" s="140" t="s">
        <v>149</v>
      </c>
      <c r="G89" s="141"/>
      <c r="H89" s="141"/>
      <c r="I89" s="141"/>
      <c r="N89" s="495" t="s">
        <v>46</v>
      </c>
      <c r="O89" s="495"/>
      <c r="P89" s="496" t="s">
        <v>119</v>
      </c>
      <c r="Q89" s="496"/>
      <c r="R89" s="497" t="s">
        <v>40</v>
      </c>
      <c r="S89" s="497"/>
      <c r="T89" s="497"/>
      <c r="U89" s="497"/>
    </row>
    <row r="90" spans="1:21" x14ac:dyDescent="0.25">
      <c r="A90" s="27"/>
      <c r="B90" s="55" t="s">
        <v>148</v>
      </c>
      <c r="C90" s="467">
        <f>H13+H14+H19+H22+H25</f>
        <v>0</v>
      </c>
      <c r="D90" s="467"/>
      <c r="E90" s="49">
        <f>H8</f>
        <v>1.0438000000000001</v>
      </c>
      <c r="F90" s="338">
        <f>'0664'!F90</f>
        <v>957.94</v>
      </c>
      <c r="G90" s="41" t="s">
        <v>13</v>
      </c>
      <c r="H90" s="104">
        <f>ROUND(C90*E90*F90,2)</f>
        <v>0</v>
      </c>
      <c r="I90" s="107"/>
      <c r="N90" s="29" t="s">
        <v>22</v>
      </c>
      <c r="O90" s="50">
        <f>T13+T14+T19+T22+T25</f>
        <v>0</v>
      </c>
      <c r="P90" s="490">
        <f>T8</f>
        <v>1.0438000000000001</v>
      </c>
      <c r="Q90" s="490"/>
      <c r="R90" s="51">
        <f>F90</f>
        <v>957.94</v>
      </c>
      <c r="S90" s="42" t="s">
        <v>13</v>
      </c>
      <c r="T90" s="134">
        <f>ROUND(O90*P90*R90,0)</f>
        <v>0</v>
      </c>
      <c r="U90" s="105"/>
    </row>
    <row r="91" spans="1:21" x14ac:dyDescent="0.25">
      <c r="A91" s="52"/>
      <c r="B91" s="52" t="s">
        <v>147</v>
      </c>
      <c r="C91" s="467">
        <f>H15+H16+H20+H23+H26</f>
        <v>0</v>
      </c>
      <c r="D91" s="467"/>
      <c r="E91" s="49">
        <f>H8</f>
        <v>1.0438000000000001</v>
      </c>
      <c r="F91" s="338">
        <f>'0664'!F91</f>
        <v>914.63</v>
      </c>
      <c r="G91" s="41" t="s">
        <v>13</v>
      </c>
      <c r="H91" s="104">
        <f>ROUND(C91*E91*F91,2)</f>
        <v>0</v>
      </c>
      <c r="N91" s="53" t="s">
        <v>14</v>
      </c>
      <c r="O91" s="50">
        <f>T15+T16+T20+T23+T26</f>
        <v>0</v>
      </c>
      <c r="P91" s="490">
        <f>T8</f>
        <v>1.0438000000000001</v>
      </c>
      <c r="Q91" s="490"/>
      <c r="R91" s="51">
        <f>F91</f>
        <v>914.63</v>
      </c>
      <c r="S91" s="42" t="s">
        <v>13</v>
      </c>
      <c r="T91" s="134">
        <f>ROUND(O91*P91*R91,0)</f>
        <v>0</v>
      </c>
      <c r="U91" s="54"/>
    </row>
    <row r="92" spans="1:21" ht="16.5" thickBot="1" x14ac:dyDescent="0.3">
      <c r="A92" s="55"/>
      <c r="B92" s="55" t="s">
        <v>146</v>
      </c>
      <c r="C92" s="467">
        <f>H17+H18+H21+H24+H27+H28</f>
        <v>95.274600000000007</v>
      </c>
      <c r="D92" s="467"/>
      <c r="E92" s="49">
        <f>H8</f>
        <v>1.0438000000000001</v>
      </c>
      <c r="F92" s="338">
        <f>'0664'!F92</f>
        <v>916.84</v>
      </c>
      <c r="G92" s="41" t="s">
        <v>13</v>
      </c>
      <c r="H92" s="97">
        <f>ROUND(C92*E92*F92,2)</f>
        <v>91177.56</v>
      </c>
      <c r="N92" s="56" t="s">
        <v>15</v>
      </c>
      <c r="O92" s="57">
        <f>T17+T18+T21+T24+T27+T28</f>
        <v>95.37</v>
      </c>
      <c r="P92" s="490">
        <f>T8</f>
        <v>1.0438000000000001</v>
      </c>
      <c r="Q92" s="490"/>
      <c r="R92" s="51">
        <f>F92</f>
        <v>916.84</v>
      </c>
      <c r="S92" s="42" t="s">
        <v>13</v>
      </c>
      <c r="T92" s="134">
        <f>ROUND(O92*P92*R92,0)</f>
        <v>91269</v>
      </c>
      <c r="U92" s="54"/>
    </row>
    <row r="93" spans="1:21" ht="16.5" thickBot="1" x14ac:dyDescent="0.3">
      <c r="A93" s="58"/>
      <c r="B93" s="142" t="s">
        <v>145</v>
      </c>
      <c r="C93" s="469">
        <f>SUM(C90:C92)</f>
        <v>95.274600000000007</v>
      </c>
      <c r="D93" s="469"/>
      <c r="E93" s="143"/>
      <c r="F93" s="143"/>
      <c r="G93" s="143"/>
      <c r="H93" s="144" t="s">
        <v>143</v>
      </c>
      <c r="I93" s="104">
        <f>IF(A1=75,0,H92+H91+H90)</f>
        <v>91177.56</v>
      </c>
      <c r="N93" s="59" t="s">
        <v>120</v>
      </c>
      <c r="O93" s="60">
        <f>SUM(O90:O92)</f>
        <v>95.37</v>
      </c>
      <c r="P93" s="491" t="s">
        <v>18</v>
      </c>
      <c r="Q93" s="492"/>
      <c r="R93" s="492"/>
      <c r="S93" s="492"/>
      <c r="T93" s="492"/>
      <c r="U93" s="99">
        <f>IF(N1=75,0,T92+T91+T90)</f>
        <v>91269</v>
      </c>
    </row>
    <row r="94" spans="1:21" ht="16.5" thickTop="1" x14ac:dyDescent="0.25">
      <c r="A94" s="540" t="s">
        <v>90</v>
      </c>
      <c r="B94" s="540"/>
      <c r="C94" s="540"/>
      <c r="D94" s="540"/>
      <c r="E94" s="540"/>
      <c r="F94" s="540"/>
      <c r="G94" s="540"/>
      <c r="H94" s="540"/>
      <c r="I94" s="540"/>
      <c r="N94" s="493" t="s">
        <v>90</v>
      </c>
      <c r="O94" s="493"/>
      <c r="P94" s="493"/>
      <c r="Q94" s="493"/>
      <c r="R94" s="493"/>
      <c r="S94" s="493"/>
      <c r="T94" s="493"/>
      <c r="U94" s="493"/>
    </row>
    <row r="95" spans="1:21" x14ac:dyDescent="0.25">
      <c r="A95" s="145"/>
      <c r="B95" s="145"/>
      <c r="C95" s="145"/>
      <c r="D95" s="145"/>
      <c r="E95" s="145"/>
      <c r="F95" s="145"/>
      <c r="G95" s="145"/>
      <c r="H95" s="145"/>
      <c r="I95" s="145"/>
      <c r="N95" s="146"/>
      <c r="O95" s="146"/>
      <c r="P95" s="146"/>
      <c r="Q95" s="146"/>
      <c r="R95" s="146"/>
      <c r="S95" s="146"/>
      <c r="T95" s="146"/>
      <c r="U95" s="146"/>
    </row>
    <row r="96" spans="1:21" x14ac:dyDescent="0.25">
      <c r="A96" s="84" t="s">
        <v>446</v>
      </c>
      <c r="C96" s="46"/>
      <c r="D96" s="72"/>
      <c r="E96" s="46" t="s">
        <v>100</v>
      </c>
      <c r="F96" s="471"/>
      <c r="G96" s="471"/>
      <c r="H96" s="471"/>
      <c r="I96" s="471"/>
      <c r="N96" s="478" t="s">
        <v>426</v>
      </c>
      <c r="O96" s="479"/>
      <c r="P96" s="479"/>
      <c r="Q96" s="494"/>
      <c r="R96" s="494"/>
      <c r="S96" s="494"/>
      <c r="T96" s="494"/>
      <c r="U96" s="106"/>
    </row>
    <row r="97" spans="1:21" x14ac:dyDescent="0.25">
      <c r="B97" s="72"/>
      <c r="C97" s="91" t="s">
        <v>409</v>
      </c>
      <c r="D97" s="371" t="s">
        <v>410</v>
      </c>
      <c r="E97" s="92" t="s">
        <v>151</v>
      </c>
      <c r="F97" s="46"/>
      <c r="G97" s="46"/>
      <c r="H97" s="46"/>
      <c r="I97" s="46"/>
      <c r="N97" s="48"/>
      <c r="O97" s="48"/>
      <c r="P97" s="48"/>
      <c r="Q97" s="147"/>
      <c r="R97" s="147"/>
      <c r="S97" s="147"/>
      <c r="T97" s="147"/>
      <c r="U97" s="106"/>
    </row>
    <row r="98" spans="1:21" x14ac:dyDescent="0.25">
      <c r="B98" s="72"/>
      <c r="C98" s="362" t="s">
        <v>2</v>
      </c>
      <c r="D98" s="362" t="s">
        <v>2</v>
      </c>
      <c r="E98" s="362" t="s">
        <v>2</v>
      </c>
      <c r="F98" s="46"/>
      <c r="G98" s="46"/>
      <c r="H98" s="46"/>
      <c r="I98" s="46"/>
      <c r="N98" s="48"/>
      <c r="O98" s="48"/>
      <c r="P98" s="48"/>
      <c r="Q98" s="147"/>
      <c r="R98" s="147"/>
      <c r="S98" s="147"/>
      <c r="T98" s="147"/>
      <c r="U98" s="106"/>
    </row>
    <row r="99" spans="1:21" x14ac:dyDescent="0.25">
      <c r="A99" s="536" t="s">
        <v>470</v>
      </c>
      <c r="B99" s="461"/>
      <c r="C99" s="165">
        <v>61</v>
      </c>
      <c r="D99" s="165">
        <v>0</v>
      </c>
      <c r="E99" s="125">
        <f>C99</f>
        <v>61</v>
      </c>
      <c r="F99" s="148" t="s">
        <v>39</v>
      </c>
      <c r="G99" s="339">
        <f>'0664'!G99</f>
        <v>558</v>
      </c>
      <c r="I99" s="104">
        <f>ROUND(G99*E99,2)</f>
        <v>34038</v>
      </c>
      <c r="N99" s="488" t="s">
        <v>65</v>
      </c>
      <c r="O99" s="488"/>
      <c r="P99" s="489">
        <f>IF(H120=1,E99,0)</f>
        <v>61</v>
      </c>
      <c r="Q99" s="489"/>
      <c r="R99" s="489"/>
      <c r="S99" s="86" t="s">
        <v>39</v>
      </c>
      <c r="T99" s="61">
        <f>G99</f>
        <v>558</v>
      </c>
      <c r="U99" s="99">
        <f>ROUND(T99*P99,0)</f>
        <v>34038</v>
      </c>
    </row>
    <row r="100" spans="1:21" x14ac:dyDescent="0.25">
      <c r="A100" s="536" t="s">
        <v>471</v>
      </c>
      <c r="B100" s="461"/>
      <c r="C100" s="165">
        <v>0</v>
      </c>
      <c r="D100" s="165">
        <v>0</v>
      </c>
      <c r="E100" s="125">
        <f>C100</f>
        <v>0</v>
      </c>
      <c r="F100" s="148" t="s">
        <v>39</v>
      </c>
      <c r="G100" s="339">
        <f>'0664'!G100</f>
        <v>1707</v>
      </c>
      <c r="I100" s="104">
        <f>ROUND(G100*E100,2)</f>
        <v>0</v>
      </c>
      <c r="N100" s="488" t="s">
        <v>81</v>
      </c>
      <c r="O100" s="488"/>
      <c r="P100" s="483"/>
      <c r="Q100" s="483"/>
      <c r="R100" s="483"/>
      <c r="S100" s="86" t="s">
        <v>39</v>
      </c>
      <c r="T100" s="61">
        <f>G100</f>
        <v>1707</v>
      </c>
      <c r="U100" s="99">
        <f>ROUND(T100*P100,0)</f>
        <v>0</v>
      </c>
    </row>
    <row r="101" spans="1:21" x14ac:dyDescent="0.25">
      <c r="A101" s="149"/>
      <c r="B101" s="149"/>
      <c r="C101" s="68"/>
      <c r="D101" s="68"/>
      <c r="E101" s="68"/>
      <c r="F101" s="68"/>
      <c r="G101" s="150"/>
      <c r="H101" s="151"/>
      <c r="I101" s="104"/>
      <c r="N101" s="152"/>
      <c r="O101" s="152"/>
      <c r="P101" s="153"/>
      <c r="Q101" s="153"/>
      <c r="R101" s="153"/>
      <c r="S101" s="86"/>
      <c r="T101" s="61"/>
      <c r="U101" s="106"/>
    </row>
    <row r="102" spans="1:21" x14ac:dyDescent="0.25">
      <c r="A102" s="149"/>
      <c r="B102" s="149"/>
      <c r="C102" s="68"/>
      <c r="D102" s="68"/>
      <c r="E102" s="68"/>
      <c r="F102" s="68"/>
      <c r="G102" s="150"/>
      <c r="H102" s="151"/>
      <c r="I102" s="104"/>
      <c r="N102" s="152"/>
      <c r="O102" s="152"/>
      <c r="P102" s="153"/>
      <c r="Q102" s="153"/>
      <c r="R102" s="153"/>
      <c r="S102" s="86"/>
      <c r="T102" s="61"/>
      <c r="U102" s="106"/>
    </row>
    <row r="103" spans="1:21" hidden="1" x14ac:dyDescent="0.25">
      <c r="A103" s="463" t="s">
        <v>447</v>
      </c>
      <c r="B103" s="453"/>
      <c r="C103" s="453"/>
      <c r="D103" s="72"/>
      <c r="E103" s="41" t="s">
        <v>41</v>
      </c>
      <c r="F103" s="466"/>
      <c r="G103" s="466"/>
      <c r="H103" s="466"/>
      <c r="I103" s="466"/>
      <c r="N103" s="478" t="s">
        <v>362</v>
      </c>
      <c r="O103" s="479"/>
      <c r="P103" s="479"/>
      <c r="Q103" s="479"/>
      <c r="R103" s="479"/>
      <c r="S103" s="479"/>
      <c r="T103" s="479"/>
      <c r="U103" s="479"/>
    </row>
    <row r="104" spans="1:21" hidden="1" x14ac:dyDescent="0.25">
      <c r="B104" s="72"/>
      <c r="C104" s="462" t="s">
        <v>91</v>
      </c>
      <c r="D104" s="462"/>
      <c r="E104" s="462"/>
      <c r="F104" s="39"/>
      <c r="G104" s="39"/>
      <c r="H104" s="41" t="s">
        <v>152</v>
      </c>
      <c r="I104" s="39"/>
      <c r="N104" s="48"/>
      <c r="O104" s="48"/>
      <c r="P104" s="48"/>
      <c r="Q104" s="48"/>
      <c r="R104" s="48"/>
      <c r="S104" s="48"/>
      <c r="T104" s="48"/>
      <c r="U104" s="48"/>
    </row>
    <row r="105" spans="1:21" hidden="1" x14ac:dyDescent="0.25">
      <c r="B105" s="72"/>
      <c r="C105" s="91" t="s">
        <v>371</v>
      </c>
      <c r="D105" s="91" t="s">
        <v>351</v>
      </c>
      <c r="E105" s="159" t="s">
        <v>8</v>
      </c>
      <c r="F105" s="464" t="s">
        <v>153</v>
      </c>
      <c r="G105" s="466"/>
      <c r="H105" s="39" t="s">
        <v>38</v>
      </c>
      <c r="I105" s="39"/>
      <c r="N105" s="48"/>
      <c r="O105" s="48"/>
      <c r="P105" s="48"/>
      <c r="Q105" s="48"/>
      <c r="R105" s="48"/>
      <c r="S105" s="48"/>
      <c r="T105" s="48"/>
      <c r="U105" s="48"/>
    </row>
    <row r="106" spans="1:21" hidden="1" x14ac:dyDescent="0.25">
      <c r="A106" s="462" t="s">
        <v>94</v>
      </c>
      <c r="B106" s="462"/>
      <c r="C106" s="93" t="s">
        <v>2</v>
      </c>
      <c r="D106" s="93" t="s">
        <v>2</v>
      </c>
      <c r="E106" s="62" t="s">
        <v>2</v>
      </c>
      <c r="F106" s="462" t="s">
        <v>37</v>
      </c>
      <c r="G106" s="462"/>
      <c r="H106" s="62" t="s">
        <v>37</v>
      </c>
      <c r="I106" s="62" t="s">
        <v>8</v>
      </c>
      <c r="N106" s="484" t="s">
        <v>66</v>
      </c>
      <c r="O106" s="484"/>
      <c r="P106" s="489" t="s">
        <v>91</v>
      </c>
      <c r="Q106" s="489"/>
      <c r="R106" s="484" t="s">
        <v>67</v>
      </c>
      <c r="S106" s="484"/>
      <c r="T106" s="63" t="s">
        <v>68</v>
      </c>
      <c r="U106" s="63" t="s">
        <v>8</v>
      </c>
    </row>
    <row r="107" spans="1:21" hidden="1" x14ac:dyDescent="0.25">
      <c r="A107" s="473" t="s">
        <v>69</v>
      </c>
      <c r="B107" s="473"/>
      <c r="C107" s="163">
        <v>0</v>
      </c>
      <c r="D107" s="163">
        <v>0</v>
      </c>
      <c r="E107" s="210">
        <f>IF(D$59=0,C107*2,C107+D107)</f>
        <v>0</v>
      </c>
      <c r="F107" s="474">
        <v>0</v>
      </c>
      <c r="G107" s="474"/>
      <c r="H107" s="250">
        <f>IF(C107=0,0,125)</f>
        <v>0</v>
      </c>
      <c r="I107" s="104">
        <f>ROUND((H107+F107)*E107,2)</f>
        <v>0</v>
      </c>
      <c r="N107" s="479" t="s">
        <v>69</v>
      </c>
      <c r="O107" s="479"/>
      <c r="P107" s="483">
        <f>IF(H$120=1,C107,0)</f>
        <v>0</v>
      </c>
      <c r="Q107" s="483"/>
      <c r="R107" s="486">
        <f>F107</f>
        <v>0</v>
      </c>
      <c r="S107" s="486"/>
      <c r="T107" s="65">
        <f>H107</f>
        <v>0</v>
      </c>
      <c r="U107" s="99">
        <f>ROUND((T107+R107)*P107,0)</f>
        <v>0</v>
      </c>
    </row>
    <row r="108" spans="1:21" hidden="1" x14ac:dyDescent="0.25">
      <c r="A108" s="456" t="s">
        <v>70</v>
      </c>
      <c r="B108" s="456"/>
      <c r="C108" s="165">
        <v>0</v>
      </c>
      <c r="D108" s="165">
        <v>0</v>
      </c>
      <c r="E108" s="125">
        <f>IF(D$59=0,C108*2,C108+D108)</f>
        <v>0</v>
      </c>
      <c r="F108" s="468">
        <f>ROUND(F107/2,2)</f>
        <v>0</v>
      </c>
      <c r="G108" s="468"/>
      <c r="H108" s="250">
        <f>IF(C108=0,0,62.5)</f>
        <v>0</v>
      </c>
      <c r="I108" s="104">
        <f>ROUND((H108+F108)*E108,2)</f>
        <v>0</v>
      </c>
      <c r="N108" s="479" t="s">
        <v>70</v>
      </c>
      <c r="O108" s="479"/>
      <c r="P108" s="483">
        <f>IF(H$120=1,C108,0)</f>
        <v>0</v>
      </c>
      <c r="Q108" s="483"/>
      <c r="R108" s="487">
        <f>ROUND(R107/2,2)</f>
        <v>0</v>
      </c>
      <c r="S108" s="487"/>
      <c r="T108" s="65">
        <f>H108</f>
        <v>0</v>
      </c>
      <c r="U108" s="99">
        <f>ROUND((T108+R108)*P108,0)</f>
        <v>0</v>
      </c>
    </row>
    <row r="109" spans="1:21" ht="16.5" hidden="1" thickBot="1" x14ac:dyDescent="0.3">
      <c r="A109" s="456" t="s">
        <v>71</v>
      </c>
      <c r="B109" s="456"/>
      <c r="C109" s="165">
        <v>0</v>
      </c>
      <c r="D109" s="165">
        <v>0</v>
      </c>
      <c r="E109" s="125">
        <f>IF(D$59=0,C109*2,C109+D109)</f>
        <v>0</v>
      </c>
      <c r="F109" s="475"/>
      <c r="G109" s="475"/>
      <c r="H109" s="251">
        <f>IF(H107&gt;0,436,0)</f>
        <v>0</v>
      </c>
      <c r="I109" s="104">
        <f>ROUND(H109*E109,2)</f>
        <v>0</v>
      </c>
      <c r="N109" s="482" t="s">
        <v>71</v>
      </c>
      <c r="O109" s="482"/>
      <c r="P109" s="483">
        <f>IF(H$120=1,C109,0)</f>
        <v>0</v>
      </c>
      <c r="Q109" s="483"/>
      <c r="R109" s="484"/>
      <c r="S109" s="484"/>
      <c r="T109" s="67">
        <f>H109</f>
        <v>0</v>
      </c>
      <c r="U109" s="106">
        <f>ROUND(T109*P109,0)</f>
        <v>0</v>
      </c>
    </row>
    <row r="110" spans="1:21" ht="16.5" hidden="1" thickBot="1" x14ac:dyDescent="0.3">
      <c r="A110" s="466" t="s">
        <v>8</v>
      </c>
      <c r="B110" s="466"/>
      <c r="C110" s="68"/>
      <c r="D110" s="68"/>
      <c r="E110" s="68"/>
      <c r="F110" s="68"/>
      <c r="G110" s="68"/>
      <c r="H110" s="68"/>
      <c r="I110" s="100">
        <f>SUM(I107:I109)</f>
        <v>0</v>
      </c>
      <c r="N110" s="485" t="s">
        <v>8</v>
      </c>
      <c r="O110" s="485"/>
      <c r="P110" s="69"/>
      <c r="Q110" s="69"/>
      <c r="R110" s="69"/>
      <c r="S110" s="69"/>
      <c r="T110" s="69"/>
      <c r="U110" s="70">
        <f>SUM(U107:U109)</f>
        <v>0</v>
      </c>
    </row>
    <row r="111" spans="1:21" hidden="1" x14ac:dyDescent="0.25">
      <c r="A111" s="39"/>
      <c r="B111" s="39"/>
      <c r="C111" s="68"/>
      <c r="D111" s="68"/>
      <c r="E111" s="68"/>
      <c r="F111" s="68"/>
      <c r="G111" s="68"/>
      <c r="H111" s="68"/>
      <c r="I111" s="104"/>
      <c r="N111" s="40"/>
      <c r="O111" s="40"/>
      <c r="P111" s="69"/>
      <c r="Q111" s="69"/>
      <c r="R111" s="69"/>
      <c r="S111" s="69"/>
      <c r="T111" s="69"/>
      <c r="U111" s="160"/>
    </row>
    <row r="112" spans="1:21" x14ac:dyDescent="0.25">
      <c r="A112" s="463" t="s">
        <v>448</v>
      </c>
      <c r="B112" s="453"/>
      <c r="C112" s="453"/>
      <c r="D112" s="72"/>
      <c r="E112" s="71" t="s">
        <v>354</v>
      </c>
      <c r="F112" s="472"/>
      <c r="G112" s="472"/>
      <c r="H112" s="472"/>
      <c r="I112" s="125">
        <v>0</v>
      </c>
      <c r="N112" s="478" t="s">
        <v>427</v>
      </c>
      <c r="O112" s="479"/>
      <c r="P112" s="479"/>
      <c r="Q112" s="341"/>
      <c r="R112" s="341"/>
      <c r="S112" s="341"/>
      <c r="T112" s="341"/>
      <c r="U112" s="99">
        <f>IF($H$120=1,I112,0)</f>
        <v>0</v>
      </c>
    </row>
    <row r="113" spans="1:21" x14ac:dyDescent="0.25">
      <c r="A113" s="463" t="s">
        <v>449</v>
      </c>
      <c r="B113" s="453"/>
      <c r="C113" s="453"/>
      <c r="D113" s="72"/>
      <c r="E113" s="71" t="s">
        <v>45</v>
      </c>
      <c r="F113" s="472"/>
      <c r="G113" s="472"/>
      <c r="H113" s="472"/>
      <c r="I113" s="177">
        <v>0</v>
      </c>
      <c r="N113" s="478" t="s">
        <v>428</v>
      </c>
      <c r="O113" s="479"/>
      <c r="P113" s="479"/>
      <c r="Q113" s="341"/>
      <c r="R113" s="341"/>
      <c r="S113" s="341"/>
      <c r="T113" s="341"/>
      <c r="U113" s="99">
        <f>IF($H$120=1,I113,0)</f>
        <v>0</v>
      </c>
    </row>
    <row r="114" spans="1:21" ht="16.5" thickBot="1" x14ac:dyDescent="0.3">
      <c r="B114" s="72"/>
      <c r="C114" s="72"/>
      <c r="D114" s="72"/>
      <c r="E114" s="71"/>
      <c r="F114" s="71"/>
      <c r="G114" s="71"/>
      <c r="H114" s="71"/>
      <c r="I114" s="125"/>
      <c r="N114" s="480" t="s">
        <v>42</v>
      </c>
      <c r="O114" s="480"/>
      <c r="P114" s="480"/>
      <c r="Q114" s="480"/>
      <c r="R114" s="480"/>
      <c r="S114" s="480"/>
      <c r="T114" s="480"/>
      <c r="U114" s="154">
        <f>SUM(U112,U110,U100,U99,U93,U77,U76,U74,U73,U72,U71,U70,U68,U59,U45,U78,U79,U80,U85,U113)</f>
        <v>716796</v>
      </c>
    </row>
    <row r="115" spans="1:21" ht="16.5" thickTop="1" x14ac:dyDescent="0.25">
      <c r="A115" s="461" t="s">
        <v>8</v>
      </c>
      <c r="B115" s="461"/>
      <c r="C115" s="461"/>
      <c r="D115" s="461"/>
      <c r="E115" s="461"/>
      <c r="F115" s="461"/>
      <c r="G115" s="461"/>
      <c r="H115" s="461"/>
      <c r="I115" s="97">
        <f>SUM(I113,I112,I110,I100,I99,I93,I85,I84,I80,I79,I78,I77,I76,I74,I73,I72,I71,I70,I68,I59,I45)</f>
        <v>1198831.1199999999</v>
      </c>
      <c r="N115" s="29"/>
      <c r="O115" s="29"/>
      <c r="P115" s="29"/>
      <c r="Q115" s="29"/>
      <c r="R115" s="29"/>
      <c r="S115" s="29"/>
      <c r="T115" s="29"/>
      <c r="U115" s="160"/>
    </row>
    <row r="116" spans="1:21" x14ac:dyDescent="0.25">
      <c r="A116" s="27"/>
      <c r="B116" s="27"/>
      <c r="C116" s="27"/>
      <c r="D116" s="27"/>
      <c r="E116" s="27"/>
      <c r="F116" s="27"/>
      <c r="G116" s="27"/>
      <c r="H116" s="27"/>
      <c r="I116" s="104"/>
      <c r="N116" s="29"/>
      <c r="O116" s="29"/>
      <c r="P116" s="29"/>
      <c r="Q116" s="29"/>
      <c r="R116" s="29"/>
      <c r="S116" s="29"/>
      <c r="T116" s="29"/>
      <c r="U116" s="160"/>
    </row>
    <row r="117" spans="1:21" x14ac:dyDescent="0.25">
      <c r="A117" s="432" t="s">
        <v>467</v>
      </c>
      <c r="B117" s="27"/>
      <c r="C117" s="27"/>
      <c r="D117" s="27"/>
      <c r="E117" s="27"/>
      <c r="F117" s="27"/>
      <c r="G117" s="27"/>
      <c r="H117" s="27"/>
      <c r="I117" s="104">
        <f>I115-I84</f>
        <v>1175478.47</v>
      </c>
      <c r="N117" s="29"/>
      <c r="O117" s="29"/>
      <c r="P117" s="29"/>
      <c r="Q117" s="29"/>
      <c r="R117" s="29"/>
      <c r="S117" s="29"/>
      <c r="T117" s="29"/>
      <c r="U117" s="160"/>
    </row>
    <row r="118" spans="1:21" x14ac:dyDescent="0.25">
      <c r="A118" s="27"/>
      <c r="B118" s="27"/>
      <c r="C118" s="27"/>
      <c r="D118" s="27"/>
      <c r="E118" s="27"/>
      <c r="F118" s="27"/>
      <c r="G118" s="27"/>
      <c r="H118" s="27"/>
      <c r="I118" s="104"/>
      <c r="N118" s="29"/>
      <c r="O118" s="29"/>
      <c r="P118" s="29"/>
      <c r="Q118" s="29"/>
      <c r="R118" s="29"/>
      <c r="S118" s="29"/>
      <c r="T118" s="29"/>
      <c r="U118" s="160"/>
    </row>
    <row r="119" spans="1:21" x14ac:dyDescent="0.25">
      <c r="A119" s="463" t="s">
        <v>468</v>
      </c>
      <c r="B119" s="453"/>
      <c r="C119" s="453"/>
      <c r="D119" s="453"/>
      <c r="E119" s="453"/>
      <c r="F119" s="453"/>
      <c r="G119" s="453"/>
      <c r="H119" s="84" t="s">
        <v>394</v>
      </c>
      <c r="I119" s="156"/>
      <c r="N119" s="481"/>
      <c r="O119" s="481"/>
      <c r="P119" s="481"/>
      <c r="Q119" s="481"/>
      <c r="R119" s="481"/>
      <c r="S119" s="481"/>
      <c r="T119" s="481"/>
      <c r="U119" s="481"/>
    </row>
    <row r="120" spans="1:21" x14ac:dyDescent="0.25">
      <c r="A120" s="453" t="s">
        <v>95</v>
      </c>
      <c r="B120" s="453"/>
      <c r="C120" s="453"/>
      <c r="D120" s="453"/>
      <c r="E120" s="453"/>
      <c r="F120" s="453"/>
      <c r="G120" s="453"/>
      <c r="H120" s="73">
        <f>IF(E29=0,"",IF((E14+E16+SUM(E18:E24))/E29&gt;0.75,1,""))</f>
        <v>1</v>
      </c>
      <c r="I120" s="125">
        <f>U114</f>
        <v>716796</v>
      </c>
      <c r="N120" s="476" t="s">
        <v>7</v>
      </c>
      <c r="O120" s="476"/>
      <c r="P120" s="476"/>
      <c r="Q120" s="476"/>
      <c r="R120" s="476"/>
      <c r="S120" s="476"/>
      <c r="T120" s="476"/>
      <c r="U120" s="476"/>
    </row>
    <row r="121" spans="1:21" x14ac:dyDescent="0.25">
      <c r="B121" s="72"/>
      <c r="C121" s="72"/>
      <c r="D121" s="72"/>
      <c r="E121" s="72"/>
      <c r="F121" s="72"/>
      <c r="G121" s="72"/>
      <c r="H121" s="68"/>
      <c r="I121" s="104"/>
      <c r="N121" s="74" t="s">
        <v>106</v>
      </c>
      <c r="O121" s="74"/>
      <c r="P121" s="74"/>
      <c r="Q121" s="74"/>
      <c r="R121" s="74"/>
      <c r="S121" s="74"/>
      <c r="T121" s="74"/>
      <c r="U121" s="74"/>
    </row>
    <row r="122" spans="1:21" x14ac:dyDescent="0.25">
      <c r="A122" s="3" t="s">
        <v>102</v>
      </c>
      <c r="B122" s="72"/>
      <c r="C122" s="72"/>
      <c r="D122" s="72"/>
      <c r="E122" s="72"/>
      <c r="F122" s="72"/>
      <c r="G122" s="286"/>
      <c r="H122" s="161">
        <f>IF(H120=1,I120,I117)</f>
        <v>716796</v>
      </c>
      <c r="I122" s="97">
        <f>ROUND(IF(E29=0,0,IF(E29&gt;250,-(((250/E29)*H122)*IF(G122="H",0.02,0.05)),IF(G122="H",-0.02*H122,-0.05*H122))),2)</f>
        <v>-35839.800000000003</v>
      </c>
      <c r="N122" s="75" t="s">
        <v>107</v>
      </c>
      <c r="O122" s="74"/>
      <c r="P122" s="74"/>
      <c r="Q122" s="74"/>
      <c r="R122" s="74"/>
      <c r="S122" s="74"/>
      <c r="T122" s="74"/>
      <c r="U122" s="74"/>
    </row>
    <row r="123" spans="1:21" x14ac:dyDescent="0.25">
      <c r="B123" s="72"/>
      <c r="C123" s="72"/>
      <c r="D123" s="72"/>
      <c r="E123" s="72"/>
      <c r="F123" s="72"/>
      <c r="G123" s="72"/>
      <c r="H123" s="68"/>
      <c r="I123" s="104"/>
      <c r="N123" s="76"/>
      <c r="O123" s="76"/>
      <c r="P123" s="76"/>
      <c r="Q123" s="76"/>
      <c r="R123" s="76"/>
      <c r="S123" s="76"/>
      <c r="T123" s="76"/>
      <c r="U123" s="76"/>
    </row>
    <row r="124" spans="1:21" x14ac:dyDescent="0.25">
      <c r="A124" s="345" t="s">
        <v>103</v>
      </c>
      <c r="B124" s="346"/>
      <c r="C124" s="346"/>
      <c r="D124" s="346"/>
      <c r="E124" s="346"/>
      <c r="F124" s="346"/>
      <c r="G124" s="346"/>
      <c r="H124" s="347"/>
      <c r="I124" s="348">
        <f>I115+I122</f>
        <v>1162991.3199999998</v>
      </c>
      <c r="N124" s="76"/>
      <c r="O124" s="76"/>
      <c r="P124" s="76"/>
      <c r="Q124" s="76"/>
      <c r="R124" s="76"/>
      <c r="S124" s="76"/>
      <c r="T124" s="76"/>
      <c r="U124" s="76"/>
    </row>
    <row r="125" spans="1:21" x14ac:dyDescent="0.25">
      <c r="B125" s="72"/>
      <c r="C125" s="72"/>
      <c r="D125" s="72"/>
      <c r="E125" s="72"/>
      <c r="F125" s="72"/>
      <c r="G125" s="72"/>
      <c r="H125" s="68"/>
      <c r="I125" s="104"/>
      <c r="N125" s="76"/>
      <c r="O125" s="76"/>
      <c r="P125" s="76"/>
      <c r="Q125" s="76"/>
      <c r="R125" s="76"/>
      <c r="S125" s="76"/>
      <c r="T125" s="76"/>
      <c r="U125" s="76"/>
    </row>
    <row r="126" spans="1:21" x14ac:dyDescent="0.25">
      <c r="A126" s="3" t="s">
        <v>104</v>
      </c>
      <c r="B126" s="72"/>
      <c r="C126" s="162"/>
      <c r="D126" s="72"/>
      <c r="F126" s="72"/>
      <c r="G126" s="72"/>
      <c r="H126" s="68"/>
      <c r="I126" s="302">
        <v>-843695.4</v>
      </c>
      <c r="N126" s="76"/>
      <c r="O126" s="76"/>
      <c r="P126" s="76"/>
      <c r="Q126" s="76"/>
      <c r="R126" s="76"/>
      <c r="S126" s="76"/>
      <c r="T126" s="76"/>
      <c r="U126" s="76"/>
    </row>
    <row r="127" spans="1:21" x14ac:dyDescent="0.25">
      <c r="B127" s="72"/>
      <c r="C127" s="72"/>
      <c r="D127" s="72"/>
      <c r="E127" s="72"/>
      <c r="F127" s="72"/>
      <c r="G127" s="72"/>
      <c r="H127" s="68"/>
      <c r="I127" s="104"/>
      <c r="N127" s="76"/>
      <c r="O127" s="76"/>
      <c r="P127" s="76"/>
      <c r="Q127" s="76"/>
      <c r="R127" s="76"/>
      <c r="S127" s="76"/>
      <c r="T127" s="76"/>
      <c r="U127" s="76"/>
    </row>
    <row r="128" spans="1:21" x14ac:dyDescent="0.25">
      <c r="A128" s="84" t="s">
        <v>297</v>
      </c>
      <c r="B128" s="72"/>
      <c r="C128" s="72"/>
      <c r="D128" s="72"/>
      <c r="E128" s="72"/>
      <c r="F128" s="72"/>
      <c r="G128" s="72"/>
      <c r="H128" s="68"/>
      <c r="I128" s="104">
        <f>I124+I126</f>
        <v>319295.91999999981</v>
      </c>
      <c r="N128" s="76"/>
      <c r="O128" s="76"/>
      <c r="P128" s="76"/>
      <c r="Q128" s="76"/>
      <c r="R128" s="76"/>
      <c r="S128" s="76"/>
      <c r="T128" s="76"/>
      <c r="U128" s="76"/>
    </row>
    <row r="129" spans="1:21" x14ac:dyDescent="0.25">
      <c r="A129" s="84"/>
      <c r="B129" s="72"/>
      <c r="C129" s="72"/>
      <c r="D129" s="72"/>
      <c r="E129" s="72"/>
      <c r="F129" s="72"/>
      <c r="G129" s="72"/>
      <c r="H129" s="68"/>
      <c r="I129" s="104"/>
      <c r="N129" s="76"/>
      <c r="O129" s="76"/>
      <c r="P129" s="76"/>
      <c r="Q129" s="76"/>
      <c r="R129" s="76"/>
      <c r="S129" s="76"/>
      <c r="T129" s="76"/>
      <c r="U129" s="76"/>
    </row>
    <row r="130" spans="1:21" x14ac:dyDescent="0.25">
      <c r="A130" s="84" t="s">
        <v>298</v>
      </c>
      <c r="B130" s="72"/>
      <c r="C130" s="72"/>
      <c r="D130" s="72"/>
      <c r="E130" s="72"/>
      <c r="F130" s="72"/>
      <c r="G130" s="72"/>
      <c r="H130" s="68"/>
      <c r="I130" s="303">
        <f>'0664'!I130</f>
        <v>3</v>
      </c>
      <c r="N130" s="76"/>
      <c r="O130" s="76"/>
      <c r="P130" s="76"/>
      <c r="Q130" s="76"/>
      <c r="R130" s="76"/>
      <c r="S130" s="76"/>
      <c r="T130" s="76"/>
      <c r="U130" s="76"/>
    </row>
    <row r="131" spans="1:21" x14ac:dyDescent="0.25">
      <c r="B131" s="72"/>
      <c r="C131" s="72"/>
      <c r="D131" s="72"/>
      <c r="E131" s="72"/>
      <c r="F131" s="72"/>
      <c r="G131" s="72"/>
      <c r="H131" s="68"/>
      <c r="I131" s="104"/>
      <c r="N131" s="76"/>
      <c r="O131" s="76"/>
      <c r="P131" s="76"/>
      <c r="Q131" s="76"/>
      <c r="R131" s="76"/>
      <c r="S131" s="76"/>
      <c r="T131" s="76"/>
      <c r="U131" s="76"/>
    </row>
    <row r="132" spans="1:21" ht="16.5" thickBot="1" x14ac:dyDescent="0.3">
      <c r="A132" s="3" t="s">
        <v>105</v>
      </c>
      <c r="B132" s="72"/>
      <c r="C132" s="72"/>
      <c r="D132" s="72"/>
      <c r="E132" s="72"/>
      <c r="F132" s="72"/>
      <c r="G132" s="72"/>
      <c r="H132" s="68"/>
      <c r="I132" s="178">
        <f>ROUND(I128/I130,2)</f>
        <v>106431.97</v>
      </c>
      <c r="N132" s="76"/>
      <c r="O132" s="76"/>
      <c r="P132" s="76"/>
      <c r="Q132" s="76"/>
      <c r="R132" s="76"/>
      <c r="S132" s="76"/>
      <c r="T132" s="76"/>
      <c r="U132" s="76"/>
    </row>
    <row r="133" spans="1:21" ht="16.5" thickTop="1" x14ac:dyDescent="0.25">
      <c r="B133" s="72"/>
      <c r="C133" s="72"/>
      <c r="D133" s="72"/>
      <c r="E133" s="72"/>
      <c r="F133" s="72"/>
      <c r="G133" s="72"/>
      <c r="H133" s="68"/>
      <c r="I133" s="104"/>
      <c r="N133" s="76"/>
      <c r="O133" s="76"/>
      <c r="P133" s="76"/>
      <c r="Q133" s="76"/>
      <c r="R133" s="76"/>
      <c r="S133" s="76"/>
      <c r="T133" s="76"/>
      <c r="U133" s="76"/>
    </row>
    <row r="134" spans="1:21" ht="16.5" thickBot="1" x14ac:dyDescent="0.3">
      <c r="A134" s="3" t="s">
        <v>121</v>
      </c>
      <c r="B134" s="72"/>
      <c r="C134" s="72"/>
      <c r="D134" s="72"/>
      <c r="E134" s="72"/>
      <c r="F134" s="72"/>
      <c r="G134" s="72"/>
      <c r="H134" s="68"/>
      <c r="I134" s="155">
        <f>ROUND(IF(G122="H",(H122*0.02)+I122,(H122*0.05)+I122),2)</f>
        <v>0</v>
      </c>
      <c r="N134" s="76"/>
      <c r="O134" s="76"/>
      <c r="P134" s="76"/>
      <c r="Q134" s="76"/>
      <c r="R134" s="76"/>
      <c r="S134" s="76"/>
      <c r="T134" s="76"/>
      <c r="U134" s="76"/>
    </row>
    <row r="135" spans="1:21" ht="16.5" thickTop="1" x14ac:dyDescent="0.25">
      <c r="B135" s="72"/>
      <c r="C135" s="72"/>
      <c r="D135" s="72"/>
      <c r="E135" s="72"/>
      <c r="F135" s="72"/>
      <c r="G135" s="72"/>
      <c r="H135" s="68"/>
      <c r="I135" s="156"/>
      <c r="N135" s="76"/>
      <c r="O135" s="76"/>
      <c r="P135" s="76"/>
      <c r="Q135" s="76"/>
      <c r="R135" s="76"/>
      <c r="S135" s="76"/>
      <c r="T135" s="76"/>
      <c r="U135" s="76"/>
    </row>
    <row r="136" spans="1:21" x14ac:dyDescent="0.25">
      <c r="B136" s="72"/>
      <c r="C136" s="72"/>
      <c r="D136" s="72"/>
      <c r="E136" s="72"/>
      <c r="F136" s="72"/>
      <c r="G136" s="72"/>
      <c r="H136" s="68"/>
      <c r="I136" s="104"/>
      <c r="N136" s="76"/>
      <c r="O136" s="76"/>
      <c r="P136" s="76"/>
      <c r="Q136" s="76"/>
      <c r="R136" s="76"/>
      <c r="S136" s="76"/>
      <c r="T136" s="76"/>
      <c r="U136" s="76"/>
    </row>
    <row r="137" spans="1:21" x14ac:dyDescent="0.25">
      <c r="B137" s="72"/>
      <c r="C137" s="72"/>
      <c r="D137" s="72"/>
      <c r="E137" s="72"/>
      <c r="F137" s="72"/>
      <c r="G137" s="72"/>
      <c r="H137" s="68"/>
      <c r="I137" s="156"/>
      <c r="N137" s="76"/>
      <c r="O137" s="76"/>
      <c r="P137" s="76"/>
      <c r="Q137" s="76"/>
      <c r="R137" s="76"/>
      <c r="S137" s="76"/>
      <c r="T137" s="76"/>
      <c r="U137" s="76"/>
    </row>
    <row r="138" spans="1:21" x14ac:dyDescent="0.25">
      <c r="A138" s="281" t="s">
        <v>7</v>
      </c>
      <c r="B138" s="281"/>
      <c r="C138" s="281"/>
      <c r="D138" s="281"/>
      <c r="E138" s="281"/>
      <c r="F138" s="281"/>
      <c r="G138" s="281"/>
      <c r="H138" s="281"/>
      <c r="I138" s="281"/>
      <c r="J138" s="156"/>
      <c r="N138" s="76"/>
      <c r="O138" s="76"/>
      <c r="P138" s="76"/>
      <c r="Q138" s="76"/>
      <c r="R138" s="76"/>
      <c r="S138" s="76"/>
      <c r="T138" s="76"/>
      <c r="U138" s="76"/>
    </row>
    <row r="139" spans="1:21" ht="15.75" customHeight="1" x14ac:dyDescent="0.25">
      <c r="A139" s="356" t="str">
        <f>'0664'!A139</f>
        <v>(a) Additional FTE includes FTE earned through Advanced Placement, International Baccalaureate, Advanced International Certificate of Education, Industry Certified Career</v>
      </c>
      <c r="B139" s="357"/>
      <c r="C139" s="357"/>
      <c r="D139" s="357"/>
      <c r="E139" s="357"/>
      <c r="F139" s="357"/>
      <c r="G139" s="357"/>
      <c r="H139" s="357"/>
      <c r="I139" s="357"/>
      <c r="J139" s="80"/>
      <c r="K139" s="79"/>
      <c r="L139" s="79"/>
      <c r="M139" s="79"/>
      <c r="N139" s="477"/>
      <c r="O139" s="477"/>
      <c r="P139" s="477"/>
      <c r="Q139" s="477"/>
      <c r="R139" s="477"/>
      <c r="S139" s="477"/>
      <c r="T139" s="477"/>
      <c r="U139" s="477"/>
    </row>
    <row r="140" spans="1:21" ht="15.75" customHeight="1" x14ac:dyDescent="0.25">
      <c r="A140" s="390" t="str">
        <f>'0664'!A140</f>
        <v xml:space="preserve">Education (CAPE), Early High School Graduation and the small district ESE Supplement, pursuant to s. 1011.62(1)(l-p), F.S. </v>
      </c>
      <c r="B140" s="357"/>
      <c r="C140" s="357"/>
      <c r="D140" s="357"/>
      <c r="E140" s="357"/>
      <c r="F140" s="357"/>
      <c r="G140" s="357"/>
      <c r="H140" s="357"/>
      <c r="I140" s="357"/>
      <c r="J140" s="80"/>
      <c r="K140" s="79"/>
      <c r="L140" s="79"/>
      <c r="M140" s="79"/>
      <c r="N140" s="76"/>
      <c r="O140" s="76"/>
      <c r="P140" s="76"/>
      <c r="Q140" s="76"/>
      <c r="R140" s="76"/>
      <c r="S140" s="76"/>
      <c r="T140" s="76"/>
      <c r="U140" s="76"/>
    </row>
    <row r="141" spans="1:21" x14ac:dyDescent="0.25">
      <c r="A141" s="356" t="str">
        <f>'0664'!A141</f>
        <v>(b) District allocations multiplied by percentage from item 3A.</v>
      </c>
      <c r="B141" s="281"/>
      <c r="C141" s="281"/>
      <c r="D141" s="281"/>
      <c r="E141" s="281"/>
      <c r="F141" s="281"/>
      <c r="G141" s="281"/>
      <c r="H141" s="281"/>
      <c r="I141" s="281"/>
      <c r="J141" s="79"/>
      <c r="K141" s="79"/>
      <c r="L141" s="79"/>
      <c r="M141" s="79"/>
      <c r="N141" s="81"/>
      <c r="O141" s="82"/>
      <c r="P141" s="82"/>
      <c r="Q141" s="82"/>
      <c r="R141" s="82"/>
      <c r="S141" s="82"/>
      <c r="T141" s="82"/>
      <c r="U141" s="82"/>
    </row>
    <row r="142" spans="1:21" s="79" customFormat="1" x14ac:dyDescent="0.2">
      <c r="A142" s="356" t="str">
        <f>'0664'!A142</f>
        <v>(c) District allocations multiplied by percentage from item 3B.</v>
      </c>
      <c r="B142" s="281"/>
      <c r="C142" s="281"/>
      <c r="D142" s="281"/>
      <c r="E142" s="281"/>
      <c r="F142" s="281"/>
      <c r="G142" s="281"/>
      <c r="H142" s="281"/>
      <c r="I142" s="281"/>
      <c r="N142" s="81"/>
    </row>
    <row r="143" spans="1:21" s="79" customFormat="1" ht="15.75" customHeight="1" x14ac:dyDescent="0.2">
      <c r="A143" s="356" t="str">
        <f>'0664'!A143</f>
        <v>(d) The Digital Classroom Allocation is provided pursuant to s. 1011.62(12), F.S.</v>
      </c>
      <c r="B143" s="281"/>
      <c r="C143" s="281"/>
      <c r="D143" s="281"/>
      <c r="E143" s="281"/>
      <c r="F143" s="281"/>
      <c r="G143" s="281"/>
      <c r="H143" s="281"/>
      <c r="I143" s="281"/>
      <c r="N143" s="81"/>
    </row>
    <row r="144" spans="1:21" s="79" customFormat="1" ht="15.75" customHeight="1" x14ac:dyDescent="0.2">
      <c r="A144" s="356" t="str">
        <f>'0664'!A144</f>
        <v>(e) School districts are required to pay for instructional materials used for the instruction of public high school students who are earning credit toward high school</v>
      </c>
      <c r="B144" s="281"/>
      <c r="C144" s="281"/>
      <c r="D144" s="281"/>
      <c r="E144" s="281"/>
      <c r="F144" s="281"/>
      <c r="G144" s="281"/>
      <c r="H144" s="281"/>
      <c r="I144" s="281"/>
      <c r="N144" s="81"/>
    </row>
    <row r="145" spans="1:14" s="79" customFormat="1" ht="15.75" customHeight="1" x14ac:dyDescent="0.2">
      <c r="A145" s="390" t="str">
        <f>'0664'!A145</f>
        <v xml:space="preserve">graduation under the dual enrollment program as provided in s. 1011.62(l)(i), F.S.  </v>
      </c>
      <c r="B145" s="281"/>
      <c r="C145" s="281"/>
      <c r="D145" s="281"/>
      <c r="E145" s="281"/>
      <c r="F145" s="281"/>
      <c r="G145" s="281"/>
      <c r="H145" s="281"/>
      <c r="I145" s="281"/>
      <c r="N145" s="81"/>
    </row>
    <row r="146" spans="1:14" s="79" customFormat="1" x14ac:dyDescent="0.2">
      <c r="A146" s="356" t="str">
        <f>'0664'!A146</f>
        <v>(f) This allocation will be frozen as of the 2021-22 FEFP Second Calculation and will not be recalculated throughout the year. Charter school allocations should be</v>
      </c>
      <c r="B146" s="281"/>
      <c r="C146" s="281"/>
      <c r="D146" s="281"/>
      <c r="E146" s="281"/>
      <c r="F146" s="281"/>
      <c r="G146" s="281"/>
      <c r="H146" s="281"/>
      <c r="I146" s="281"/>
      <c r="N146" s="81"/>
    </row>
    <row r="147" spans="1:14" s="79" customFormat="1" x14ac:dyDescent="0.2">
      <c r="A147" s="358" t="str">
        <f>'0664'!A147</f>
        <v xml:space="preserve">distributed on weighted FTE (or base funding as is done in the FEFP) and should not be recalculated with fluctuations in student enrollment later in the year. </v>
      </c>
      <c r="B147" s="281"/>
      <c r="C147" s="281"/>
      <c r="D147" s="281"/>
      <c r="E147" s="281"/>
      <c r="F147" s="281"/>
      <c r="G147" s="281"/>
      <c r="H147" s="281"/>
      <c r="I147" s="281"/>
      <c r="N147" s="81"/>
    </row>
    <row r="148" spans="1:14" s="79" customFormat="1" x14ac:dyDescent="0.2">
      <c r="A148" s="356" t="str">
        <f>'0664'!A148</f>
        <v>(g) Numbers entered here will be multiplied by the district level transportation funding per rider. "All Adjusted Fundable Riders" should include both basic and ESE Riders.</v>
      </c>
      <c r="B148" s="281"/>
      <c r="C148" s="281"/>
      <c r="D148" s="281"/>
      <c r="E148" s="281"/>
      <c r="F148" s="281"/>
      <c r="G148" s="281"/>
      <c r="H148" s="281"/>
      <c r="I148" s="281"/>
      <c r="N148" s="81"/>
    </row>
    <row r="149" spans="1:14" s="79" customFormat="1" x14ac:dyDescent="0.2">
      <c r="A149" s="390" t="str">
        <f>'0664'!A149</f>
        <v>"All Adjusted ESE Riders" should include only ESE Riders.</v>
      </c>
      <c r="B149" s="281"/>
      <c r="C149" s="281"/>
      <c r="D149" s="281"/>
      <c r="E149" s="281"/>
      <c r="F149" s="281"/>
      <c r="G149" s="281"/>
      <c r="H149" s="281"/>
      <c r="I149" s="281"/>
      <c r="N149" s="81"/>
    </row>
    <row r="150" spans="1:14" s="79" customFormat="1" x14ac:dyDescent="0.2">
      <c r="A150" s="356" t="str">
        <f>'0664'!A150</f>
        <v xml:space="preserve">(h) The Federally Connected Student Supplement provides additional funding for students on federal lands that receive Section 8003 impact aide pursuant to s. 1011.62(13), F.S. </v>
      </c>
      <c r="B150" s="281"/>
      <c r="C150" s="281"/>
      <c r="D150" s="281"/>
      <c r="E150" s="281"/>
      <c r="F150" s="281"/>
      <c r="G150" s="281"/>
      <c r="H150" s="281"/>
      <c r="I150" s="281"/>
      <c r="N150" s="81"/>
    </row>
    <row r="151" spans="1:14" s="79" customFormat="1" x14ac:dyDescent="0.2">
      <c r="A151" s="356" t="str">
        <f>'0664'!A151</f>
        <v>(i) Teacher Classroom Supply Assistance Program allocation pursuant to s. 1012.71, F.S., for certified teachers employed by a public school district or public charter school</v>
      </c>
      <c r="B151" s="281"/>
      <c r="C151" s="281"/>
      <c r="D151" s="281"/>
      <c r="E151" s="281"/>
      <c r="F151" s="281"/>
      <c r="G151" s="281"/>
      <c r="H151" s="281"/>
      <c r="I151" s="281"/>
      <c r="N151" s="81"/>
    </row>
    <row r="152" spans="1:14" s="79" customFormat="1" x14ac:dyDescent="0.2">
      <c r="A152" s="358" t="str">
        <f>'0664'!A152</f>
        <v xml:space="preserve">before September 1 of each year whose full-time or job-share responsibility is the classroom instruction of students in prekindergarten through grade 12, including </v>
      </c>
      <c r="B152" s="281"/>
      <c r="C152" s="281"/>
      <c r="D152" s="281"/>
      <c r="E152" s="281"/>
      <c r="F152" s="281"/>
      <c r="G152" s="281"/>
      <c r="H152" s="281"/>
      <c r="I152" s="281"/>
      <c r="N152" s="81"/>
    </row>
    <row r="153" spans="1:14" s="79" customFormat="1" ht="15.75" customHeight="1" x14ac:dyDescent="0.2">
      <c r="A153" s="358" t="str">
        <f>'0664'!A153</f>
        <v>full-time media specialists and certified school counselors serving students in prekindergarten through grade 12, who are funded through the FEFP.</v>
      </c>
      <c r="B153" s="281"/>
      <c r="C153" s="281"/>
      <c r="D153" s="281"/>
      <c r="E153" s="281"/>
      <c r="F153" s="281"/>
      <c r="G153" s="281"/>
      <c r="H153" s="281"/>
      <c r="I153" s="281"/>
      <c r="N153" s="81"/>
    </row>
    <row r="154" spans="1:14" s="79" customFormat="1" ht="15.75" customHeight="1" x14ac:dyDescent="0.2">
      <c r="A154" s="356" t="str">
        <f>'0664'!A154</f>
        <v xml:space="preserve">(j) Funding based on student eligibility and meals provided, if participating in the National School Lunch Program. </v>
      </c>
      <c r="B154" s="328"/>
      <c r="C154" s="328"/>
      <c r="D154" s="328"/>
      <c r="E154" s="328"/>
      <c r="F154" s="328"/>
      <c r="G154" s="328"/>
      <c r="H154" s="328"/>
      <c r="I154" s="328"/>
      <c r="N154" s="81"/>
    </row>
    <row r="155" spans="1:14" s="79" customFormat="1" ht="15.75" customHeight="1" x14ac:dyDescent="0.2">
      <c r="A155" s="356" t="str">
        <f>'0664'!A155</f>
        <v>(k) Consistent with s. 1002.33(20)(a), F.S., for charter schools with a population of 75% or more ESE students, the administrative fee shall be calculated based on</v>
      </c>
      <c r="B155" s="381"/>
      <c r="C155" s="381"/>
      <c r="D155" s="381"/>
      <c r="E155" s="381"/>
      <c r="F155" s="381"/>
      <c r="G155" s="381"/>
      <c r="H155" s="381"/>
      <c r="I155" s="381"/>
      <c r="N155" s="81"/>
    </row>
    <row r="156" spans="1:14" s="79" customFormat="1" ht="15.75" customHeight="1" x14ac:dyDescent="0.2">
      <c r="A156" s="390" t="str">
        <f>'0664'!A156</f>
        <v xml:space="preserve">unweighted full-time equivalent students. </v>
      </c>
      <c r="B156" s="381"/>
      <c r="C156" s="381"/>
      <c r="D156" s="381"/>
      <c r="E156" s="381"/>
      <c r="F156" s="381"/>
      <c r="G156" s="381"/>
      <c r="H156" s="381"/>
      <c r="I156" s="381"/>
      <c r="N156" s="81"/>
    </row>
    <row r="157" spans="1:14" s="79" customFormat="1" ht="15.75" customHeight="1" x14ac:dyDescent="0.2">
      <c r="A157" s="356"/>
      <c r="B157" s="381"/>
      <c r="C157" s="381"/>
      <c r="D157" s="381"/>
      <c r="E157" s="381"/>
      <c r="F157" s="381"/>
      <c r="G157" s="381"/>
      <c r="H157" s="381"/>
      <c r="I157" s="381"/>
      <c r="N157" s="81"/>
    </row>
    <row r="158" spans="1:14" s="79" customFormat="1" ht="15.75" customHeight="1" x14ac:dyDescent="0.25">
      <c r="A158" s="398" t="str">
        <f>'0664'!A158</f>
        <v>Administrative fees:</v>
      </c>
      <c r="B158" s="328"/>
      <c r="C158" s="328"/>
      <c r="D158" s="328"/>
      <c r="E158" s="328"/>
      <c r="F158" s="328"/>
      <c r="G158" s="328"/>
      <c r="H158" s="328"/>
      <c r="I158" s="328"/>
      <c r="J158" s="3"/>
      <c r="K158" s="3"/>
      <c r="L158" s="3"/>
      <c r="M158" s="3"/>
      <c r="N158" s="81"/>
    </row>
    <row r="159" spans="1:14" s="79" customFormat="1" ht="15.75" customHeight="1" x14ac:dyDescent="0.25">
      <c r="A159" s="399" t="str">
        <f>'0664'!A159</f>
        <v xml:space="preserve">Administrative fees charged by the school district pursuant to s. 1002.33(20)(a), F.S., shall be calculated based upon 5% of available funds from the FEFP and categorical </v>
      </c>
      <c r="B159" s="328"/>
      <c r="C159" s="328"/>
      <c r="D159" s="328"/>
      <c r="E159" s="328"/>
      <c r="F159" s="328"/>
      <c r="G159" s="328"/>
      <c r="H159" s="328"/>
      <c r="I159" s="328"/>
      <c r="J159" s="3"/>
      <c r="K159" s="3"/>
      <c r="L159" s="3"/>
      <c r="M159" s="3"/>
      <c r="N159" s="81"/>
    </row>
    <row r="160" spans="1:14" s="79" customFormat="1" ht="15.75" customHeight="1" x14ac:dyDescent="0.25">
      <c r="A160" s="400" t="str">
        <f>'0664'!A160</f>
        <v>funding for which charter students may be eligible.  To calculate the administrative fee to be withheld for schools with more than 250 students, divide the school</v>
      </c>
      <c r="B160" s="328"/>
      <c r="C160" s="328"/>
      <c r="D160" s="328"/>
      <c r="E160" s="328"/>
      <c r="F160" s="328"/>
      <c r="G160" s="328"/>
      <c r="H160" s="328"/>
      <c r="I160" s="328"/>
      <c r="J160" s="3"/>
      <c r="K160" s="3"/>
      <c r="L160" s="3"/>
      <c r="M160" s="3"/>
      <c r="N160" s="81"/>
    </row>
    <row r="161" spans="1:21" s="79" customFormat="1" ht="15.75" customHeight="1" x14ac:dyDescent="0.25">
      <c r="A161" s="400" t="str">
        <f>'0664'!A161</f>
        <v xml:space="preserve">population into 250. Multiply that fraction times the funds available, then times 5%.  </v>
      </c>
      <c r="B161" s="328"/>
      <c r="C161" s="328"/>
      <c r="D161" s="328"/>
      <c r="E161" s="328"/>
      <c r="F161" s="328"/>
      <c r="G161" s="328"/>
      <c r="H161" s="328"/>
      <c r="I161" s="328"/>
      <c r="J161" s="3"/>
      <c r="K161" s="3"/>
      <c r="L161" s="3"/>
      <c r="M161" s="3"/>
      <c r="N161" s="81"/>
    </row>
    <row r="162" spans="1:21" s="79" customFormat="1" ht="15.75" customHeight="1" x14ac:dyDescent="0.25">
      <c r="A162" s="399"/>
      <c r="B162" s="394"/>
      <c r="C162" s="394"/>
      <c r="D162" s="394"/>
      <c r="E162" s="394"/>
      <c r="F162" s="394"/>
      <c r="G162" s="394"/>
      <c r="H162" s="394"/>
      <c r="I162" s="394"/>
      <c r="N162" s="77"/>
      <c r="O162" s="3"/>
      <c r="P162" s="3"/>
      <c r="Q162" s="3"/>
      <c r="R162" s="3"/>
      <c r="S162" s="3"/>
      <c r="T162" s="3"/>
      <c r="U162" s="3"/>
    </row>
    <row r="163" spans="1:21" ht="15.75" customHeight="1" x14ac:dyDescent="0.25">
      <c r="A163" s="399" t="str">
        <f>'0664'!A163</f>
        <v xml:space="preserve">For high performing charter schools, administrative fees charged by the school district shall be calculated based upon 2% of available funds from the FEFP and categorical </v>
      </c>
      <c r="B163" s="328"/>
      <c r="C163" s="328"/>
      <c r="D163" s="328"/>
      <c r="E163" s="328"/>
      <c r="F163" s="328"/>
      <c r="G163" s="328"/>
      <c r="H163" s="328"/>
      <c r="I163" s="328"/>
      <c r="J163" s="79"/>
      <c r="K163" s="79"/>
      <c r="L163" s="79"/>
      <c r="M163" s="79"/>
      <c r="N163" s="81"/>
      <c r="O163" s="79"/>
      <c r="P163" s="79"/>
      <c r="Q163" s="79"/>
      <c r="R163" s="79"/>
      <c r="S163" s="79"/>
      <c r="T163" s="79"/>
      <c r="U163" s="79"/>
    </row>
    <row r="164" spans="1:21" ht="15.75" customHeight="1" x14ac:dyDescent="0.25">
      <c r="A164" s="400" t="str">
        <f>'0664'!A164</f>
        <v>funding for which charter students may be eligible.  To calculate the administrative fee to be withheld for schools with more than 250 students, divide the school</v>
      </c>
      <c r="B164" s="381"/>
      <c r="C164" s="381"/>
      <c r="D164" s="381"/>
      <c r="E164" s="381"/>
      <c r="F164" s="381"/>
      <c r="G164" s="381"/>
      <c r="H164" s="381"/>
      <c r="I164" s="381"/>
      <c r="J164" s="79"/>
      <c r="K164" s="79"/>
      <c r="L164" s="79"/>
      <c r="M164" s="79"/>
      <c r="N164" s="81"/>
      <c r="O164" s="79"/>
      <c r="P164" s="79"/>
      <c r="Q164" s="79"/>
      <c r="R164" s="79"/>
      <c r="S164" s="79"/>
      <c r="T164" s="79"/>
      <c r="U164" s="79"/>
    </row>
    <row r="165" spans="1:21" s="79" customFormat="1" ht="15.75" customHeight="1" x14ac:dyDescent="0.2">
      <c r="A165" s="400" t="str">
        <f>'0664'!A165</f>
        <v xml:space="preserve">population into 250. Multiply that fraction times the funds available, then times 2%.  </v>
      </c>
      <c r="B165" s="328"/>
      <c r="C165" s="328"/>
      <c r="D165" s="328"/>
      <c r="E165" s="328"/>
      <c r="F165" s="328"/>
      <c r="G165" s="328"/>
      <c r="H165" s="328"/>
      <c r="I165" s="328"/>
      <c r="N165" s="81"/>
    </row>
    <row r="166" spans="1:21" x14ac:dyDescent="0.25">
      <c r="A166" s="356"/>
      <c r="N166" s="77"/>
    </row>
    <row r="167" spans="1:21" x14ac:dyDescent="0.25">
      <c r="A167" s="398" t="str">
        <f>'0664'!A167</f>
        <v>Other:</v>
      </c>
      <c r="N167" s="77"/>
    </row>
    <row r="168" spans="1:21" x14ac:dyDescent="0.25">
      <c r="A168" s="399" t="str">
        <f>'0664'!A168</f>
        <v>FEFP and categorical funding are recalculated during the year to reflect the revised number of full-time equivalent students reported during the survey periods designated</v>
      </c>
      <c r="N168" s="77"/>
    </row>
    <row r="169" spans="1:21" x14ac:dyDescent="0.25">
      <c r="A169" s="402" t="str">
        <f>'0664'!A169</f>
        <v>by the Commissioner of Education.</v>
      </c>
      <c r="N169" s="77"/>
    </row>
    <row r="170" spans="1:21" x14ac:dyDescent="0.25">
      <c r="A170" s="399" t="str">
        <f>'0664'!A170</f>
        <v>Revenues flow to districts from state sources and from county tax collectors on various distribution schedules.</v>
      </c>
      <c r="N170" s="77"/>
    </row>
    <row r="171" spans="1:21" x14ac:dyDescent="0.25">
      <c r="A171" s="77"/>
      <c r="N171" s="77"/>
    </row>
    <row r="172" spans="1:21" x14ac:dyDescent="0.25">
      <c r="A172" s="77"/>
      <c r="N172" s="77"/>
    </row>
    <row r="173" spans="1:21" x14ac:dyDescent="0.25">
      <c r="A173" s="77"/>
      <c r="N173" s="77"/>
    </row>
    <row r="174" spans="1:21" x14ac:dyDescent="0.25">
      <c r="A174" s="77"/>
      <c r="N174" s="77"/>
    </row>
    <row r="175" spans="1:21" x14ac:dyDescent="0.25">
      <c r="A175" s="77"/>
      <c r="N175" s="77"/>
    </row>
    <row r="176" spans="1:21" x14ac:dyDescent="0.25">
      <c r="A176" s="77"/>
      <c r="N176" s="77"/>
    </row>
    <row r="177" spans="1:14" x14ac:dyDescent="0.25">
      <c r="A177" s="77"/>
      <c r="N177" s="77"/>
    </row>
    <row r="178" spans="1:14" x14ac:dyDescent="0.25">
      <c r="A178" s="77"/>
      <c r="N178" s="77"/>
    </row>
    <row r="179" spans="1:14" x14ac:dyDescent="0.25">
      <c r="A179" s="77"/>
      <c r="N179" s="77"/>
    </row>
    <row r="180" spans="1:14" x14ac:dyDescent="0.25">
      <c r="A180" s="77"/>
      <c r="N180" s="77"/>
    </row>
    <row r="181" spans="1:14" x14ac:dyDescent="0.25">
      <c r="A181" s="77"/>
      <c r="N181" s="77"/>
    </row>
    <row r="182" spans="1:14" x14ac:dyDescent="0.25">
      <c r="A182" s="77"/>
      <c r="N182" s="77"/>
    </row>
    <row r="183" spans="1:14" x14ac:dyDescent="0.25">
      <c r="A183" s="77"/>
      <c r="N183" s="77"/>
    </row>
    <row r="184" spans="1:14" x14ac:dyDescent="0.25">
      <c r="A184" s="77"/>
      <c r="N184" s="77"/>
    </row>
    <row r="185" spans="1:14" x14ac:dyDescent="0.25">
      <c r="A185" s="77"/>
      <c r="N185" s="77"/>
    </row>
    <row r="186" spans="1:14" x14ac:dyDescent="0.25">
      <c r="A186" s="77"/>
      <c r="N186" s="77"/>
    </row>
    <row r="187" spans="1:14" x14ac:dyDescent="0.25">
      <c r="A187" s="77"/>
      <c r="N187" s="77"/>
    </row>
    <row r="188" spans="1:14" x14ac:dyDescent="0.25">
      <c r="A188" s="77"/>
    </row>
    <row r="189" spans="1:14" x14ac:dyDescent="0.25">
      <c r="A189" s="77"/>
    </row>
    <row r="190" spans="1:14" x14ac:dyDescent="0.25">
      <c r="A190" s="77"/>
    </row>
    <row r="191" spans="1:14" x14ac:dyDescent="0.25">
      <c r="A191" s="77"/>
    </row>
    <row r="192" spans="1:14" x14ac:dyDescent="0.25">
      <c r="A192" s="77"/>
    </row>
    <row r="193" spans="1:1" x14ac:dyDescent="0.25">
      <c r="A193" s="77"/>
    </row>
    <row r="194" spans="1:1" x14ac:dyDescent="0.25">
      <c r="A194" s="77"/>
    </row>
    <row r="195" spans="1:1" x14ac:dyDescent="0.25">
      <c r="A195" s="77"/>
    </row>
    <row r="196" spans="1:1" x14ac:dyDescent="0.25">
      <c r="A196" s="77"/>
    </row>
    <row r="197" spans="1:1" x14ac:dyDescent="0.25">
      <c r="A197" s="77"/>
    </row>
    <row r="198" spans="1:1" x14ac:dyDescent="0.25">
      <c r="A198" s="77"/>
    </row>
    <row r="199" spans="1:1" x14ac:dyDescent="0.25">
      <c r="A199" s="77"/>
    </row>
    <row r="200" spans="1:1" x14ac:dyDescent="0.25">
      <c r="A200" s="77"/>
    </row>
    <row r="201" spans="1:1" x14ac:dyDescent="0.25">
      <c r="A201" s="77"/>
    </row>
    <row r="202" spans="1:1" x14ac:dyDescent="0.25">
      <c r="A202" s="77"/>
    </row>
    <row r="203" spans="1:1" x14ac:dyDescent="0.25">
      <c r="A203" s="77"/>
    </row>
    <row r="204" spans="1:1" x14ac:dyDescent="0.25">
      <c r="A204" s="77"/>
    </row>
    <row r="205" spans="1:1" x14ac:dyDescent="0.25">
      <c r="A205" s="77"/>
    </row>
    <row r="206" spans="1:1" x14ac:dyDescent="0.25">
      <c r="A206" s="77"/>
    </row>
  </sheetData>
  <mergeCells count="266">
    <mergeCell ref="N139:U139"/>
    <mergeCell ref="N119:U119"/>
    <mergeCell ref="A112:C112"/>
    <mergeCell ref="F112:H112"/>
    <mergeCell ref="N112:P112"/>
    <mergeCell ref="N113:P113"/>
    <mergeCell ref="A113:C113"/>
    <mergeCell ref="N114:T114"/>
    <mergeCell ref="A115:H115"/>
    <mergeCell ref="A119:G119"/>
    <mergeCell ref="A109:B109"/>
    <mergeCell ref="F109:G109"/>
    <mergeCell ref="N109:O109"/>
    <mergeCell ref="P109:Q109"/>
    <mergeCell ref="F113:H113"/>
    <mergeCell ref="N120:U120"/>
    <mergeCell ref="A120:G120"/>
    <mergeCell ref="R109:S109"/>
    <mergeCell ref="A110:B110"/>
    <mergeCell ref="N110:O110"/>
    <mergeCell ref="A107:B107"/>
    <mergeCell ref="F107:G107"/>
    <mergeCell ref="N107:O107"/>
    <mergeCell ref="P107:Q107"/>
    <mergeCell ref="R107:S107"/>
    <mergeCell ref="A108:B108"/>
    <mergeCell ref="F108:G108"/>
    <mergeCell ref="N108:O108"/>
    <mergeCell ref="P108:Q108"/>
    <mergeCell ref="R108:S108"/>
    <mergeCell ref="A103:C103"/>
    <mergeCell ref="F103:I103"/>
    <mergeCell ref="N103:U103"/>
    <mergeCell ref="C104:E104"/>
    <mergeCell ref="F105:G105"/>
    <mergeCell ref="A106:B106"/>
    <mergeCell ref="F106:G106"/>
    <mergeCell ref="N106:O106"/>
    <mergeCell ref="P106:Q106"/>
    <mergeCell ref="R106:S106"/>
    <mergeCell ref="A99:B99"/>
    <mergeCell ref="N99:O99"/>
    <mergeCell ref="P99:R99"/>
    <mergeCell ref="A100:B100"/>
    <mergeCell ref="N100:O100"/>
    <mergeCell ref="P100:R100"/>
    <mergeCell ref="C91:D91"/>
    <mergeCell ref="P91:Q91"/>
    <mergeCell ref="C92:D92"/>
    <mergeCell ref="P92:Q92"/>
    <mergeCell ref="C93:D93"/>
    <mergeCell ref="P93:T93"/>
    <mergeCell ref="A94:I94"/>
    <mergeCell ref="N94:U94"/>
    <mergeCell ref="F96:I96"/>
    <mergeCell ref="N96:P96"/>
    <mergeCell ref="Q96:T96"/>
    <mergeCell ref="A87:I87"/>
    <mergeCell ref="N87:U87"/>
    <mergeCell ref="C88:D88"/>
    <mergeCell ref="C89:D89"/>
    <mergeCell ref="N89:O89"/>
    <mergeCell ref="P89:Q89"/>
    <mergeCell ref="R89:U89"/>
    <mergeCell ref="C90:D90"/>
    <mergeCell ref="P90:Q90"/>
    <mergeCell ref="A80:C80"/>
    <mergeCell ref="N80:P80"/>
    <mergeCell ref="A85:C85"/>
    <mergeCell ref="N85:P85"/>
    <mergeCell ref="F73:H73"/>
    <mergeCell ref="N73:T73"/>
    <mergeCell ref="N74:T74"/>
    <mergeCell ref="A78:C78"/>
    <mergeCell ref="N78:P78"/>
    <mergeCell ref="A79:C79"/>
    <mergeCell ref="A69:C69"/>
    <mergeCell ref="N69:P69"/>
    <mergeCell ref="N79:P79"/>
    <mergeCell ref="A76:C76"/>
    <mergeCell ref="N76:P76"/>
    <mergeCell ref="A77:C77"/>
    <mergeCell ref="A70:C70"/>
    <mergeCell ref="A71:C71"/>
    <mergeCell ref="N71:P71"/>
    <mergeCell ref="A72:C72"/>
    <mergeCell ref="N77:P77"/>
    <mergeCell ref="N72:P72"/>
    <mergeCell ref="A65:B65"/>
    <mergeCell ref="D65:G65"/>
    <mergeCell ref="N65:O65"/>
    <mergeCell ref="Q65:S65"/>
    <mergeCell ref="T65:U65"/>
    <mergeCell ref="N66:S66"/>
    <mergeCell ref="T66:U66"/>
    <mergeCell ref="A68:C68"/>
    <mergeCell ref="N68:P68"/>
    <mergeCell ref="A62:B62"/>
    <mergeCell ref="D62:G62"/>
    <mergeCell ref="N62:O62"/>
    <mergeCell ref="Q62:S62"/>
    <mergeCell ref="T62:U62"/>
    <mergeCell ref="N63:S63"/>
    <mergeCell ref="T63:U63"/>
    <mergeCell ref="A64:I64"/>
    <mergeCell ref="N64:U64"/>
    <mergeCell ref="A59:B59"/>
    <mergeCell ref="F59:H59"/>
    <mergeCell ref="N59:O59"/>
    <mergeCell ref="P59:Q59"/>
    <mergeCell ref="R59:T59"/>
    <mergeCell ref="A60:I60"/>
    <mergeCell ref="N60:U60"/>
    <mergeCell ref="A61:I61"/>
    <mergeCell ref="N61:U61"/>
    <mergeCell ref="A50:B58"/>
    <mergeCell ref="N50:O58"/>
    <mergeCell ref="P50:Q50"/>
    <mergeCell ref="P51:Q51"/>
    <mergeCell ref="P52:Q52"/>
    <mergeCell ref="P53:Q53"/>
    <mergeCell ref="P54:Q54"/>
    <mergeCell ref="P55:Q55"/>
    <mergeCell ref="P56:Q56"/>
    <mergeCell ref="P57:Q57"/>
    <mergeCell ref="P58:Q58"/>
    <mergeCell ref="A42:B42"/>
    <mergeCell ref="N42:O42"/>
    <mergeCell ref="P42:T42"/>
    <mergeCell ref="N43:Q43"/>
    <mergeCell ref="S43:T43"/>
    <mergeCell ref="N45:Q45"/>
    <mergeCell ref="S45:T45"/>
    <mergeCell ref="N49:O49"/>
    <mergeCell ref="P49:Q49"/>
    <mergeCell ref="A39:B39"/>
    <mergeCell ref="N39:O39"/>
    <mergeCell ref="P39:T39"/>
    <mergeCell ref="A40:B40"/>
    <mergeCell ref="N40:O40"/>
    <mergeCell ref="P40:T40"/>
    <mergeCell ref="A41:B41"/>
    <mergeCell ref="N41:O41"/>
    <mergeCell ref="P41:T41"/>
    <mergeCell ref="N34:T34"/>
    <mergeCell ref="A36:B36"/>
    <mergeCell ref="N36:O36"/>
    <mergeCell ref="P36:T36"/>
    <mergeCell ref="A37:B37"/>
    <mergeCell ref="N37:O37"/>
    <mergeCell ref="P37:T37"/>
    <mergeCell ref="F33:H36"/>
    <mergeCell ref="A38:B38"/>
    <mergeCell ref="N38:O38"/>
    <mergeCell ref="P38:T38"/>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A20:B20"/>
    <mergeCell ref="F20:G20"/>
    <mergeCell ref="N20:O20"/>
    <mergeCell ref="P20:Q20"/>
    <mergeCell ref="R20:S20"/>
    <mergeCell ref="A21:B21"/>
    <mergeCell ref="F21:G21"/>
    <mergeCell ref="N21:O21"/>
    <mergeCell ref="P21:Q21"/>
    <mergeCell ref="R21:S21"/>
    <mergeCell ref="A18:B18"/>
    <mergeCell ref="F18:G18"/>
    <mergeCell ref="N18:O18"/>
    <mergeCell ref="P18:Q18"/>
    <mergeCell ref="R18:S18"/>
    <mergeCell ref="A19:B19"/>
    <mergeCell ref="F19:G19"/>
    <mergeCell ref="N19:O19"/>
    <mergeCell ref="P19:Q19"/>
    <mergeCell ref="R19:S19"/>
    <mergeCell ref="A16:B16"/>
    <mergeCell ref="F16:G16"/>
    <mergeCell ref="N16:O16"/>
    <mergeCell ref="P16:Q16"/>
    <mergeCell ref="R16:S16"/>
    <mergeCell ref="A15:B15"/>
    <mergeCell ref="F15:G15"/>
    <mergeCell ref="A17:B17"/>
    <mergeCell ref="F17:G17"/>
    <mergeCell ref="N17:O17"/>
    <mergeCell ref="P17:Q17"/>
    <mergeCell ref="R17:S17"/>
    <mergeCell ref="A14:B14"/>
    <mergeCell ref="F14:G14"/>
    <mergeCell ref="N14:O14"/>
    <mergeCell ref="P14:Q14"/>
    <mergeCell ref="R14:S14"/>
    <mergeCell ref="A13:B13"/>
    <mergeCell ref="F13:G13"/>
    <mergeCell ref="N15:O15"/>
    <mergeCell ref="P15:Q15"/>
    <mergeCell ref="R15:S15"/>
    <mergeCell ref="A12:B12"/>
    <mergeCell ref="F12:G12"/>
    <mergeCell ref="N12:O12"/>
    <mergeCell ref="P12:Q12"/>
    <mergeCell ref="R12:S12"/>
    <mergeCell ref="A11:B11"/>
    <mergeCell ref="F11:G11"/>
    <mergeCell ref="N13:O13"/>
    <mergeCell ref="P13:Q13"/>
    <mergeCell ref="R13:S13"/>
    <mergeCell ref="N8:O8"/>
    <mergeCell ref="P8:Q8"/>
    <mergeCell ref="R8:S8"/>
    <mergeCell ref="T8:U8"/>
    <mergeCell ref="F10:G10"/>
    <mergeCell ref="R10:S10"/>
    <mergeCell ref="A7:I7"/>
    <mergeCell ref="N11:O11"/>
    <mergeCell ref="P11:Q11"/>
    <mergeCell ref="R11:S11"/>
    <mergeCell ref="O1:U1"/>
    <mergeCell ref="N2:U2"/>
    <mergeCell ref="N3:U3"/>
    <mergeCell ref="A4:B4"/>
    <mergeCell ref="C4:E4"/>
    <mergeCell ref="N4:O4"/>
    <mergeCell ref="P4:Q4"/>
    <mergeCell ref="B1:I1"/>
    <mergeCell ref="N7:U7"/>
  </mergeCells>
  <pageMargins left="0.1" right="0.1" top="0.5" bottom="0.5" header="0" footer="0.1"/>
  <pageSetup scale="70" fitToHeight="3" orientation="portrait" r:id="rId1"/>
  <headerFooter alignWithMargins="0">
    <oddFooter>&amp;R&amp;P of &amp;N</oddFooter>
  </headerFooter>
  <rowBreaks count="1" manualBreakCount="1">
    <brk id="138" max="16383" man="1"/>
  </rowBreaks>
  <colBreaks count="1" manualBreakCount="1">
    <brk id="9"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tabColor rgb="FFCCFFCC"/>
  </sheetPr>
  <dimension ref="A1:U206"/>
  <sheetViews>
    <sheetView showGridLines="0" zoomScaleNormal="100" workbookViewId="0">
      <pane ySplit="1" topLeftCell="A11" activePane="bottomLeft" state="frozen"/>
      <selection activeCell="I9" sqref="I9"/>
      <selection pane="bottomLeft" activeCell="E31" sqref="E31"/>
    </sheetView>
  </sheetViews>
  <sheetFormatPr defaultRowHeight="15.75" x14ac:dyDescent="0.25"/>
  <cols>
    <col min="1" max="1" width="10.28515625" style="72"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72"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5">
        <v>50</v>
      </c>
      <c r="B1" s="441" t="s">
        <v>17</v>
      </c>
      <c r="C1" s="442"/>
      <c r="D1" s="442"/>
      <c r="E1" s="442"/>
      <c r="F1" s="442"/>
      <c r="G1" s="442"/>
      <c r="H1" s="442"/>
      <c r="I1" s="442"/>
      <c r="J1" s="157"/>
      <c r="K1" s="157"/>
      <c r="L1" s="157"/>
      <c r="N1" s="85">
        <f>A1</f>
        <v>50</v>
      </c>
      <c r="O1" s="527" t="s">
        <v>17</v>
      </c>
      <c r="P1" s="528"/>
      <c r="Q1" s="528"/>
      <c r="R1" s="528"/>
      <c r="S1" s="528"/>
      <c r="T1" s="528"/>
      <c r="U1" s="528"/>
    </row>
    <row r="2" spans="1:21" ht="21" x14ac:dyDescent="0.35">
      <c r="A2" s="1" t="s">
        <v>167</v>
      </c>
      <c r="B2" s="2"/>
      <c r="C2" s="2"/>
      <c r="D2" s="2"/>
      <c r="E2" s="2"/>
      <c r="F2" s="2"/>
      <c r="G2" s="2"/>
      <c r="H2" s="2"/>
      <c r="I2" s="2"/>
      <c r="N2" s="529" t="s">
        <v>23</v>
      </c>
      <c r="O2" s="529"/>
      <c r="P2" s="529"/>
      <c r="Q2" s="529"/>
      <c r="R2" s="529"/>
      <c r="S2" s="529"/>
      <c r="T2" s="529"/>
      <c r="U2" s="529"/>
    </row>
    <row r="3" spans="1:21" x14ac:dyDescent="0.25">
      <c r="A3" s="84" t="str">
        <f>'0664'!A3</f>
        <v>Based on the FLDOE 2022-23 FEFP Third Calculation</v>
      </c>
      <c r="N3" s="485" t="str">
        <f>A3</f>
        <v>Based on the FLDOE 2022-23 FEFP Third Calculation</v>
      </c>
      <c r="O3" s="485"/>
      <c r="P3" s="485"/>
      <c r="Q3" s="485"/>
      <c r="R3" s="485"/>
      <c r="S3" s="485"/>
      <c r="T3" s="485"/>
      <c r="U3" s="485"/>
    </row>
    <row r="4" spans="1:21" x14ac:dyDescent="0.25">
      <c r="A4" s="443" t="s">
        <v>0</v>
      </c>
      <c r="B4" s="443"/>
      <c r="C4" s="444" t="s">
        <v>9</v>
      </c>
      <c r="D4" s="444"/>
      <c r="E4" s="444"/>
      <c r="F4" s="4" t="str">
        <f>'0664'!F4</f>
        <v>Apr 2023</v>
      </c>
      <c r="G4" s="4"/>
      <c r="H4" s="4"/>
      <c r="I4" s="4"/>
      <c r="N4" s="530" t="s">
        <v>0</v>
      </c>
      <c r="O4" s="530"/>
      <c r="P4" s="531" t="str">
        <f>C4</f>
        <v>Palm Beach</v>
      </c>
      <c r="Q4" s="531"/>
      <c r="R4" s="5"/>
      <c r="S4" s="5"/>
      <c r="T4" s="5"/>
      <c r="U4" s="5"/>
    </row>
    <row r="5" spans="1:21" ht="12" customHeight="1" thickBot="1" x14ac:dyDescent="0.3">
      <c r="A5" s="262"/>
      <c r="B5" s="262"/>
      <c r="C5" s="253"/>
      <c r="D5" s="253"/>
      <c r="E5" s="253"/>
      <c r="F5" s="254"/>
      <c r="G5" s="254"/>
      <c r="H5" s="254"/>
      <c r="I5" s="254"/>
      <c r="N5" s="86"/>
      <c r="O5" s="86"/>
      <c r="P5" s="6"/>
      <c r="Q5" s="6"/>
      <c r="R5" s="5"/>
      <c r="S5" s="5"/>
      <c r="T5" s="5"/>
      <c r="U5" s="5"/>
    </row>
    <row r="6" spans="1:21" ht="12" customHeight="1" x14ac:dyDescent="0.25">
      <c r="A6" s="150"/>
      <c r="B6" s="150"/>
      <c r="C6" s="261"/>
      <c r="D6" s="261"/>
      <c r="E6" s="261"/>
      <c r="F6" s="4"/>
      <c r="G6" s="4"/>
      <c r="H6" s="4"/>
      <c r="I6" s="4"/>
      <c r="N6" s="86"/>
      <c r="O6" s="86"/>
      <c r="P6" s="6"/>
      <c r="Q6" s="6"/>
      <c r="R6" s="5"/>
      <c r="S6" s="5"/>
      <c r="T6" s="5"/>
      <c r="U6" s="5"/>
    </row>
    <row r="7" spans="1:21" x14ac:dyDescent="0.25">
      <c r="A7" s="445" t="str">
        <f>'0664'!A7:I7</f>
        <v>1.   2022-23 FEFP State and Local Funding</v>
      </c>
      <c r="B7" s="533"/>
      <c r="C7" s="533"/>
      <c r="D7" s="533"/>
      <c r="E7" s="533"/>
      <c r="F7" s="533"/>
      <c r="G7" s="533"/>
      <c r="H7" s="533"/>
      <c r="I7" s="533"/>
      <c r="N7" s="530" t="s">
        <v>86</v>
      </c>
      <c r="O7" s="530"/>
      <c r="P7" s="530"/>
      <c r="Q7" s="530"/>
      <c r="R7" s="530"/>
      <c r="S7" s="530"/>
      <c r="T7" s="530"/>
      <c r="U7" s="530"/>
    </row>
    <row r="8" spans="1:21" x14ac:dyDescent="0.25">
      <c r="A8" s="87"/>
      <c r="B8" s="88" t="s">
        <v>123</v>
      </c>
      <c r="C8" s="334">
        <f>'0664'!C8</f>
        <v>4587.3999999999996</v>
      </c>
      <c r="D8" s="89"/>
      <c r="E8" s="90"/>
      <c r="F8" s="87"/>
      <c r="G8" s="88" t="s">
        <v>122</v>
      </c>
      <c r="H8" s="320">
        <f>'0664'!H8</f>
        <v>1.0438000000000001</v>
      </c>
      <c r="I8" s="78"/>
      <c r="N8" s="534" t="s">
        <v>10</v>
      </c>
      <c r="O8" s="534"/>
      <c r="P8" s="535">
        <v>4154.45</v>
      </c>
      <c r="Q8" s="535"/>
      <c r="R8" s="518" t="s">
        <v>11</v>
      </c>
      <c r="S8" s="518"/>
      <c r="T8" s="519">
        <f>H8</f>
        <v>1.0438000000000001</v>
      </c>
      <c r="U8" s="519"/>
    </row>
    <row r="9" spans="1:21" x14ac:dyDescent="0.25">
      <c r="A9" s="7"/>
      <c r="B9" s="44" t="s">
        <v>370</v>
      </c>
      <c r="C9" s="372" t="s">
        <v>370</v>
      </c>
      <c r="D9" s="372" t="s">
        <v>370</v>
      </c>
      <c r="E9" s="8"/>
      <c r="F9" s="9"/>
      <c r="G9" s="9"/>
      <c r="H9" s="10"/>
      <c r="I9" s="340" t="str">
        <f>'0664'!I9</f>
        <v>2022-23</v>
      </c>
      <c r="N9" s="12"/>
      <c r="O9" s="12"/>
      <c r="P9" s="13"/>
      <c r="Q9" s="13"/>
      <c r="R9" s="14"/>
      <c r="S9" s="14"/>
      <c r="T9" s="15"/>
      <c r="U9" s="405" t="s">
        <v>405</v>
      </c>
    </row>
    <row r="10" spans="1:21" x14ac:dyDescent="0.25">
      <c r="A10" s="7"/>
      <c r="B10" s="7"/>
      <c r="C10" s="91" t="s">
        <v>463</v>
      </c>
      <c r="D10" s="371" t="s">
        <v>464</v>
      </c>
      <c r="E10" s="92" t="s">
        <v>8</v>
      </c>
      <c r="F10" s="446" t="s">
        <v>1</v>
      </c>
      <c r="G10" s="446"/>
      <c r="H10" s="10" t="s">
        <v>73</v>
      </c>
      <c r="I10" s="11" t="s">
        <v>36</v>
      </c>
      <c r="N10" s="12"/>
      <c r="O10" s="12"/>
      <c r="P10" s="13"/>
      <c r="Q10" s="13"/>
      <c r="R10" s="520" t="s">
        <v>1</v>
      </c>
      <c r="S10" s="520"/>
      <c r="T10" s="15" t="s">
        <v>73</v>
      </c>
      <c r="U10" s="16" t="s">
        <v>36</v>
      </c>
    </row>
    <row r="11" spans="1:21" x14ac:dyDescent="0.25">
      <c r="A11" s="447" t="s">
        <v>1</v>
      </c>
      <c r="B11" s="447"/>
      <c r="C11" s="362" t="s">
        <v>2</v>
      </c>
      <c r="D11" s="362" t="s">
        <v>2</v>
      </c>
      <c r="E11" s="362" t="s">
        <v>2</v>
      </c>
      <c r="F11" s="448" t="s">
        <v>76</v>
      </c>
      <c r="G11" s="448"/>
      <c r="H11" s="17" t="s">
        <v>72</v>
      </c>
      <c r="I11" s="18" t="s">
        <v>75</v>
      </c>
      <c r="N11" s="510" t="s">
        <v>1</v>
      </c>
      <c r="O11" s="510"/>
      <c r="P11" s="521" t="s">
        <v>24</v>
      </c>
      <c r="Q11" s="521"/>
      <c r="R11" s="522" t="s">
        <v>76</v>
      </c>
      <c r="S11" s="522"/>
      <c r="T11" s="19" t="s">
        <v>72</v>
      </c>
      <c r="U11" s="20" t="s">
        <v>75</v>
      </c>
    </row>
    <row r="12" spans="1:21" x14ac:dyDescent="0.25">
      <c r="A12" s="449" t="s">
        <v>47</v>
      </c>
      <c r="B12" s="449"/>
      <c r="C12" s="94"/>
      <c r="D12" s="94"/>
      <c r="E12" s="95" t="s">
        <v>48</v>
      </c>
      <c r="F12" s="450" t="s">
        <v>49</v>
      </c>
      <c r="G12" s="450"/>
      <c r="H12" s="21" t="s">
        <v>50</v>
      </c>
      <c r="I12" s="22" t="s">
        <v>51</v>
      </c>
      <c r="N12" s="523" t="s">
        <v>47</v>
      </c>
      <c r="O12" s="523"/>
      <c r="P12" s="524" t="s">
        <v>48</v>
      </c>
      <c r="Q12" s="524"/>
      <c r="R12" s="525" t="s">
        <v>49</v>
      </c>
      <c r="S12" s="525"/>
      <c r="T12" s="23" t="s">
        <v>50</v>
      </c>
      <c r="U12" s="24" t="s">
        <v>51</v>
      </c>
    </row>
    <row r="13" spans="1:21" x14ac:dyDescent="0.25">
      <c r="A13" s="451" t="s">
        <v>29</v>
      </c>
      <c r="B13" s="451"/>
      <c r="C13" s="165">
        <v>0</v>
      </c>
      <c r="D13" s="163">
        <v>0</v>
      </c>
      <c r="E13" s="210">
        <f>IF(D$29=0,C13*2,C13+D13)</f>
        <v>0</v>
      </c>
      <c r="F13" s="537">
        <f>'0664'!F13:G13</f>
        <v>1.1259999999999999</v>
      </c>
      <c r="G13" s="537"/>
      <c r="H13" s="167">
        <f>ROUND(E13*F13,4)</f>
        <v>0</v>
      </c>
      <c r="I13" s="119">
        <f t="shared" ref="I13:I28" si="0">ROUND(ROUND(H13*$C$8,4)*($H$8),2)</f>
        <v>0</v>
      </c>
      <c r="N13" s="512" t="s">
        <v>29</v>
      </c>
      <c r="O13" s="512"/>
      <c r="P13" s="513">
        <f t="shared" ref="P13:P28" si="1">IF($H$120=1,E13,0)</f>
        <v>0</v>
      </c>
      <c r="Q13" s="513"/>
      <c r="R13" s="526">
        <v>1</v>
      </c>
      <c r="S13" s="526"/>
      <c r="T13" s="98">
        <f>ROUND(P13*R13,4)</f>
        <v>0</v>
      </c>
      <c r="U13" s="99">
        <f t="shared" ref="U13:U28" si="2">ROUND(ROUND(T13*$C$8,4)*($H$8),0)</f>
        <v>0</v>
      </c>
    </row>
    <row r="14" spans="1:21" x14ac:dyDescent="0.25">
      <c r="A14" s="453" t="s">
        <v>30</v>
      </c>
      <c r="B14" s="453"/>
      <c r="C14" s="165">
        <v>0</v>
      </c>
      <c r="D14" s="165">
        <v>0</v>
      </c>
      <c r="E14" s="125">
        <f t="shared" ref="E14:E28" si="3">IF(D$29=0,C14*2,C14+D14)</f>
        <v>0</v>
      </c>
      <c r="F14" s="532">
        <f>'0664'!F14:G14</f>
        <v>1.1259999999999999</v>
      </c>
      <c r="G14" s="532"/>
      <c r="H14" s="83">
        <f t="shared" ref="H14:H28" si="4">ROUND(E14*F14,4)</f>
        <v>0</v>
      </c>
      <c r="I14" s="104">
        <f t="shared" si="0"/>
        <v>0</v>
      </c>
      <c r="J14" s="68" t="str">
        <f>IF(ROUND(E14,2)=ROUND(SUM(E50:E52),2)," ","CHECK PK-3 LINES BELOW")</f>
        <v xml:space="preserve"> </v>
      </c>
      <c r="N14" s="479" t="s">
        <v>30</v>
      </c>
      <c r="O14" s="479"/>
      <c r="P14" s="513">
        <f t="shared" si="1"/>
        <v>0</v>
      </c>
      <c r="Q14" s="513"/>
      <c r="R14" s="517">
        <v>1</v>
      </c>
      <c r="S14" s="517"/>
      <c r="T14" s="98">
        <f t="shared" ref="T14:T28" si="5">ROUND(P14*R14,4)</f>
        <v>0</v>
      </c>
      <c r="U14" s="99">
        <f t="shared" si="2"/>
        <v>0</v>
      </c>
    </row>
    <row r="15" spans="1:21" x14ac:dyDescent="0.25">
      <c r="A15" s="453" t="s">
        <v>31</v>
      </c>
      <c r="B15" s="453"/>
      <c r="C15" s="165">
        <v>0</v>
      </c>
      <c r="D15" s="165">
        <v>0</v>
      </c>
      <c r="E15" s="125">
        <f t="shared" si="3"/>
        <v>0</v>
      </c>
      <c r="F15" s="532">
        <f>'0664'!F15:G15</f>
        <v>1</v>
      </c>
      <c r="G15" s="532"/>
      <c r="H15" s="83">
        <f t="shared" si="4"/>
        <v>0</v>
      </c>
      <c r="I15" s="104">
        <f t="shared" si="0"/>
        <v>0</v>
      </c>
      <c r="N15" s="479" t="s">
        <v>31</v>
      </c>
      <c r="O15" s="479"/>
      <c r="P15" s="513">
        <f t="shared" si="1"/>
        <v>0</v>
      </c>
      <c r="Q15" s="513"/>
      <c r="R15" s="517">
        <v>1</v>
      </c>
      <c r="S15" s="517"/>
      <c r="T15" s="98">
        <f t="shared" si="5"/>
        <v>0</v>
      </c>
      <c r="U15" s="99">
        <f t="shared" si="2"/>
        <v>0</v>
      </c>
    </row>
    <row r="16" spans="1:21" x14ac:dyDescent="0.25">
      <c r="A16" s="453" t="s">
        <v>32</v>
      </c>
      <c r="B16" s="453"/>
      <c r="C16" s="165">
        <v>0</v>
      </c>
      <c r="D16" s="165">
        <v>0</v>
      </c>
      <c r="E16" s="125">
        <f t="shared" si="3"/>
        <v>0</v>
      </c>
      <c r="F16" s="532">
        <f>'0664'!F16:G16</f>
        <v>1</v>
      </c>
      <c r="G16" s="532"/>
      <c r="H16" s="83">
        <f t="shared" si="4"/>
        <v>0</v>
      </c>
      <c r="I16" s="104">
        <f t="shared" si="0"/>
        <v>0</v>
      </c>
      <c r="J16" s="68" t="str">
        <f>IF(ROUND(E16,2)=ROUND(SUM(E53:E55),2)," ","CHECK 4-8 LINES BELOW")</f>
        <v xml:space="preserve"> </v>
      </c>
      <c r="N16" s="479" t="s">
        <v>32</v>
      </c>
      <c r="O16" s="479"/>
      <c r="P16" s="513">
        <f t="shared" si="1"/>
        <v>0</v>
      </c>
      <c r="Q16" s="513"/>
      <c r="R16" s="517">
        <v>1</v>
      </c>
      <c r="S16" s="517"/>
      <c r="T16" s="98">
        <f t="shared" si="5"/>
        <v>0</v>
      </c>
      <c r="U16" s="99">
        <f t="shared" si="2"/>
        <v>0</v>
      </c>
    </row>
    <row r="17" spans="1:21" x14ac:dyDescent="0.25">
      <c r="A17" s="453" t="s">
        <v>33</v>
      </c>
      <c r="B17" s="453"/>
      <c r="C17" s="165">
        <v>122.5</v>
      </c>
      <c r="D17" s="165">
        <v>154.25</v>
      </c>
      <c r="E17" s="125">
        <f t="shared" si="3"/>
        <v>276.75</v>
      </c>
      <c r="F17" s="532">
        <f>'0664'!F17:G17</f>
        <v>0.999</v>
      </c>
      <c r="G17" s="532"/>
      <c r="H17" s="83">
        <f t="shared" si="4"/>
        <v>276.47329999999999</v>
      </c>
      <c r="I17" s="104">
        <f t="shared" si="0"/>
        <v>1323844.8799999999</v>
      </c>
      <c r="N17" s="479" t="s">
        <v>33</v>
      </c>
      <c r="O17" s="479"/>
      <c r="P17" s="513">
        <f t="shared" si="1"/>
        <v>0</v>
      </c>
      <c r="Q17" s="513"/>
      <c r="R17" s="517">
        <v>1</v>
      </c>
      <c r="S17" s="517"/>
      <c r="T17" s="98">
        <f t="shared" si="5"/>
        <v>0</v>
      </c>
      <c r="U17" s="99">
        <f t="shared" si="2"/>
        <v>0</v>
      </c>
    </row>
    <row r="18" spans="1:21" x14ac:dyDescent="0.25">
      <c r="A18" s="453" t="s">
        <v>34</v>
      </c>
      <c r="B18" s="453"/>
      <c r="C18" s="165">
        <v>24.5</v>
      </c>
      <c r="D18" s="165">
        <v>28.7</v>
      </c>
      <c r="E18" s="125">
        <f t="shared" si="3"/>
        <v>53.2</v>
      </c>
      <c r="F18" s="532">
        <f>'0664'!F18:G18</f>
        <v>0.999</v>
      </c>
      <c r="G18" s="532"/>
      <c r="H18" s="83">
        <f t="shared" si="4"/>
        <v>53.146799999999999</v>
      </c>
      <c r="I18" s="104">
        <f t="shared" si="0"/>
        <v>254484.32</v>
      </c>
      <c r="J18" s="68" t="str">
        <f>IF(ROUND(E18,2)=ROUND(SUM(E56:E58),2)," ","CHECK 4-8 LINES BELOW")</f>
        <v xml:space="preserve"> </v>
      </c>
      <c r="N18" s="479" t="s">
        <v>34</v>
      </c>
      <c r="O18" s="479"/>
      <c r="P18" s="513">
        <f t="shared" si="1"/>
        <v>0</v>
      </c>
      <c r="Q18" s="513"/>
      <c r="R18" s="517">
        <v>1</v>
      </c>
      <c r="S18" s="517"/>
      <c r="T18" s="98">
        <f t="shared" si="5"/>
        <v>0</v>
      </c>
      <c r="U18" s="101">
        <f t="shared" si="2"/>
        <v>0</v>
      </c>
    </row>
    <row r="19" spans="1:21" x14ac:dyDescent="0.25">
      <c r="A19" s="453" t="s">
        <v>108</v>
      </c>
      <c r="B19" s="453"/>
      <c r="C19" s="165">
        <v>0</v>
      </c>
      <c r="D19" s="165">
        <v>0</v>
      </c>
      <c r="E19" s="125">
        <f t="shared" si="3"/>
        <v>0</v>
      </c>
      <c r="F19" s="532">
        <f>'0664'!F19:G19</f>
        <v>3.6739999999999999</v>
      </c>
      <c r="G19" s="532"/>
      <c r="H19" s="83">
        <f t="shared" si="4"/>
        <v>0</v>
      </c>
      <c r="I19" s="104">
        <f t="shared" si="0"/>
        <v>0</v>
      </c>
      <c r="N19" s="479" t="s">
        <v>108</v>
      </c>
      <c r="O19" s="479"/>
      <c r="P19" s="513">
        <f t="shared" si="1"/>
        <v>0</v>
      </c>
      <c r="Q19" s="513"/>
      <c r="R19" s="517">
        <v>1</v>
      </c>
      <c r="S19" s="517"/>
      <c r="T19" s="98">
        <f t="shared" si="5"/>
        <v>0</v>
      </c>
      <c r="U19" s="99">
        <f t="shared" si="2"/>
        <v>0</v>
      </c>
    </row>
    <row r="20" spans="1:21" x14ac:dyDescent="0.25">
      <c r="A20" s="453" t="s">
        <v>109</v>
      </c>
      <c r="B20" s="453"/>
      <c r="C20" s="165">
        <v>0</v>
      </c>
      <c r="D20" s="165">
        <v>0</v>
      </c>
      <c r="E20" s="125">
        <f t="shared" si="3"/>
        <v>0</v>
      </c>
      <c r="F20" s="532">
        <f>'0664'!F20:G20</f>
        <v>3.6739999999999999</v>
      </c>
      <c r="G20" s="532"/>
      <c r="H20" s="83">
        <f t="shared" si="4"/>
        <v>0</v>
      </c>
      <c r="I20" s="104">
        <f t="shared" si="0"/>
        <v>0</v>
      </c>
      <c r="N20" s="479" t="s">
        <v>109</v>
      </c>
      <c r="O20" s="479"/>
      <c r="P20" s="513">
        <f t="shared" si="1"/>
        <v>0</v>
      </c>
      <c r="Q20" s="513"/>
      <c r="R20" s="517">
        <v>1</v>
      </c>
      <c r="S20" s="517"/>
      <c r="T20" s="98">
        <f t="shared" si="5"/>
        <v>0</v>
      </c>
      <c r="U20" s="99">
        <f t="shared" si="2"/>
        <v>0</v>
      </c>
    </row>
    <row r="21" spans="1:21" x14ac:dyDescent="0.25">
      <c r="A21" s="453" t="s">
        <v>110</v>
      </c>
      <c r="B21" s="453"/>
      <c r="C21" s="165">
        <v>0</v>
      </c>
      <c r="D21" s="165">
        <v>0</v>
      </c>
      <c r="E21" s="125">
        <f t="shared" si="3"/>
        <v>0</v>
      </c>
      <c r="F21" s="532">
        <f>'0664'!F21:G21</f>
        <v>3.6739999999999999</v>
      </c>
      <c r="G21" s="532"/>
      <c r="H21" s="83">
        <f t="shared" si="4"/>
        <v>0</v>
      </c>
      <c r="I21" s="104">
        <f t="shared" si="0"/>
        <v>0</v>
      </c>
      <c r="N21" s="479" t="s">
        <v>110</v>
      </c>
      <c r="O21" s="479"/>
      <c r="P21" s="513">
        <f t="shared" si="1"/>
        <v>0</v>
      </c>
      <c r="Q21" s="513"/>
      <c r="R21" s="517">
        <v>1</v>
      </c>
      <c r="S21" s="517"/>
      <c r="T21" s="98">
        <f t="shared" si="5"/>
        <v>0</v>
      </c>
      <c r="U21" s="99">
        <f t="shared" si="2"/>
        <v>0</v>
      </c>
    </row>
    <row r="22" spans="1:21" x14ac:dyDescent="0.25">
      <c r="A22" s="453" t="s">
        <v>111</v>
      </c>
      <c r="B22" s="453"/>
      <c r="C22" s="165">
        <v>0</v>
      </c>
      <c r="D22" s="165">
        <v>0</v>
      </c>
      <c r="E22" s="125">
        <f t="shared" si="3"/>
        <v>0</v>
      </c>
      <c r="F22" s="532">
        <f>'0664'!F22:G22</f>
        <v>5.4009999999999998</v>
      </c>
      <c r="G22" s="532"/>
      <c r="H22" s="83">
        <f t="shared" si="4"/>
        <v>0</v>
      </c>
      <c r="I22" s="104">
        <f t="shared" si="0"/>
        <v>0</v>
      </c>
      <c r="N22" s="479" t="s">
        <v>111</v>
      </c>
      <c r="O22" s="479"/>
      <c r="P22" s="513">
        <f t="shared" si="1"/>
        <v>0</v>
      </c>
      <c r="Q22" s="513"/>
      <c r="R22" s="517">
        <v>1</v>
      </c>
      <c r="S22" s="517"/>
      <c r="T22" s="98">
        <f t="shared" si="5"/>
        <v>0</v>
      </c>
      <c r="U22" s="99">
        <f t="shared" si="2"/>
        <v>0</v>
      </c>
    </row>
    <row r="23" spans="1:21" x14ac:dyDescent="0.25">
      <c r="A23" s="453" t="s">
        <v>112</v>
      </c>
      <c r="B23" s="453"/>
      <c r="C23" s="165">
        <v>0</v>
      </c>
      <c r="D23" s="165">
        <v>0</v>
      </c>
      <c r="E23" s="125">
        <f t="shared" si="3"/>
        <v>0</v>
      </c>
      <c r="F23" s="532">
        <f>'0664'!F23:G23</f>
        <v>5.4009999999999998</v>
      </c>
      <c r="G23" s="532"/>
      <c r="H23" s="83">
        <f t="shared" si="4"/>
        <v>0</v>
      </c>
      <c r="I23" s="104">
        <f t="shared" si="0"/>
        <v>0</v>
      </c>
      <c r="N23" s="479" t="s">
        <v>112</v>
      </c>
      <c r="O23" s="479"/>
      <c r="P23" s="513">
        <f t="shared" si="1"/>
        <v>0</v>
      </c>
      <c r="Q23" s="513"/>
      <c r="R23" s="517">
        <v>1</v>
      </c>
      <c r="S23" s="517"/>
      <c r="T23" s="98">
        <f t="shared" si="5"/>
        <v>0</v>
      </c>
      <c r="U23" s="99">
        <f t="shared" si="2"/>
        <v>0</v>
      </c>
    </row>
    <row r="24" spans="1:21" x14ac:dyDescent="0.25">
      <c r="A24" s="453" t="s">
        <v>113</v>
      </c>
      <c r="B24" s="453"/>
      <c r="C24" s="165">
        <v>0</v>
      </c>
      <c r="D24" s="165">
        <v>0</v>
      </c>
      <c r="E24" s="125">
        <f t="shared" si="3"/>
        <v>0</v>
      </c>
      <c r="F24" s="532">
        <f>'0664'!F24:G24</f>
        <v>5.4009999999999998</v>
      </c>
      <c r="G24" s="532"/>
      <c r="H24" s="83">
        <f t="shared" si="4"/>
        <v>0</v>
      </c>
      <c r="I24" s="104">
        <f t="shared" si="0"/>
        <v>0</v>
      </c>
      <c r="N24" s="479" t="s">
        <v>113</v>
      </c>
      <c r="O24" s="479"/>
      <c r="P24" s="513">
        <f t="shared" si="1"/>
        <v>0</v>
      </c>
      <c r="Q24" s="513"/>
      <c r="R24" s="517">
        <v>1</v>
      </c>
      <c r="S24" s="517"/>
      <c r="T24" s="98">
        <f t="shared" si="5"/>
        <v>0</v>
      </c>
      <c r="U24" s="99">
        <f t="shared" si="2"/>
        <v>0</v>
      </c>
    </row>
    <row r="25" spans="1:21" x14ac:dyDescent="0.25">
      <c r="A25" s="453" t="s">
        <v>114</v>
      </c>
      <c r="B25" s="453"/>
      <c r="C25" s="165">
        <v>0</v>
      </c>
      <c r="D25" s="165">
        <v>0</v>
      </c>
      <c r="E25" s="125">
        <f t="shared" si="3"/>
        <v>0</v>
      </c>
      <c r="F25" s="532">
        <f>'0664'!F25:G25</f>
        <v>1.206</v>
      </c>
      <c r="G25" s="532"/>
      <c r="H25" s="83">
        <f t="shared" si="4"/>
        <v>0</v>
      </c>
      <c r="I25" s="104">
        <f t="shared" si="0"/>
        <v>0</v>
      </c>
      <c r="N25" s="479" t="s">
        <v>114</v>
      </c>
      <c r="O25" s="479"/>
      <c r="P25" s="513">
        <f t="shared" si="1"/>
        <v>0</v>
      </c>
      <c r="Q25" s="513"/>
      <c r="R25" s="517">
        <v>1</v>
      </c>
      <c r="S25" s="517"/>
      <c r="T25" s="98">
        <f t="shared" si="5"/>
        <v>0</v>
      </c>
      <c r="U25" s="99">
        <f t="shared" si="2"/>
        <v>0</v>
      </c>
    </row>
    <row r="26" spans="1:21" x14ac:dyDescent="0.25">
      <c r="A26" s="453" t="s">
        <v>115</v>
      </c>
      <c r="B26" s="453"/>
      <c r="C26" s="165">
        <v>0</v>
      </c>
      <c r="D26" s="165">
        <v>0</v>
      </c>
      <c r="E26" s="125">
        <f t="shared" si="3"/>
        <v>0</v>
      </c>
      <c r="F26" s="532">
        <f>'0664'!F26:G26</f>
        <v>1.206</v>
      </c>
      <c r="G26" s="532"/>
      <c r="H26" s="83">
        <f t="shared" si="4"/>
        <v>0</v>
      </c>
      <c r="I26" s="104">
        <f t="shared" si="0"/>
        <v>0</v>
      </c>
      <c r="N26" s="479" t="s">
        <v>115</v>
      </c>
      <c r="O26" s="479"/>
      <c r="P26" s="513">
        <f t="shared" si="1"/>
        <v>0</v>
      </c>
      <c r="Q26" s="513"/>
      <c r="R26" s="517">
        <v>1</v>
      </c>
      <c r="S26" s="517"/>
      <c r="T26" s="98">
        <f t="shared" si="5"/>
        <v>0</v>
      </c>
      <c r="U26" s="99">
        <f t="shared" si="2"/>
        <v>0</v>
      </c>
    </row>
    <row r="27" spans="1:21" x14ac:dyDescent="0.25">
      <c r="A27" s="453" t="s">
        <v>116</v>
      </c>
      <c r="B27" s="453"/>
      <c r="C27" s="165">
        <v>7.7</v>
      </c>
      <c r="D27" s="165">
        <v>9.4700000000000006</v>
      </c>
      <c r="E27" s="125">
        <f t="shared" si="3"/>
        <v>17.170000000000002</v>
      </c>
      <c r="F27" s="532">
        <f>'0664'!F27:G27</f>
        <v>1.206</v>
      </c>
      <c r="G27" s="532"/>
      <c r="H27" s="83">
        <f t="shared" si="4"/>
        <v>20.707000000000001</v>
      </c>
      <c r="I27" s="104">
        <f t="shared" si="0"/>
        <v>99151.91</v>
      </c>
      <c r="N27" s="479" t="s">
        <v>116</v>
      </c>
      <c r="O27" s="479"/>
      <c r="P27" s="513">
        <f t="shared" si="1"/>
        <v>0</v>
      </c>
      <c r="Q27" s="513"/>
      <c r="R27" s="517">
        <v>1</v>
      </c>
      <c r="S27" s="517"/>
      <c r="T27" s="98">
        <f t="shared" si="5"/>
        <v>0</v>
      </c>
      <c r="U27" s="99">
        <f t="shared" si="2"/>
        <v>0</v>
      </c>
    </row>
    <row r="28" spans="1:21" x14ac:dyDescent="0.25">
      <c r="A28" s="453" t="s">
        <v>117</v>
      </c>
      <c r="B28" s="453"/>
      <c r="C28" s="116">
        <v>0</v>
      </c>
      <c r="D28" s="116">
        <v>3.12</v>
      </c>
      <c r="E28" s="177">
        <f t="shared" si="3"/>
        <v>3.12</v>
      </c>
      <c r="F28" s="532">
        <f>'0664'!F28:G28</f>
        <v>0.999</v>
      </c>
      <c r="G28" s="532"/>
      <c r="H28" s="96">
        <f t="shared" si="4"/>
        <v>3.1168999999999998</v>
      </c>
      <c r="I28" s="97">
        <f t="shared" si="0"/>
        <v>14924.74</v>
      </c>
      <c r="N28" s="482" t="s">
        <v>117</v>
      </c>
      <c r="O28" s="482"/>
      <c r="P28" s="513">
        <f t="shared" si="1"/>
        <v>0</v>
      </c>
      <c r="Q28" s="513"/>
      <c r="R28" s="514">
        <v>1</v>
      </c>
      <c r="S28" s="514"/>
      <c r="T28" s="98">
        <f t="shared" si="5"/>
        <v>0</v>
      </c>
      <c r="U28" s="99">
        <f t="shared" si="2"/>
        <v>0</v>
      </c>
    </row>
    <row r="29" spans="1:21" x14ac:dyDescent="0.25">
      <c r="A29" s="461" t="s">
        <v>5</v>
      </c>
      <c r="B29" s="461"/>
      <c r="C29" s="97">
        <f>SUM(C13:C28)</f>
        <v>154.69999999999999</v>
      </c>
      <c r="D29" s="97">
        <f>SUM(D13:D28)</f>
        <v>195.54</v>
      </c>
      <c r="E29" s="97">
        <f>SUM(E13:E28)</f>
        <v>350.24</v>
      </c>
      <c r="F29" s="457"/>
      <c r="G29" s="457"/>
      <c r="H29" s="102">
        <f>SUM(H13:H28)</f>
        <v>353.44399999999996</v>
      </c>
      <c r="I29" s="97">
        <f>SUM(I13:I28)</f>
        <v>1692405.8499999999</v>
      </c>
      <c r="N29" s="515" t="s">
        <v>5</v>
      </c>
      <c r="O29" s="515"/>
      <c r="P29" s="516">
        <f>SUM(P13:P28)</f>
        <v>0</v>
      </c>
      <c r="Q29" s="516"/>
      <c r="R29" s="508"/>
      <c r="S29" s="508"/>
      <c r="T29" s="103">
        <f>SUM(T13:T28)</f>
        <v>0</v>
      </c>
      <c r="U29" s="99">
        <f>SUM(U13:U28)</f>
        <v>0</v>
      </c>
    </row>
    <row r="30" spans="1:21" x14ac:dyDescent="0.25">
      <c r="A30" s="27"/>
      <c r="B30" s="27"/>
      <c r="C30" s="104"/>
      <c r="D30" s="104"/>
      <c r="E30" s="104"/>
      <c r="F30" s="28"/>
      <c r="G30" s="28"/>
      <c r="H30" s="83"/>
      <c r="I30" s="104"/>
      <c r="N30" s="29"/>
      <c r="O30" s="29"/>
      <c r="P30" s="30"/>
      <c r="Q30" s="30"/>
      <c r="R30" s="31"/>
      <c r="S30" s="31"/>
      <c r="T30" s="105"/>
      <c r="U30" s="106"/>
    </row>
    <row r="31" spans="1:21" x14ac:dyDescent="0.25">
      <c r="A31" s="168" t="s">
        <v>97</v>
      </c>
      <c r="B31" s="27"/>
      <c r="C31" s="104"/>
      <c r="D31" s="104"/>
      <c r="E31" s="104"/>
      <c r="F31" s="28"/>
      <c r="G31" s="28"/>
      <c r="H31" s="83"/>
      <c r="I31" s="104"/>
      <c r="N31" s="29"/>
      <c r="O31" s="29"/>
      <c r="P31" s="30"/>
      <c r="Q31" s="30"/>
      <c r="R31" s="31"/>
      <c r="S31" s="31"/>
      <c r="T31" s="105"/>
      <c r="U31" s="106"/>
    </row>
    <row r="32" spans="1:21" hidden="1" x14ac:dyDescent="0.25">
      <c r="A32" s="168"/>
      <c r="B32" s="27"/>
      <c r="C32" s="104"/>
      <c r="D32" s="104"/>
      <c r="E32" s="104"/>
      <c r="F32" s="28"/>
      <c r="G32" s="28"/>
      <c r="H32" s="83"/>
      <c r="I32" s="104"/>
      <c r="N32" s="29"/>
      <c r="O32" s="29"/>
      <c r="P32" s="30"/>
      <c r="Q32" s="30"/>
      <c r="R32" s="31"/>
      <c r="S32" s="31"/>
      <c r="T32" s="105"/>
      <c r="U32" s="106"/>
    </row>
    <row r="33" spans="1:21" hidden="1" x14ac:dyDescent="0.25">
      <c r="A33" s="168"/>
      <c r="B33" s="27"/>
      <c r="C33" s="104"/>
      <c r="D33" s="104"/>
      <c r="E33" s="104"/>
      <c r="F33" s="541" t="s">
        <v>282</v>
      </c>
      <c r="G33" s="541"/>
      <c r="H33" s="541"/>
      <c r="I33" s="104"/>
      <c r="N33" s="29"/>
      <c r="O33" s="29"/>
      <c r="P33" s="30"/>
      <c r="Q33" s="30"/>
      <c r="R33" s="31"/>
      <c r="S33" s="31"/>
      <c r="T33" s="105"/>
      <c r="U33" s="106"/>
    </row>
    <row r="34" spans="1:21" hidden="1" x14ac:dyDescent="0.25">
      <c r="A34" s="3"/>
      <c r="B34" s="72"/>
      <c r="C34" s="72"/>
      <c r="D34" s="72"/>
      <c r="E34" s="72"/>
      <c r="F34" s="541"/>
      <c r="G34" s="541"/>
      <c r="H34" s="541"/>
      <c r="I34" s="25" t="s">
        <v>74</v>
      </c>
      <c r="N34" s="485" t="s">
        <v>35</v>
      </c>
      <c r="O34" s="485"/>
      <c r="P34" s="485"/>
      <c r="Q34" s="485"/>
      <c r="R34" s="485"/>
      <c r="S34" s="485"/>
      <c r="T34" s="485"/>
      <c r="U34" s="26" t="s">
        <v>74</v>
      </c>
    </row>
    <row r="35" spans="1:21" hidden="1" x14ac:dyDescent="0.25">
      <c r="A35" s="27"/>
      <c r="B35" s="27"/>
      <c r="C35" s="91" t="s">
        <v>124</v>
      </c>
      <c r="D35" s="91" t="s">
        <v>125</v>
      </c>
      <c r="E35" s="92" t="s">
        <v>8</v>
      </c>
      <c r="F35" s="541"/>
      <c r="G35" s="541"/>
      <c r="H35" s="541"/>
      <c r="I35" s="25" t="s">
        <v>36</v>
      </c>
      <c r="N35" s="29"/>
      <c r="O35" s="29"/>
      <c r="P35" s="30"/>
      <c r="Q35" s="30"/>
      <c r="R35" s="31"/>
      <c r="S35" s="31"/>
      <c r="T35" s="105"/>
      <c r="U35" s="26" t="s">
        <v>36</v>
      </c>
    </row>
    <row r="36" spans="1:21" hidden="1" x14ac:dyDescent="0.25">
      <c r="A36" s="447" t="s">
        <v>63</v>
      </c>
      <c r="B36" s="447"/>
      <c r="C36" s="93" t="s">
        <v>2</v>
      </c>
      <c r="D36" s="93" t="s">
        <v>2</v>
      </c>
      <c r="E36" s="93" t="s">
        <v>2</v>
      </c>
      <c r="F36" s="542"/>
      <c r="G36" s="542"/>
      <c r="H36" s="542"/>
      <c r="I36" s="32" t="s">
        <v>75</v>
      </c>
      <c r="N36" s="510" t="s">
        <v>63</v>
      </c>
      <c r="O36" s="510"/>
      <c r="P36" s="511" t="s">
        <v>24</v>
      </c>
      <c r="Q36" s="511"/>
      <c r="R36" s="511"/>
      <c r="S36" s="511"/>
      <c r="T36" s="511"/>
      <c r="U36" s="20" t="s">
        <v>75</v>
      </c>
    </row>
    <row r="37" spans="1:21" hidden="1" x14ac:dyDescent="0.25">
      <c r="A37" s="451" t="s">
        <v>56</v>
      </c>
      <c r="B37" s="451"/>
      <c r="C37" s="169">
        <v>0</v>
      </c>
      <c r="D37" s="169">
        <v>0</v>
      </c>
      <c r="E37" s="210">
        <f t="shared" ref="E37:E42" si="6">IF(D$43=0,C37*2,C37+D37)</f>
        <v>0</v>
      </c>
      <c r="F37" s="170"/>
      <c r="G37" s="170"/>
      <c r="H37" s="170"/>
      <c r="I37" s="119">
        <f t="shared" ref="I37:I42" si="7">ROUND(ROUND(E37*$C$8,4)*($H$8),2)</f>
        <v>0</v>
      </c>
      <c r="N37" s="512" t="s">
        <v>56</v>
      </c>
      <c r="O37" s="512"/>
      <c r="P37" s="483">
        <f t="shared" ref="P37:P42" si="8">IF($H$120=1,E37,0)</f>
        <v>0</v>
      </c>
      <c r="Q37" s="483"/>
      <c r="R37" s="483"/>
      <c r="S37" s="483"/>
      <c r="T37" s="483"/>
      <c r="U37" s="101">
        <f t="shared" ref="U37:U42" si="9">ROUND(ROUND(P37*$C$8,4)*($H$8),0)</f>
        <v>0</v>
      </c>
    </row>
    <row r="38" spans="1:21" hidden="1" x14ac:dyDescent="0.25">
      <c r="A38" s="453" t="s">
        <v>57</v>
      </c>
      <c r="B38" s="453"/>
      <c r="C38" s="172">
        <v>0</v>
      </c>
      <c r="D38" s="172">
        <v>0</v>
      </c>
      <c r="E38" s="125">
        <f t="shared" si="6"/>
        <v>0</v>
      </c>
      <c r="F38" s="173"/>
      <c r="G38" s="173"/>
      <c r="H38" s="173"/>
      <c r="I38" s="104">
        <f t="shared" si="7"/>
        <v>0</v>
      </c>
      <c r="N38" s="479" t="s">
        <v>57</v>
      </c>
      <c r="O38" s="479"/>
      <c r="P38" s="483">
        <f t="shared" si="8"/>
        <v>0</v>
      </c>
      <c r="Q38" s="483"/>
      <c r="R38" s="483"/>
      <c r="S38" s="483"/>
      <c r="T38" s="483"/>
      <c r="U38" s="101">
        <f t="shared" si="9"/>
        <v>0</v>
      </c>
    </row>
    <row r="39" spans="1:21" hidden="1" x14ac:dyDescent="0.25">
      <c r="A39" s="458" t="s">
        <v>58</v>
      </c>
      <c r="B39" s="458"/>
      <c r="C39" s="172">
        <v>0</v>
      </c>
      <c r="D39" s="172">
        <v>0</v>
      </c>
      <c r="E39" s="125">
        <f t="shared" si="6"/>
        <v>0</v>
      </c>
      <c r="F39" s="173"/>
      <c r="G39" s="173"/>
      <c r="H39" s="173"/>
      <c r="I39" s="104">
        <f t="shared" si="7"/>
        <v>0</v>
      </c>
      <c r="N39" s="509" t="s">
        <v>58</v>
      </c>
      <c r="O39" s="509"/>
      <c r="P39" s="483">
        <f t="shared" si="8"/>
        <v>0</v>
      </c>
      <c r="Q39" s="483"/>
      <c r="R39" s="483"/>
      <c r="S39" s="483"/>
      <c r="T39" s="483"/>
      <c r="U39" s="101">
        <f t="shared" si="9"/>
        <v>0</v>
      </c>
    </row>
    <row r="40" spans="1:21" hidden="1" x14ac:dyDescent="0.25">
      <c r="A40" s="453" t="s">
        <v>59</v>
      </c>
      <c r="B40" s="453"/>
      <c r="C40" s="172">
        <v>0</v>
      </c>
      <c r="D40" s="172">
        <v>0</v>
      </c>
      <c r="E40" s="125">
        <f t="shared" si="6"/>
        <v>0</v>
      </c>
      <c r="F40" s="173"/>
      <c r="G40" s="173"/>
      <c r="H40" s="173"/>
      <c r="I40" s="104">
        <f t="shared" si="7"/>
        <v>0</v>
      </c>
      <c r="N40" s="479" t="s">
        <v>59</v>
      </c>
      <c r="O40" s="479"/>
      <c r="P40" s="483">
        <f t="shared" si="8"/>
        <v>0</v>
      </c>
      <c r="Q40" s="483"/>
      <c r="R40" s="483"/>
      <c r="S40" s="483"/>
      <c r="T40" s="483"/>
      <c r="U40" s="101">
        <f t="shared" si="9"/>
        <v>0</v>
      </c>
    </row>
    <row r="41" spans="1:21" hidden="1" x14ac:dyDescent="0.25">
      <c r="A41" s="453" t="s">
        <v>60</v>
      </c>
      <c r="B41" s="453"/>
      <c r="C41" s="172">
        <v>0</v>
      </c>
      <c r="D41" s="172">
        <v>0</v>
      </c>
      <c r="E41" s="125">
        <f t="shared" si="6"/>
        <v>0</v>
      </c>
      <c r="F41" s="173"/>
      <c r="G41" s="173"/>
      <c r="H41" s="173"/>
      <c r="I41" s="104">
        <f t="shared" si="7"/>
        <v>0</v>
      </c>
      <c r="N41" s="479" t="s">
        <v>60</v>
      </c>
      <c r="O41" s="479"/>
      <c r="P41" s="483">
        <f t="shared" si="8"/>
        <v>0</v>
      </c>
      <c r="Q41" s="483"/>
      <c r="R41" s="483"/>
      <c r="S41" s="483"/>
      <c r="T41" s="483"/>
      <c r="U41" s="101">
        <f t="shared" si="9"/>
        <v>0</v>
      </c>
    </row>
    <row r="42" spans="1:21" hidden="1" x14ac:dyDescent="0.25">
      <c r="A42" s="453" t="s">
        <v>52</v>
      </c>
      <c r="B42" s="453"/>
      <c r="C42" s="171">
        <v>0</v>
      </c>
      <c r="D42" s="171">
        <v>0</v>
      </c>
      <c r="E42" s="177">
        <f t="shared" si="6"/>
        <v>0</v>
      </c>
      <c r="F42" s="173"/>
      <c r="G42" s="173"/>
      <c r="H42" s="173"/>
      <c r="I42" s="97">
        <f t="shared" si="7"/>
        <v>0</v>
      </c>
      <c r="N42" s="482" t="s">
        <v>52</v>
      </c>
      <c r="O42" s="482"/>
      <c r="P42" s="483">
        <f t="shared" si="8"/>
        <v>0</v>
      </c>
      <c r="Q42" s="483"/>
      <c r="R42" s="483"/>
      <c r="S42" s="483"/>
      <c r="T42" s="483"/>
      <c r="U42" s="101">
        <f t="shared" si="9"/>
        <v>0</v>
      </c>
    </row>
    <row r="43" spans="1:21" hidden="1" x14ac:dyDescent="0.25">
      <c r="A43" s="3"/>
      <c r="B43" s="55" t="s">
        <v>126</v>
      </c>
      <c r="C43" s="100">
        <f>SUM(C37:C42)</f>
        <v>0</v>
      </c>
      <c r="D43" s="100">
        <f>SUM(D37:D42)</f>
        <v>0</v>
      </c>
      <c r="E43" s="100">
        <f>SUM(E37:E42)</f>
        <v>0</v>
      </c>
      <c r="F43" s="33"/>
      <c r="G43" s="109"/>
      <c r="H43" s="110" t="s">
        <v>128</v>
      </c>
      <c r="I43" s="100">
        <f>SUM(I37:I42)</f>
        <v>0</v>
      </c>
      <c r="N43" s="480" t="s">
        <v>54</v>
      </c>
      <c r="O43" s="480"/>
      <c r="P43" s="480"/>
      <c r="Q43" s="480"/>
      <c r="R43" s="34">
        <f>SUM(P37:R42)</f>
        <v>0</v>
      </c>
      <c r="S43" s="508" t="s">
        <v>64</v>
      </c>
      <c r="T43" s="508"/>
      <c r="U43" s="106">
        <f>SUM(U37:U42)</f>
        <v>0</v>
      </c>
    </row>
    <row r="44" spans="1:21" ht="16.5" hidden="1" thickBot="1" x14ac:dyDescent="0.3">
      <c r="A44" s="3"/>
      <c r="B44" s="55"/>
      <c r="C44" s="104"/>
      <c r="D44" s="104"/>
      <c r="E44" s="119"/>
      <c r="F44" s="33"/>
      <c r="G44" s="109"/>
      <c r="H44" s="110"/>
      <c r="I44" s="104"/>
      <c r="N44" s="29"/>
      <c r="O44" s="29"/>
      <c r="P44" s="29"/>
      <c r="Q44" s="29"/>
      <c r="R44" s="34"/>
      <c r="S44" s="31"/>
      <c r="T44" s="31"/>
      <c r="U44" s="106"/>
    </row>
    <row r="45" spans="1:21" ht="16.5" hidden="1" thickBot="1" x14ac:dyDescent="0.3">
      <c r="A45" s="3"/>
      <c r="B45" s="55" t="s">
        <v>127</v>
      </c>
      <c r="E45" s="174">
        <f>H29+E43</f>
        <v>353.44399999999996</v>
      </c>
      <c r="F45" s="35"/>
      <c r="G45" s="109"/>
      <c r="H45" s="110" t="s">
        <v>129</v>
      </c>
      <c r="I45" s="97">
        <f>SUM(I43,I29)</f>
        <v>1692405.8499999999</v>
      </c>
      <c r="N45" s="480" t="s">
        <v>55</v>
      </c>
      <c r="O45" s="480"/>
      <c r="P45" s="480"/>
      <c r="Q45" s="480"/>
      <c r="R45" s="36">
        <f>R43+T29</f>
        <v>0</v>
      </c>
      <c r="S45" s="508" t="s">
        <v>53</v>
      </c>
      <c r="T45" s="508"/>
      <c r="U45" s="111">
        <f>SUM(U43,U29)</f>
        <v>0</v>
      </c>
    </row>
    <row r="46" spans="1:21" hidden="1" x14ac:dyDescent="0.25">
      <c r="A46" s="27"/>
      <c r="B46" s="27"/>
      <c r="C46" s="27"/>
      <c r="D46" s="27"/>
      <c r="E46" s="27"/>
      <c r="F46" s="35"/>
      <c r="G46" s="28"/>
      <c r="H46" s="28"/>
      <c r="I46" s="104"/>
      <c r="N46" s="29"/>
      <c r="O46" s="29"/>
      <c r="P46" s="29"/>
      <c r="Q46" s="29"/>
      <c r="R46" s="36"/>
      <c r="S46" s="31"/>
      <c r="T46" s="31"/>
      <c r="U46" s="106"/>
    </row>
    <row r="47" spans="1:21" x14ac:dyDescent="0.25">
      <c r="A47" s="27"/>
      <c r="B47" s="55" t="s">
        <v>370</v>
      </c>
      <c r="C47" s="372" t="s">
        <v>370</v>
      </c>
      <c r="D47" s="372" t="s">
        <v>370</v>
      </c>
      <c r="E47" s="27"/>
      <c r="F47" s="35"/>
      <c r="G47" s="28"/>
      <c r="H47" s="28"/>
      <c r="I47" s="104"/>
      <c r="N47" s="29"/>
      <c r="O47" s="29"/>
      <c r="P47" s="29"/>
      <c r="Q47" s="29"/>
      <c r="R47" s="36"/>
      <c r="S47" s="31"/>
      <c r="T47" s="31"/>
      <c r="U47" s="106"/>
    </row>
    <row r="48" spans="1:21" x14ac:dyDescent="0.25">
      <c r="A48" s="27"/>
      <c r="B48" s="27"/>
      <c r="C48" s="91" t="s">
        <v>463</v>
      </c>
      <c r="D48" s="371" t="s">
        <v>464</v>
      </c>
      <c r="E48" s="92" t="s">
        <v>8</v>
      </c>
      <c r="F48" s="49" t="s">
        <v>130</v>
      </c>
      <c r="G48" s="112" t="s">
        <v>132</v>
      </c>
      <c r="H48" s="113" t="s">
        <v>133</v>
      </c>
      <c r="I48" s="104"/>
      <c r="N48" s="29"/>
      <c r="O48" s="29"/>
      <c r="P48" s="29"/>
      <c r="Q48" s="29"/>
      <c r="R48" s="36"/>
      <c r="S48" s="31"/>
      <c r="T48" s="31"/>
      <c r="U48" s="106"/>
    </row>
    <row r="49" spans="1:21" x14ac:dyDescent="0.25">
      <c r="A49" s="37" t="s">
        <v>87</v>
      </c>
      <c r="B49" s="37"/>
      <c r="C49" s="362" t="s">
        <v>2</v>
      </c>
      <c r="D49" s="362" t="s">
        <v>2</v>
      </c>
      <c r="E49" s="362" t="s">
        <v>2</v>
      </c>
      <c r="F49" s="95" t="s">
        <v>131</v>
      </c>
      <c r="G49" s="62" t="s">
        <v>131</v>
      </c>
      <c r="H49" s="114" t="s">
        <v>134</v>
      </c>
      <c r="I49" s="37"/>
      <c r="N49" s="482" t="s">
        <v>87</v>
      </c>
      <c r="O49" s="482"/>
      <c r="P49" s="503" t="s">
        <v>2</v>
      </c>
      <c r="Q49" s="503"/>
      <c r="R49" s="38" t="s">
        <v>25</v>
      </c>
      <c r="S49" s="63" t="s">
        <v>26</v>
      </c>
      <c r="T49" s="115" t="s">
        <v>27</v>
      </c>
      <c r="U49" s="38"/>
    </row>
    <row r="50" spans="1:21" x14ac:dyDescent="0.25">
      <c r="A50" s="459" t="s">
        <v>98</v>
      </c>
      <c r="B50" s="459"/>
      <c r="C50" s="165">
        <v>0</v>
      </c>
      <c r="D50" s="165">
        <v>0</v>
      </c>
      <c r="E50" s="125">
        <f>IF(D$59=0,C50*2,C50+D50)</f>
        <v>0</v>
      </c>
      <c r="F50" s="39" t="s">
        <v>21</v>
      </c>
      <c r="G50" s="39">
        <v>251</v>
      </c>
      <c r="H50" s="321">
        <f>'0664'!H50</f>
        <v>1047</v>
      </c>
      <c r="I50" s="104">
        <f>ROUND(E50*H50,2)</f>
        <v>0</v>
      </c>
      <c r="N50" s="504" t="s">
        <v>28</v>
      </c>
      <c r="O50" s="504"/>
      <c r="P50" s="505"/>
      <c r="Q50" s="505"/>
      <c r="R50" s="40" t="s">
        <v>21</v>
      </c>
      <c r="S50" s="40">
        <v>251</v>
      </c>
      <c r="T50" s="117">
        <f>H50</f>
        <v>1047</v>
      </c>
      <c r="U50" s="118">
        <f>ROUND(P50*T50,0)</f>
        <v>0</v>
      </c>
    </row>
    <row r="51" spans="1:21" x14ac:dyDescent="0.25">
      <c r="A51" s="460"/>
      <c r="B51" s="460"/>
      <c r="C51" s="165">
        <v>0</v>
      </c>
      <c r="D51" s="165">
        <v>0</v>
      </c>
      <c r="E51" s="125">
        <f t="shared" ref="E51:E58" si="10">IF(D$59=0,C51*2,C51+D51)</f>
        <v>0</v>
      </c>
      <c r="F51" s="39" t="s">
        <v>21</v>
      </c>
      <c r="G51" s="39">
        <v>252</v>
      </c>
      <c r="H51" s="321">
        <f>'0664'!H51</f>
        <v>3380</v>
      </c>
      <c r="I51" s="104">
        <f t="shared" ref="I51:I58" si="11">ROUND(E51*H51,2)</f>
        <v>0</v>
      </c>
      <c r="N51" s="504"/>
      <c r="O51" s="504"/>
      <c r="P51" s="506"/>
      <c r="Q51" s="506"/>
      <c r="R51" s="40" t="s">
        <v>21</v>
      </c>
      <c r="S51" s="40">
        <v>252</v>
      </c>
      <c r="T51" s="117">
        <f t="shared" ref="T51:T58" si="12">H51</f>
        <v>3380</v>
      </c>
      <c r="U51" s="118">
        <f t="shared" ref="U51:U58" si="13">ROUND(P51*T51,0)</f>
        <v>0</v>
      </c>
    </row>
    <row r="52" spans="1:21" x14ac:dyDescent="0.25">
      <c r="A52" s="460"/>
      <c r="B52" s="460"/>
      <c r="C52" s="165">
        <v>0</v>
      </c>
      <c r="D52" s="165">
        <v>0</v>
      </c>
      <c r="E52" s="125">
        <f t="shared" si="10"/>
        <v>0</v>
      </c>
      <c r="F52" s="39" t="s">
        <v>21</v>
      </c>
      <c r="G52" s="39">
        <v>253</v>
      </c>
      <c r="H52" s="321">
        <f>'0664'!H52</f>
        <v>6896</v>
      </c>
      <c r="I52" s="104">
        <f t="shared" si="11"/>
        <v>0</v>
      </c>
      <c r="N52" s="504"/>
      <c r="O52" s="504"/>
      <c r="P52" s="506"/>
      <c r="Q52" s="506"/>
      <c r="R52" s="40" t="s">
        <v>21</v>
      </c>
      <c r="S52" s="40">
        <v>253</v>
      </c>
      <c r="T52" s="117">
        <f t="shared" si="12"/>
        <v>6896</v>
      </c>
      <c r="U52" s="118">
        <f t="shared" si="13"/>
        <v>0</v>
      </c>
    </row>
    <row r="53" spans="1:21" x14ac:dyDescent="0.25">
      <c r="A53" s="460"/>
      <c r="B53" s="460"/>
      <c r="C53" s="165">
        <v>0</v>
      </c>
      <c r="D53" s="165">
        <v>0</v>
      </c>
      <c r="E53" s="125">
        <f t="shared" si="10"/>
        <v>0</v>
      </c>
      <c r="F53" s="41" t="s">
        <v>14</v>
      </c>
      <c r="G53" s="39">
        <v>251</v>
      </c>
      <c r="H53" s="321">
        <f>'0664'!H53</f>
        <v>1173</v>
      </c>
      <c r="I53" s="104">
        <f t="shared" si="11"/>
        <v>0</v>
      </c>
      <c r="N53" s="504"/>
      <c r="O53" s="504"/>
      <c r="P53" s="506"/>
      <c r="Q53" s="506"/>
      <c r="R53" s="42" t="s">
        <v>14</v>
      </c>
      <c r="S53" s="40">
        <v>251</v>
      </c>
      <c r="T53" s="117">
        <f t="shared" si="12"/>
        <v>1173</v>
      </c>
      <c r="U53" s="118">
        <f t="shared" si="13"/>
        <v>0</v>
      </c>
    </row>
    <row r="54" spans="1:21" x14ac:dyDescent="0.25">
      <c r="A54" s="460"/>
      <c r="B54" s="460"/>
      <c r="C54" s="165">
        <v>0</v>
      </c>
      <c r="D54" s="165">
        <v>0</v>
      </c>
      <c r="E54" s="125">
        <f t="shared" si="10"/>
        <v>0</v>
      </c>
      <c r="F54" s="41" t="s">
        <v>14</v>
      </c>
      <c r="G54" s="39">
        <v>252</v>
      </c>
      <c r="H54" s="321">
        <f>'0664'!H54</f>
        <v>3506</v>
      </c>
      <c r="I54" s="104">
        <f t="shared" si="11"/>
        <v>0</v>
      </c>
      <c r="N54" s="504"/>
      <c r="O54" s="504"/>
      <c r="P54" s="506"/>
      <c r="Q54" s="506"/>
      <c r="R54" s="42" t="s">
        <v>14</v>
      </c>
      <c r="S54" s="40">
        <v>252</v>
      </c>
      <c r="T54" s="117">
        <f t="shared" si="12"/>
        <v>3506</v>
      </c>
      <c r="U54" s="118">
        <f t="shared" si="13"/>
        <v>0</v>
      </c>
    </row>
    <row r="55" spans="1:21" x14ac:dyDescent="0.25">
      <c r="A55" s="460"/>
      <c r="B55" s="460"/>
      <c r="C55" s="165">
        <v>0</v>
      </c>
      <c r="D55" s="165">
        <v>0</v>
      </c>
      <c r="E55" s="125">
        <f t="shared" si="10"/>
        <v>0</v>
      </c>
      <c r="F55" s="41" t="s">
        <v>14</v>
      </c>
      <c r="G55" s="39">
        <v>253</v>
      </c>
      <c r="H55" s="321">
        <f>'0664'!H55</f>
        <v>7023</v>
      </c>
      <c r="I55" s="104">
        <f t="shared" si="11"/>
        <v>0</v>
      </c>
      <c r="N55" s="504"/>
      <c r="O55" s="504"/>
      <c r="P55" s="506"/>
      <c r="Q55" s="506"/>
      <c r="R55" s="42" t="s">
        <v>14</v>
      </c>
      <c r="S55" s="40">
        <v>253</v>
      </c>
      <c r="T55" s="117">
        <f t="shared" si="12"/>
        <v>7023</v>
      </c>
      <c r="U55" s="118">
        <f t="shared" si="13"/>
        <v>0</v>
      </c>
    </row>
    <row r="56" spans="1:21" x14ac:dyDescent="0.25">
      <c r="A56" s="460"/>
      <c r="B56" s="460"/>
      <c r="C56" s="165">
        <v>23</v>
      </c>
      <c r="D56" s="165">
        <v>26.94</v>
      </c>
      <c r="E56" s="125">
        <f t="shared" si="10"/>
        <v>49.94</v>
      </c>
      <c r="F56" s="41" t="s">
        <v>15</v>
      </c>
      <c r="G56" s="39">
        <v>251</v>
      </c>
      <c r="H56" s="321">
        <f>'0664'!H56</f>
        <v>835</v>
      </c>
      <c r="I56" s="104">
        <f t="shared" si="11"/>
        <v>41699.9</v>
      </c>
      <c r="N56" s="504"/>
      <c r="O56" s="504"/>
      <c r="P56" s="506"/>
      <c r="Q56" s="506"/>
      <c r="R56" s="42" t="s">
        <v>15</v>
      </c>
      <c r="S56" s="40">
        <v>251</v>
      </c>
      <c r="T56" s="117">
        <f t="shared" si="12"/>
        <v>835</v>
      </c>
      <c r="U56" s="118">
        <f t="shared" si="13"/>
        <v>0</v>
      </c>
    </row>
    <row r="57" spans="1:21" x14ac:dyDescent="0.25">
      <c r="A57" s="460"/>
      <c r="B57" s="460"/>
      <c r="C57" s="165">
        <v>1</v>
      </c>
      <c r="D57" s="165">
        <v>1.17</v>
      </c>
      <c r="E57" s="125">
        <f t="shared" si="10"/>
        <v>2.17</v>
      </c>
      <c r="F57" s="41" t="s">
        <v>15</v>
      </c>
      <c r="G57" s="39">
        <v>252</v>
      </c>
      <c r="H57" s="321">
        <f>'0664'!H57</f>
        <v>3168</v>
      </c>
      <c r="I57" s="104">
        <f t="shared" si="11"/>
        <v>6874.56</v>
      </c>
      <c r="N57" s="504"/>
      <c r="O57" s="504"/>
      <c r="P57" s="506"/>
      <c r="Q57" s="506"/>
      <c r="R57" s="42" t="s">
        <v>15</v>
      </c>
      <c r="S57" s="40">
        <v>252</v>
      </c>
      <c r="T57" s="117">
        <f t="shared" si="12"/>
        <v>3168</v>
      </c>
      <c r="U57" s="118">
        <f t="shared" si="13"/>
        <v>0</v>
      </c>
    </row>
    <row r="58" spans="1:21" ht="16.5" thickBot="1" x14ac:dyDescent="0.3">
      <c r="A58" s="460"/>
      <c r="B58" s="460"/>
      <c r="C58" s="165">
        <v>0.5</v>
      </c>
      <c r="D58" s="165">
        <v>0.59</v>
      </c>
      <c r="E58" s="125">
        <f t="shared" si="10"/>
        <v>1.0899999999999999</v>
      </c>
      <c r="F58" s="41" t="s">
        <v>15</v>
      </c>
      <c r="G58" s="39">
        <v>253</v>
      </c>
      <c r="H58" s="321">
        <f>'0664'!H58</f>
        <v>6685</v>
      </c>
      <c r="I58" s="104">
        <f t="shared" si="11"/>
        <v>7286.65</v>
      </c>
      <c r="N58" s="504"/>
      <c r="O58" s="504"/>
      <c r="P58" s="507"/>
      <c r="Q58" s="507"/>
      <c r="R58" s="42" t="s">
        <v>15</v>
      </c>
      <c r="S58" s="40">
        <v>253</v>
      </c>
      <c r="T58" s="117">
        <f t="shared" si="12"/>
        <v>6685</v>
      </c>
      <c r="U58" s="120">
        <f t="shared" si="13"/>
        <v>0</v>
      </c>
    </row>
    <row r="59" spans="1:21" ht="16.5" thickBot="1" x14ac:dyDescent="0.3">
      <c r="A59" s="461" t="s">
        <v>16</v>
      </c>
      <c r="B59" s="461"/>
      <c r="C59" s="100">
        <f>SUM(C50:C58)</f>
        <v>24.5</v>
      </c>
      <c r="D59" s="100">
        <f>SUM(D50:D58)</f>
        <v>28.7</v>
      </c>
      <c r="E59" s="100">
        <f>SUM(E50:E58)</f>
        <v>53.2</v>
      </c>
      <c r="F59" s="461" t="s">
        <v>77</v>
      </c>
      <c r="G59" s="461"/>
      <c r="H59" s="461"/>
      <c r="I59" s="100">
        <f>SUM(I50:I58)</f>
        <v>55861.11</v>
      </c>
      <c r="N59" s="480" t="s">
        <v>16</v>
      </c>
      <c r="O59" s="480"/>
      <c r="P59" s="502">
        <f>SUM(P50:P58)</f>
        <v>0</v>
      </c>
      <c r="Q59" s="502"/>
      <c r="R59" s="480" t="s">
        <v>77</v>
      </c>
      <c r="S59" s="480"/>
      <c r="T59" s="480"/>
      <c r="U59" s="111">
        <f>SUM(U50:U58)</f>
        <v>0</v>
      </c>
    </row>
    <row r="60" spans="1:21" x14ac:dyDescent="0.25">
      <c r="A60" s="462"/>
      <c r="B60" s="462"/>
      <c r="C60" s="462"/>
      <c r="D60" s="462"/>
      <c r="E60" s="462"/>
      <c r="F60" s="462"/>
      <c r="G60" s="462"/>
      <c r="H60" s="462"/>
      <c r="I60" s="462"/>
      <c r="N60" s="484"/>
      <c r="O60" s="484"/>
      <c r="P60" s="484"/>
      <c r="Q60" s="484"/>
      <c r="R60" s="484"/>
      <c r="S60" s="484"/>
      <c r="T60" s="484"/>
      <c r="U60" s="484"/>
    </row>
    <row r="61" spans="1:21" x14ac:dyDescent="0.25">
      <c r="A61" s="463" t="s">
        <v>136</v>
      </c>
      <c r="B61" s="453"/>
      <c r="C61" s="453"/>
      <c r="D61" s="453"/>
      <c r="E61" s="453"/>
      <c r="F61" s="453"/>
      <c r="G61" s="453"/>
      <c r="H61" s="453"/>
      <c r="I61" s="453"/>
      <c r="N61" s="479" t="s">
        <v>88</v>
      </c>
      <c r="O61" s="479"/>
      <c r="P61" s="479"/>
      <c r="Q61" s="479"/>
      <c r="R61" s="479"/>
      <c r="S61" s="479"/>
      <c r="T61" s="479"/>
      <c r="U61" s="479"/>
    </row>
    <row r="62" spans="1:21" x14ac:dyDescent="0.25">
      <c r="A62" s="463" t="s">
        <v>138</v>
      </c>
      <c r="B62" s="453"/>
      <c r="C62" s="121">
        <f>E29</f>
        <v>350.24</v>
      </c>
      <c r="D62" s="464" t="s">
        <v>135</v>
      </c>
      <c r="E62" s="464"/>
      <c r="F62" s="464"/>
      <c r="G62" s="464"/>
      <c r="H62" s="335">
        <f>'0664'!H62</f>
        <v>193340.76</v>
      </c>
      <c r="I62" s="122"/>
      <c r="N62" s="478" t="s">
        <v>312</v>
      </c>
      <c r="O62" s="479"/>
      <c r="P62" s="43">
        <f>P29</f>
        <v>0</v>
      </c>
      <c r="Q62" s="498" t="s">
        <v>78</v>
      </c>
      <c r="R62" s="498"/>
      <c r="S62" s="498"/>
      <c r="T62" s="497">
        <f>H62</f>
        <v>193340.76</v>
      </c>
      <c r="U62" s="497"/>
    </row>
    <row r="63" spans="1:21" x14ac:dyDescent="0.25">
      <c r="B63" s="72"/>
      <c r="G63" s="44" t="s">
        <v>13</v>
      </c>
      <c r="H63" s="123">
        <f>ROUND(C62/H62,6)</f>
        <v>1.812E-3</v>
      </c>
      <c r="I63" s="124"/>
      <c r="N63" s="479" t="s">
        <v>19</v>
      </c>
      <c r="O63" s="479"/>
      <c r="P63" s="479"/>
      <c r="Q63" s="479"/>
      <c r="R63" s="479"/>
      <c r="S63" s="479"/>
      <c r="T63" s="501">
        <f>ROUND(P62/T62,6)</f>
        <v>0</v>
      </c>
      <c r="U63" s="501"/>
    </row>
    <row r="64" spans="1:21" x14ac:dyDescent="0.25">
      <c r="A64" s="463" t="s">
        <v>137</v>
      </c>
      <c r="B64" s="453"/>
      <c r="C64" s="453"/>
      <c r="D64" s="453"/>
      <c r="E64" s="453"/>
      <c r="F64" s="453"/>
      <c r="G64" s="453"/>
      <c r="H64" s="453"/>
      <c r="I64" s="453"/>
      <c r="N64" s="479" t="s">
        <v>89</v>
      </c>
      <c r="O64" s="479"/>
      <c r="P64" s="479"/>
      <c r="Q64" s="479"/>
      <c r="R64" s="479"/>
      <c r="S64" s="479"/>
      <c r="T64" s="479"/>
      <c r="U64" s="479"/>
    </row>
    <row r="65" spans="1:21" x14ac:dyDescent="0.25">
      <c r="A65" s="463" t="s">
        <v>139</v>
      </c>
      <c r="B65" s="453"/>
      <c r="C65" s="121">
        <f>E45</f>
        <v>353.44399999999996</v>
      </c>
      <c r="D65" s="464" t="s">
        <v>140</v>
      </c>
      <c r="E65" s="464"/>
      <c r="F65" s="464"/>
      <c r="G65" s="464"/>
      <c r="H65" s="336">
        <f>'0664'!H65</f>
        <v>216845.88</v>
      </c>
      <c r="I65" s="125"/>
      <c r="N65" s="479" t="s">
        <v>80</v>
      </c>
      <c r="O65" s="479"/>
      <c r="P65" s="43">
        <f>R45</f>
        <v>0</v>
      </c>
      <c r="Q65" s="498" t="s">
        <v>79</v>
      </c>
      <c r="R65" s="498"/>
      <c r="S65" s="498"/>
      <c r="T65" s="497">
        <f>H65</f>
        <v>216845.88</v>
      </c>
      <c r="U65" s="497"/>
    </row>
    <row r="66" spans="1:21" s="37" customFormat="1" x14ac:dyDescent="0.25">
      <c r="A66" s="126"/>
      <c r="G66" s="45" t="s">
        <v>13</v>
      </c>
      <c r="H66" s="127">
        <f>ROUND(C65/H65,6)</f>
        <v>1.6299999999999999E-3</v>
      </c>
      <c r="I66" s="127"/>
      <c r="N66" s="482" t="s">
        <v>20</v>
      </c>
      <c r="O66" s="482"/>
      <c r="P66" s="482"/>
      <c r="Q66" s="482"/>
      <c r="R66" s="482"/>
      <c r="S66" s="482"/>
      <c r="T66" s="500">
        <f>ROUND(P65/T65,6)</f>
        <v>0</v>
      </c>
      <c r="U66" s="500"/>
    </row>
    <row r="67" spans="1:21" x14ac:dyDescent="0.25">
      <c r="G67" s="44"/>
      <c r="H67" s="123"/>
      <c r="I67" s="123"/>
      <c r="N67" s="48"/>
      <c r="O67" s="48"/>
      <c r="P67" s="48"/>
      <c r="Q67" s="48"/>
      <c r="R67" s="128"/>
      <c r="S67" s="48"/>
      <c r="T67" s="129"/>
      <c r="U67" s="130"/>
    </row>
    <row r="68" spans="1:21" x14ac:dyDescent="0.25">
      <c r="A68" s="453" t="s">
        <v>85</v>
      </c>
      <c r="B68" s="453"/>
      <c r="C68" s="453"/>
      <c r="D68" s="72"/>
      <c r="E68" s="46" t="s">
        <v>3</v>
      </c>
      <c r="F68" s="337">
        <f>'0664'!F68</f>
        <v>42465042</v>
      </c>
      <c r="G68" s="39" t="s">
        <v>6</v>
      </c>
      <c r="H68" s="131">
        <f>H63</f>
        <v>1.812E-3</v>
      </c>
      <c r="I68" s="104">
        <f>ROUND(F68*H68,2)</f>
        <v>76946.66</v>
      </c>
      <c r="N68" s="479" t="s">
        <v>85</v>
      </c>
      <c r="O68" s="479"/>
      <c r="P68" s="479"/>
      <c r="Q68" s="47"/>
      <c r="R68" s="132">
        <f>F68</f>
        <v>42465042</v>
      </c>
      <c r="S68" s="40" t="s">
        <v>6</v>
      </c>
      <c r="T68" s="133">
        <f>T63</f>
        <v>0</v>
      </c>
      <c r="U68" s="99">
        <f>ROUND(R68*T68,0)</f>
        <v>0</v>
      </c>
    </row>
    <row r="69" spans="1:21" x14ac:dyDescent="0.25">
      <c r="A69" s="458" t="s">
        <v>96</v>
      </c>
      <c r="B69" s="453"/>
      <c r="C69" s="453"/>
      <c r="D69" s="72"/>
      <c r="E69" s="46"/>
      <c r="F69" s="136"/>
      <c r="G69" s="39"/>
      <c r="H69" s="131"/>
      <c r="I69" s="104"/>
      <c r="N69" s="479" t="s">
        <v>84</v>
      </c>
      <c r="O69" s="479"/>
      <c r="P69" s="479"/>
      <c r="Q69" s="54"/>
      <c r="R69" s="54"/>
      <c r="S69" s="54"/>
      <c r="T69" s="54"/>
      <c r="U69" s="54"/>
    </row>
    <row r="70" spans="1:21" x14ac:dyDescent="0.25">
      <c r="A70" s="465" t="s">
        <v>141</v>
      </c>
      <c r="B70" s="453"/>
      <c r="C70" s="453"/>
      <c r="D70" s="72"/>
      <c r="E70" s="46" t="s">
        <v>3</v>
      </c>
      <c r="F70" s="337">
        <f>'0664'!F70</f>
        <v>0</v>
      </c>
      <c r="G70" s="39" t="s">
        <v>6</v>
      </c>
      <c r="H70" s="131">
        <f>H63</f>
        <v>1.812E-3</v>
      </c>
      <c r="I70" s="104">
        <f>ROUND(F70*H70,2)</f>
        <v>0</v>
      </c>
      <c r="N70" s="48"/>
      <c r="O70" s="48"/>
      <c r="P70" s="48"/>
      <c r="Q70" s="47"/>
      <c r="R70" s="132">
        <f>F70</f>
        <v>0</v>
      </c>
      <c r="S70" s="40" t="s">
        <v>6</v>
      </c>
      <c r="T70" s="133">
        <f>T63</f>
        <v>0</v>
      </c>
      <c r="U70" s="99">
        <f>ROUND(R70*T70,0)</f>
        <v>0</v>
      </c>
    </row>
    <row r="71" spans="1:21" x14ac:dyDescent="0.25">
      <c r="A71" s="463" t="s">
        <v>433</v>
      </c>
      <c r="B71" s="453"/>
      <c r="C71" s="453"/>
      <c r="D71" s="72"/>
      <c r="E71" s="46" t="s">
        <v>3</v>
      </c>
      <c r="F71" s="337">
        <f>'0664'!F71</f>
        <v>13414654</v>
      </c>
      <c r="G71" s="39" t="s">
        <v>6</v>
      </c>
      <c r="H71" s="131">
        <f>H63</f>
        <v>1.812E-3</v>
      </c>
      <c r="I71" s="104">
        <f>ROUND(F71*H71,2)</f>
        <v>24307.35</v>
      </c>
      <c r="N71" s="479" t="s">
        <v>83</v>
      </c>
      <c r="O71" s="479"/>
      <c r="P71" s="479"/>
      <c r="Q71" s="47"/>
      <c r="R71" s="132">
        <f>F71</f>
        <v>13414654</v>
      </c>
      <c r="S71" s="40" t="s">
        <v>6</v>
      </c>
      <c r="T71" s="133">
        <f>T63</f>
        <v>0</v>
      </c>
      <c r="U71" s="99">
        <f>ROUND(R71*T71,0)</f>
        <v>0</v>
      </c>
    </row>
    <row r="72" spans="1:21" x14ac:dyDescent="0.25">
      <c r="A72" s="463" t="s">
        <v>434</v>
      </c>
      <c r="B72" s="453"/>
      <c r="C72" s="453"/>
      <c r="D72" s="72"/>
      <c r="E72" s="46" t="s">
        <v>3</v>
      </c>
      <c r="F72" s="337">
        <f>'0664'!F72</f>
        <v>14708421</v>
      </c>
      <c r="G72" s="39" t="s">
        <v>6</v>
      </c>
      <c r="H72" s="131">
        <f>H63</f>
        <v>1.812E-3</v>
      </c>
      <c r="I72" s="104">
        <f>ROUND(F72*H72,2)</f>
        <v>26651.66</v>
      </c>
      <c r="N72" s="479" t="s">
        <v>82</v>
      </c>
      <c r="O72" s="479"/>
      <c r="P72" s="479"/>
      <c r="Q72" s="47"/>
      <c r="R72" s="134">
        <f>F72</f>
        <v>14708421</v>
      </c>
      <c r="S72" s="40" t="s">
        <v>6</v>
      </c>
      <c r="T72" s="133">
        <f>T63</f>
        <v>0</v>
      </c>
      <c r="U72" s="99">
        <f>ROUND(R72*T72,0)</f>
        <v>0</v>
      </c>
    </row>
    <row r="73" spans="1:21" x14ac:dyDescent="0.25">
      <c r="A73" s="263" t="s">
        <v>99</v>
      </c>
      <c r="D73" s="72"/>
      <c r="E73" s="41" t="s">
        <v>353</v>
      </c>
      <c r="F73" s="466"/>
      <c r="G73" s="466"/>
      <c r="H73" s="466"/>
      <c r="I73" s="104">
        <v>0</v>
      </c>
      <c r="N73" s="499" t="s">
        <v>118</v>
      </c>
      <c r="O73" s="499"/>
      <c r="P73" s="499"/>
      <c r="Q73" s="499"/>
      <c r="R73" s="499"/>
      <c r="S73" s="499"/>
      <c r="T73" s="499"/>
      <c r="U73" s="99">
        <f>IF($H$120=1,I73,0)</f>
        <v>0</v>
      </c>
    </row>
    <row r="74" spans="1:21" x14ac:dyDescent="0.25">
      <c r="A74" s="264" t="s">
        <v>142</v>
      </c>
      <c r="I74" s="104"/>
      <c r="N74" s="499" t="s">
        <v>43</v>
      </c>
      <c r="O74" s="499"/>
      <c r="P74" s="499"/>
      <c r="Q74" s="499"/>
      <c r="R74" s="499"/>
      <c r="S74" s="499"/>
      <c r="T74" s="499"/>
      <c r="U74" s="99">
        <f>IF($H$120=1,I74,0)</f>
        <v>0</v>
      </c>
    </row>
    <row r="75" spans="1:21" x14ac:dyDescent="0.25">
      <c r="A75" s="324" t="s">
        <v>101</v>
      </c>
      <c r="B75" s="72"/>
      <c r="C75" s="72"/>
      <c r="D75" s="72"/>
      <c r="E75" s="72"/>
      <c r="F75" s="72"/>
      <c r="G75" s="72"/>
      <c r="H75" s="72"/>
      <c r="I75" s="135"/>
      <c r="N75" s="382" t="s">
        <v>44</v>
      </c>
      <c r="O75" s="48"/>
      <c r="P75" s="48"/>
      <c r="Q75" s="48"/>
      <c r="R75" s="48"/>
      <c r="S75" s="48"/>
      <c r="T75" s="48"/>
      <c r="U75" s="106"/>
    </row>
    <row r="76" spans="1:21" x14ac:dyDescent="0.25">
      <c r="A76" s="463" t="s">
        <v>435</v>
      </c>
      <c r="B76" s="453"/>
      <c r="C76" s="453"/>
      <c r="D76" s="72"/>
      <c r="E76" s="46" t="s">
        <v>3</v>
      </c>
      <c r="F76" s="337">
        <f>'0664'!F76</f>
        <v>8720092</v>
      </c>
      <c r="G76" s="39" t="s">
        <v>6</v>
      </c>
      <c r="H76" s="131">
        <f>H63</f>
        <v>1.812E-3</v>
      </c>
      <c r="I76" s="104">
        <f t="shared" ref="I76:I85" si="14">ROUND(F76*H76,2)</f>
        <v>15800.81</v>
      </c>
      <c r="N76" s="478" t="s">
        <v>366</v>
      </c>
      <c r="O76" s="479"/>
      <c r="P76" s="479"/>
      <c r="Q76" s="47"/>
      <c r="R76" s="134">
        <f t="shared" ref="R76:R85" si="15">F76</f>
        <v>8720092</v>
      </c>
      <c r="S76" s="40" t="s">
        <v>6</v>
      </c>
      <c r="T76" s="133">
        <f>T63</f>
        <v>0</v>
      </c>
      <c r="U76" s="99">
        <f t="shared" ref="U76:U85" si="16">ROUND(R76*T76,0)</f>
        <v>0</v>
      </c>
    </row>
    <row r="77" spans="1:21" x14ac:dyDescent="0.25">
      <c r="A77" s="463" t="s">
        <v>436</v>
      </c>
      <c r="B77" s="453"/>
      <c r="C77" s="453"/>
      <c r="D77" s="72"/>
      <c r="E77" s="46" t="s">
        <v>3</v>
      </c>
      <c r="F77" s="337">
        <f>'0664'!F77</f>
        <v>0</v>
      </c>
      <c r="G77" s="39" t="s">
        <v>6</v>
      </c>
      <c r="H77" s="131">
        <f>H63</f>
        <v>1.812E-3</v>
      </c>
      <c r="I77" s="104">
        <f t="shared" si="14"/>
        <v>0</v>
      </c>
      <c r="N77" s="479" t="s">
        <v>367</v>
      </c>
      <c r="O77" s="479"/>
      <c r="P77" s="479"/>
      <c r="Q77" s="47"/>
      <c r="R77" s="134">
        <f t="shared" si="15"/>
        <v>0</v>
      </c>
      <c r="S77" s="40" t="s">
        <v>6</v>
      </c>
      <c r="T77" s="133">
        <f>T63</f>
        <v>0</v>
      </c>
      <c r="U77" s="99">
        <f t="shared" si="16"/>
        <v>0</v>
      </c>
    </row>
    <row r="78" spans="1:21" x14ac:dyDescent="0.25">
      <c r="A78" s="463" t="s">
        <v>437</v>
      </c>
      <c r="B78" s="453"/>
      <c r="C78" s="453"/>
      <c r="D78" s="72"/>
      <c r="E78" s="46" t="s">
        <v>4</v>
      </c>
      <c r="F78" s="337">
        <f>'0664'!F78</f>
        <v>0</v>
      </c>
      <c r="G78" s="39" t="s">
        <v>6</v>
      </c>
      <c r="H78" s="131">
        <f>H66</f>
        <v>1.6299999999999999E-3</v>
      </c>
      <c r="I78" s="104">
        <f t="shared" si="14"/>
        <v>0</v>
      </c>
      <c r="N78" s="478" t="s">
        <v>392</v>
      </c>
      <c r="O78" s="479"/>
      <c r="P78" s="479"/>
      <c r="Q78" s="47"/>
      <c r="R78" s="134">
        <f t="shared" si="15"/>
        <v>0</v>
      </c>
      <c r="S78" s="40" t="s">
        <v>6</v>
      </c>
      <c r="T78" s="133">
        <f>T66</f>
        <v>0</v>
      </c>
      <c r="U78" s="99">
        <f t="shared" si="16"/>
        <v>0</v>
      </c>
    </row>
    <row r="79" spans="1:21" x14ac:dyDescent="0.25">
      <c r="A79" s="463" t="s">
        <v>438</v>
      </c>
      <c r="B79" s="453"/>
      <c r="C79" s="453"/>
      <c r="D79" s="72"/>
      <c r="E79" s="46" t="s">
        <v>4</v>
      </c>
      <c r="F79" s="337">
        <f>'0664'!F79</f>
        <v>11278687</v>
      </c>
      <c r="G79" s="39" t="s">
        <v>6</v>
      </c>
      <c r="H79" s="131">
        <f>H66</f>
        <v>1.6299999999999999E-3</v>
      </c>
      <c r="I79" s="104">
        <f t="shared" si="14"/>
        <v>18384.259999999998</v>
      </c>
      <c r="N79" s="478" t="s">
        <v>393</v>
      </c>
      <c r="O79" s="479"/>
      <c r="P79" s="479"/>
      <c r="Q79" s="47"/>
      <c r="R79" s="134">
        <f t="shared" si="15"/>
        <v>11278687</v>
      </c>
      <c r="S79" s="40" t="s">
        <v>6</v>
      </c>
      <c r="T79" s="133">
        <f>T66</f>
        <v>0</v>
      </c>
      <c r="U79" s="99">
        <f t="shared" si="16"/>
        <v>0</v>
      </c>
    </row>
    <row r="80" spans="1:21" x14ac:dyDescent="0.25">
      <c r="A80" s="463" t="s">
        <v>439</v>
      </c>
      <c r="B80" s="453"/>
      <c r="C80" s="453"/>
      <c r="D80" s="72"/>
      <c r="E80" s="46" t="s">
        <v>4</v>
      </c>
      <c r="F80" s="337">
        <f>'0664'!F80</f>
        <v>206284749</v>
      </c>
      <c r="G80" s="39" t="s">
        <v>6</v>
      </c>
      <c r="H80" s="131">
        <f>H66</f>
        <v>1.6299999999999999E-3</v>
      </c>
      <c r="I80" s="104">
        <f t="shared" si="14"/>
        <v>336244.14</v>
      </c>
      <c r="N80" s="478" t="s">
        <v>397</v>
      </c>
      <c r="O80" s="479"/>
      <c r="P80" s="479"/>
      <c r="Q80" s="47"/>
      <c r="R80" s="134">
        <f t="shared" si="15"/>
        <v>206284749</v>
      </c>
      <c r="S80" s="40" t="s">
        <v>6</v>
      </c>
      <c r="T80" s="133">
        <f>T66</f>
        <v>0</v>
      </c>
      <c r="U80" s="99">
        <f t="shared" si="16"/>
        <v>0</v>
      </c>
    </row>
    <row r="81" spans="1:21" x14ac:dyDescent="0.25">
      <c r="A81" s="84" t="s">
        <v>440</v>
      </c>
      <c r="B81" s="72"/>
      <c r="C81" s="72"/>
      <c r="D81" s="72"/>
      <c r="E81" s="46"/>
      <c r="F81" s="337"/>
      <c r="G81" s="39"/>
      <c r="H81" s="131"/>
      <c r="I81" s="104"/>
      <c r="N81" s="419" t="s">
        <v>440</v>
      </c>
      <c r="O81" s="48"/>
      <c r="P81" s="48"/>
      <c r="Q81" s="47"/>
      <c r="R81" s="423"/>
      <c r="S81" s="40"/>
      <c r="T81" s="133"/>
      <c r="U81" s="120"/>
    </row>
    <row r="82" spans="1:21" x14ac:dyDescent="0.25">
      <c r="A82" s="264" t="s">
        <v>441</v>
      </c>
      <c r="B82" s="72"/>
      <c r="C82" s="72"/>
      <c r="D82" s="72"/>
      <c r="E82" s="46" t="s">
        <v>442</v>
      </c>
      <c r="F82" s="337">
        <f>'0664'!F82</f>
        <v>0</v>
      </c>
      <c r="G82" s="39" t="s">
        <v>6</v>
      </c>
      <c r="H82" s="131">
        <f>H66</f>
        <v>1.6299999999999999E-3</v>
      </c>
      <c r="I82" s="104">
        <v>57979.22</v>
      </c>
      <c r="N82" s="422" t="s">
        <v>441</v>
      </c>
      <c r="O82" s="48"/>
      <c r="P82" s="48"/>
      <c r="Q82" s="47"/>
      <c r="R82" s="134">
        <f t="shared" si="15"/>
        <v>0</v>
      </c>
      <c r="S82" s="40"/>
      <c r="T82" s="133"/>
      <c r="U82" s="99">
        <f t="shared" si="16"/>
        <v>0</v>
      </c>
    </row>
    <row r="83" spans="1:21" x14ac:dyDescent="0.25">
      <c r="A83" s="264" t="s">
        <v>443</v>
      </c>
      <c r="B83" s="72"/>
      <c r="C83" s="72"/>
      <c r="D83" s="72"/>
      <c r="E83" s="46" t="s">
        <v>442</v>
      </c>
      <c r="F83" s="337">
        <f>'0664'!F83</f>
        <v>0</v>
      </c>
      <c r="G83" s="39" t="s">
        <v>6</v>
      </c>
      <c r="H83" s="131">
        <f>H66</f>
        <v>1.6299999999999999E-3</v>
      </c>
      <c r="I83" s="104">
        <v>26354.19</v>
      </c>
      <c r="N83" s="422" t="s">
        <v>443</v>
      </c>
      <c r="O83" s="48"/>
      <c r="P83" s="48"/>
      <c r="Q83" s="47"/>
      <c r="R83" s="134">
        <f t="shared" si="15"/>
        <v>0</v>
      </c>
      <c r="S83" s="40"/>
      <c r="T83" s="133"/>
      <c r="U83" s="99">
        <f t="shared" si="16"/>
        <v>0</v>
      </c>
    </row>
    <row r="84" spans="1:21" x14ac:dyDescent="0.25">
      <c r="A84" s="420" t="s">
        <v>444</v>
      </c>
      <c r="B84" s="72"/>
      <c r="C84" s="72"/>
      <c r="D84" s="72"/>
      <c r="E84" s="46"/>
      <c r="F84" s="337"/>
      <c r="G84" s="39"/>
      <c r="H84" s="131"/>
      <c r="I84" s="104">
        <f>I82+I83</f>
        <v>84333.41</v>
      </c>
      <c r="N84" s="421" t="s">
        <v>444</v>
      </c>
      <c r="O84" s="48"/>
      <c r="P84" s="48"/>
      <c r="Q84" s="47"/>
      <c r="R84" s="423"/>
      <c r="S84" s="40"/>
      <c r="T84" s="133"/>
      <c r="U84" s="99">
        <f>U82+U83</f>
        <v>0</v>
      </c>
    </row>
    <row r="85" spans="1:21" x14ac:dyDescent="0.25">
      <c r="A85" s="463" t="s">
        <v>398</v>
      </c>
      <c r="B85" s="453"/>
      <c r="C85" s="453"/>
      <c r="D85" s="72"/>
      <c r="E85" s="46" t="s">
        <v>4</v>
      </c>
      <c r="F85" s="337">
        <f>'0664'!F85</f>
        <v>0</v>
      </c>
      <c r="G85" s="39" t="s">
        <v>6</v>
      </c>
      <c r="H85" s="131">
        <f>H66</f>
        <v>1.6299999999999999E-3</v>
      </c>
      <c r="I85" s="104">
        <f t="shared" si="14"/>
        <v>0</v>
      </c>
      <c r="N85" s="478" t="s">
        <v>398</v>
      </c>
      <c r="O85" s="479"/>
      <c r="P85" s="479"/>
      <c r="Q85" s="47"/>
      <c r="R85" s="132">
        <f t="shared" si="15"/>
        <v>0</v>
      </c>
      <c r="S85" s="40" t="s">
        <v>6</v>
      </c>
      <c r="T85" s="133">
        <f>T66</f>
        <v>0</v>
      </c>
      <c r="U85" s="99">
        <f t="shared" si="16"/>
        <v>0</v>
      </c>
    </row>
    <row r="86" spans="1:21" x14ac:dyDescent="0.25">
      <c r="B86" s="72"/>
      <c r="C86" s="72"/>
      <c r="D86" s="72"/>
      <c r="E86" s="46"/>
      <c r="F86" s="136"/>
      <c r="G86" s="39"/>
      <c r="H86" s="131"/>
      <c r="I86" s="104"/>
      <c r="N86" s="48"/>
      <c r="O86" s="48"/>
      <c r="P86" s="48"/>
      <c r="Q86" s="47"/>
      <c r="R86" s="137"/>
      <c r="S86" s="40"/>
      <c r="T86" s="133"/>
      <c r="U86" s="106"/>
    </row>
    <row r="87" spans="1:21" x14ac:dyDescent="0.25">
      <c r="A87" s="463" t="s">
        <v>445</v>
      </c>
      <c r="B87" s="453"/>
      <c r="C87" s="453"/>
      <c r="D87" s="453"/>
      <c r="E87" s="453"/>
      <c r="F87" s="453"/>
      <c r="G87" s="453"/>
      <c r="H87" s="453"/>
      <c r="I87" s="453"/>
      <c r="N87" s="478" t="s">
        <v>429</v>
      </c>
      <c r="O87" s="479"/>
      <c r="P87" s="479"/>
      <c r="Q87" s="479"/>
      <c r="R87" s="479"/>
      <c r="S87" s="479"/>
      <c r="T87" s="479"/>
      <c r="U87" s="479"/>
    </row>
    <row r="88" spans="1:21" x14ac:dyDescent="0.25">
      <c r="B88" s="72"/>
      <c r="C88" s="466" t="s">
        <v>73</v>
      </c>
      <c r="D88" s="466"/>
      <c r="E88" s="72"/>
      <c r="F88" s="41" t="s">
        <v>37</v>
      </c>
      <c r="G88" s="72"/>
      <c r="H88" s="72"/>
      <c r="I88" s="72"/>
      <c r="N88" s="48"/>
      <c r="O88" s="48"/>
      <c r="P88" s="48"/>
      <c r="Q88" s="48"/>
      <c r="R88" s="48"/>
      <c r="S88" s="48"/>
      <c r="T88" s="48"/>
      <c r="U88" s="48"/>
    </row>
    <row r="89" spans="1:21" x14ac:dyDescent="0.25">
      <c r="A89" s="3"/>
      <c r="B89" s="138"/>
      <c r="C89" s="462" t="s">
        <v>144</v>
      </c>
      <c r="D89" s="462"/>
      <c r="E89" s="139" t="s">
        <v>150</v>
      </c>
      <c r="F89" s="140" t="s">
        <v>149</v>
      </c>
      <c r="G89" s="141"/>
      <c r="H89" s="141"/>
      <c r="I89" s="141"/>
      <c r="N89" s="495" t="s">
        <v>46</v>
      </c>
      <c r="O89" s="495"/>
      <c r="P89" s="496" t="s">
        <v>119</v>
      </c>
      <c r="Q89" s="496"/>
      <c r="R89" s="497" t="s">
        <v>40</v>
      </c>
      <c r="S89" s="497"/>
      <c r="T89" s="497"/>
      <c r="U89" s="497"/>
    </row>
    <row r="90" spans="1:21" x14ac:dyDescent="0.25">
      <c r="A90" s="27"/>
      <c r="B90" s="55" t="s">
        <v>148</v>
      </c>
      <c r="C90" s="467">
        <f>H13+H14+H19+H22+H25</f>
        <v>0</v>
      </c>
      <c r="D90" s="467"/>
      <c r="E90" s="49">
        <f>H8</f>
        <v>1.0438000000000001</v>
      </c>
      <c r="F90" s="338">
        <f>'0664'!F90</f>
        <v>957.94</v>
      </c>
      <c r="G90" s="41" t="s">
        <v>13</v>
      </c>
      <c r="H90" s="104">
        <f>ROUND(C90*E90*F90,2)</f>
        <v>0</v>
      </c>
      <c r="I90" s="107"/>
      <c r="N90" s="29" t="s">
        <v>22</v>
      </c>
      <c r="O90" s="50">
        <f>T13+T14+T19+T22+T25</f>
        <v>0</v>
      </c>
      <c r="P90" s="490">
        <f>T8</f>
        <v>1.0438000000000001</v>
      </c>
      <c r="Q90" s="490"/>
      <c r="R90" s="51">
        <f>F90</f>
        <v>957.94</v>
      </c>
      <c r="S90" s="42" t="s">
        <v>13</v>
      </c>
      <c r="T90" s="134">
        <f>ROUND(O90*P90*R90,0)</f>
        <v>0</v>
      </c>
      <c r="U90" s="105"/>
    </row>
    <row r="91" spans="1:21" x14ac:dyDescent="0.25">
      <c r="A91" s="52"/>
      <c r="B91" s="52" t="s">
        <v>147</v>
      </c>
      <c r="C91" s="467">
        <f>H15+H16+H20+H23+H26</f>
        <v>0</v>
      </c>
      <c r="D91" s="467"/>
      <c r="E91" s="49">
        <f>H8</f>
        <v>1.0438000000000001</v>
      </c>
      <c r="F91" s="338">
        <f>'0664'!F91</f>
        <v>914.63</v>
      </c>
      <c r="G91" s="41" t="s">
        <v>13</v>
      </c>
      <c r="H91" s="104">
        <f>ROUND(C91*E91*F91,2)</f>
        <v>0</v>
      </c>
      <c r="N91" s="53" t="s">
        <v>14</v>
      </c>
      <c r="O91" s="50">
        <f>T15+T16+T20+T23+T26</f>
        <v>0</v>
      </c>
      <c r="P91" s="490">
        <f>T8</f>
        <v>1.0438000000000001</v>
      </c>
      <c r="Q91" s="490"/>
      <c r="R91" s="51">
        <f>F91</f>
        <v>914.63</v>
      </c>
      <c r="S91" s="42" t="s">
        <v>13</v>
      </c>
      <c r="T91" s="134">
        <f>ROUND(O91*P91*R91,0)</f>
        <v>0</v>
      </c>
      <c r="U91" s="54"/>
    </row>
    <row r="92" spans="1:21" ht="16.5" thickBot="1" x14ac:dyDescent="0.3">
      <c r="A92" s="55"/>
      <c r="B92" s="55" t="s">
        <v>146</v>
      </c>
      <c r="C92" s="467">
        <f>H17+H18+H21+H24+H27+H28</f>
        <v>353.44399999999996</v>
      </c>
      <c r="D92" s="467"/>
      <c r="E92" s="49">
        <f>H8</f>
        <v>1.0438000000000001</v>
      </c>
      <c r="F92" s="338">
        <f>'0664'!F92</f>
        <v>916.84</v>
      </c>
      <c r="G92" s="41" t="s">
        <v>13</v>
      </c>
      <c r="H92" s="97">
        <f>ROUND(C92*E92*F92,2)</f>
        <v>338245.06</v>
      </c>
      <c r="N92" s="56" t="s">
        <v>15</v>
      </c>
      <c r="O92" s="57">
        <f>T17+T18+T21+T24+T27+T28</f>
        <v>0</v>
      </c>
      <c r="P92" s="490">
        <f>T8</f>
        <v>1.0438000000000001</v>
      </c>
      <c r="Q92" s="490"/>
      <c r="R92" s="51">
        <f>F92</f>
        <v>916.84</v>
      </c>
      <c r="S92" s="42" t="s">
        <v>13</v>
      </c>
      <c r="T92" s="134">
        <f>ROUND(O92*P92*R92,0)</f>
        <v>0</v>
      </c>
      <c r="U92" s="54"/>
    </row>
    <row r="93" spans="1:21" ht="16.5" thickBot="1" x14ac:dyDescent="0.3">
      <c r="A93" s="58"/>
      <c r="B93" s="142" t="s">
        <v>145</v>
      </c>
      <c r="C93" s="469">
        <f>SUM(C90:C92)</f>
        <v>353.44399999999996</v>
      </c>
      <c r="D93" s="469"/>
      <c r="E93" s="143"/>
      <c r="F93" s="143"/>
      <c r="G93" s="143"/>
      <c r="H93" s="144" t="s">
        <v>143</v>
      </c>
      <c r="I93" s="104">
        <f>IF(A1=75,0,H92+H91+H90)</f>
        <v>338245.06</v>
      </c>
      <c r="N93" s="59" t="s">
        <v>120</v>
      </c>
      <c r="O93" s="60">
        <f>SUM(O90:O92)</f>
        <v>0</v>
      </c>
      <c r="P93" s="491" t="s">
        <v>18</v>
      </c>
      <c r="Q93" s="492"/>
      <c r="R93" s="492"/>
      <c r="S93" s="492"/>
      <c r="T93" s="492"/>
      <c r="U93" s="99">
        <f>IF(N1=75,0,T92+T91+T90)</f>
        <v>0</v>
      </c>
    </row>
    <row r="94" spans="1:21" ht="16.5" thickTop="1" x14ac:dyDescent="0.25">
      <c r="A94" s="540" t="s">
        <v>90</v>
      </c>
      <c r="B94" s="540"/>
      <c r="C94" s="540"/>
      <c r="D94" s="540"/>
      <c r="E94" s="540"/>
      <c r="F94" s="540"/>
      <c r="G94" s="540"/>
      <c r="H94" s="540"/>
      <c r="I94" s="540"/>
      <c r="N94" s="493" t="s">
        <v>90</v>
      </c>
      <c r="O94" s="493"/>
      <c r="P94" s="493"/>
      <c r="Q94" s="493"/>
      <c r="R94" s="493"/>
      <c r="S94" s="493"/>
      <c r="T94" s="493"/>
      <c r="U94" s="493"/>
    </row>
    <row r="95" spans="1:21" x14ac:dyDescent="0.25">
      <c r="A95" s="145"/>
      <c r="B95" s="145"/>
      <c r="C95" s="145"/>
      <c r="D95" s="145"/>
      <c r="E95" s="145"/>
      <c r="F95" s="145"/>
      <c r="G95" s="145"/>
      <c r="H95" s="145"/>
      <c r="I95" s="145"/>
      <c r="N95" s="146"/>
      <c r="O95" s="146"/>
      <c r="P95" s="146"/>
      <c r="Q95" s="146"/>
      <c r="R95" s="146"/>
      <c r="S95" s="146"/>
      <c r="T95" s="146"/>
      <c r="U95" s="146"/>
    </row>
    <row r="96" spans="1:21" x14ac:dyDescent="0.25">
      <c r="A96" s="84" t="s">
        <v>446</v>
      </c>
      <c r="C96" s="46"/>
      <c r="D96" s="72"/>
      <c r="E96" s="46" t="s">
        <v>100</v>
      </c>
      <c r="F96" s="471"/>
      <c r="G96" s="471"/>
      <c r="H96" s="471"/>
      <c r="I96" s="471"/>
      <c r="N96" s="478" t="s">
        <v>426</v>
      </c>
      <c r="O96" s="479"/>
      <c r="P96" s="479"/>
      <c r="Q96" s="494"/>
      <c r="R96" s="494"/>
      <c r="S96" s="494"/>
      <c r="T96" s="494"/>
      <c r="U96" s="106"/>
    </row>
    <row r="97" spans="1:21" x14ac:dyDescent="0.25">
      <c r="B97" s="72"/>
      <c r="C97" s="91" t="s">
        <v>409</v>
      </c>
      <c r="D97" s="371" t="s">
        <v>410</v>
      </c>
      <c r="E97" s="92" t="s">
        <v>151</v>
      </c>
      <c r="F97" s="46"/>
      <c r="G97" s="46"/>
      <c r="H97" s="46"/>
      <c r="I97" s="46"/>
      <c r="N97" s="48"/>
      <c r="O97" s="48"/>
      <c r="P97" s="48"/>
      <c r="Q97" s="147"/>
      <c r="R97" s="147"/>
      <c r="S97" s="147"/>
      <c r="T97" s="147"/>
      <c r="U97" s="106"/>
    </row>
    <row r="98" spans="1:21" x14ac:dyDescent="0.25">
      <c r="B98" s="72"/>
      <c r="C98" s="362" t="s">
        <v>2</v>
      </c>
      <c r="D98" s="362" t="s">
        <v>2</v>
      </c>
      <c r="E98" s="362" t="s">
        <v>2</v>
      </c>
      <c r="F98" s="46"/>
      <c r="G98" s="46"/>
      <c r="H98" s="46"/>
      <c r="I98" s="46"/>
      <c r="N98" s="48"/>
      <c r="O98" s="48"/>
      <c r="P98" s="48"/>
      <c r="Q98" s="147"/>
      <c r="R98" s="147"/>
      <c r="S98" s="147"/>
      <c r="T98" s="147"/>
      <c r="U98" s="106"/>
    </row>
    <row r="99" spans="1:21" x14ac:dyDescent="0.25">
      <c r="A99" s="536" t="s">
        <v>470</v>
      </c>
      <c r="B99" s="461"/>
      <c r="C99" s="165">
        <v>141</v>
      </c>
      <c r="D99" s="165">
        <v>0</v>
      </c>
      <c r="E99" s="125">
        <f>C99</f>
        <v>141</v>
      </c>
      <c r="F99" s="148" t="s">
        <v>39</v>
      </c>
      <c r="G99" s="339">
        <f>'0664'!G99</f>
        <v>558</v>
      </c>
      <c r="I99" s="104">
        <f>ROUND(G99*E99,2)</f>
        <v>78678</v>
      </c>
      <c r="N99" s="488" t="s">
        <v>65</v>
      </c>
      <c r="O99" s="488"/>
      <c r="P99" s="489">
        <f>IF(H120=1,E99,0)</f>
        <v>0</v>
      </c>
      <c r="Q99" s="489"/>
      <c r="R99" s="489"/>
      <c r="S99" s="86" t="s">
        <v>39</v>
      </c>
      <c r="T99" s="61">
        <f>G99</f>
        <v>558</v>
      </c>
      <c r="U99" s="99">
        <f>ROUND(T99*P99,0)</f>
        <v>0</v>
      </c>
    </row>
    <row r="100" spans="1:21" x14ac:dyDescent="0.25">
      <c r="A100" s="536" t="s">
        <v>471</v>
      </c>
      <c r="B100" s="461"/>
      <c r="C100" s="165">
        <v>0</v>
      </c>
      <c r="D100" s="165">
        <v>0</v>
      </c>
      <c r="E100" s="125">
        <f>C100</f>
        <v>0</v>
      </c>
      <c r="F100" s="148" t="s">
        <v>39</v>
      </c>
      <c r="G100" s="339">
        <f>'0664'!G100</f>
        <v>1707</v>
      </c>
      <c r="I100" s="104">
        <f>ROUND(G100*E100,2)</f>
        <v>0</v>
      </c>
      <c r="N100" s="488" t="s">
        <v>81</v>
      </c>
      <c r="O100" s="488"/>
      <c r="P100" s="483"/>
      <c r="Q100" s="483"/>
      <c r="R100" s="483"/>
      <c r="S100" s="86" t="s">
        <v>39</v>
      </c>
      <c r="T100" s="61">
        <f>G100</f>
        <v>1707</v>
      </c>
      <c r="U100" s="99">
        <f>ROUND(T100*P100,0)</f>
        <v>0</v>
      </c>
    </row>
    <row r="101" spans="1:21" x14ac:dyDescent="0.25">
      <c r="A101" s="149"/>
      <c r="B101" s="149"/>
      <c r="C101" s="68"/>
      <c r="D101" s="68"/>
      <c r="E101" s="68"/>
      <c r="F101" s="68"/>
      <c r="G101" s="150"/>
      <c r="H101" s="151"/>
      <c r="I101" s="104"/>
      <c r="N101" s="152"/>
      <c r="O101" s="152"/>
      <c r="P101" s="153"/>
      <c r="Q101" s="153"/>
      <c r="R101" s="153"/>
      <c r="S101" s="86"/>
      <c r="T101" s="61"/>
      <c r="U101" s="106"/>
    </row>
    <row r="102" spans="1:21" x14ac:dyDescent="0.25">
      <c r="A102" s="149"/>
      <c r="B102" s="149"/>
      <c r="C102" s="68"/>
      <c r="D102" s="68"/>
      <c r="E102" s="68"/>
      <c r="F102" s="68"/>
      <c r="G102" s="150"/>
      <c r="H102" s="151"/>
      <c r="I102" s="104"/>
      <c r="N102" s="152"/>
      <c r="O102" s="152"/>
      <c r="P102" s="153"/>
      <c r="Q102" s="153"/>
      <c r="R102" s="153"/>
      <c r="S102" s="86"/>
      <c r="T102" s="61"/>
      <c r="U102" s="106"/>
    </row>
    <row r="103" spans="1:21" hidden="1" x14ac:dyDescent="0.25">
      <c r="A103" s="463" t="s">
        <v>447</v>
      </c>
      <c r="B103" s="453"/>
      <c r="C103" s="453"/>
      <c r="D103" s="72"/>
      <c r="E103" s="41" t="s">
        <v>41</v>
      </c>
      <c r="F103" s="466"/>
      <c r="G103" s="466"/>
      <c r="H103" s="466"/>
      <c r="I103" s="466"/>
      <c r="N103" s="478" t="s">
        <v>362</v>
      </c>
      <c r="O103" s="479"/>
      <c r="P103" s="479"/>
      <c r="Q103" s="479"/>
      <c r="R103" s="479"/>
      <c r="S103" s="479"/>
      <c r="T103" s="479"/>
      <c r="U103" s="479"/>
    </row>
    <row r="104" spans="1:21" hidden="1" x14ac:dyDescent="0.25">
      <c r="B104" s="72"/>
      <c r="C104" s="462" t="s">
        <v>91</v>
      </c>
      <c r="D104" s="462"/>
      <c r="E104" s="462"/>
      <c r="F104" s="39"/>
      <c r="G104" s="39"/>
      <c r="H104" s="41" t="s">
        <v>152</v>
      </c>
      <c r="I104" s="39"/>
      <c r="N104" s="48"/>
      <c r="O104" s="48"/>
      <c r="P104" s="48"/>
      <c r="Q104" s="48"/>
      <c r="R104" s="48"/>
      <c r="S104" s="48"/>
      <c r="T104" s="48"/>
      <c r="U104" s="48"/>
    </row>
    <row r="105" spans="1:21" hidden="1" x14ac:dyDescent="0.25">
      <c r="B105" s="72"/>
      <c r="C105" s="91" t="s">
        <v>371</v>
      </c>
      <c r="D105" s="91" t="s">
        <v>351</v>
      </c>
      <c r="E105" s="159" t="s">
        <v>8</v>
      </c>
      <c r="F105" s="464" t="s">
        <v>153</v>
      </c>
      <c r="G105" s="466"/>
      <c r="H105" s="39" t="s">
        <v>38</v>
      </c>
      <c r="I105" s="39"/>
      <c r="N105" s="48"/>
      <c r="O105" s="48"/>
      <c r="P105" s="48"/>
      <c r="Q105" s="48"/>
      <c r="R105" s="48"/>
      <c r="S105" s="48"/>
      <c r="T105" s="48"/>
      <c r="U105" s="48"/>
    </row>
    <row r="106" spans="1:21" hidden="1" x14ac:dyDescent="0.25">
      <c r="A106" s="462" t="s">
        <v>94</v>
      </c>
      <c r="B106" s="462"/>
      <c r="C106" s="93" t="s">
        <v>2</v>
      </c>
      <c r="D106" s="93" t="s">
        <v>2</v>
      </c>
      <c r="E106" s="62" t="s">
        <v>2</v>
      </c>
      <c r="F106" s="462" t="s">
        <v>37</v>
      </c>
      <c r="G106" s="462"/>
      <c r="H106" s="62" t="s">
        <v>37</v>
      </c>
      <c r="I106" s="62" t="s">
        <v>8</v>
      </c>
      <c r="N106" s="484" t="s">
        <v>66</v>
      </c>
      <c r="O106" s="484"/>
      <c r="P106" s="489" t="s">
        <v>91</v>
      </c>
      <c r="Q106" s="489"/>
      <c r="R106" s="484" t="s">
        <v>67</v>
      </c>
      <c r="S106" s="484"/>
      <c r="T106" s="63" t="s">
        <v>68</v>
      </c>
      <c r="U106" s="63" t="s">
        <v>8</v>
      </c>
    </row>
    <row r="107" spans="1:21" hidden="1" x14ac:dyDescent="0.25">
      <c r="A107" s="473" t="s">
        <v>69</v>
      </c>
      <c r="B107" s="473"/>
      <c r="C107" s="163">
        <v>0</v>
      </c>
      <c r="D107" s="163">
        <v>0</v>
      </c>
      <c r="E107" s="210">
        <f>IF(D$59=0,C107*2,C107+D107)</f>
        <v>0</v>
      </c>
      <c r="F107" s="474">
        <v>0</v>
      </c>
      <c r="G107" s="474"/>
      <c r="H107" s="250">
        <f>IF(C107=0,0,125)</f>
        <v>0</v>
      </c>
      <c r="I107" s="104">
        <f>ROUND((H107+F107)*E107,2)</f>
        <v>0</v>
      </c>
      <c r="N107" s="479" t="s">
        <v>69</v>
      </c>
      <c r="O107" s="479"/>
      <c r="P107" s="483">
        <f>IF(H$120=1,C107,0)</f>
        <v>0</v>
      </c>
      <c r="Q107" s="483"/>
      <c r="R107" s="486">
        <f>F107</f>
        <v>0</v>
      </c>
      <c r="S107" s="486"/>
      <c r="T107" s="65">
        <f>H107</f>
        <v>0</v>
      </c>
      <c r="U107" s="99">
        <f>ROUND((T107+R107)*P107,0)</f>
        <v>0</v>
      </c>
    </row>
    <row r="108" spans="1:21" hidden="1" x14ac:dyDescent="0.25">
      <c r="A108" s="456" t="s">
        <v>70</v>
      </c>
      <c r="B108" s="456"/>
      <c r="C108" s="165">
        <v>0</v>
      </c>
      <c r="D108" s="165">
        <v>0</v>
      </c>
      <c r="E108" s="125">
        <f>IF(D$59=0,C108*2,C108+D108)</f>
        <v>0</v>
      </c>
      <c r="F108" s="468">
        <f>ROUND(F107/2,2)</f>
        <v>0</v>
      </c>
      <c r="G108" s="468"/>
      <c r="H108" s="250">
        <f>IF(C108=0,0,62.5)</f>
        <v>0</v>
      </c>
      <c r="I108" s="104">
        <f>ROUND((H108+F108)*E108,2)</f>
        <v>0</v>
      </c>
      <c r="N108" s="479" t="s">
        <v>70</v>
      </c>
      <c r="O108" s="479"/>
      <c r="P108" s="483">
        <f>IF(H$120=1,C108,0)</f>
        <v>0</v>
      </c>
      <c r="Q108" s="483"/>
      <c r="R108" s="487">
        <f>ROUND(R107/2,2)</f>
        <v>0</v>
      </c>
      <c r="S108" s="487"/>
      <c r="T108" s="65">
        <f>H108</f>
        <v>0</v>
      </c>
      <c r="U108" s="99">
        <f>ROUND((T108+R108)*P108,0)</f>
        <v>0</v>
      </c>
    </row>
    <row r="109" spans="1:21" ht="16.5" hidden="1" thickBot="1" x14ac:dyDescent="0.3">
      <c r="A109" s="456" t="s">
        <v>71</v>
      </c>
      <c r="B109" s="456"/>
      <c r="C109" s="165">
        <v>0</v>
      </c>
      <c r="D109" s="165">
        <v>0</v>
      </c>
      <c r="E109" s="125">
        <f>IF(D$59=0,C109*2,C109+D109)</f>
        <v>0</v>
      </c>
      <c r="F109" s="475"/>
      <c r="G109" s="475"/>
      <c r="H109" s="251">
        <f>IF(H107&gt;0,436,0)</f>
        <v>0</v>
      </c>
      <c r="I109" s="104">
        <f>ROUND(H109*E109,2)</f>
        <v>0</v>
      </c>
      <c r="N109" s="482" t="s">
        <v>71</v>
      </c>
      <c r="O109" s="482"/>
      <c r="P109" s="483">
        <f>IF(H$120=1,C109,0)</f>
        <v>0</v>
      </c>
      <c r="Q109" s="483"/>
      <c r="R109" s="484"/>
      <c r="S109" s="484"/>
      <c r="T109" s="67">
        <f>H109</f>
        <v>0</v>
      </c>
      <c r="U109" s="106">
        <f>ROUND(T109*P109,0)</f>
        <v>0</v>
      </c>
    </row>
    <row r="110" spans="1:21" ht="16.5" hidden="1" thickBot="1" x14ac:dyDescent="0.3">
      <c r="A110" s="466" t="s">
        <v>8</v>
      </c>
      <c r="B110" s="466"/>
      <c r="C110" s="68"/>
      <c r="D110" s="68"/>
      <c r="E110" s="68"/>
      <c r="F110" s="68"/>
      <c r="G110" s="68"/>
      <c r="H110" s="68"/>
      <c r="I110" s="100">
        <f>SUM(I107:I109)</f>
        <v>0</v>
      </c>
      <c r="N110" s="485" t="s">
        <v>8</v>
      </c>
      <c r="O110" s="485"/>
      <c r="P110" s="69"/>
      <c r="Q110" s="69"/>
      <c r="R110" s="69"/>
      <c r="S110" s="69"/>
      <c r="T110" s="69"/>
      <c r="U110" s="70">
        <f>SUM(U107:U109)</f>
        <v>0</v>
      </c>
    </row>
    <row r="111" spans="1:21" hidden="1" x14ac:dyDescent="0.25">
      <c r="A111" s="39"/>
      <c r="B111" s="39"/>
      <c r="C111" s="68"/>
      <c r="D111" s="68"/>
      <c r="E111" s="68"/>
      <c r="F111" s="68"/>
      <c r="G111" s="68"/>
      <c r="H111" s="68"/>
      <c r="I111" s="104"/>
      <c r="N111" s="40"/>
      <c r="O111" s="40"/>
      <c r="P111" s="69"/>
      <c r="Q111" s="69"/>
      <c r="R111" s="69"/>
      <c r="S111" s="69"/>
      <c r="T111" s="69"/>
      <c r="U111" s="160"/>
    </row>
    <row r="112" spans="1:21" x14ac:dyDescent="0.25">
      <c r="A112" s="463" t="s">
        <v>448</v>
      </c>
      <c r="B112" s="453"/>
      <c r="C112" s="453"/>
      <c r="D112" s="72"/>
      <c r="E112" s="71" t="s">
        <v>354</v>
      </c>
      <c r="F112" s="472"/>
      <c r="G112" s="472"/>
      <c r="H112" s="472"/>
      <c r="I112" s="125">
        <v>0</v>
      </c>
      <c r="N112" s="478" t="s">
        <v>427</v>
      </c>
      <c r="O112" s="479"/>
      <c r="P112" s="479"/>
      <c r="Q112" s="341"/>
      <c r="R112" s="341"/>
      <c r="S112" s="341"/>
      <c r="T112" s="341"/>
      <c r="U112" s="99">
        <f>IF($H$120=1,I112,0)</f>
        <v>0</v>
      </c>
    </row>
    <row r="113" spans="1:21" x14ac:dyDescent="0.25">
      <c r="A113" s="463" t="s">
        <v>449</v>
      </c>
      <c r="B113" s="453"/>
      <c r="C113" s="453"/>
      <c r="D113" s="72"/>
      <c r="E113" s="71" t="s">
        <v>45</v>
      </c>
      <c r="F113" s="472"/>
      <c r="G113" s="472"/>
      <c r="H113" s="472"/>
      <c r="I113" s="177">
        <v>0</v>
      </c>
      <c r="N113" s="478" t="s">
        <v>428</v>
      </c>
      <c r="O113" s="479"/>
      <c r="P113" s="479"/>
      <c r="Q113" s="341"/>
      <c r="R113" s="341"/>
      <c r="S113" s="341"/>
      <c r="T113" s="341"/>
      <c r="U113" s="99">
        <f>IF($H$120=1,I113,0)</f>
        <v>0</v>
      </c>
    </row>
    <row r="114" spans="1:21" ht="16.5" thickBot="1" x14ac:dyDescent="0.3">
      <c r="B114" s="72"/>
      <c r="C114" s="72"/>
      <c r="D114" s="72"/>
      <c r="E114" s="71"/>
      <c r="F114" s="71"/>
      <c r="G114" s="71"/>
      <c r="H114" s="71"/>
      <c r="I114" s="125"/>
      <c r="N114" s="480" t="s">
        <v>42</v>
      </c>
      <c r="O114" s="480"/>
      <c r="P114" s="480"/>
      <c r="Q114" s="480"/>
      <c r="R114" s="480"/>
      <c r="S114" s="480"/>
      <c r="T114" s="480"/>
      <c r="U114" s="154">
        <f>SUM(U112,U110,U100,U99,U93,U77,U76,U74,U73,U72,U71,U70,U68,U59,U45,U78,U79,U80,U85,U113)</f>
        <v>0</v>
      </c>
    </row>
    <row r="115" spans="1:21" ht="16.5" thickTop="1" x14ac:dyDescent="0.25">
      <c r="A115" s="461" t="s">
        <v>8</v>
      </c>
      <c r="B115" s="461"/>
      <c r="C115" s="461"/>
      <c r="D115" s="461"/>
      <c r="E115" s="461"/>
      <c r="F115" s="461"/>
      <c r="G115" s="461"/>
      <c r="H115" s="461"/>
      <c r="I115" s="97">
        <f>SUM(I113,I112,I110,I100,I99,I93,I85,I84,I80,I79,I78,I77,I76,I74,I73,I72,I71,I70,I68,I59,I45)</f>
        <v>2747858.31</v>
      </c>
      <c r="N115" s="29"/>
      <c r="O115" s="29"/>
      <c r="P115" s="29"/>
      <c r="Q115" s="29"/>
      <c r="R115" s="29"/>
      <c r="S115" s="29"/>
      <c r="T115" s="29"/>
      <c r="U115" s="160"/>
    </row>
    <row r="116" spans="1:21" x14ac:dyDescent="0.25">
      <c r="A116" s="27"/>
      <c r="B116" s="27"/>
      <c r="C116" s="27"/>
      <c r="D116" s="27"/>
      <c r="E116" s="27"/>
      <c r="F116" s="27"/>
      <c r="G116" s="27"/>
      <c r="H116" s="27"/>
      <c r="I116" s="104"/>
      <c r="N116" s="29"/>
      <c r="O116" s="29"/>
      <c r="P116" s="29"/>
      <c r="Q116" s="29"/>
      <c r="R116" s="29"/>
      <c r="S116" s="29"/>
      <c r="T116" s="29"/>
      <c r="U116" s="160"/>
    </row>
    <row r="117" spans="1:21" x14ac:dyDescent="0.25">
      <c r="A117" s="432" t="s">
        <v>467</v>
      </c>
      <c r="B117" s="27"/>
      <c r="C117" s="27"/>
      <c r="D117" s="27"/>
      <c r="E117" s="27"/>
      <c r="F117" s="27"/>
      <c r="G117" s="27"/>
      <c r="H117" s="27"/>
      <c r="I117" s="104">
        <f>I115-I84</f>
        <v>2663524.9</v>
      </c>
      <c r="N117" s="29"/>
      <c r="O117" s="29"/>
      <c r="P117" s="29"/>
      <c r="Q117" s="29"/>
      <c r="R117" s="29"/>
      <c r="S117" s="29"/>
      <c r="T117" s="29"/>
      <c r="U117" s="160"/>
    </row>
    <row r="118" spans="1:21" x14ac:dyDescent="0.25">
      <c r="A118" s="27"/>
      <c r="B118" s="27"/>
      <c r="C118" s="27"/>
      <c r="D118" s="27"/>
      <c r="E118" s="27"/>
      <c r="F118" s="27"/>
      <c r="G118" s="27"/>
      <c r="H118" s="27"/>
      <c r="I118" s="104"/>
      <c r="N118" s="29"/>
      <c r="O118" s="29"/>
      <c r="P118" s="29"/>
      <c r="Q118" s="29"/>
      <c r="R118" s="29"/>
      <c r="S118" s="29"/>
      <c r="T118" s="29"/>
      <c r="U118" s="160"/>
    </row>
    <row r="119" spans="1:21" x14ac:dyDescent="0.25">
      <c r="A119" s="463" t="s">
        <v>468</v>
      </c>
      <c r="B119" s="453"/>
      <c r="C119" s="453"/>
      <c r="D119" s="453"/>
      <c r="E119" s="453"/>
      <c r="F119" s="453"/>
      <c r="G119" s="453"/>
      <c r="H119" s="84" t="s">
        <v>394</v>
      </c>
      <c r="I119" s="156"/>
      <c r="N119" s="481"/>
      <c r="O119" s="481"/>
      <c r="P119" s="481"/>
      <c r="Q119" s="481"/>
      <c r="R119" s="481"/>
      <c r="S119" s="481"/>
      <c r="T119" s="481"/>
      <c r="U119" s="481"/>
    </row>
    <row r="120" spans="1:21" x14ac:dyDescent="0.25">
      <c r="A120" s="453" t="s">
        <v>95</v>
      </c>
      <c r="B120" s="453"/>
      <c r="C120" s="453"/>
      <c r="D120" s="453"/>
      <c r="E120" s="453"/>
      <c r="F120" s="453"/>
      <c r="G120" s="453"/>
      <c r="H120" s="73" t="str">
        <f>IF(E29=0,"",IF((E14+E16+SUM(E18:E24))/E29&gt;0.75,1,""))</f>
        <v/>
      </c>
      <c r="I120" s="125">
        <f>U114</f>
        <v>0</v>
      </c>
      <c r="N120" s="476" t="s">
        <v>7</v>
      </c>
      <c r="O120" s="476"/>
      <c r="P120" s="476"/>
      <c r="Q120" s="476"/>
      <c r="R120" s="476"/>
      <c r="S120" s="476"/>
      <c r="T120" s="476"/>
      <c r="U120" s="476"/>
    </row>
    <row r="121" spans="1:21" x14ac:dyDescent="0.25">
      <c r="B121" s="72"/>
      <c r="C121" s="72"/>
      <c r="D121" s="72"/>
      <c r="E121" s="72"/>
      <c r="F121" s="72"/>
      <c r="G121" s="72"/>
      <c r="H121" s="68"/>
      <c r="I121" s="104"/>
      <c r="N121" s="74" t="s">
        <v>106</v>
      </c>
      <c r="O121" s="74"/>
      <c r="P121" s="74"/>
      <c r="Q121" s="74"/>
      <c r="R121" s="74"/>
      <c r="S121" s="74"/>
      <c r="T121" s="74"/>
      <c r="U121" s="74"/>
    </row>
    <row r="122" spans="1:21" x14ac:dyDescent="0.25">
      <c r="A122" s="3" t="s">
        <v>102</v>
      </c>
      <c r="B122" s="72"/>
      <c r="C122" s="72"/>
      <c r="D122" s="72"/>
      <c r="E122" s="72"/>
      <c r="F122" s="72"/>
      <c r="G122" s="286"/>
      <c r="H122" s="161">
        <f>IF(H120=1,I120,I117)</f>
        <v>2663524.9</v>
      </c>
      <c r="I122" s="97">
        <f>ROUND(IF(E29=0,0,IF(E29&gt;250,-(((250/E29)*H122)*IF(G122="H",0.02,0.05)),IF(G122="H",-0.02*H122,-0.05*H122))),2)</f>
        <v>-95060.7</v>
      </c>
      <c r="N122" s="75" t="s">
        <v>107</v>
      </c>
      <c r="O122" s="74"/>
      <c r="P122" s="74"/>
      <c r="Q122" s="74"/>
      <c r="R122" s="74"/>
      <c r="S122" s="74"/>
      <c r="T122" s="74"/>
      <c r="U122" s="74"/>
    </row>
    <row r="123" spans="1:21" x14ac:dyDescent="0.25">
      <c r="B123" s="72"/>
      <c r="C123" s="72"/>
      <c r="D123" s="72"/>
      <c r="E123" s="72"/>
      <c r="F123" s="72"/>
      <c r="G123" s="72"/>
      <c r="H123" s="68"/>
      <c r="I123" s="104"/>
      <c r="N123" s="76"/>
      <c r="O123" s="76"/>
      <c r="P123" s="76"/>
      <c r="Q123" s="76"/>
      <c r="R123" s="76"/>
      <c r="S123" s="76"/>
      <c r="T123" s="76"/>
      <c r="U123" s="76"/>
    </row>
    <row r="124" spans="1:21" x14ac:dyDescent="0.25">
      <c r="A124" s="345" t="s">
        <v>103</v>
      </c>
      <c r="B124" s="346"/>
      <c r="C124" s="346"/>
      <c r="D124" s="346"/>
      <c r="E124" s="346"/>
      <c r="F124" s="346"/>
      <c r="G124" s="346"/>
      <c r="H124" s="347"/>
      <c r="I124" s="348">
        <f>I115+I122</f>
        <v>2652797.61</v>
      </c>
      <c r="N124" s="76"/>
      <c r="O124" s="76"/>
      <c r="P124" s="76"/>
      <c r="Q124" s="76"/>
      <c r="R124" s="76"/>
      <c r="S124" s="76"/>
      <c r="T124" s="76"/>
      <c r="U124" s="76"/>
    </row>
    <row r="125" spans="1:21" x14ac:dyDescent="0.25">
      <c r="B125" s="72"/>
      <c r="C125" s="72"/>
      <c r="D125" s="72"/>
      <c r="E125" s="72"/>
      <c r="F125" s="72"/>
      <c r="G125" s="72"/>
      <c r="H125" s="68"/>
      <c r="I125" s="104"/>
      <c r="N125" s="76"/>
      <c r="O125" s="76"/>
      <c r="P125" s="76"/>
      <c r="Q125" s="76"/>
      <c r="R125" s="76"/>
      <c r="S125" s="76"/>
      <c r="T125" s="76"/>
      <c r="U125" s="76"/>
    </row>
    <row r="126" spans="1:21" x14ac:dyDescent="0.25">
      <c r="A126" s="3" t="s">
        <v>104</v>
      </c>
      <c r="B126" s="72"/>
      <c r="C126" s="162"/>
      <c r="D126" s="72"/>
      <c r="F126" s="72"/>
      <c r="G126" s="72"/>
      <c r="H126" s="68"/>
      <c r="I126" s="302">
        <v>-1779052.03</v>
      </c>
      <c r="N126" s="76"/>
      <c r="O126" s="76"/>
      <c r="P126" s="76"/>
      <c r="Q126" s="76"/>
      <c r="R126" s="76"/>
      <c r="S126" s="76"/>
      <c r="T126" s="76"/>
      <c r="U126" s="76"/>
    </row>
    <row r="127" spans="1:21" x14ac:dyDescent="0.25">
      <c r="B127" s="72"/>
      <c r="C127" s="72"/>
      <c r="D127" s="72"/>
      <c r="E127" s="72"/>
      <c r="F127" s="72"/>
      <c r="G127" s="72"/>
      <c r="H127" s="68"/>
      <c r="I127" s="104"/>
      <c r="N127" s="76"/>
      <c r="O127" s="76"/>
      <c r="P127" s="76"/>
      <c r="Q127" s="76"/>
      <c r="R127" s="76"/>
      <c r="S127" s="76"/>
      <c r="T127" s="76"/>
      <c r="U127" s="76"/>
    </row>
    <row r="128" spans="1:21" x14ac:dyDescent="0.25">
      <c r="A128" s="84" t="s">
        <v>297</v>
      </c>
      <c r="B128" s="72"/>
      <c r="C128" s="72"/>
      <c r="D128" s="72"/>
      <c r="E128" s="72"/>
      <c r="F128" s="72"/>
      <c r="G128" s="72"/>
      <c r="H128" s="68"/>
      <c r="I128" s="104">
        <f>I124+I126</f>
        <v>873745.57999999984</v>
      </c>
      <c r="N128" s="76"/>
      <c r="O128" s="76"/>
      <c r="P128" s="76"/>
      <c r="Q128" s="76"/>
      <c r="R128" s="76"/>
      <c r="S128" s="76"/>
      <c r="T128" s="76"/>
      <c r="U128" s="76"/>
    </row>
    <row r="129" spans="1:21" x14ac:dyDescent="0.25">
      <c r="A129" s="84"/>
      <c r="B129" s="72"/>
      <c r="C129" s="72"/>
      <c r="D129" s="72"/>
      <c r="E129" s="72"/>
      <c r="F129" s="72"/>
      <c r="G129" s="72"/>
      <c r="H129" s="68"/>
      <c r="I129" s="104"/>
      <c r="N129" s="76"/>
      <c r="O129" s="76"/>
      <c r="P129" s="76"/>
      <c r="Q129" s="76"/>
      <c r="R129" s="76"/>
      <c r="S129" s="76"/>
      <c r="T129" s="76"/>
      <c r="U129" s="76"/>
    </row>
    <row r="130" spans="1:21" x14ac:dyDescent="0.25">
      <c r="A130" s="84" t="s">
        <v>298</v>
      </c>
      <c r="B130" s="72"/>
      <c r="C130" s="72"/>
      <c r="D130" s="72"/>
      <c r="E130" s="72"/>
      <c r="F130" s="72"/>
      <c r="G130" s="72"/>
      <c r="H130" s="68"/>
      <c r="I130" s="303">
        <f>'0664'!I130</f>
        <v>3</v>
      </c>
      <c r="N130" s="76"/>
      <c r="O130" s="76"/>
      <c r="P130" s="76"/>
      <c r="Q130" s="76"/>
      <c r="R130" s="76"/>
      <c r="S130" s="76"/>
      <c r="T130" s="76"/>
      <c r="U130" s="76"/>
    </row>
    <row r="131" spans="1:21" x14ac:dyDescent="0.25">
      <c r="B131" s="72"/>
      <c r="C131" s="72"/>
      <c r="D131" s="72"/>
      <c r="E131" s="72"/>
      <c r="F131" s="72"/>
      <c r="G131" s="72"/>
      <c r="H131" s="68"/>
      <c r="I131" s="104"/>
      <c r="N131" s="76"/>
      <c r="O131" s="76"/>
      <c r="P131" s="76"/>
      <c r="Q131" s="76"/>
      <c r="R131" s="76"/>
      <c r="S131" s="76"/>
      <c r="T131" s="76"/>
      <c r="U131" s="76"/>
    </row>
    <row r="132" spans="1:21" ht="16.5" thickBot="1" x14ac:dyDescent="0.3">
      <c r="A132" s="3" t="s">
        <v>105</v>
      </c>
      <c r="B132" s="72"/>
      <c r="C132" s="72"/>
      <c r="D132" s="72"/>
      <c r="E132" s="72"/>
      <c r="F132" s="72"/>
      <c r="G132" s="72"/>
      <c r="H132" s="68"/>
      <c r="I132" s="178">
        <f>ROUND(I128/I130,2)</f>
        <v>291248.53000000003</v>
      </c>
      <c r="N132" s="76"/>
      <c r="O132" s="76"/>
      <c r="P132" s="76"/>
      <c r="Q132" s="76"/>
      <c r="R132" s="76"/>
      <c r="S132" s="76"/>
      <c r="T132" s="76"/>
      <c r="U132" s="76"/>
    </row>
    <row r="133" spans="1:21" ht="16.5" thickTop="1" x14ac:dyDescent="0.25">
      <c r="B133" s="72"/>
      <c r="C133" s="72"/>
      <c r="D133" s="72"/>
      <c r="E133" s="72"/>
      <c r="F133" s="72"/>
      <c r="G133" s="72"/>
      <c r="H133" s="68"/>
      <c r="I133" s="104"/>
      <c r="N133" s="76"/>
      <c r="O133" s="76"/>
      <c r="P133" s="76"/>
      <c r="Q133" s="76"/>
      <c r="R133" s="76"/>
      <c r="S133" s="76"/>
      <c r="T133" s="76"/>
      <c r="U133" s="76"/>
    </row>
    <row r="134" spans="1:21" ht="16.5" thickBot="1" x14ac:dyDescent="0.3">
      <c r="A134" s="3" t="s">
        <v>121</v>
      </c>
      <c r="B134" s="72"/>
      <c r="C134" s="72"/>
      <c r="D134" s="72"/>
      <c r="E134" s="72"/>
      <c r="F134" s="72"/>
      <c r="G134" s="72"/>
      <c r="H134" s="68"/>
      <c r="I134" s="155">
        <f>ROUND(IF(G122="H",(H122*0.02)+I122,(H122*0.05)+I122),2)</f>
        <v>38115.550000000003</v>
      </c>
      <c r="N134" s="76"/>
      <c r="O134" s="76"/>
      <c r="P134" s="76"/>
      <c r="Q134" s="76"/>
      <c r="R134" s="76"/>
      <c r="S134" s="76"/>
      <c r="T134" s="76"/>
      <c r="U134" s="76"/>
    </row>
    <row r="135" spans="1:21" ht="16.5" thickTop="1" x14ac:dyDescent="0.25">
      <c r="B135" s="72"/>
      <c r="C135" s="72"/>
      <c r="D135" s="72"/>
      <c r="E135" s="72"/>
      <c r="F135" s="72"/>
      <c r="G135" s="72"/>
      <c r="H135" s="68"/>
      <c r="I135" s="156"/>
      <c r="N135" s="76"/>
      <c r="O135" s="76"/>
      <c r="P135" s="76"/>
      <c r="Q135" s="76"/>
      <c r="R135" s="76"/>
      <c r="S135" s="76"/>
      <c r="T135" s="76"/>
      <c r="U135" s="76"/>
    </row>
    <row r="136" spans="1:21" x14ac:dyDescent="0.25">
      <c r="B136" s="72"/>
      <c r="C136" s="72"/>
      <c r="D136" s="72"/>
      <c r="E136" s="72"/>
      <c r="F136" s="72"/>
      <c r="G136" s="72"/>
      <c r="H136" s="68"/>
      <c r="I136" s="104"/>
      <c r="N136" s="76"/>
      <c r="O136" s="76"/>
      <c r="P136" s="76"/>
      <c r="Q136" s="76"/>
      <c r="R136" s="76"/>
      <c r="S136" s="76"/>
      <c r="T136" s="76"/>
      <c r="U136" s="76"/>
    </row>
    <row r="137" spans="1:21" x14ac:dyDescent="0.25">
      <c r="B137" s="72"/>
      <c r="C137" s="72"/>
      <c r="D137" s="72"/>
      <c r="E137" s="72"/>
      <c r="F137" s="72"/>
      <c r="G137" s="72"/>
      <c r="H137" s="68"/>
      <c r="I137" s="156"/>
      <c r="N137" s="76"/>
      <c r="O137" s="76"/>
      <c r="P137" s="76"/>
      <c r="Q137" s="76"/>
      <c r="R137" s="76"/>
      <c r="S137" s="76"/>
      <c r="T137" s="76"/>
      <c r="U137" s="76"/>
    </row>
    <row r="138" spans="1:21" x14ac:dyDescent="0.25">
      <c r="A138" s="281" t="s">
        <v>7</v>
      </c>
      <c r="B138" s="281"/>
      <c r="C138" s="281"/>
      <c r="D138" s="281"/>
      <c r="E138" s="281"/>
      <c r="F138" s="281"/>
      <c r="G138" s="281"/>
      <c r="H138" s="281"/>
      <c r="I138" s="281"/>
      <c r="J138" s="156"/>
      <c r="N138" s="76"/>
      <c r="O138" s="76"/>
      <c r="P138" s="76"/>
      <c r="Q138" s="76"/>
      <c r="R138" s="76"/>
      <c r="S138" s="76"/>
      <c r="T138" s="76"/>
      <c r="U138" s="76"/>
    </row>
    <row r="139" spans="1:21" ht="15.75" customHeight="1" x14ac:dyDescent="0.25">
      <c r="A139" s="356" t="str">
        <f>'0664'!A139</f>
        <v>(a) Additional FTE includes FTE earned through Advanced Placement, International Baccalaureate, Advanced International Certificate of Education, Industry Certified Career</v>
      </c>
      <c r="B139" s="357"/>
      <c r="C139" s="357"/>
      <c r="D139" s="357"/>
      <c r="E139" s="357"/>
      <c r="F139" s="357"/>
      <c r="G139" s="357"/>
      <c r="H139" s="357"/>
      <c r="I139" s="357"/>
      <c r="J139" s="80"/>
      <c r="K139" s="79"/>
      <c r="L139" s="79"/>
      <c r="M139" s="79"/>
      <c r="N139" s="477"/>
      <c r="O139" s="477"/>
      <c r="P139" s="477"/>
      <c r="Q139" s="477"/>
      <c r="R139" s="477"/>
      <c r="S139" s="477"/>
      <c r="T139" s="477"/>
      <c r="U139" s="477"/>
    </row>
    <row r="140" spans="1:21" ht="15.75" customHeight="1" x14ac:dyDescent="0.25">
      <c r="A140" s="390" t="str">
        <f>'0664'!A140</f>
        <v xml:space="preserve">Education (CAPE), Early High School Graduation and the small district ESE Supplement, pursuant to s. 1011.62(1)(l-p), F.S. </v>
      </c>
      <c r="B140" s="357"/>
      <c r="C140" s="357"/>
      <c r="D140" s="357"/>
      <c r="E140" s="357"/>
      <c r="F140" s="357"/>
      <c r="G140" s="357"/>
      <c r="H140" s="357"/>
      <c r="I140" s="357"/>
      <c r="J140" s="80"/>
      <c r="K140" s="79"/>
      <c r="L140" s="79"/>
      <c r="M140" s="79"/>
      <c r="N140" s="76"/>
      <c r="O140" s="76"/>
      <c r="P140" s="76"/>
      <c r="Q140" s="76"/>
      <c r="R140" s="76"/>
      <c r="S140" s="76"/>
      <c r="T140" s="76"/>
      <c r="U140" s="76"/>
    </row>
    <row r="141" spans="1:21" x14ac:dyDescent="0.25">
      <c r="A141" s="356" t="str">
        <f>'0664'!A141</f>
        <v>(b) District allocations multiplied by percentage from item 3A.</v>
      </c>
      <c r="B141" s="281"/>
      <c r="C141" s="281"/>
      <c r="D141" s="281"/>
      <c r="E141" s="281"/>
      <c r="F141" s="281"/>
      <c r="G141" s="281"/>
      <c r="H141" s="281"/>
      <c r="I141" s="281"/>
      <c r="J141" s="79"/>
      <c r="K141" s="79"/>
      <c r="L141" s="79"/>
      <c r="M141" s="79"/>
      <c r="N141" s="81"/>
      <c r="O141" s="82"/>
      <c r="P141" s="82"/>
      <c r="Q141" s="82"/>
      <c r="R141" s="82"/>
      <c r="S141" s="82"/>
      <c r="T141" s="82"/>
      <c r="U141" s="82"/>
    </row>
    <row r="142" spans="1:21" s="79" customFormat="1" x14ac:dyDescent="0.2">
      <c r="A142" s="356" t="str">
        <f>'0664'!A142</f>
        <v>(c) District allocations multiplied by percentage from item 3B.</v>
      </c>
      <c r="B142" s="281"/>
      <c r="C142" s="281"/>
      <c r="D142" s="281"/>
      <c r="E142" s="281"/>
      <c r="F142" s="281"/>
      <c r="G142" s="281"/>
      <c r="H142" s="281"/>
      <c r="I142" s="281"/>
      <c r="N142" s="81"/>
    </row>
    <row r="143" spans="1:21" s="79" customFormat="1" ht="15.75" customHeight="1" x14ac:dyDescent="0.2">
      <c r="A143" s="356" t="str">
        <f>'0664'!A143</f>
        <v>(d) The Digital Classroom Allocation is provided pursuant to s. 1011.62(12), F.S.</v>
      </c>
      <c r="B143" s="281"/>
      <c r="C143" s="281"/>
      <c r="D143" s="281"/>
      <c r="E143" s="281"/>
      <c r="F143" s="281"/>
      <c r="G143" s="281"/>
      <c r="H143" s="281"/>
      <c r="I143" s="281"/>
      <c r="N143" s="81"/>
    </row>
    <row r="144" spans="1:21" s="79" customFormat="1" ht="15.75" customHeight="1" x14ac:dyDescent="0.2">
      <c r="A144" s="356" t="str">
        <f>'0664'!A144</f>
        <v>(e) School districts are required to pay for instructional materials used for the instruction of public high school students who are earning credit toward high school</v>
      </c>
      <c r="B144" s="281"/>
      <c r="C144" s="281"/>
      <c r="D144" s="281"/>
      <c r="E144" s="281"/>
      <c r="F144" s="281"/>
      <c r="G144" s="281"/>
      <c r="H144" s="281"/>
      <c r="I144" s="281"/>
      <c r="N144" s="81"/>
    </row>
    <row r="145" spans="1:14" s="79" customFormat="1" ht="15.75" customHeight="1" x14ac:dyDescent="0.2">
      <c r="A145" s="390" t="str">
        <f>'0664'!A145</f>
        <v xml:space="preserve">graduation under the dual enrollment program as provided in s. 1011.62(l)(i), F.S.  </v>
      </c>
      <c r="B145" s="281"/>
      <c r="C145" s="281"/>
      <c r="D145" s="281"/>
      <c r="E145" s="281"/>
      <c r="F145" s="281"/>
      <c r="G145" s="281"/>
      <c r="H145" s="281"/>
      <c r="I145" s="281"/>
      <c r="N145" s="81"/>
    </row>
    <row r="146" spans="1:14" s="79" customFormat="1" x14ac:dyDescent="0.2">
      <c r="A146" s="356" t="str">
        <f>'0664'!A146</f>
        <v>(f) This allocation will be frozen as of the 2021-22 FEFP Second Calculation and will not be recalculated throughout the year. Charter school allocations should be</v>
      </c>
      <c r="B146" s="281"/>
      <c r="C146" s="281"/>
      <c r="D146" s="281"/>
      <c r="E146" s="281"/>
      <c r="F146" s="281"/>
      <c r="G146" s="281"/>
      <c r="H146" s="281"/>
      <c r="I146" s="281"/>
      <c r="N146" s="81"/>
    </row>
    <row r="147" spans="1:14" s="79" customFormat="1" x14ac:dyDescent="0.2">
      <c r="A147" s="358" t="str">
        <f>'0664'!A147</f>
        <v xml:space="preserve">distributed on weighted FTE (or base funding as is done in the FEFP) and should not be recalculated with fluctuations in student enrollment later in the year. </v>
      </c>
      <c r="B147" s="281"/>
      <c r="C147" s="281"/>
      <c r="D147" s="281"/>
      <c r="E147" s="281"/>
      <c r="F147" s="281"/>
      <c r="G147" s="281"/>
      <c r="H147" s="281"/>
      <c r="I147" s="281"/>
      <c r="N147" s="81"/>
    </row>
    <row r="148" spans="1:14" s="79" customFormat="1" x14ac:dyDescent="0.2">
      <c r="A148" s="356" t="str">
        <f>'0664'!A148</f>
        <v>(g) Numbers entered here will be multiplied by the district level transportation funding per rider. "All Adjusted Fundable Riders" should include both basic and ESE Riders.</v>
      </c>
      <c r="B148" s="281"/>
      <c r="C148" s="281"/>
      <c r="D148" s="281"/>
      <c r="E148" s="281"/>
      <c r="F148" s="281"/>
      <c r="G148" s="281"/>
      <c r="H148" s="281"/>
      <c r="I148" s="281"/>
      <c r="N148" s="81"/>
    </row>
    <row r="149" spans="1:14" s="79" customFormat="1" x14ac:dyDescent="0.2">
      <c r="A149" s="390" t="str">
        <f>'0664'!A149</f>
        <v>"All Adjusted ESE Riders" should include only ESE Riders.</v>
      </c>
      <c r="B149" s="281"/>
      <c r="C149" s="281"/>
      <c r="D149" s="281"/>
      <c r="E149" s="281"/>
      <c r="F149" s="281"/>
      <c r="G149" s="281"/>
      <c r="H149" s="281"/>
      <c r="I149" s="281"/>
      <c r="N149" s="81"/>
    </row>
    <row r="150" spans="1:14" s="79" customFormat="1" x14ac:dyDescent="0.2">
      <c r="A150" s="356" t="str">
        <f>'0664'!A150</f>
        <v xml:space="preserve">(h) The Federally Connected Student Supplement provides additional funding for students on federal lands that receive Section 8003 impact aide pursuant to s. 1011.62(13), F.S. </v>
      </c>
      <c r="B150" s="281"/>
      <c r="C150" s="281"/>
      <c r="D150" s="281"/>
      <c r="E150" s="281"/>
      <c r="F150" s="281"/>
      <c r="G150" s="281"/>
      <c r="H150" s="281"/>
      <c r="I150" s="281"/>
      <c r="N150" s="81"/>
    </row>
    <row r="151" spans="1:14" s="79" customFormat="1" x14ac:dyDescent="0.2">
      <c r="A151" s="356" t="str">
        <f>'0664'!A151</f>
        <v>(i) Teacher Classroom Supply Assistance Program allocation pursuant to s. 1012.71, F.S., for certified teachers employed by a public school district or public charter school</v>
      </c>
      <c r="B151" s="281"/>
      <c r="C151" s="281"/>
      <c r="D151" s="281"/>
      <c r="E151" s="281"/>
      <c r="F151" s="281"/>
      <c r="G151" s="281"/>
      <c r="H151" s="281"/>
      <c r="I151" s="281"/>
      <c r="N151" s="81"/>
    </row>
    <row r="152" spans="1:14" s="79" customFormat="1" x14ac:dyDescent="0.2">
      <c r="A152" s="358" t="str">
        <f>'0664'!A152</f>
        <v xml:space="preserve">before September 1 of each year whose full-time or job-share responsibility is the classroom instruction of students in prekindergarten through grade 12, including </v>
      </c>
      <c r="B152" s="281"/>
      <c r="C152" s="281"/>
      <c r="D152" s="281"/>
      <c r="E152" s="281"/>
      <c r="F152" s="281"/>
      <c r="G152" s="281"/>
      <c r="H152" s="281"/>
      <c r="I152" s="281"/>
      <c r="N152" s="81"/>
    </row>
    <row r="153" spans="1:14" s="79" customFormat="1" ht="15.75" customHeight="1" x14ac:dyDescent="0.2">
      <c r="A153" s="358" t="str">
        <f>'0664'!A153</f>
        <v>full-time media specialists and certified school counselors serving students in prekindergarten through grade 12, who are funded through the FEFP.</v>
      </c>
      <c r="B153" s="281"/>
      <c r="C153" s="281"/>
      <c r="D153" s="281"/>
      <c r="E153" s="281"/>
      <c r="F153" s="281"/>
      <c r="G153" s="281"/>
      <c r="H153" s="281"/>
      <c r="I153" s="281"/>
      <c r="N153" s="81"/>
    </row>
    <row r="154" spans="1:14" s="79" customFormat="1" ht="15.75" customHeight="1" x14ac:dyDescent="0.2">
      <c r="A154" s="356" t="str">
        <f>'0664'!A154</f>
        <v xml:space="preserve">(j) Funding based on student eligibility and meals provided, if participating in the National School Lunch Program. </v>
      </c>
      <c r="B154" s="328"/>
      <c r="C154" s="328"/>
      <c r="D154" s="328"/>
      <c r="E154" s="328"/>
      <c r="F154" s="328"/>
      <c r="G154" s="328"/>
      <c r="H154" s="328"/>
      <c r="I154" s="328"/>
      <c r="N154" s="81"/>
    </row>
    <row r="155" spans="1:14" s="79" customFormat="1" ht="15.75" customHeight="1" x14ac:dyDescent="0.2">
      <c r="A155" s="356" t="str">
        <f>'0664'!A155</f>
        <v>(k) Consistent with s. 1002.33(20)(a), F.S., for charter schools with a population of 75% or more ESE students, the administrative fee shall be calculated based on</v>
      </c>
      <c r="B155" s="381"/>
      <c r="C155" s="381"/>
      <c r="D155" s="381"/>
      <c r="E155" s="381"/>
      <c r="F155" s="381"/>
      <c r="G155" s="381"/>
      <c r="H155" s="381"/>
      <c r="I155" s="381"/>
      <c r="N155" s="81"/>
    </row>
    <row r="156" spans="1:14" s="79" customFormat="1" ht="15.75" customHeight="1" x14ac:dyDescent="0.2">
      <c r="A156" s="390" t="str">
        <f>'0664'!A156</f>
        <v xml:space="preserve">unweighted full-time equivalent students. </v>
      </c>
      <c r="B156" s="381"/>
      <c r="C156" s="381"/>
      <c r="D156" s="381"/>
      <c r="E156" s="381"/>
      <c r="F156" s="381"/>
      <c r="G156" s="381"/>
      <c r="H156" s="381"/>
      <c r="I156" s="381"/>
      <c r="N156" s="81"/>
    </row>
    <row r="157" spans="1:14" s="79" customFormat="1" ht="15.75" customHeight="1" x14ac:dyDescent="0.2">
      <c r="A157" s="356"/>
      <c r="B157" s="381"/>
      <c r="C157" s="381"/>
      <c r="D157" s="381"/>
      <c r="E157" s="381"/>
      <c r="F157" s="381"/>
      <c r="G157" s="381"/>
      <c r="H157" s="381"/>
      <c r="I157" s="381"/>
      <c r="N157" s="81"/>
    </row>
    <row r="158" spans="1:14" s="79" customFormat="1" ht="15.75" customHeight="1" x14ac:dyDescent="0.25">
      <c r="A158" s="398" t="str">
        <f>'0664'!A158</f>
        <v>Administrative fees:</v>
      </c>
      <c r="B158" s="328"/>
      <c r="C158" s="328"/>
      <c r="D158" s="328"/>
      <c r="E158" s="328"/>
      <c r="F158" s="328"/>
      <c r="G158" s="328"/>
      <c r="H158" s="328"/>
      <c r="I158" s="328"/>
      <c r="J158" s="3"/>
      <c r="K158" s="3"/>
      <c r="L158" s="3"/>
      <c r="M158" s="3"/>
      <c r="N158" s="81"/>
    </row>
    <row r="159" spans="1:14" s="79" customFormat="1" ht="15.75" customHeight="1" x14ac:dyDescent="0.25">
      <c r="A159" s="399" t="str">
        <f>'0664'!A159</f>
        <v xml:space="preserve">Administrative fees charged by the school district pursuant to s. 1002.33(20)(a), F.S., shall be calculated based upon 5% of available funds from the FEFP and categorical </v>
      </c>
      <c r="B159" s="328"/>
      <c r="C159" s="328"/>
      <c r="D159" s="328"/>
      <c r="E159" s="328"/>
      <c r="F159" s="328"/>
      <c r="G159" s="328"/>
      <c r="H159" s="328"/>
      <c r="I159" s="328"/>
      <c r="J159" s="3"/>
      <c r="K159" s="3"/>
      <c r="L159" s="3"/>
      <c r="M159" s="3"/>
      <c r="N159" s="81"/>
    </row>
    <row r="160" spans="1:14" s="79" customFormat="1" ht="15.75" customHeight="1" x14ac:dyDescent="0.25">
      <c r="A160" s="400" t="str">
        <f>'0664'!A160</f>
        <v>funding for which charter students may be eligible.  To calculate the administrative fee to be withheld for schools with more than 250 students, divide the school</v>
      </c>
      <c r="B160" s="328"/>
      <c r="C160" s="328"/>
      <c r="D160" s="328"/>
      <c r="E160" s="328"/>
      <c r="F160" s="328"/>
      <c r="G160" s="328"/>
      <c r="H160" s="328"/>
      <c r="I160" s="328"/>
      <c r="J160" s="3"/>
      <c r="K160" s="3"/>
      <c r="L160" s="3"/>
      <c r="M160" s="3"/>
      <c r="N160" s="81"/>
    </row>
    <row r="161" spans="1:21" s="79" customFormat="1" ht="15.75" customHeight="1" x14ac:dyDescent="0.25">
      <c r="A161" s="400" t="str">
        <f>'0664'!A161</f>
        <v xml:space="preserve">population into 250. Multiply that fraction times the funds available, then times 5%.  </v>
      </c>
      <c r="B161" s="328"/>
      <c r="C161" s="328"/>
      <c r="D161" s="328"/>
      <c r="E161" s="328"/>
      <c r="F161" s="328"/>
      <c r="G161" s="328"/>
      <c r="H161" s="328"/>
      <c r="I161" s="328"/>
      <c r="J161" s="3"/>
      <c r="K161" s="3"/>
      <c r="L161" s="3"/>
      <c r="M161" s="3"/>
      <c r="N161" s="81"/>
    </row>
    <row r="162" spans="1:21" s="79" customFormat="1" ht="15.75" customHeight="1" x14ac:dyDescent="0.25">
      <c r="A162" s="399"/>
      <c r="B162" s="394"/>
      <c r="C162" s="394"/>
      <c r="D162" s="394"/>
      <c r="E162" s="394"/>
      <c r="F162" s="394"/>
      <c r="G162" s="394"/>
      <c r="H162" s="394"/>
      <c r="I162" s="394"/>
      <c r="N162" s="77"/>
      <c r="O162" s="3"/>
      <c r="P162" s="3"/>
      <c r="Q162" s="3"/>
      <c r="R162" s="3"/>
      <c r="S162" s="3"/>
      <c r="T162" s="3"/>
      <c r="U162" s="3"/>
    </row>
    <row r="163" spans="1:21" ht="15.75" customHeight="1" x14ac:dyDescent="0.25">
      <c r="A163" s="399" t="str">
        <f>'0664'!A163</f>
        <v xml:space="preserve">For high performing charter schools, administrative fees charged by the school district shall be calculated based upon 2% of available funds from the FEFP and categorical </v>
      </c>
      <c r="B163" s="328"/>
      <c r="C163" s="328"/>
      <c r="D163" s="328"/>
      <c r="E163" s="328"/>
      <c r="F163" s="328"/>
      <c r="G163" s="328"/>
      <c r="H163" s="328"/>
      <c r="I163" s="328"/>
      <c r="J163" s="79"/>
      <c r="K163" s="79"/>
      <c r="L163" s="79"/>
      <c r="M163" s="79"/>
      <c r="N163" s="81"/>
      <c r="O163" s="79"/>
      <c r="P163" s="79"/>
      <c r="Q163" s="79"/>
      <c r="R163" s="79"/>
      <c r="S163" s="79"/>
      <c r="T163" s="79"/>
      <c r="U163" s="79"/>
    </row>
    <row r="164" spans="1:21" ht="15.75" customHeight="1" x14ac:dyDescent="0.25">
      <c r="A164" s="400" t="str">
        <f>'0664'!A164</f>
        <v>funding for which charter students may be eligible.  To calculate the administrative fee to be withheld for schools with more than 250 students, divide the school</v>
      </c>
      <c r="B164" s="381"/>
      <c r="C164" s="381"/>
      <c r="D164" s="381"/>
      <c r="E164" s="381"/>
      <c r="F164" s="381"/>
      <c r="G164" s="381"/>
      <c r="H164" s="381"/>
      <c r="I164" s="381"/>
      <c r="J164" s="79"/>
      <c r="K164" s="79"/>
      <c r="L164" s="79"/>
      <c r="M164" s="79"/>
      <c r="N164" s="81"/>
      <c r="O164" s="79"/>
      <c r="P164" s="79"/>
      <c r="Q164" s="79"/>
      <c r="R164" s="79"/>
      <c r="S164" s="79"/>
      <c r="T164" s="79"/>
      <c r="U164" s="79"/>
    </row>
    <row r="165" spans="1:21" s="79" customFormat="1" ht="15.75" customHeight="1" x14ac:dyDescent="0.2">
      <c r="A165" s="400" t="str">
        <f>'0664'!A165</f>
        <v xml:space="preserve">population into 250. Multiply that fraction times the funds available, then times 2%.  </v>
      </c>
      <c r="B165" s="328"/>
      <c r="C165" s="328"/>
      <c r="D165" s="328"/>
      <c r="E165" s="328"/>
      <c r="F165" s="328"/>
      <c r="G165" s="328"/>
      <c r="H165" s="328"/>
      <c r="I165" s="328"/>
      <c r="N165" s="81"/>
    </row>
    <row r="166" spans="1:21" x14ac:dyDescent="0.25">
      <c r="A166" s="356"/>
      <c r="N166" s="77"/>
    </row>
    <row r="167" spans="1:21" x14ac:dyDescent="0.25">
      <c r="A167" s="398" t="str">
        <f>'0664'!A167</f>
        <v>Other:</v>
      </c>
      <c r="N167" s="77"/>
    </row>
    <row r="168" spans="1:21" x14ac:dyDescent="0.25">
      <c r="A168" s="399" t="str">
        <f>'0664'!A168</f>
        <v>FEFP and categorical funding are recalculated during the year to reflect the revised number of full-time equivalent students reported during the survey periods designated</v>
      </c>
      <c r="N168" s="77"/>
    </row>
    <row r="169" spans="1:21" x14ac:dyDescent="0.25">
      <c r="A169" s="402" t="str">
        <f>'0664'!A169</f>
        <v>by the Commissioner of Education.</v>
      </c>
      <c r="N169" s="77"/>
    </row>
    <row r="170" spans="1:21" x14ac:dyDescent="0.25">
      <c r="A170" s="399" t="str">
        <f>'0664'!A170</f>
        <v>Revenues flow to districts from state sources and from county tax collectors on various distribution schedules.</v>
      </c>
      <c r="N170" s="77"/>
    </row>
    <row r="171" spans="1:21" x14ac:dyDescent="0.25">
      <c r="A171" s="77"/>
      <c r="N171" s="77"/>
    </row>
    <row r="172" spans="1:21" x14ac:dyDescent="0.25">
      <c r="A172" s="77"/>
      <c r="N172" s="77"/>
    </row>
    <row r="173" spans="1:21" x14ac:dyDescent="0.25">
      <c r="A173" s="77"/>
      <c r="N173" s="77"/>
    </row>
    <row r="174" spans="1:21" x14ac:dyDescent="0.25">
      <c r="A174" s="77"/>
      <c r="N174" s="77"/>
    </row>
    <row r="175" spans="1:21" x14ac:dyDescent="0.25">
      <c r="A175" s="77"/>
      <c r="N175" s="77"/>
    </row>
    <row r="176" spans="1:21" x14ac:dyDescent="0.25">
      <c r="A176" s="77"/>
      <c r="N176" s="77"/>
    </row>
    <row r="177" spans="1:14" x14ac:dyDescent="0.25">
      <c r="A177" s="77"/>
      <c r="N177" s="77"/>
    </row>
    <row r="178" spans="1:14" x14ac:dyDescent="0.25">
      <c r="A178" s="77"/>
      <c r="N178" s="77"/>
    </row>
    <row r="179" spans="1:14" x14ac:dyDescent="0.25">
      <c r="A179" s="77"/>
      <c r="N179" s="77"/>
    </row>
    <row r="180" spans="1:14" x14ac:dyDescent="0.25">
      <c r="A180" s="77"/>
      <c r="N180" s="77"/>
    </row>
    <row r="181" spans="1:14" x14ac:dyDescent="0.25">
      <c r="A181" s="77"/>
      <c r="N181" s="77"/>
    </row>
    <row r="182" spans="1:14" x14ac:dyDescent="0.25">
      <c r="A182" s="77"/>
      <c r="N182" s="77"/>
    </row>
    <row r="183" spans="1:14" x14ac:dyDescent="0.25">
      <c r="A183" s="77"/>
      <c r="N183" s="77"/>
    </row>
    <row r="184" spans="1:14" x14ac:dyDescent="0.25">
      <c r="A184" s="77"/>
      <c r="N184" s="77"/>
    </row>
    <row r="185" spans="1:14" x14ac:dyDescent="0.25">
      <c r="A185" s="77"/>
      <c r="N185" s="77"/>
    </row>
    <row r="186" spans="1:14" x14ac:dyDescent="0.25">
      <c r="A186" s="77"/>
      <c r="N186" s="77"/>
    </row>
    <row r="187" spans="1:14" x14ac:dyDescent="0.25">
      <c r="A187" s="77"/>
      <c r="N187" s="77"/>
    </row>
    <row r="188" spans="1:14" x14ac:dyDescent="0.25">
      <c r="A188" s="77"/>
    </row>
    <row r="189" spans="1:14" x14ac:dyDescent="0.25">
      <c r="A189" s="77"/>
    </row>
    <row r="190" spans="1:14" x14ac:dyDescent="0.25">
      <c r="A190" s="77"/>
    </row>
    <row r="191" spans="1:14" x14ac:dyDescent="0.25">
      <c r="A191" s="77"/>
    </row>
    <row r="192" spans="1:14" x14ac:dyDescent="0.25">
      <c r="A192" s="77"/>
    </row>
    <row r="193" spans="1:1" x14ac:dyDescent="0.25">
      <c r="A193" s="77"/>
    </row>
    <row r="194" spans="1:1" x14ac:dyDescent="0.25">
      <c r="A194" s="77"/>
    </row>
    <row r="195" spans="1:1" x14ac:dyDescent="0.25">
      <c r="A195" s="77"/>
    </row>
    <row r="196" spans="1:1" x14ac:dyDescent="0.25">
      <c r="A196" s="77"/>
    </row>
    <row r="197" spans="1:1" x14ac:dyDescent="0.25">
      <c r="A197" s="77"/>
    </row>
    <row r="198" spans="1:1" x14ac:dyDescent="0.25">
      <c r="A198" s="77"/>
    </row>
    <row r="199" spans="1:1" x14ac:dyDescent="0.25">
      <c r="A199" s="77"/>
    </row>
    <row r="200" spans="1:1" x14ac:dyDescent="0.25">
      <c r="A200" s="77"/>
    </row>
    <row r="201" spans="1:1" x14ac:dyDescent="0.25">
      <c r="A201" s="77"/>
    </row>
    <row r="202" spans="1:1" x14ac:dyDescent="0.25">
      <c r="A202" s="77"/>
    </row>
    <row r="203" spans="1:1" x14ac:dyDescent="0.25">
      <c r="A203" s="77"/>
    </row>
    <row r="204" spans="1:1" x14ac:dyDescent="0.25">
      <c r="A204" s="77"/>
    </row>
    <row r="205" spans="1:1" x14ac:dyDescent="0.25">
      <c r="A205" s="77"/>
    </row>
    <row r="206" spans="1:1" x14ac:dyDescent="0.25">
      <c r="A206" s="77"/>
    </row>
  </sheetData>
  <mergeCells count="266">
    <mergeCell ref="A112:C112"/>
    <mergeCell ref="F112:H112"/>
    <mergeCell ref="N112:P112"/>
    <mergeCell ref="A109:B109"/>
    <mergeCell ref="F109:G109"/>
    <mergeCell ref="N109:O109"/>
    <mergeCell ref="P109:Q109"/>
    <mergeCell ref="N139:U139"/>
    <mergeCell ref="N119:U119"/>
    <mergeCell ref="N113:P113"/>
    <mergeCell ref="A113:C113"/>
    <mergeCell ref="F113:H113"/>
    <mergeCell ref="N114:T114"/>
    <mergeCell ref="A115:H115"/>
    <mergeCell ref="A119:G119"/>
    <mergeCell ref="N120:U120"/>
    <mergeCell ref="A120:G120"/>
    <mergeCell ref="R109:S109"/>
    <mergeCell ref="A110:B110"/>
    <mergeCell ref="N110:O110"/>
    <mergeCell ref="A107:B107"/>
    <mergeCell ref="F107:G107"/>
    <mergeCell ref="N107:O107"/>
    <mergeCell ref="P107:Q107"/>
    <mergeCell ref="R107:S107"/>
    <mergeCell ref="A108:B108"/>
    <mergeCell ref="F108:G108"/>
    <mergeCell ref="N108:O108"/>
    <mergeCell ref="P108:Q108"/>
    <mergeCell ref="R108:S108"/>
    <mergeCell ref="A103:C103"/>
    <mergeCell ref="F103:I103"/>
    <mergeCell ref="N103:U103"/>
    <mergeCell ref="C104:E104"/>
    <mergeCell ref="F105:G105"/>
    <mergeCell ref="A106:B106"/>
    <mergeCell ref="F106:G106"/>
    <mergeCell ref="N106:O106"/>
    <mergeCell ref="P106:Q106"/>
    <mergeCell ref="R106:S106"/>
    <mergeCell ref="A99:B99"/>
    <mergeCell ref="N99:O99"/>
    <mergeCell ref="P99:R99"/>
    <mergeCell ref="A100:B100"/>
    <mergeCell ref="N100:O100"/>
    <mergeCell ref="P100:R100"/>
    <mergeCell ref="C91:D91"/>
    <mergeCell ref="P91:Q91"/>
    <mergeCell ref="C92:D92"/>
    <mergeCell ref="P92:Q92"/>
    <mergeCell ref="C93:D93"/>
    <mergeCell ref="P93:T93"/>
    <mergeCell ref="A94:I94"/>
    <mergeCell ref="N94:U94"/>
    <mergeCell ref="F96:I96"/>
    <mergeCell ref="N96:P96"/>
    <mergeCell ref="Q96:T96"/>
    <mergeCell ref="A87:I87"/>
    <mergeCell ref="N87:U87"/>
    <mergeCell ref="C88:D88"/>
    <mergeCell ref="C89:D89"/>
    <mergeCell ref="N89:O89"/>
    <mergeCell ref="P89:Q89"/>
    <mergeCell ref="R89:U89"/>
    <mergeCell ref="C90:D90"/>
    <mergeCell ref="P90:Q90"/>
    <mergeCell ref="A80:C80"/>
    <mergeCell ref="N80:P80"/>
    <mergeCell ref="A85:C85"/>
    <mergeCell ref="N85:P85"/>
    <mergeCell ref="F73:H73"/>
    <mergeCell ref="N73:T73"/>
    <mergeCell ref="N74:T74"/>
    <mergeCell ref="A78:C78"/>
    <mergeCell ref="N78:P78"/>
    <mergeCell ref="A79:C79"/>
    <mergeCell ref="A69:C69"/>
    <mergeCell ref="N69:P69"/>
    <mergeCell ref="N79:P79"/>
    <mergeCell ref="A76:C76"/>
    <mergeCell ref="N76:P76"/>
    <mergeCell ref="A77:C77"/>
    <mergeCell ref="A70:C70"/>
    <mergeCell ref="A71:C71"/>
    <mergeCell ref="N71:P71"/>
    <mergeCell ref="A72:C72"/>
    <mergeCell ref="N77:P77"/>
    <mergeCell ref="N72:P72"/>
    <mergeCell ref="A65:B65"/>
    <mergeCell ref="D65:G65"/>
    <mergeCell ref="N65:O65"/>
    <mergeCell ref="Q65:S65"/>
    <mergeCell ref="T65:U65"/>
    <mergeCell ref="N66:S66"/>
    <mergeCell ref="T66:U66"/>
    <mergeCell ref="A68:C68"/>
    <mergeCell ref="N68:P68"/>
    <mergeCell ref="A62:B62"/>
    <mergeCell ref="D62:G62"/>
    <mergeCell ref="N62:O62"/>
    <mergeCell ref="Q62:S62"/>
    <mergeCell ref="T62:U62"/>
    <mergeCell ref="N63:S63"/>
    <mergeCell ref="T63:U63"/>
    <mergeCell ref="A64:I64"/>
    <mergeCell ref="N64:U64"/>
    <mergeCell ref="A59:B59"/>
    <mergeCell ref="F59:H59"/>
    <mergeCell ref="N59:O59"/>
    <mergeCell ref="P59:Q59"/>
    <mergeCell ref="R59:T59"/>
    <mergeCell ref="A60:I60"/>
    <mergeCell ref="N60:U60"/>
    <mergeCell ref="A61:I61"/>
    <mergeCell ref="N61:U61"/>
    <mergeCell ref="A50:B58"/>
    <mergeCell ref="N50:O58"/>
    <mergeCell ref="P50:Q50"/>
    <mergeCell ref="P51:Q51"/>
    <mergeCell ref="P52:Q52"/>
    <mergeCell ref="P53:Q53"/>
    <mergeCell ref="P54:Q54"/>
    <mergeCell ref="P55:Q55"/>
    <mergeCell ref="P56:Q56"/>
    <mergeCell ref="P57:Q57"/>
    <mergeCell ref="P58:Q58"/>
    <mergeCell ref="A42:B42"/>
    <mergeCell ref="N42:O42"/>
    <mergeCell ref="P42:T42"/>
    <mergeCell ref="N43:Q43"/>
    <mergeCell ref="S43:T43"/>
    <mergeCell ref="N45:Q45"/>
    <mergeCell ref="S45:T45"/>
    <mergeCell ref="N49:O49"/>
    <mergeCell ref="P49:Q49"/>
    <mergeCell ref="A39:B39"/>
    <mergeCell ref="N39:O39"/>
    <mergeCell ref="P39:T39"/>
    <mergeCell ref="A40:B40"/>
    <mergeCell ref="N40:O40"/>
    <mergeCell ref="P40:T40"/>
    <mergeCell ref="A41:B41"/>
    <mergeCell ref="N41:O41"/>
    <mergeCell ref="P41:T41"/>
    <mergeCell ref="N34:T34"/>
    <mergeCell ref="A36:B36"/>
    <mergeCell ref="N36:O36"/>
    <mergeCell ref="P36:T36"/>
    <mergeCell ref="A37:B37"/>
    <mergeCell ref="N37:O37"/>
    <mergeCell ref="P37:T37"/>
    <mergeCell ref="F33:H36"/>
    <mergeCell ref="A38:B38"/>
    <mergeCell ref="N38:O38"/>
    <mergeCell ref="P38:T38"/>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A20:B20"/>
    <mergeCell ref="F20:G20"/>
    <mergeCell ref="N20:O20"/>
    <mergeCell ref="P20:Q20"/>
    <mergeCell ref="R20:S20"/>
    <mergeCell ref="A21:B21"/>
    <mergeCell ref="F21:G21"/>
    <mergeCell ref="N21:O21"/>
    <mergeCell ref="P21:Q21"/>
    <mergeCell ref="R21:S21"/>
    <mergeCell ref="A18:B18"/>
    <mergeCell ref="F18:G18"/>
    <mergeCell ref="N18:O18"/>
    <mergeCell ref="P18:Q18"/>
    <mergeCell ref="R18:S18"/>
    <mergeCell ref="A19:B19"/>
    <mergeCell ref="F19:G19"/>
    <mergeCell ref="N19:O19"/>
    <mergeCell ref="P19:Q19"/>
    <mergeCell ref="R19:S19"/>
    <mergeCell ref="A16:B16"/>
    <mergeCell ref="F16:G16"/>
    <mergeCell ref="N16:O16"/>
    <mergeCell ref="P16:Q16"/>
    <mergeCell ref="R16:S16"/>
    <mergeCell ref="A17:B17"/>
    <mergeCell ref="F17:G17"/>
    <mergeCell ref="N17:O17"/>
    <mergeCell ref="P17:Q17"/>
    <mergeCell ref="R17:S17"/>
    <mergeCell ref="A14:B14"/>
    <mergeCell ref="F14:G14"/>
    <mergeCell ref="N14:O14"/>
    <mergeCell ref="P14:Q14"/>
    <mergeCell ref="R14:S14"/>
    <mergeCell ref="A15:B15"/>
    <mergeCell ref="F15:G15"/>
    <mergeCell ref="N15:O15"/>
    <mergeCell ref="P15:Q15"/>
    <mergeCell ref="R15:S15"/>
    <mergeCell ref="A12:B12"/>
    <mergeCell ref="F12:G12"/>
    <mergeCell ref="N12:O12"/>
    <mergeCell ref="P12:Q12"/>
    <mergeCell ref="R12:S12"/>
    <mergeCell ref="A13:B13"/>
    <mergeCell ref="F13:G13"/>
    <mergeCell ref="N13:O13"/>
    <mergeCell ref="P13:Q13"/>
    <mergeCell ref="R13:S13"/>
    <mergeCell ref="N8:O8"/>
    <mergeCell ref="P8:Q8"/>
    <mergeCell ref="R8:S8"/>
    <mergeCell ref="T8:U8"/>
    <mergeCell ref="F10:G10"/>
    <mergeCell ref="R10:S10"/>
    <mergeCell ref="A11:B11"/>
    <mergeCell ref="F11:G11"/>
    <mergeCell ref="N11:O11"/>
    <mergeCell ref="P11:Q11"/>
    <mergeCell ref="R11:S11"/>
    <mergeCell ref="B1:I1"/>
    <mergeCell ref="O1:U1"/>
    <mergeCell ref="N2:U2"/>
    <mergeCell ref="N3:U3"/>
    <mergeCell ref="A4:B4"/>
    <mergeCell ref="C4:E4"/>
    <mergeCell ref="N4:O4"/>
    <mergeCell ref="P4:Q4"/>
    <mergeCell ref="A7:I7"/>
    <mergeCell ref="N7:U7"/>
  </mergeCells>
  <pageMargins left="0.1" right="0.1" top="0.5" bottom="0.5" header="0" footer="0.1"/>
  <pageSetup scale="70" fitToHeight="3" orientation="portrait" r:id="rId1"/>
  <headerFooter alignWithMargins="0">
    <oddFooter>&amp;R&amp;P of &amp;N</oddFooter>
  </headerFooter>
  <rowBreaks count="1" manualBreakCount="1">
    <brk id="138" max="16383" man="1"/>
  </rowBreaks>
  <colBreaks count="1" manualBreakCount="1">
    <brk id="9"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9">
    <tabColor rgb="FFCCFFCC"/>
  </sheetPr>
  <dimension ref="A1:U206"/>
  <sheetViews>
    <sheetView showGridLines="0" zoomScaleNormal="100" workbookViewId="0">
      <pane ySplit="1" topLeftCell="A11" activePane="bottomLeft" state="frozen"/>
      <selection activeCell="I9" sqref="I9"/>
      <selection pane="bottomLeft" activeCell="D50" sqref="D50:D57"/>
    </sheetView>
  </sheetViews>
  <sheetFormatPr defaultRowHeight="15.75" x14ac:dyDescent="0.25"/>
  <cols>
    <col min="1" max="1" width="10.28515625" style="72"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72"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5">
        <v>50</v>
      </c>
      <c r="B1" s="441" t="s">
        <v>17</v>
      </c>
      <c r="C1" s="442"/>
      <c r="D1" s="442"/>
      <c r="E1" s="442"/>
      <c r="F1" s="442"/>
      <c r="G1" s="442"/>
      <c r="H1" s="442"/>
      <c r="I1" s="442"/>
      <c r="J1" s="157"/>
      <c r="K1" s="157"/>
      <c r="L1" s="157"/>
      <c r="N1" s="85">
        <f>A1</f>
        <v>50</v>
      </c>
      <c r="O1" s="527" t="s">
        <v>17</v>
      </c>
      <c r="P1" s="528"/>
      <c r="Q1" s="528"/>
      <c r="R1" s="528"/>
      <c r="S1" s="528"/>
      <c r="T1" s="528"/>
      <c r="U1" s="528"/>
    </row>
    <row r="2" spans="1:21" ht="21" x14ac:dyDescent="0.35">
      <c r="A2" s="1" t="s">
        <v>168</v>
      </c>
      <c r="B2" s="2"/>
      <c r="C2" s="2"/>
      <c r="D2" s="2"/>
      <c r="E2" s="2"/>
      <c r="F2" s="2"/>
      <c r="G2" s="2"/>
      <c r="H2" s="2"/>
      <c r="I2" s="2"/>
      <c r="N2" s="529" t="s">
        <v>23</v>
      </c>
      <c r="O2" s="529"/>
      <c r="P2" s="529"/>
      <c r="Q2" s="529"/>
      <c r="R2" s="529"/>
      <c r="S2" s="529"/>
      <c r="T2" s="529"/>
      <c r="U2" s="529"/>
    </row>
    <row r="3" spans="1:21" x14ac:dyDescent="0.25">
      <c r="A3" s="84" t="str">
        <f>'0664'!A3</f>
        <v>Based on the FLDOE 2022-23 FEFP Third Calculation</v>
      </c>
      <c r="N3" s="485" t="str">
        <f>A3</f>
        <v>Based on the FLDOE 2022-23 FEFP Third Calculation</v>
      </c>
      <c r="O3" s="485"/>
      <c r="P3" s="485"/>
      <c r="Q3" s="485"/>
      <c r="R3" s="485"/>
      <c r="S3" s="485"/>
      <c r="T3" s="485"/>
      <c r="U3" s="485"/>
    </row>
    <row r="4" spans="1:21" x14ac:dyDescent="0.25">
      <c r="A4" s="443" t="s">
        <v>0</v>
      </c>
      <c r="B4" s="443"/>
      <c r="C4" s="444" t="s">
        <v>9</v>
      </c>
      <c r="D4" s="444"/>
      <c r="E4" s="444"/>
      <c r="F4" s="4" t="str">
        <f>'0664'!F4</f>
        <v>Apr 2023</v>
      </c>
      <c r="G4" s="4"/>
      <c r="H4" s="4"/>
      <c r="I4" s="4"/>
      <c r="N4" s="530" t="s">
        <v>0</v>
      </c>
      <c r="O4" s="530"/>
      <c r="P4" s="531" t="str">
        <f>C4</f>
        <v>Palm Beach</v>
      </c>
      <c r="Q4" s="531"/>
      <c r="R4" s="5"/>
      <c r="S4" s="5"/>
      <c r="T4" s="5"/>
      <c r="U4" s="5"/>
    </row>
    <row r="5" spans="1:21" ht="12" customHeight="1" thickBot="1" x14ac:dyDescent="0.3">
      <c r="A5" s="262"/>
      <c r="B5" s="262"/>
      <c r="C5" s="253"/>
      <c r="D5" s="253"/>
      <c r="E5" s="253"/>
      <c r="F5" s="254"/>
      <c r="G5" s="254"/>
      <c r="H5" s="254"/>
      <c r="I5" s="254"/>
      <c r="N5" s="86"/>
      <c r="O5" s="86"/>
      <c r="P5" s="6"/>
      <c r="Q5" s="6"/>
      <c r="R5" s="5"/>
      <c r="S5" s="5"/>
      <c r="T5" s="5"/>
      <c r="U5" s="5"/>
    </row>
    <row r="6" spans="1:21" ht="12" customHeight="1" x14ac:dyDescent="0.25">
      <c r="A6" s="150"/>
      <c r="B6" s="150"/>
      <c r="C6" s="261"/>
      <c r="D6" s="261"/>
      <c r="E6" s="261"/>
      <c r="F6" s="4"/>
      <c r="G6" s="4"/>
      <c r="H6" s="4"/>
      <c r="I6" s="4"/>
      <c r="N6" s="86"/>
      <c r="O6" s="86"/>
      <c r="P6" s="6"/>
      <c r="Q6" s="6"/>
      <c r="R6" s="5"/>
      <c r="S6" s="5"/>
      <c r="T6" s="5"/>
      <c r="U6" s="5"/>
    </row>
    <row r="7" spans="1:21" x14ac:dyDescent="0.25">
      <c r="A7" s="445" t="str">
        <f>'0664'!A7:I7</f>
        <v>1.   2022-23 FEFP State and Local Funding</v>
      </c>
      <c r="B7" s="533"/>
      <c r="C7" s="533"/>
      <c r="D7" s="533"/>
      <c r="E7" s="533"/>
      <c r="F7" s="533"/>
      <c r="G7" s="533"/>
      <c r="H7" s="533"/>
      <c r="I7" s="533"/>
      <c r="N7" s="530" t="s">
        <v>86</v>
      </c>
      <c r="O7" s="530"/>
      <c r="P7" s="530"/>
      <c r="Q7" s="530"/>
      <c r="R7" s="530"/>
      <c r="S7" s="530"/>
      <c r="T7" s="530"/>
      <c r="U7" s="530"/>
    </row>
    <row r="8" spans="1:21" x14ac:dyDescent="0.25">
      <c r="A8" s="87"/>
      <c r="B8" s="88" t="s">
        <v>123</v>
      </c>
      <c r="C8" s="334">
        <f>'0664'!C8</f>
        <v>4587.3999999999996</v>
      </c>
      <c r="D8" s="89"/>
      <c r="E8" s="90"/>
      <c r="F8" s="87"/>
      <c r="G8" s="88" t="s">
        <v>122</v>
      </c>
      <c r="H8" s="320">
        <f>'0664'!H8</f>
        <v>1.0438000000000001</v>
      </c>
      <c r="I8" s="78"/>
      <c r="N8" s="534" t="s">
        <v>10</v>
      </c>
      <c r="O8" s="534"/>
      <c r="P8" s="535">
        <v>4154.45</v>
      </c>
      <c r="Q8" s="535"/>
      <c r="R8" s="518" t="s">
        <v>11</v>
      </c>
      <c r="S8" s="518"/>
      <c r="T8" s="519">
        <f>H8</f>
        <v>1.0438000000000001</v>
      </c>
      <c r="U8" s="519"/>
    </row>
    <row r="9" spans="1:21" x14ac:dyDescent="0.25">
      <c r="A9" s="7"/>
      <c r="B9" s="44" t="s">
        <v>370</v>
      </c>
      <c r="C9" s="372" t="s">
        <v>370</v>
      </c>
      <c r="D9" s="372" t="s">
        <v>370</v>
      </c>
      <c r="E9" s="8"/>
      <c r="F9" s="9"/>
      <c r="G9" s="9"/>
      <c r="H9" s="10"/>
      <c r="I9" s="340" t="str">
        <f>'0664'!I9</f>
        <v>2022-23</v>
      </c>
      <c r="N9" s="12"/>
      <c r="O9" s="12"/>
      <c r="P9" s="13"/>
      <c r="Q9" s="13"/>
      <c r="R9" s="14"/>
      <c r="S9" s="14"/>
      <c r="T9" s="15"/>
      <c r="U9" s="405" t="s">
        <v>405</v>
      </c>
    </row>
    <row r="10" spans="1:21" x14ac:dyDescent="0.25">
      <c r="A10" s="7"/>
      <c r="B10" s="7"/>
      <c r="C10" s="91" t="s">
        <v>463</v>
      </c>
      <c r="D10" s="371" t="s">
        <v>464</v>
      </c>
      <c r="E10" s="92" t="s">
        <v>8</v>
      </c>
      <c r="F10" s="446" t="s">
        <v>1</v>
      </c>
      <c r="G10" s="446"/>
      <c r="H10" s="10" t="s">
        <v>73</v>
      </c>
      <c r="I10" s="11" t="s">
        <v>36</v>
      </c>
      <c r="N10" s="12"/>
      <c r="O10" s="12"/>
      <c r="P10" s="13"/>
      <c r="Q10" s="13"/>
      <c r="R10" s="520" t="s">
        <v>1</v>
      </c>
      <c r="S10" s="520"/>
      <c r="T10" s="15" t="s">
        <v>73</v>
      </c>
      <c r="U10" s="16" t="s">
        <v>36</v>
      </c>
    </row>
    <row r="11" spans="1:21" x14ac:dyDescent="0.25">
      <c r="A11" s="447" t="s">
        <v>1</v>
      </c>
      <c r="B11" s="447"/>
      <c r="C11" s="362" t="s">
        <v>2</v>
      </c>
      <c r="D11" s="362" t="s">
        <v>2</v>
      </c>
      <c r="E11" s="362" t="s">
        <v>2</v>
      </c>
      <c r="F11" s="448" t="s">
        <v>76</v>
      </c>
      <c r="G11" s="448"/>
      <c r="H11" s="17" t="s">
        <v>72</v>
      </c>
      <c r="I11" s="18" t="s">
        <v>75</v>
      </c>
      <c r="N11" s="510" t="s">
        <v>1</v>
      </c>
      <c r="O11" s="510"/>
      <c r="P11" s="521" t="s">
        <v>24</v>
      </c>
      <c r="Q11" s="521"/>
      <c r="R11" s="522" t="s">
        <v>76</v>
      </c>
      <c r="S11" s="522"/>
      <c r="T11" s="19" t="s">
        <v>72</v>
      </c>
      <c r="U11" s="20" t="s">
        <v>75</v>
      </c>
    </row>
    <row r="12" spans="1:21" x14ac:dyDescent="0.25">
      <c r="A12" s="449" t="s">
        <v>47</v>
      </c>
      <c r="B12" s="449"/>
      <c r="C12" s="94"/>
      <c r="D12" s="94"/>
      <c r="E12" s="95" t="s">
        <v>48</v>
      </c>
      <c r="F12" s="450" t="s">
        <v>49</v>
      </c>
      <c r="G12" s="450"/>
      <c r="H12" s="21" t="s">
        <v>50</v>
      </c>
      <c r="I12" s="22" t="s">
        <v>51</v>
      </c>
      <c r="N12" s="523" t="s">
        <v>47</v>
      </c>
      <c r="O12" s="523"/>
      <c r="P12" s="524" t="s">
        <v>48</v>
      </c>
      <c r="Q12" s="524"/>
      <c r="R12" s="525" t="s">
        <v>49</v>
      </c>
      <c r="S12" s="525"/>
      <c r="T12" s="23" t="s">
        <v>50</v>
      </c>
      <c r="U12" s="24" t="s">
        <v>51</v>
      </c>
    </row>
    <row r="13" spans="1:21" x14ac:dyDescent="0.25">
      <c r="A13" s="451" t="s">
        <v>29</v>
      </c>
      <c r="B13" s="451"/>
      <c r="C13" s="165">
        <v>102.22</v>
      </c>
      <c r="D13" s="163">
        <v>101.72</v>
      </c>
      <c r="E13" s="210">
        <f>IF(D$29=0,C13*2,C13+D13)</f>
        <v>203.94</v>
      </c>
      <c r="F13" s="537">
        <f>'0664'!F13:G13</f>
        <v>1.1259999999999999</v>
      </c>
      <c r="G13" s="537"/>
      <c r="H13" s="167">
        <f>ROUND(E13*F13,4)</f>
        <v>229.63640000000001</v>
      </c>
      <c r="I13" s="119">
        <f t="shared" ref="I13:I28" si="0">ROUND(ROUND(H13*$C$8,4)*($H$8),2)</f>
        <v>1099574.43</v>
      </c>
      <c r="N13" s="512" t="s">
        <v>29</v>
      </c>
      <c r="O13" s="512"/>
      <c r="P13" s="513">
        <f t="shared" ref="P13:P28" si="1">IF($H$120=1,E13,0)</f>
        <v>0</v>
      </c>
      <c r="Q13" s="513"/>
      <c r="R13" s="526">
        <v>1</v>
      </c>
      <c r="S13" s="526"/>
      <c r="T13" s="98">
        <f>ROUND(P13*R13,4)</f>
        <v>0</v>
      </c>
      <c r="U13" s="99">
        <f t="shared" ref="U13:U28" si="2">ROUND(ROUND(T13*$C$8,4)*($H$8),0)</f>
        <v>0</v>
      </c>
    </row>
    <row r="14" spans="1:21" x14ac:dyDescent="0.25">
      <c r="A14" s="453" t="s">
        <v>30</v>
      </c>
      <c r="B14" s="453"/>
      <c r="C14" s="165">
        <v>17</v>
      </c>
      <c r="D14" s="165">
        <v>19.52</v>
      </c>
      <c r="E14" s="125">
        <f t="shared" ref="E14:E28" si="3">IF(D$29=0,C14*2,C14+D14)</f>
        <v>36.519999999999996</v>
      </c>
      <c r="F14" s="532">
        <f>'0664'!F14:G14</f>
        <v>1.1259999999999999</v>
      </c>
      <c r="G14" s="532"/>
      <c r="H14" s="83">
        <f t="shared" ref="H14:H28" si="4">ROUND(E14*F14,4)</f>
        <v>41.121499999999997</v>
      </c>
      <c r="I14" s="104">
        <f t="shared" si="0"/>
        <v>196903.23</v>
      </c>
      <c r="J14" s="68" t="str">
        <f>IF(ROUND(E14,2)=ROUND(SUM(E50:E52),2)," ","CHECK PK-3 LINES BELOW")</f>
        <v xml:space="preserve"> </v>
      </c>
      <c r="N14" s="479" t="s">
        <v>30</v>
      </c>
      <c r="O14" s="479"/>
      <c r="P14" s="513">
        <f t="shared" si="1"/>
        <v>0</v>
      </c>
      <c r="Q14" s="513"/>
      <c r="R14" s="517">
        <v>1</v>
      </c>
      <c r="S14" s="517"/>
      <c r="T14" s="98">
        <f t="shared" ref="T14:T28" si="5">ROUND(P14*R14,4)</f>
        <v>0</v>
      </c>
      <c r="U14" s="99">
        <f t="shared" si="2"/>
        <v>0</v>
      </c>
    </row>
    <row r="15" spans="1:21" x14ac:dyDescent="0.25">
      <c r="A15" s="453" t="s">
        <v>31</v>
      </c>
      <c r="B15" s="453"/>
      <c r="C15" s="165">
        <v>39</v>
      </c>
      <c r="D15" s="165">
        <v>38.99</v>
      </c>
      <c r="E15" s="125">
        <f t="shared" si="3"/>
        <v>77.990000000000009</v>
      </c>
      <c r="F15" s="532">
        <f>'0664'!F15:G15</f>
        <v>1</v>
      </c>
      <c r="G15" s="532"/>
      <c r="H15" s="83">
        <f t="shared" si="4"/>
        <v>77.989999999999995</v>
      </c>
      <c r="I15" s="104">
        <f t="shared" si="0"/>
        <v>373441.71</v>
      </c>
      <c r="N15" s="479" t="s">
        <v>31</v>
      </c>
      <c r="O15" s="479"/>
      <c r="P15" s="513">
        <f t="shared" si="1"/>
        <v>0</v>
      </c>
      <c r="Q15" s="513"/>
      <c r="R15" s="517">
        <v>1</v>
      </c>
      <c r="S15" s="517"/>
      <c r="T15" s="98">
        <f t="shared" si="5"/>
        <v>0</v>
      </c>
      <c r="U15" s="99">
        <f t="shared" si="2"/>
        <v>0</v>
      </c>
    </row>
    <row r="16" spans="1:21" x14ac:dyDescent="0.25">
      <c r="A16" s="453" t="s">
        <v>32</v>
      </c>
      <c r="B16" s="453"/>
      <c r="C16" s="165">
        <v>12.5</v>
      </c>
      <c r="D16" s="165">
        <v>11.99</v>
      </c>
      <c r="E16" s="125">
        <f t="shared" si="3"/>
        <v>24.490000000000002</v>
      </c>
      <c r="F16" s="532">
        <f>'0664'!F16:G16</f>
        <v>1</v>
      </c>
      <c r="G16" s="532"/>
      <c r="H16" s="83">
        <f t="shared" si="4"/>
        <v>24.49</v>
      </c>
      <c r="I16" s="104">
        <f t="shared" si="0"/>
        <v>117266.16</v>
      </c>
      <c r="J16" s="68" t="str">
        <f>IF(ROUND(E16,2)=ROUND(SUM(E53:E55),2)," ","CHECK 4-8 LINES BELOW")</f>
        <v xml:space="preserve"> </v>
      </c>
      <c r="N16" s="479" t="s">
        <v>32</v>
      </c>
      <c r="O16" s="479"/>
      <c r="P16" s="513">
        <f t="shared" si="1"/>
        <v>0</v>
      </c>
      <c r="Q16" s="513"/>
      <c r="R16" s="517">
        <v>1</v>
      </c>
      <c r="S16" s="517"/>
      <c r="T16" s="98">
        <f t="shared" si="5"/>
        <v>0</v>
      </c>
      <c r="U16" s="99">
        <f t="shared" si="2"/>
        <v>0</v>
      </c>
    </row>
    <row r="17" spans="1:21" x14ac:dyDescent="0.25">
      <c r="A17" s="453" t="s">
        <v>33</v>
      </c>
      <c r="B17" s="453"/>
      <c r="C17" s="165">
        <v>0</v>
      </c>
      <c r="D17" s="165">
        <v>0</v>
      </c>
      <c r="E17" s="125">
        <f t="shared" si="3"/>
        <v>0</v>
      </c>
      <c r="F17" s="532">
        <f>'0664'!F17:G17</f>
        <v>0.999</v>
      </c>
      <c r="G17" s="532"/>
      <c r="H17" s="83">
        <f t="shared" si="4"/>
        <v>0</v>
      </c>
      <c r="I17" s="104">
        <f t="shared" si="0"/>
        <v>0</v>
      </c>
      <c r="N17" s="479" t="s">
        <v>33</v>
      </c>
      <c r="O17" s="479"/>
      <c r="P17" s="513">
        <f t="shared" si="1"/>
        <v>0</v>
      </c>
      <c r="Q17" s="513"/>
      <c r="R17" s="517">
        <v>1</v>
      </c>
      <c r="S17" s="517"/>
      <c r="T17" s="98">
        <f t="shared" si="5"/>
        <v>0</v>
      </c>
      <c r="U17" s="99">
        <f t="shared" si="2"/>
        <v>0</v>
      </c>
    </row>
    <row r="18" spans="1:21" x14ac:dyDescent="0.25">
      <c r="A18" s="453" t="s">
        <v>34</v>
      </c>
      <c r="B18" s="453"/>
      <c r="C18" s="165">
        <v>0</v>
      </c>
      <c r="D18" s="165">
        <v>0</v>
      </c>
      <c r="E18" s="125">
        <f t="shared" si="3"/>
        <v>0</v>
      </c>
      <c r="F18" s="532">
        <f>'0664'!F18:G18</f>
        <v>0.999</v>
      </c>
      <c r="G18" s="532"/>
      <c r="H18" s="83">
        <f t="shared" si="4"/>
        <v>0</v>
      </c>
      <c r="I18" s="104">
        <f t="shared" si="0"/>
        <v>0</v>
      </c>
      <c r="J18" s="68" t="str">
        <f>IF(ROUND(E18,2)=ROUND(SUM(E56:E58),2)," ","CHECK 4-8 LINES BELOW")</f>
        <v xml:space="preserve"> </v>
      </c>
      <c r="N18" s="479" t="s">
        <v>34</v>
      </c>
      <c r="O18" s="479"/>
      <c r="P18" s="513">
        <f t="shared" si="1"/>
        <v>0</v>
      </c>
      <c r="Q18" s="513"/>
      <c r="R18" s="517">
        <v>1</v>
      </c>
      <c r="S18" s="517"/>
      <c r="T18" s="98">
        <f t="shared" si="5"/>
        <v>0</v>
      </c>
      <c r="U18" s="101">
        <f t="shared" si="2"/>
        <v>0</v>
      </c>
    </row>
    <row r="19" spans="1:21" x14ac:dyDescent="0.25">
      <c r="A19" s="453" t="s">
        <v>108</v>
      </c>
      <c r="B19" s="453"/>
      <c r="C19" s="165">
        <v>0</v>
      </c>
      <c r="D19" s="165">
        <v>0</v>
      </c>
      <c r="E19" s="125">
        <f t="shared" si="3"/>
        <v>0</v>
      </c>
      <c r="F19" s="532">
        <f>'0664'!F19:G19</f>
        <v>3.6739999999999999</v>
      </c>
      <c r="G19" s="532"/>
      <c r="H19" s="83">
        <f t="shared" si="4"/>
        <v>0</v>
      </c>
      <c r="I19" s="104">
        <f t="shared" si="0"/>
        <v>0</v>
      </c>
      <c r="N19" s="479" t="s">
        <v>108</v>
      </c>
      <c r="O19" s="479"/>
      <c r="P19" s="513">
        <f t="shared" si="1"/>
        <v>0</v>
      </c>
      <c r="Q19" s="513"/>
      <c r="R19" s="517">
        <v>1</v>
      </c>
      <c r="S19" s="517"/>
      <c r="T19" s="98">
        <f t="shared" si="5"/>
        <v>0</v>
      </c>
      <c r="U19" s="99">
        <f t="shared" si="2"/>
        <v>0</v>
      </c>
    </row>
    <row r="20" spans="1:21" x14ac:dyDescent="0.25">
      <c r="A20" s="453" t="s">
        <v>109</v>
      </c>
      <c r="B20" s="453"/>
      <c r="C20" s="165">
        <v>0</v>
      </c>
      <c r="D20" s="165">
        <v>0</v>
      </c>
      <c r="E20" s="125">
        <f t="shared" si="3"/>
        <v>0</v>
      </c>
      <c r="F20" s="532">
        <f>'0664'!F20:G20</f>
        <v>3.6739999999999999</v>
      </c>
      <c r="G20" s="532"/>
      <c r="H20" s="83">
        <f t="shared" si="4"/>
        <v>0</v>
      </c>
      <c r="I20" s="104">
        <f t="shared" si="0"/>
        <v>0</v>
      </c>
      <c r="N20" s="479" t="s">
        <v>109</v>
      </c>
      <c r="O20" s="479"/>
      <c r="P20" s="513">
        <f t="shared" si="1"/>
        <v>0</v>
      </c>
      <c r="Q20" s="513"/>
      <c r="R20" s="517">
        <v>1</v>
      </c>
      <c r="S20" s="517"/>
      <c r="T20" s="98">
        <f t="shared" si="5"/>
        <v>0</v>
      </c>
      <c r="U20" s="99">
        <f t="shared" si="2"/>
        <v>0</v>
      </c>
    </row>
    <row r="21" spans="1:21" x14ac:dyDescent="0.25">
      <c r="A21" s="453" t="s">
        <v>110</v>
      </c>
      <c r="B21" s="453"/>
      <c r="C21" s="165">
        <v>0</v>
      </c>
      <c r="D21" s="165">
        <v>0</v>
      </c>
      <c r="E21" s="125">
        <f t="shared" si="3"/>
        <v>0</v>
      </c>
      <c r="F21" s="532">
        <f>'0664'!F21:G21</f>
        <v>3.6739999999999999</v>
      </c>
      <c r="G21" s="532"/>
      <c r="H21" s="83">
        <f t="shared" si="4"/>
        <v>0</v>
      </c>
      <c r="I21" s="104">
        <f t="shared" si="0"/>
        <v>0</v>
      </c>
      <c r="N21" s="479" t="s">
        <v>110</v>
      </c>
      <c r="O21" s="479"/>
      <c r="P21" s="513">
        <f t="shared" si="1"/>
        <v>0</v>
      </c>
      <c r="Q21" s="513"/>
      <c r="R21" s="517">
        <v>1</v>
      </c>
      <c r="S21" s="517"/>
      <c r="T21" s="98">
        <f t="shared" si="5"/>
        <v>0</v>
      </c>
      <c r="U21" s="99">
        <f t="shared" si="2"/>
        <v>0</v>
      </c>
    </row>
    <row r="22" spans="1:21" x14ac:dyDescent="0.25">
      <c r="A22" s="453" t="s">
        <v>111</v>
      </c>
      <c r="B22" s="453"/>
      <c r="C22" s="165">
        <v>0</v>
      </c>
      <c r="D22" s="165">
        <v>0</v>
      </c>
      <c r="E22" s="125">
        <f t="shared" si="3"/>
        <v>0</v>
      </c>
      <c r="F22" s="532">
        <f>'0664'!F22:G22</f>
        <v>5.4009999999999998</v>
      </c>
      <c r="G22" s="532"/>
      <c r="H22" s="83">
        <f t="shared" si="4"/>
        <v>0</v>
      </c>
      <c r="I22" s="104">
        <f t="shared" si="0"/>
        <v>0</v>
      </c>
      <c r="N22" s="479" t="s">
        <v>111</v>
      </c>
      <c r="O22" s="479"/>
      <c r="P22" s="513">
        <f t="shared" si="1"/>
        <v>0</v>
      </c>
      <c r="Q22" s="513"/>
      <c r="R22" s="517">
        <v>1</v>
      </c>
      <c r="S22" s="517"/>
      <c r="T22" s="98">
        <f t="shared" si="5"/>
        <v>0</v>
      </c>
      <c r="U22" s="99">
        <f t="shared" si="2"/>
        <v>0</v>
      </c>
    </row>
    <row r="23" spans="1:21" x14ac:dyDescent="0.25">
      <c r="A23" s="453" t="s">
        <v>112</v>
      </c>
      <c r="B23" s="453"/>
      <c r="C23" s="165">
        <v>0</v>
      </c>
      <c r="D23" s="165">
        <v>0</v>
      </c>
      <c r="E23" s="125">
        <f t="shared" si="3"/>
        <v>0</v>
      </c>
      <c r="F23" s="532">
        <f>'0664'!F23:G23</f>
        <v>5.4009999999999998</v>
      </c>
      <c r="G23" s="532"/>
      <c r="H23" s="83">
        <f t="shared" si="4"/>
        <v>0</v>
      </c>
      <c r="I23" s="104">
        <f t="shared" si="0"/>
        <v>0</v>
      </c>
      <c r="N23" s="479" t="s">
        <v>112</v>
      </c>
      <c r="O23" s="479"/>
      <c r="P23" s="513">
        <f t="shared" si="1"/>
        <v>0</v>
      </c>
      <c r="Q23" s="513"/>
      <c r="R23" s="517">
        <v>1</v>
      </c>
      <c r="S23" s="517"/>
      <c r="T23" s="98">
        <f t="shared" si="5"/>
        <v>0</v>
      </c>
      <c r="U23" s="99">
        <f t="shared" si="2"/>
        <v>0</v>
      </c>
    </row>
    <row r="24" spans="1:21" x14ac:dyDescent="0.25">
      <c r="A24" s="453" t="s">
        <v>113</v>
      </c>
      <c r="B24" s="453"/>
      <c r="C24" s="165">
        <v>0</v>
      </c>
      <c r="D24" s="165">
        <v>0</v>
      </c>
      <c r="E24" s="125">
        <f t="shared" si="3"/>
        <v>0</v>
      </c>
      <c r="F24" s="532">
        <f>'0664'!F24:G24</f>
        <v>5.4009999999999998</v>
      </c>
      <c r="G24" s="532"/>
      <c r="H24" s="83">
        <f t="shared" si="4"/>
        <v>0</v>
      </c>
      <c r="I24" s="104">
        <f t="shared" si="0"/>
        <v>0</v>
      </c>
      <c r="N24" s="479" t="s">
        <v>113</v>
      </c>
      <c r="O24" s="479"/>
      <c r="P24" s="513">
        <f t="shared" si="1"/>
        <v>0</v>
      </c>
      <c r="Q24" s="513"/>
      <c r="R24" s="517">
        <v>1</v>
      </c>
      <c r="S24" s="517"/>
      <c r="T24" s="98">
        <f t="shared" si="5"/>
        <v>0</v>
      </c>
      <c r="U24" s="99">
        <f t="shared" si="2"/>
        <v>0</v>
      </c>
    </row>
    <row r="25" spans="1:21" x14ac:dyDescent="0.25">
      <c r="A25" s="453" t="s">
        <v>114</v>
      </c>
      <c r="B25" s="453"/>
      <c r="C25" s="165">
        <v>3.28</v>
      </c>
      <c r="D25" s="165">
        <v>3.28</v>
      </c>
      <c r="E25" s="125">
        <f t="shared" si="3"/>
        <v>6.56</v>
      </c>
      <c r="F25" s="532">
        <f>'0664'!F25:G25</f>
        <v>1.206</v>
      </c>
      <c r="G25" s="532"/>
      <c r="H25" s="83">
        <f t="shared" si="4"/>
        <v>7.9114000000000004</v>
      </c>
      <c r="I25" s="104">
        <f t="shared" si="0"/>
        <v>37882.379999999997</v>
      </c>
      <c r="N25" s="479" t="s">
        <v>114</v>
      </c>
      <c r="O25" s="479"/>
      <c r="P25" s="513">
        <f t="shared" si="1"/>
        <v>0</v>
      </c>
      <c r="Q25" s="513"/>
      <c r="R25" s="517">
        <v>1</v>
      </c>
      <c r="S25" s="517"/>
      <c r="T25" s="98">
        <f t="shared" si="5"/>
        <v>0</v>
      </c>
      <c r="U25" s="99">
        <f t="shared" si="2"/>
        <v>0</v>
      </c>
    </row>
    <row r="26" spans="1:21" x14ac:dyDescent="0.25">
      <c r="A26" s="453" t="s">
        <v>115</v>
      </c>
      <c r="B26" s="453"/>
      <c r="C26" s="165">
        <v>0</v>
      </c>
      <c r="D26" s="165">
        <v>0</v>
      </c>
      <c r="E26" s="125">
        <f t="shared" si="3"/>
        <v>0</v>
      </c>
      <c r="F26" s="532">
        <f>'0664'!F26:G26</f>
        <v>1.206</v>
      </c>
      <c r="G26" s="532"/>
      <c r="H26" s="83">
        <f t="shared" si="4"/>
        <v>0</v>
      </c>
      <c r="I26" s="104">
        <f t="shared" si="0"/>
        <v>0</v>
      </c>
      <c r="N26" s="479" t="s">
        <v>115</v>
      </c>
      <c r="O26" s="479"/>
      <c r="P26" s="513">
        <f t="shared" si="1"/>
        <v>0</v>
      </c>
      <c r="Q26" s="513"/>
      <c r="R26" s="517">
        <v>1</v>
      </c>
      <c r="S26" s="517"/>
      <c r="T26" s="98">
        <f t="shared" si="5"/>
        <v>0</v>
      </c>
      <c r="U26" s="99">
        <f t="shared" si="2"/>
        <v>0</v>
      </c>
    </row>
    <row r="27" spans="1:21" x14ac:dyDescent="0.25">
      <c r="A27" s="453" t="s">
        <v>116</v>
      </c>
      <c r="B27" s="453"/>
      <c r="C27" s="165">
        <v>0</v>
      </c>
      <c r="D27" s="165">
        <v>0</v>
      </c>
      <c r="E27" s="125">
        <f t="shared" si="3"/>
        <v>0</v>
      </c>
      <c r="F27" s="532">
        <f>'0664'!F27:G27</f>
        <v>1.206</v>
      </c>
      <c r="G27" s="532"/>
      <c r="H27" s="83">
        <f t="shared" si="4"/>
        <v>0</v>
      </c>
      <c r="I27" s="104">
        <f t="shared" si="0"/>
        <v>0</v>
      </c>
      <c r="N27" s="479" t="s">
        <v>116</v>
      </c>
      <c r="O27" s="479"/>
      <c r="P27" s="513">
        <f t="shared" si="1"/>
        <v>0</v>
      </c>
      <c r="Q27" s="513"/>
      <c r="R27" s="517">
        <v>1</v>
      </c>
      <c r="S27" s="517"/>
      <c r="T27" s="98">
        <f t="shared" si="5"/>
        <v>0</v>
      </c>
      <c r="U27" s="99">
        <f t="shared" si="2"/>
        <v>0</v>
      </c>
    </row>
    <row r="28" spans="1:21" x14ac:dyDescent="0.25">
      <c r="A28" s="453" t="s">
        <v>117</v>
      </c>
      <c r="B28" s="453"/>
      <c r="C28" s="116">
        <v>0</v>
      </c>
      <c r="D28" s="116">
        <v>0</v>
      </c>
      <c r="E28" s="177">
        <f t="shared" si="3"/>
        <v>0</v>
      </c>
      <c r="F28" s="532">
        <f>'0664'!F28:G28</f>
        <v>0.999</v>
      </c>
      <c r="G28" s="532"/>
      <c r="H28" s="96">
        <f t="shared" si="4"/>
        <v>0</v>
      </c>
      <c r="I28" s="97">
        <f t="shared" si="0"/>
        <v>0</v>
      </c>
      <c r="N28" s="482" t="s">
        <v>117</v>
      </c>
      <c r="O28" s="482"/>
      <c r="P28" s="513">
        <f t="shared" si="1"/>
        <v>0</v>
      </c>
      <c r="Q28" s="513"/>
      <c r="R28" s="514">
        <v>1</v>
      </c>
      <c r="S28" s="514"/>
      <c r="T28" s="98">
        <f t="shared" si="5"/>
        <v>0</v>
      </c>
      <c r="U28" s="99">
        <f t="shared" si="2"/>
        <v>0</v>
      </c>
    </row>
    <row r="29" spans="1:21" x14ac:dyDescent="0.25">
      <c r="A29" s="461" t="s">
        <v>5</v>
      </c>
      <c r="B29" s="461"/>
      <c r="C29" s="97">
        <f>SUM(C13:C28)</f>
        <v>174</v>
      </c>
      <c r="D29" s="97">
        <f>SUM(D13:D28)</f>
        <v>175.5</v>
      </c>
      <c r="E29" s="97">
        <f>SUM(E13:E28)</f>
        <v>349.5</v>
      </c>
      <c r="F29" s="457"/>
      <c r="G29" s="457"/>
      <c r="H29" s="102">
        <f>SUM(H13:H28)</f>
        <v>381.14930000000004</v>
      </c>
      <c r="I29" s="97">
        <f>SUM(I13:I28)</f>
        <v>1825067.9099999997</v>
      </c>
      <c r="N29" s="515" t="s">
        <v>5</v>
      </c>
      <c r="O29" s="515"/>
      <c r="P29" s="516">
        <f>SUM(P13:P28)</f>
        <v>0</v>
      </c>
      <c r="Q29" s="516"/>
      <c r="R29" s="508"/>
      <c r="S29" s="508"/>
      <c r="T29" s="103">
        <f>SUM(T13:T28)</f>
        <v>0</v>
      </c>
      <c r="U29" s="99">
        <f>SUM(U13:U28)</f>
        <v>0</v>
      </c>
    </row>
    <row r="30" spans="1:21" x14ac:dyDescent="0.25">
      <c r="A30" s="27"/>
      <c r="B30" s="27"/>
      <c r="C30" s="104"/>
      <c r="D30" s="104"/>
      <c r="E30" s="104"/>
      <c r="F30" s="28"/>
      <c r="G30" s="28"/>
      <c r="H30" s="83"/>
      <c r="I30" s="104"/>
      <c r="N30" s="29"/>
      <c r="O30" s="29"/>
      <c r="P30" s="30"/>
      <c r="Q30" s="30"/>
      <c r="R30" s="31"/>
      <c r="S30" s="31"/>
      <c r="T30" s="105"/>
      <c r="U30" s="106"/>
    </row>
    <row r="31" spans="1:21" x14ac:dyDescent="0.25">
      <c r="A31" s="168" t="s">
        <v>97</v>
      </c>
      <c r="B31" s="27"/>
      <c r="C31" s="104"/>
      <c r="D31" s="104"/>
      <c r="E31" s="104"/>
      <c r="F31" s="28"/>
      <c r="G31" s="28"/>
      <c r="H31" s="83"/>
      <c r="I31" s="104"/>
      <c r="N31" s="29"/>
      <c r="O31" s="29"/>
      <c r="P31" s="30"/>
      <c r="Q31" s="30"/>
      <c r="R31" s="31"/>
      <c r="S31" s="31"/>
      <c r="T31" s="105"/>
      <c r="U31" s="106"/>
    </row>
    <row r="32" spans="1:21" hidden="1" x14ac:dyDescent="0.25">
      <c r="A32" s="168"/>
      <c r="B32" s="27"/>
      <c r="C32" s="104"/>
      <c r="D32" s="104"/>
      <c r="E32" s="104"/>
      <c r="F32" s="28"/>
      <c r="G32" s="28"/>
      <c r="H32" s="83"/>
      <c r="I32" s="104"/>
      <c r="N32" s="29"/>
      <c r="O32" s="29"/>
      <c r="P32" s="30"/>
      <c r="Q32" s="30"/>
      <c r="R32" s="31"/>
      <c r="S32" s="31"/>
      <c r="T32" s="105"/>
      <c r="U32" s="106"/>
    </row>
    <row r="33" spans="1:21" hidden="1" x14ac:dyDescent="0.25">
      <c r="A33" s="168"/>
      <c r="B33" s="27"/>
      <c r="C33" s="104"/>
      <c r="D33" s="104"/>
      <c r="E33" s="104"/>
      <c r="F33" s="541" t="s">
        <v>282</v>
      </c>
      <c r="G33" s="541"/>
      <c r="H33" s="541"/>
      <c r="I33" s="104"/>
      <c r="N33" s="29"/>
      <c r="O33" s="29"/>
      <c r="P33" s="30"/>
      <c r="Q33" s="30"/>
      <c r="R33" s="31"/>
      <c r="S33" s="31"/>
      <c r="T33" s="105"/>
      <c r="U33" s="106"/>
    </row>
    <row r="34" spans="1:21" hidden="1" x14ac:dyDescent="0.25">
      <c r="A34" s="3"/>
      <c r="B34" s="72"/>
      <c r="C34" s="72"/>
      <c r="D34" s="72"/>
      <c r="E34" s="72"/>
      <c r="F34" s="541"/>
      <c r="G34" s="541"/>
      <c r="H34" s="541"/>
      <c r="I34" s="25" t="s">
        <v>74</v>
      </c>
      <c r="N34" s="485" t="s">
        <v>35</v>
      </c>
      <c r="O34" s="485"/>
      <c r="P34" s="485"/>
      <c r="Q34" s="485"/>
      <c r="R34" s="485"/>
      <c r="S34" s="485"/>
      <c r="T34" s="485"/>
      <c r="U34" s="26" t="s">
        <v>74</v>
      </c>
    </row>
    <row r="35" spans="1:21" hidden="1" x14ac:dyDescent="0.25">
      <c r="A35" s="27"/>
      <c r="B35" s="27"/>
      <c r="C35" s="91" t="s">
        <v>124</v>
      </c>
      <c r="D35" s="91" t="s">
        <v>125</v>
      </c>
      <c r="E35" s="92" t="s">
        <v>8</v>
      </c>
      <c r="F35" s="541"/>
      <c r="G35" s="541"/>
      <c r="H35" s="541"/>
      <c r="I35" s="25" t="s">
        <v>36</v>
      </c>
      <c r="N35" s="29"/>
      <c r="O35" s="29"/>
      <c r="P35" s="30"/>
      <c r="Q35" s="30"/>
      <c r="R35" s="31"/>
      <c r="S35" s="31"/>
      <c r="T35" s="105"/>
      <c r="U35" s="26" t="s">
        <v>36</v>
      </c>
    </row>
    <row r="36" spans="1:21" hidden="1" x14ac:dyDescent="0.25">
      <c r="A36" s="447" t="s">
        <v>63</v>
      </c>
      <c r="B36" s="447"/>
      <c r="C36" s="93" t="s">
        <v>2</v>
      </c>
      <c r="D36" s="93" t="s">
        <v>2</v>
      </c>
      <c r="E36" s="93" t="s">
        <v>2</v>
      </c>
      <c r="F36" s="542"/>
      <c r="G36" s="542"/>
      <c r="H36" s="542"/>
      <c r="I36" s="32" t="s">
        <v>75</v>
      </c>
      <c r="N36" s="510" t="s">
        <v>63</v>
      </c>
      <c r="O36" s="510"/>
      <c r="P36" s="511" t="s">
        <v>24</v>
      </c>
      <c r="Q36" s="511"/>
      <c r="R36" s="511"/>
      <c r="S36" s="511"/>
      <c r="T36" s="511"/>
      <c r="U36" s="20" t="s">
        <v>75</v>
      </c>
    </row>
    <row r="37" spans="1:21" hidden="1" x14ac:dyDescent="0.25">
      <c r="A37" s="451" t="s">
        <v>56</v>
      </c>
      <c r="B37" s="451"/>
      <c r="C37" s="169">
        <v>0</v>
      </c>
      <c r="D37" s="169">
        <v>0</v>
      </c>
      <c r="E37" s="210">
        <f t="shared" ref="E37:E42" si="6">IF(D$43=0,C37*2,C37+D37)</f>
        <v>0</v>
      </c>
      <c r="F37" s="170"/>
      <c r="G37" s="170"/>
      <c r="H37" s="170"/>
      <c r="I37" s="119">
        <f t="shared" ref="I37:I42" si="7">ROUND(ROUND(E37*$C$8,4)*($H$8),2)</f>
        <v>0</v>
      </c>
      <c r="N37" s="512" t="s">
        <v>56</v>
      </c>
      <c r="O37" s="512"/>
      <c r="P37" s="483">
        <f t="shared" ref="P37:P42" si="8">IF($H$120=1,E37,0)</f>
        <v>0</v>
      </c>
      <c r="Q37" s="483"/>
      <c r="R37" s="483"/>
      <c r="S37" s="483"/>
      <c r="T37" s="483"/>
      <c r="U37" s="101">
        <f t="shared" ref="U37:U42" si="9">ROUND(ROUND(P37*$C$8,4)*($H$8),0)</f>
        <v>0</v>
      </c>
    </row>
    <row r="38" spans="1:21" hidden="1" x14ac:dyDescent="0.25">
      <c r="A38" s="453" t="s">
        <v>57</v>
      </c>
      <c r="B38" s="453"/>
      <c r="C38" s="172">
        <v>0</v>
      </c>
      <c r="D38" s="172">
        <v>0</v>
      </c>
      <c r="E38" s="125">
        <f t="shared" si="6"/>
        <v>0</v>
      </c>
      <c r="F38" s="173"/>
      <c r="G38" s="173"/>
      <c r="H38" s="173"/>
      <c r="I38" s="104">
        <f t="shared" si="7"/>
        <v>0</v>
      </c>
      <c r="N38" s="479" t="s">
        <v>57</v>
      </c>
      <c r="O38" s="479"/>
      <c r="P38" s="483">
        <f t="shared" si="8"/>
        <v>0</v>
      </c>
      <c r="Q38" s="483"/>
      <c r="R38" s="483"/>
      <c r="S38" s="483"/>
      <c r="T38" s="483"/>
      <c r="U38" s="101">
        <f t="shared" si="9"/>
        <v>0</v>
      </c>
    </row>
    <row r="39" spans="1:21" hidden="1" x14ac:dyDescent="0.25">
      <c r="A39" s="458" t="s">
        <v>58</v>
      </c>
      <c r="B39" s="458"/>
      <c r="C39" s="172">
        <v>0</v>
      </c>
      <c r="D39" s="172">
        <v>0</v>
      </c>
      <c r="E39" s="125">
        <f t="shared" si="6"/>
        <v>0</v>
      </c>
      <c r="F39" s="173"/>
      <c r="G39" s="173"/>
      <c r="H39" s="173"/>
      <c r="I39" s="104">
        <f t="shared" si="7"/>
        <v>0</v>
      </c>
      <c r="N39" s="509" t="s">
        <v>58</v>
      </c>
      <c r="O39" s="509"/>
      <c r="P39" s="483">
        <f t="shared" si="8"/>
        <v>0</v>
      </c>
      <c r="Q39" s="483"/>
      <c r="R39" s="483"/>
      <c r="S39" s="483"/>
      <c r="T39" s="483"/>
      <c r="U39" s="101">
        <f t="shared" si="9"/>
        <v>0</v>
      </c>
    </row>
    <row r="40" spans="1:21" hidden="1" x14ac:dyDescent="0.25">
      <c r="A40" s="453" t="s">
        <v>59</v>
      </c>
      <c r="B40" s="453"/>
      <c r="C40" s="172">
        <v>0</v>
      </c>
      <c r="D40" s="172">
        <v>0</v>
      </c>
      <c r="E40" s="125">
        <f t="shared" si="6"/>
        <v>0</v>
      </c>
      <c r="F40" s="173"/>
      <c r="G40" s="173"/>
      <c r="H40" s="173"/>
      <c r="I40" s="104">
        <f t="shared" si="7"/>
        <v>0</v>
      </c>
      <c r="N40" s="479" t="s">
        <v>59</v>
      </c>
      <c r="O40" s="479"/>
      <c r="P40" s="483">
        <f t="shared" si="8"/>
        <v>0</v>
      </c>
      <c r="Q40" s="483"/>
      <c r="R40" s="483"/>
      <c r="S40" s="483"/>
      <c r="T40" s="483"/>
      <c r="U40" s="101">
        <f t="shared" si="9"/>
        <v>0</v>
      </c>
    </row>
    <row r="41" spans="1:21" hidden="1" x14ac:dyDescent="0.25">
      <c r="A41" s="453" t="s">
        <v>60</v>
      </c>
      <c r="B41" s="453"/>
      <c r="C41" s="172">
        <v>0</v>
      </c>
      <c r="D41" s="172">
        <v>0</v>
      </c>
      <c r="E41" s="125">
        <f t="shared" si="6"/>
        <v>0</v>
      </c>
      <c r="F41" s="173"/>
      <c r="G41" s="173"/>
      <c r="H41" s="173"/>
      <c r="I41" s="104">
        <f t="shared" si="7"/>
        <v>0</v>
      </c>
      <c r="N41" s="479" t="s">
        <v>60</v>
      </c>
      <c r="O41" s="479"/>
      <c r="P41" s="483">
        <f t="shared" si="8"/>
        <v>0</v>
      </c>
      <c r="Q41" s="483"/>
      <c r="R41" s="483"/>
      <c r="S41" s="483"/>
      <c r="T41" s="483"/>
      <c r="U41" s="101">
        <f t="shared" si="9"/>
        <v>0</v>
      </c>
    </row>
    <row r="42" spans="1:21" hidden="1" x14ac:dyDescent="0.25">
      <c r="A42" s="453" t="s">
        <v>52</v>
      </c>
      <c r="B42" s="453"/>
      <c r="C42" s="171">
        <v>0</v>
      </c>
      <c r="D42" s="171">
        <v>0</v>
      </c>
      <c r="E42" s="177">
        <f t="shared" si="6"/>
        <v>0</v>
      </c>
      <c r="F42" s="173"/>
      <c r="G42" s="173"/>
      <c r="H42" s="173"/>
      <c r="I42" s="97">
        <f t="shared" si="7"/>
        <v>0</v>
      </c>
      <c r="N42" s="482" t="s">
        <v>52</v>
      </c>
      <c r="O42" s="482"/>
      <c r="P42" s="483">
        <f t="shared" si="8"/>
        <v>0</v>
      </c>
      <c r="Q42" s="483"/>
      <c r="R42" s="483"/>
      <c r="S42" s="483"/>
      <c r="T42" s="483"/>
      <c r="U42" s="101">
        <f t="shared" si="9"/>
        <v>0</v>
      </c>
    </row>
    <row r="43" spans="1:21" hidden="1" x14ac:dyDescent="0.25">
      <c r="A43" s="3"/>
      <c r="B43" s="55" t="s">
        <v>126</v>
      </c>
      <c r="C43" s="100">
        <f>SUM(C37:C42)</f>
        <v>0</v>
      </c>
      <c r="D43" s="100">
        <f>SUM(D37:D42)</f>
        <v>0</v>
      </c>
      <c r="E43" s="100">
        <f>SUM(E37:E42)</f>
        <v>0</v>
      </c>
      <c r="F43" s="33"/>
      <c r="G43" s="109"/>
      <c r="H43" s="110" t="s">
        <v>128</v>
      </c>
      <c r="I43" s="100">
        <f>SUM(I37:I42)</f>
        <v>0</v>
      </c>
      <c r="N43" s="480" t="s">
        <v>54</v>
      </c>
      <c r="O43" s="480"/>
      <c r="P43" s="480"/>
      <c r="Q43" s="480"/>
      <c r="R43" s="34">
        <f>SUM(P37:R42)</f>
        <v>0</v>
      </c>
      <c r="S43" s="508" t="s">
        <v>64</v>
      </c>
      <c r="T43" s="508"/>
      <c r="U43" s="106">
        <f>SUM(U37:U42)</f>
        <v>0</v>
      </c>
    </row>
    <row r="44" spans="1:21" ht="16.5" hidden="1" thickBot="1" x14ac:dyDescent="0.3">
      <c r="A44" s="3"/>
      <c r="B44" s="55"/>
      <c r="C44" s="104"/>
      <c r="D44" s="104"/>
      <c r="E44" s="119"/>
      <c r="F44" s="33"/>
      <c r="G44" s="109"/>
      <c r="H44" s="110"/>
      <c r="I44" s="104"/>
      <c r="N44" s="29"/>
      <c r="O44" s="29"/>
      <c r="P44" s="29"/>
      <c r="Q44" s="29"/>
      <c r="R44" s="34"/>
      <c r="S44" s="31"/>
      <c r="T44" s="31"/>
      <c r="U44" s="106"/>
    </row>
    <row r="45" spans="1:21" ht="16.5" hidden="1" thickBot="1" x14ac:dyDescent="0.3">
      <c r="A45" s="3"/>
      <c r="B45" s="55" t="s">
        <v>127</v>
      </c>
      <c r="E45" s="174">
        <f>H29+E43</f>
        <v>381.14930000000004</v>
      </c>
      <c r="F45" s="35"/>
      <c r="G45" s="109"/>
      <c r="H45" s="110" t="s">
        <v>129</v>
      </c>
      <c r="I45" s="97">
        <f>SUM(I43,I29)</f>
        <v>1825067.9099999997</v>
      </c>
      <c r="N45" s="480" t="s">
        <v>55</v>
      </c>
      <c r="O45" s="480"/>
      <c r="P45" s="480"/>
      <c r="Q45" s="480"/>
      <c r="R45" s="36">
        <f>R43+T29</f>
        <v>0</v>
      </c>
      <c r="S45" s="508" t="s">
        <v>53</v>
      </c>
      <c r="T45" s="508"/>
      <c r="U45" s="111">
        <f>SUM(U43,U29)</f>
        <v>0</v>
      </c>
    </row>
    <row r="46" spans="1:21" hidden="1" x14ac:dyDescent="0.25">
      <c r="A46" s="27"/>
      <c r="B46" s="27"/>
      <c r="C46" s="27"/>
      <c r="D46" s="27"/>
      <c r="E46" s="27"/>
      <c r="F46" s="35"/>
      <c r="G46" s="28"/>
      <c r="H46" s="28"/>
      <c r="I46" s="104"/>
      <c r="N46" s="29"/>
      <c r="O46" s="29"/>
      <c r="P46" s="29"/>
      <c r="Q46" s="29"/>
      <c r="R46" s="36"/>
      <c r="S46" s="31"/>
      <c r="T46" s="31"/>
      <c r="U46" s="106"/>
    </row>
    <row r="47" spans="1:21" x14ac:dyDescent="0.25">
      <c r="A47" s="27"/>
      <c r="B47" s="55" t="s">
        <v>370</v>
      </c>
      <c r="C47" s="372" t="s">
        <v>370</v>
      </c>
      <c r="D47" s="372" t="s">
        <v>370</v>
      </c>
      <c r="E47" s="27"/>
      <c r="F47" s="35"/>
      <c r="G47" s="28"/>
      <c r="H47" s="28"/>
      <c r="I47" s="104"/>
      <c r="N47" s="29"/>
      <c r="O47" s="29"/>
      <c r="P47" s="29"/>
      <c r="Q47" s="29"/>
      <c r="R47" s="36"/>
      <c r="S47" s="31"/>
      <c r="T47" s="31"/>
      <c r="U47" s="106"/>
    </row>
    <row r="48" spans="1:21" x14ac:dyDescent="0.25">
      <c r="A48" s="27"/>
      <c r="B48" s="27"/>
      <c r="C48" s="91" t="s">
        <v>463</v>
      </c>
      <c r="D48" s="371" t="s">
        <v>464</v>
      </c>
      <c r="E48" s="92" t="s">
        <v>8</v>
      </c>
      <c r="F48" s="49" t="s">
        <v>130</v>
      </c>
      <c r="G48" s="112" t="s">
        <v>132</v>
      </c>
      <c r="H48" s="113" t="s">
        <v>133</v>
      </c>
      <c r="I48" s="104"/>
      <c r="N48" s="29"/>
      <c r="O48" s="29"/>
      <c r="P48" s="29"/>
      <c r="Q48" s="29"/>
      <c r="R48" s="36"/>
      <c r="S48" s="31"/>
      <c r="T48" s="31"/>
      <c r="U48" s="106"/>
    </row>
    <row r="49" spans="1:21" x14ac:dyDescent="0.25">
      <c r="A49" s="37" t="s">
        <v>87</v>
      </c>
      <c r="B49" s="37"/>
      <c r="C49" s="362" t="s">
        <v>2</v>
      </c>
      <c r="D49" s="362" t="s">
        <v>2</v>
      </c>
      <c r="E49" s="362" t="s">
        <v>2</v>
      </c>
      <c r="F49" s="95" t="s">
        <v>131</v>
      </c>
      <c r="G49" s="62" t="s">
        <v>131</v>
      </c>
      <c r="H49" s="114" t="s">
        <v>134</v>
      </c>
      <c r="I49" s="37"/>
      <c r="N49" s="482" t="s">
        <v>87</v>
      </c>
      <c r="O49" s="482"/>
      <c r="P49" s="503" t="s">
        <v>2</v>
      </c>
      <c r="Q49" s="503"/>
      <c r="R49" s="38" t="s">
        <v>25</v>
      </c>
      <c r="S49" s="63" t="s">
        <v>26</v>
      </c>
      <c r="T49" s="115" t="s">
        <v>27</v>
      </c>
      <c r="U49" s="38"/>
    </row>
    <row r="50" spans="1:21" x14ac:dyDescent="0.25">
      <c r="A50" s="459" t="s">
        <v>98</v>
      </c>
      <c r="B50" s="459"/>
      <c r="C50" s="165">
        <v>16</v>
      </c>
      <c r="D50" s="165">
        <v>18.37</v>
      </c>
      <c r="E50" s="125">
        <f>IF(D$59=0,C50*2,C50+D50)</f>
        <v>34.370000000000005</v>
      </c>
      <c r="F50" s="39" t="s">
        <v>21</v>
      </c>
      <c r="G50" s="39">
        <v>251</v>
      </c>
      <c r="H50" s="321">
        <f>'0664'!H50</f>
        <v>1047</v>
      </c>
      <c r="I50" s="104">
        <f>ROUND(E50*H50,2)</f>
        <v>35985.39</v>
      </c>
      <c r="N50" s="504" t="s">
        <v>28</v>
      </c>
      <c r="O50" s="504"/>
      <c r="P50" s="505"/>
      <c r="Q50" s="505"/>
      <c r="R50" s="40" t="s">
        <v>21</v>
      </c>
      <c r="S50" s="40">
        <v>251</v>
      </c>
      <c r="T50" s="117">
        <f>H50</f>
        <v>1047</v>
      </c>
      <c r="U50" s="118">
        <f>ROUND(P50*T50,0)</f>
        <v>0</v>
      </c>
    </row>
    <row r="51" spans="1:21" x14ac:dyDescent="0.25">
      <c r="A51" s="460"/>
      <c r="B51" s="460"/>
      <c r="C51" s="165">
        <v>1</v>
      </c>
      <c r="D51" s="165">
        <v>1.1499999999999999</v>
      </c>
      <c r="E51" s="125">
        <f t="shared" ref="E51:E58" si="10">IF(D$59=0,C51*2,C51+D51)</f>
        <v>2.15</v>
      </c>
      <c r="F51" s="39" t="s">
        <v>21</v>
      </c>
      <c r="G51" s="39">
        <v>252</v>
      </c>
      <c r="H51" s="321">
        <f>'0664'!H51</f>
        <v>3380</v>
      </c>
      <c r="I51" s="104">
        <f t="shared" ref="I51:I58" si="11">ROUND(E51*H51,2)</f>
        <v>7267</v>
      </c>
      <c r="N51" s="504"/>
      <c r="O51" s="504"/>
      <c r="P51" s="506"/>
      <c r="Q51" s="506"/>
      <c r="R51" s="40" t="s">
        <v>21</v>
      </c>
      <c r="S51" s="40">
        <v>252</v>
      </c>
      <c r="T51" s="117">
        <f t="shared" ref="T51:T58" si="12">H51</f>
        <v>3380</v>
      </c>
      <c r="U51" s="118">
        <f t="shared" ref="U51:U58" si="13">ROUND(P51*T51,0)</f>
        <v>0</v>
      </c>
    </row>
    <row r="52" spans="1:21" x14ac:dyDescent="0.25">
      <c r="A52" s="460"/>
      <c r="B52" s="460"/>
      <c r="C52" s="165">
        <v>0</v>
      </c>
      <c r="D52" s="165">
        <v>0</v>
      </c>
      <c r="E52" s="125">
        <f t="shared" si="10"/>
        <v>0</v>
      </c>
      <c r="F52" s="39" t="s">
        <v>21</v>
      </c>
      <c r="G52" s="39">
        <v>253</v>
      </c>
      <c r="H52" s="321">
        <f>'0664'!H52</f>
        <v>6896</v>
      </c>
      <c r="I52" s="104">
        <f t="shared" si="11"/>
        <v>0</v>
      </c>
      <c r="N52" s="504"/>
      <c r="O52" s="504"/>
      <c r="P52" s="506"/>
      <c r="Q52" s="506"/>
      <c r="R52" s="40" t="s">
        <v>21</v>
      </c>
      <c r="S52" s="40">
        <v>253</v>
      </c>
      <c r="T52" s="117">
        <f t="shared" si="12"/>
        <v>6896</v>
      </c>
      <c r="U52" s="118">
        <f t="shared" si="13"/>
        <v>0</v>
      </c>
    </row>
    <row r="53" spans="1:21" x14ac:dyDescent="0.25">
      <c r="A53" s="460"/>
      <c r="B53" s="460"/>
      <c r="C53" s="165">
        <v>12.5</v>
      </c>
      <c r="D53" s="165">
        <v>11.99</v>
      </c>
      <c r="E53" s="125">
        <f t="shared" si="10"/>
        <v>24.490000000000002</v>
      </c>
      <c r="F53" s="41" t="s">
        <v>14</v>
      </c>
      <c r="G53" s="39">
        <v>251</v>
      </c>
      <c r="H53" s="321">
        <f>'0664'!H53</f>
        <v>1173</v>
      </c>
      <c r="I53" s="104">
        <f t="shared" si="11"/>
        <v>28726.77</v>
      </c>
      <c r="N53" s="504"/>
      <c r="O53" s="504"/>
      <c r="P53" s="506"/>
      <c r="Q53" s="506"/>
      <c r="R53" s="42" t="s">
        <v>14</v>
      </c>
      <c r="S53" s="40">
        <v>251</v>
      </c>
      <c r="T53" s="117">
        <f t="shared" si="12"/>
        <v>1173</v>
      </c>
      <c r="U53" s="118">
        <f t="shared" si="13"/>
        <v>0</v>
      </c>
    </row>
    <row r="54" spans="1:21" x14ac:dyDescent="0.25">
      <c r="A54" s="460"/>
      <c r="B54" s="460"/>
      <c r="C54" s="165">
        <v>0</v>
      </c>
      <c r="D54" s="165">
        <v>0</v>
      </c>
      <c r="E54" s="125">
        <f t="shared" si="10"/>
        <v>0</v>
      </c>
      <c r="F54" s="41" t="s">
        <v>14</v>
      </c>
      <c r="G54" s="39">
        <v>252</v>
      </c>
      <c r="H54" s="321">
        <f>'0664'!H54</f>
        <v>3506</v>
      </c>
      <c r="I54" s="104">
        <f t="shared" si="11"/>
        <v>0</v>
      </c>
      <c r="N54" s="504"/>
      <c r="O54" s="504"/>
      <c r="P54" s="506"/>
      <c r="Q54" s="506"/>
      <c r="R54" s="42" t="s">
        <v>14</v>
      </c>
      <c r="S54" s="40">
        <v>252</v>
      </c>
      <c r="T54" s="117">
        <f t="shared" si="12"/>
        <v>3506</v>
      </c>
      <c r="U54" s="118">
        <f t="shared" si="13"/>
        <v>0</v>
      </c>
    </row>
    <row r="55" spans="1:21" x14ac:dyDescent="0.25">
      <c r="A55" s="460"/>
      <c r="B55" s="460"/>
      <c r="C55" s="165">
        <v>0</v>
      </c>
      <c r="D55" s="165">
        <v>0</v>
      </c>
      <c r="E55" s="125">
        <f t="shared" si="10"/>
        <v>0</v>
      </c>
      <c r="F55" s="41" t="s">
        <v>14</v>
      </c>
      <c r="G55" s="39">
        <v>253</v>
      </c>
      <c r="H55" s="321">
        <f>'0664'!H55</f>
        <v>7023</v>
      </c>
      <c r="I55" s="104">
        <f t="shared" si="11"/>
        <v>0</v>
      </c>
      <c r="N55" s="504"/>
      <c r="O55" s="504"/>
      <c r="P55" s="506"/>
      <c r="Q55" s="506"/>
      <c r="R55" s="42" t="s">
        <v>14</v>
      </c>
      <c r="S55" s="40">
        <v>253</v>
      </c>
      <c r="T55" s="117">
        <f t="shared" si="12"/>
        <v>7023</v>
      </c>
      <c r="U55" s="118">
        <f t="shared" si="13"/>
        <v>0</v>
      </c>
    </row>
    <row r="56" spans="1:21" x14ac:dyDescent="0.25">
      <c r="A56" s="460"/>
      <c r="B56" s="460"/>
      <c r="C56" s="165">
        <v>0</v>
      </c>
      <c r="D56" s="165">
        <v>0</v>
      </c>
      <c r="E56" s="125">
        <f t="shared" si="10"/>
        <v>0</v>
      </c>
      <c r="F56" s="41" t="s">
        <v>15</v>
      </c>
      <c r="G56" s="39">
        <v>251</v>
      </c>
      <c r="H56" s="321">
        <f>'0664'!H56</f>
        <v>835</v>
      </c>
      <c r="I56" s="104">
        <f t="shared" si="11"/>
        <v>0</v>
      </c>
      <c r="N56" s="504"/>
      <c r="O56" s="504"/>
      <c r="P56" s="506"/>
      <c r="Q56" s="506"/>
      <c r="R56" s="42" t="s">
        <v>15</v>
      </c>
      <c r="S56" s="40">
        <v>251</v>
      </c>
      <c r="T56" s="117">
        <f t="shared" si="12"/>
        <v>835</v>
      </c>
      <c r="U56" s="118">
        <f t="shared" si="13"/>
        <v>0</v>
      </c>
    </row>
    <row r="57" spans="1:21" x14ac:dyDescent="0.25">
      <c r="A57" s="460"/>
      <c r="B57" s="460"/>
      <c r="C57" s="165">
        <v>0</v>
      </c>
      <c r="D57" s="165">
        <v>0</v>
      </c>
      <c r="E57" s="125">
        <f t="shared" si="10"/>
        <v>0</v>
      </c>
      <c r="F57" s="41" t="s">
        <v>15</v>
      </c>
      <c r="G57" s="39">
        <v>252</v>
      </c>
      <c r="H57" s="321">
        <f>'0664'!H57</f>
        <v>3168</v>
      </c>
      <c r="I57" s="104">
        <f t="shared" si="11"/>
        <v>0</v>
      </c>
      <c r="N57" s="504"/>
      <c r="O57" s="504"/>
      <c r="P57" s="506"/>
      <c r="Q57" s="506"/>
      <c r="R57" s="42" t="s">
        <v>15</v>
      </c>
      <c r="S57" s="40">
        <v>252</v>
      </c>
      <c r="T57" s="117">
        <f t="shared" si="12"/>
        <v>3168</v>
      </c>
      <c r="U57" s="118">
        <f t="shared" si="13"/>
        <v>0</v>
      </c>
    </row>
    <row r="58" spans="1:21" ht="16.5" thickBot="1" x14ac:dyDescent="0.3">
      <c r="A58" s="460"/>
      <c r="B58" s="460"/>
      <c r="C58" s="165">
        <v>0</v>
      </c>
      <c r="D58" s="165">
        <v>0</v>
      </c>
      <c r="E58" s="125">
        <f t="shared" si="10"/>
        <v>0</v>
      </c>
      <c r="F58" s="41" t="s">
        <v>15</v>
      </c>
      <c r="G58" s="39">
        <v>253</v>
      </c>
      <c r="H58" s="321">
        <f>'0664'!H58</f>
        <v>6685</v>
      </c>
      <c r="I58" s="104">
        <f t="shared" si="11"/>
        <v>0</v>
      </c>
      <c r="N58" s="504"/>
      <c r="O58" s="504"/>
      <c r="P58" s="507"/>
      <c r="Q58" s="507"/>
      <c r="R58" s="42" t="s">
        <v>15</v>
      </c>
      <c r="S58" s="40">
        <v>253</v>
      </c>
      <c r="T58" s="117">
        <f t="shared" si="12"/>
        <v>6685</v>
      </c>
      <c r="U58" s="120">
        <f t="shared" si="13"/>
        <v>0</v>
      </c>
    </row>
    <row r="59" spans="1:21" ht="16.5" thickBot="1" x14ac:dyDescent="0.3">
      <c r="A59" s="461" t="s">
        <v>16</v>
      </c>
      <c r="B59" s="461"/>
      <c r="C59" s="100">
        <f>SUM(C50:C58)</f>
        <v>29.5</v>
      </c>
      <c r="D59" s="100">
        <f>SUM(D50:D58)</f>
        <v>31.509999999999998</v>
      </c>
      <c r="E59" s="100">
        <f>SUM(E50:E58)</f>
        <v>61.010000000000005</v>
      </c>
      <c r="F59" s="461" t="s">
        <v>77</v>
      </c>
      <c r="G59" s="461"/>
      <c r="H59" s="461"/>
      <c r="I59" s="100">
        <f>SUM(I50:I58)</f>
        <v>71979.16</v>
      </c>
      <c r="N59" s="480" t="s">
        <v>16</v>
      </c>
      <c r="O59" s="480"/>
      <c r="P59" s="502">
        <f>SUM(P50:P58)</f>
        <v>0</v>
      </c>
      <c r="Q59" s="502"/>
      <c r="R59" s="480" t="s">
        <v>77</v>
      </c>
      <c r="S59" s="480"/>
      <c r="T59" s="480"/>
      <c r="U59" s="111">
        <f>SUM(U50:U58)</f>
        <v>0</v>
      </c>
    </row>
    <row r="60" spans="1:21" x14ac:dyDescent="0.25">
      <c r="A60" s="462"/>
      <c r="B60" s="462"/>
      <c r="C60" s="462"/>
      <c r="D60" s="462"/>
      <c r="E60" s="462"/>
      <c r="F60" s="462"/>
      <c r="G60" s="462"/>
      <c r="H60" s="462"/>
      <c r="I60" s="462"/>
      <c r="N60" s="484"/>
      <c r="O60" s="484"/>
      <c r="P60" s="484"/>
      <c r="Q60" s="484"/>
      <c r="R60" s="484"/>
      <c r="S60" s="484"/>
      <c r="T60" s="484"/>
      <c r="U60" s="484"/>
    </row>
    <row r="61" spans="1:21" x14ac:dyDescent="0.25">
      <c r="A61" s="463" t="s">
        <v>136</v>
      </c>
      <c r="B61" s="453"/>
      <c r="C61" s="453"/>
      <c r="D61" s="453"/>
      <c r="E61" s="453"/>
      <c r="F61" s="453"/>
      <c r="G61" s="453"/>
      <c r="H61" s="453"/>
      <c r="I61" s="453"/>
      <c r="N61" s="479" t="s">
        <v>88</v>
      </c>
      <c r="O61" s="479"/>
      <c r="P61" s="479"/>
      <c r="Q61" s="479"/>
      <c r="R61" s="479"/>
      <c r="S61" s="479"/>
      <c r="T61" s="479"/>
      <c r="U61" s="479"/>
    </row>
    <row r="62" spans="1:21" x14ac:dyDescent="0.25">
      <c r="A62" s="463" t="s">
        <v>138</v>
      </c>
      <c r="B62" s="453"/>
      <c r="C62" s="121">
        <f>E29</f>
        <v>349.5</v>
      </c>
      <c r="D62" s="464" t="s">
        <v>135</v>
      </c>
      <c r="E62" s="464"/>
      <c r="F62" s="464"/>
      <c r="G62" s="464"/>
      <c r="H62" s="335">
        <f>'0664'!H62</f>
        <v>193340.76</v>
      </c>
      <c r="I62" s="122"/>
      <c r="N62" s="478" t="s">
        <v>312</v>
      </c>
      <c r="O62" s="479"/>
      <c r="P62" s="43">
        <f>P29</f>
        <v>0</v>
      </c>
      <c r="Q62" s="498" t="s">
        <v>78</v>
      </c>
      <c r="R62" s="498"/>
      <c r="S62" s="498"/>
      <c r="T62" s="497">
        <f>H62</f>
        <v>193340.76</v>
      </c>
      <c r="U62" s="497"/>
    </row>
    <row r="63" spans="1:21" x14ac:dyDescent="0.25">
      <c r="B63" s="72"/>
      <c r="G63" s="44" t="s">
        <v>13</v>
      </c>
      <c r="H63" s="123">
        <f>ROUND(C62/H62,6)</f>
        <v>1.8079999999999999E-3</v>
      </c>
      <c r="I63" s="124"/>
      <c r="N63" s="479" t="s">
        <v>19</v>
      </c>
      <c r="O63" s="479"/>
      <c r="P63" s="479"/>
      <c r="Q63" s="479"/>
      <c r="R63" s="479"/>
      <c r="S63" s="479"/>
      <c r="T63" s="501">
        <f>ROUND(P62/T62,6)</f>
        <v>0</v>
      </c>
      <c r="U63" s="501"/>
    </row>
    <row r="64" spans="1:21" x14ac:dyDescent="0.25">
      <c r="A64" s="463" t="s">
        <v>137</v>
      </c>
      <c r="B64" s="453"/>
      <c r="C64" s="453"/>
      <c r="D64" s="453"/>
      <c r="E64" s="453"/>
      <c r="F64" s="453"/>
      <c r="G64" s="453"/>
      <c r="H64" s="453"/>
      <c r="I64" s="453"/>
      <c r="N64" s="479" t="s">
        <v>89</v>
      </c>
      <c r="O64" s="479"/>
      <c r="P64" s="479"/>
      <c r="Q64" s="479"/>
      <c r="R64" s="479"/>
      <c r="S64" s="479"/>
      <c r="T64" s="479"/>
      <c r="U64" s="479"/>
    </row>
    <row r="65" spans="1:21" x14ac:dyDescent="0.25">
      <c r="A65" s="463" t="s">
        <v>139</v>
      </c>
      <c r="B65" s="453"/>
      <c r="C65" s="121">
        <f>E45</f>
        <v>381.14930000000004</v>
      </c>
      <c r="D65" s="464" t="s">
        <v>140</v>
      </c>
      <c r="E65" s="464"/>
      <c r="F65" s="464"/>
      <c r="G65" s="464"/>
      <c r="H65" s="336">
        <f>'0664'!H65</f>
        <v>216845.88</v>
      </c>
      <c r="I65" s="125"/>
      <c r="N65" s="479" t="s">
        <v>80</v>
      </c>
      <c r="O65" s="479"/>
      <c r="P65" s="43">
        <f>R45</f>
        <v>0</v>
      </c>
      <c r="Q65" s="498" t="s">
        <v>79</v>
      </c>
      <c r="R65" s="498"/>
      <c r="S65" s="498"/>
      <c r="T65" s="497">
        <f>H65</f>
        <v>216845.88</v>
      </c>
      <c r="U65" s="497"/>
    </row>
    <row r="66" spans="1:21" s="37" customFormat="1" x14ac:dyDescent="0.25">
      <c r="A66" s="126"/>
      <c r="G66" s="45" t="s">
        <v>13</v>
      </c>
      <c r="H66" s="127">
        <f>ROUND(C65/H65,6)</f>
        <v>1.758E-3</v>
      </c>
      <c r="I66" s="127"/>
      <c r="N66" s="482" t="s">
        <v>20</v>
      </c>
      <c r="O66" s="482"/>
      <c r="P66" s="482"/>
      <c r="Q66" s="482"/>
      <c r="R66" s="482"/>
      <c r="S66" s="482"/>
      <c r="T66" s="500">
        <f>ROUND(P65/T65,6)</f>
        <v>0</v>
      </c>
      <c r="U66" s="500"/>
    </row>
    <row r="67" spans="1:21" x14ac:dyDescent="0.25">
      <c r="G67" s="44"/>
      <c r="H67" s="123"/>
      <c r="I67" s="123"/>
      <c r="N67" s="48"/>
      <c r="O67" s="48"/>
      <c r="P67" s="48"/>
      <c r="Q67" s="48"/>
      <c r="R67" s="128"/>
      <c r="S67" s="48"/>
      <c r="T67" s="129"/>
      <c r="U67" s="130"/>
    </row>
    <row r="68" spans="1:21" x14ac:dyDescent="0.25">
      <c r="A68" s="453" t="s">
        <v>85</v>
      </c>
      <c r="B68" s="453"/>
      <c r="C68" s="453"/>
      <c r="D68" s="72"/>
      <c r="E68" s="46" t="s">
        <v>3</v>
      </c>
      <c r="F68" s="337">
        <f>'0664'!F68</f>
        <v>42465042</v>
      </c>
      <c r="G68" s="39" t="s">
        <v>6</v>
      </c>
      <c r="H68" s="131">
        <f>H63</f>
        <v>1.8079999999999999E-3</v>
      </c>
      <c r="I68" s="104">
        <f>ROUND(F68*H68,2)</f>
        <v>76776.800000000003</v>
      </c>
      <c r="N68" s="479" t="s">
        <v>85</v>
      </c>
      <c r="O68" s="479"/>
      <c r="P68" s="479"/>
      <c r="Q68" s="47"/>
      <c r="R68" s="132">
        <f>F68</f>
        <v>42465042</v>
      </c>
      <c r="S68" s="40" t="s">
        <v>6</v>
      </c>
      <c r="T68" s="133">
        <f>T63</f>
        <v>0</v>
      </c>
      <c r="U68" s="99">
        <f>ROUND(R68*T68,0)</f>
        <v>0</v>
      </c>
    </row>
    <row r="69" spans="1:21" x14ac:dyDescent="0.25">
      <c r="A69" s="458" t="s">
        <v>96</v>
      </c>
      <c r="B69" s="453"/>
      <c r="C69" s="453"/>
      <c r="D69" s="72"/>
      <c r="E69" s="46"/>
      <c r="F69" s="136"/>
      <c r="G69" s="39"/>
      <c r="H69" s="131"/>
      <c r="I69" s="104"/>
      <c r="N69" s="479" t="s">
        <v>84</v>
      </c>
      <c r="O69" s="479"/>
      <c r="P69" s="479"/>
      <c r="Q69" s="54"/>
      <c r="R69" s="54"/>
      <c r="S69" s="54"/>
      <c r="T69" s="54"/>
      <c r="U69" s="54"/>
    </row>
    <row r="70" spans="1:21" x14ac:dyDescent="0.25">
      <c r="A70" s="465" t="s">
        <v>141</v>
      </c>
      <c r="B70" s="453"/>
      <c r="C70" s="453"/>
      <c r="D70" s="72"/>
      <c r="E70" s="46" t="s">
        <v>3</v>
      </c>
      <c r="F70" s="337">
        <f>'0664'!F70</f>
        <v>0</v>
      </c>
      <c r="G70" s="39" t="s">
        <v>6</v>
      </c>
      <c r="H70" s="131">
        <f>H63</f>
        <v>1.8079999999999999E-3</v>
      </c>
      <c r="I70" s="104">
        <f>ROUND(F70*H70,2)</f>
        <v>0</v>
      </c>
      <c r="N70" s="48"/>
      <c r="O70" s="48"/>
      <c r="P70" s="48"/>
      <c r="Q70" s="47"/>
      <c r="R70" s="132">
        <f>F70</f>
        <v>0</v>
      </c>
      <c r="S70" s="40" t="s">
        <v>6</v>
      </c>
      <c r="T70" s="133">
        <f>T63</f>
        <v>0</v>
      </c>
      <c r="U70" s="99">
        <f>ROUND(R70*T70,0)</f>
        <v>0</v>
      </c>
    </row>
    <row r="71" spans="1:21" x14ac:dyDescent="0.25">
      <c r="A71" s="463" t="s">
        <v>433</v>
      </c>
      <c r="B71" s="453"/>
      <c r="C71" s="453"/>
      <c r="D71" s="72"/>
      <c r="E71" s="46" t="s">
        <v>3</v>
      </c>
      <c r="F71" s="337">
        <f>'0664'!F71</f>
        <v>13414654</v>
      </c>
      <c r="G71" s="39" t="s">
        <v>6</v>
      </c>
      <c r="H71" s="131">
        <f>H63</f>
        <v>1.8079999999999999E-3</v>
      </c>
      <c r="I71" s="104">
        <f>ROUND(F71*H71,2)</f>
        <v>24253.69</v>
      </c>
      <c r="N71" s="479" t="s">
        <v>83</v>
      </c>
      <c r="O71" s="479"/>
      <c r="P71" s="479"/>
      <c r="Q71" s="47"/>
      <c r="R71" s="132">
        <f>F71</f>
        <v>13414654</v>
      </c>
      <c r="S71" s="40" t="s">
        <v>6</v>
      </c>
      <c r="T71" s="133">
        <f>T63</f>
        <v>0</v>
      </c>
      <c r="U71" s="99">
        <f>ROUND(R71*T71,0)</f>
        <v>0</v>
      </c>
    </row>
    <row r="72" spans="1:21" x14ac:dyDescent="0.25">
      <c r="A72" s="463" t="s">
        <v>434</v>
      </c>
      <c r="B72" s="453"/>
      <c r="C72" s="453"/>
      <c r="D72" s="72"/>
      <c r="E72" s="46" t="s">
        <v>3</v>
      </c>
      <c r="F72" s="337">
        <f>'0664'!F72</f>
        <v>14708421</v>
      </c>
      <c r="G72" s="39" t="s">
        <v>6</v>
      </c>
      <c r="H72" s="131">
        <f>H63</f>
        <v>1.8079999999999999E-3</v>
      </c>
      <c r="I72" s="104">
        <f>ROUND(F72*H72,2)</f>
        <v>26592.83</v>
      </c>
      <c r="N72" s="479" t="s">
        <v>82</v>
      </c>
      <c r="O72" s="479"/>
      <c r="P72" s="479"/>
      <c r="Q72" s="47"/>
      <c r="R72" s="134">
        <f>F72</f>
        <v>14708421</v>
      </c>
      <c r="S72" s="40" t="s">
        <v>6</v>
      </c>
      <c r="T72" s="133">
        <f>T63</f>
        <v>0</v>
      </c>
      <c r="U72" s="99">
        <f>ROUND(R72*T72,0)</f>
        <v>0</v>
      </c>
    </row>
    <row r="73" spans="1:21" x14ac:dyDescent="0.25">
      <c r="A73" s="263" t="s">
        <v>99</v>
      </c>
      <c r="D73" s="72"/>
      <c r="E73" s="41" t="s">
        <v>353</v>
      </c>
      <c r="F73" s="466"/>
      <c r="G73" s="466"/>
      <c r="H73" s="466"/>
      <c r="I73" s="104">
        <v>0</v>
      </c>
      <c r="N73" s="499" t="s">
        <v>118</v>
      </c>
      <c r="O73" s="499"/>
      <c r="P73" s="499"/>
      <c r="Q73" s="499"/>
      <c r="R73" s="499"/>
      <c r="S73" s="499"/>
      <c r="T73" s="499"/>
      <c r="U73" s="99">
        <f>IF($H$120=1,I73,0)</f>
        <v>0</v>
      </c>
    </row>
    <row r="74" spans="1:21" x14ac:dyDescent="0.25">
      <c r="A74" s="264" t="s">
        <v>142</v>
      </c>
      <c r="I74" s="104"/>
      <c r="N74" s="499" t="s">
        <v>43</v>
      </c>
      <c r="O74" s="499"/>
      <c r="P74" s="499"/>
      <c r="Q74" s="499"/>
      <c r="R74" s="499"/>
      <c r="S74" s="499"/>
      <c r="T74" s="499"/>
      <c r="U74" s="99">
        <f>IF($H$120=1,I74,0)</f>
        <v>0</v>
      </c>
    </row>
    <row r="75" spans="1:21" x14ac:dyDescent="0.25">
      <c r="A75" s="324" t="s">
        <v>101</v>
      </c>
      <c r="B75" s="72"/>
      <c r="C75" s="72"/>
      <c r="D75" s="72"/>
      <c r="E75" s="72"/>
      <c r="F75" s="72"/>
      <c r="G75" s="72"/>
      <c r="H75" s="72"/>
      <c r="I75" s="135"/>
      <c r="N75" s="382" t="s">
        <v>44</v>
      </c>
      <c r="O75" s="48"/>
      <c r="P75" s="48"/>
      <c r="Q75" s="48"/>
      <c r="R75" s="48"/>
      <c r="S75" s="48"/>
      <c r="T75" s="48"/>
      <c r="U75" s="106"/>
    </row>
    <row r="76" spans="1:21" x14ac:dyDescent="0.25">
      <c r="A76" s="463" t="s">
        <v>435</v>
      </c>
      <c r="B76" s="453"/>
      <c r="C76" s="453"/>
      <c r="D76" s="72"/>
      <c r="E76" s="46" t="s">
        <v>3</v>
      </c>
      <c r="F76" s="337">
        <f>'0664'!F76</f>
        <v>8720092</v>
      </c>
      <c r="G76" s="39" t="s">
        <v>6</v>
      </c>
      <c r="H76" s="131">
        <f>H63</f>
        <v>1.8079999999999999E-3</v>
      </c>
      <c r="I76" s="104">
        <f t="shared" ref="I76:I85" si="14">ROUND(F76*H76,2)</f>
        <v>15765.93</v>
      </c>
      <c r="N76" s="478" t="s">
        <v>366</v>
      </c>
      <c r="O76" s="479"/>
      <c r="P76" s="479"/>
      <c r="Q76" s="47"/>
      <c r="R76" s="134">
        <f t="shared" ref="R76:R85" si="15">F76</f>
        <v>8720092</v>
      </c>
      <c r="S76" s="40" t="s">
        <v>6</v>
      </c>
      <c r="T76" s="133">
        <f>T63</f>
        <v>0</v>
      </c>
      <c r="U76" s="99">
        <f t="shared" ref="U76:U85" si="16">ROUND(R76*T76,0)</f>
        <v>0</v>
      </c>
    </row>
    <row r="77" spans="1:21" x14ac:dyDescent="0.25">
      <c r="A77" s="463" t="s">
        <v>436</v>
      </c>
      <c r="B77" s="453"/>
      <c r="C77" s="453"/>
      <c r="D77" s="72"/>
      <c r="E77" s="46" t="s">
        <v>3</v>
      </c>
      <c r="F77" s="337">
        <f>'0664'!F77</f>
        <v>0</v>
      </c>
      <c r="G77" s="39" t="s">
        <v>6</v>
      </c>
      <c r="H77" s="131">
        <f>H63</f>
        <v>1.8079999999999999E-3</v>
      </c>
      <c r="I77" s="104">
        <f t="shared" si="14"/>
        <v>0</v>
      </c>
      <c r="N77" s="479" t="s">
        <v>367</v>
      </c>
      <c r="O77" s="479"/>
      <c r="P77" s="479"/>
      <c r="Q77" s="47"/>
      <c r="R77" s="134">
        <f t="shared" si="15"/>
        <v>0</v>
      </c>
      <c r="S77" s="40" t="s">
        <v>6</v>
      </c>
      <c r="T77" s="133">
        <f>T63</f>
        <v>0</v>
      </c>
      <c r="U77" s="99">
        <f t="shared" si="16"/>
        <v>0</v>
      </c>
    </row>
    <row r="78" spans="1:21" x14ac:dyDescent="0.25">
      <c r="A78" s="463" t="s">
        <v>437</v>
      </c>
      <c r="B78" s="453"/>
      <c r="C78" s="453"/>
      <c r="D78" s="72"/>
      <c r="E78" s="46" t="s">
        <v>4</v>
      </c>
      <c r="F78" s="337">
        <f>'0664'!F78</f>
        <v>0</v>
      </c>
      <c r="G78" s="39" t="s">
        <v>6</v>
      </c>
      <c r="H78" s="131">
        <f>H66</f>
        <v>1.758E-3</v>
      </c>
      <c r="I78" s="104">
        <f t="shared" si="14"/>
        <v>0</v>
      </c>
      <c r="N78" s="478" t="s">
        <v>392</v>
      </c>
      <c r="O78" s="479"/>
      <c r="P78" s="479"/>
      <c r="Q78" s="47"/>
      <c r="R78" s="134">
        <f t="shared" si="15"/>
        <v>0</v>
      </c>
      <c r="S78" s="40" t="s">
        <v>6</v>
      </c>
      <c r="T78" s="133">
        <f>T66</f>
        <v>0</v>
      </c>
      <c r="U78" s="99">
        <f t="shared" si="16"/>
        <v>0</v>
      </c>
    </row>
    <row r="79" spans="1:21" x14ac:dyDescent="0.25">
      <c r="A79" s="463" t="s">
        <v>438</v>
      </c>
      <c r="B79" s="453"/>
      <c r="C79" s="453"/>
      <c r="D79" s="72"/>
      <c r="E79" s="46" t="s">
        <v>4</v>
      </c>
      <c r="F79" s="337">
        <f>'0664'!F79</f>
        <v>11278687</v>
      </c>
      <c r="G79" s="39" t="s">
        <v>6</v>
      </c>
      <c r="H79" s="131">
        <f>H66</f>
        <v>1.758E-3</v>
      </c>
      <c r="I79" s="104">
        <f t="shared" si="14"/>
        <v>19827.93</v>
      </c>
      <c r="N79" s="478" t="s">
        <v>393</v>
      </c>
      <c r="O79" s="479"/>
      <c r="P79" s="479"/>
      <c r="Q79" s="47"/>
      <c r="R79" s="134">
        <f t="shared" si="15"/>
        <v>11278687</v>
      </c>
      <c r="S79" s="40" t="s">
        <v>6</v>
      </c>
      <c r="T79" s="133">
        <f>T66</f>
        <v>0</v>
      </c>
      <c r="U79" s="99">
        <f t="shared" si="16"/>
        <v>0</v>
      </c>
    </row>
    <row r="80" spans="1:21" x14ac:dyDescent="0.25">
      <c r="A80" s="463" t="s">
        <v>439</v>
      </c>
      <c r="B80" s="453"/>
      <c r="C80" s="453"/>
      <c r="D80" s="72"/>
      <c r="E80" s="46" t="s">
        <v>4</v>
      </c>
      <c r="F80" s="337">
        <f>'0664'!F80</f>
        <v>206284749</v>
      </c>
      <c r="G80" s="39" t="s">
        <v>6</v>
      </c>
      <c r="H80" s="131">
        <f>H66</f>
        <v>1.758E-3</v>
      </c>
      <c r="I80" s="104">
        <f t="shared" si="14"/>
        <v>362648.59</v>
      </c>
      <c r="N80" s="478" t="s">
        <v>397</v>
      </c>
      <c r="O80" s="479"/>
      <c r="P80" s="479"/>
      <c r="Q80" s="47"/>
      <c r="R80" s="134">
        <f t="shared" si="15"/>
        <v>206284749</v>
      </c>
      <c r="S80" s="40" t="s">
        <v>6</v>
      </c>
      <c r="T80" s="133">
        <f>T66</f>
        <v>0</v>
      </c>
      <c r="U80" s="99">
        <f t="shared" si="16"/>
        <v>0</v>
      </c>
    </row>
    <row r="81" spans="1:21" x14ac:dyDescent="0.25">
      <c r="A81" s="84" t="s">
        <v>440</v>
      </c>
      <c r="B81" s="72"/>
      <c r="C81" s="72"/>
      <c r="D81" s="72"/>
      <c r="E81" s="46"/>
      <c r="F81" s="337"/>
      <c r="G81" s="39"/>
      <c r="H81" s="131"/>
      <c r="I81" s="104"/>
      <c r="N81" s="419" t="s">
        <v>440</v>
      </c>
      <c r="O81" s="48"/>
      <c r="P81" s="48"/>
      <c r="Q81" s="47"/>
      <c r="R81" s="423"/>
      <c r="S81" s="40"/>
      <c r="T81" s="133"/>
      <c r="U81" s="120"/>
    </row>
    <row r="82" spans="1:21" x14ac:dyDescent="0.25">
      <c r="A82" s="264" t="s">
        <v>441</v>
      </c>
      <c r="B82" s="72"/>
      <c r="C82" s="72"/>
      <c r="D82" s="72"/>
      <c r="E82" s="46" t="s">
        <v>442</v>
      </c>
      <c r="F82" s="337">
        <f>'0664'!F82</f>
        <v>0</v>
      </c>
      <c r="G82" s="39" t="s">
        <v>6</v>
      </c>
      <c r="H82" s="131">
        <f>H66</f>
        <v>1.758E-3</v>
      </c>
      <c r="I82" s="104">
        <v>64396.639999999999</v>
      </c>
      <c r="N82" s="422" t="s">
        <v>441</v>
      </c>
      <c r="O82" s="48"/>
      <c r="P82" s="48"/>
      <c r="Q82" s="47"/>
      <c r="R82" s="134">
        <f t="shared" si="15"/>
        <v>0</v>
      </c>
      <c r="S82" s="40"/>
      <c r="T82" s="133"/>
      <c r="U82" s="99">
        <f t="shared" si="16"/>
        <v>0</v>
      </c>
    </row>
    <row r="83" spans="1:21" x14ac:dyDescent="0.25">
      <c r="A83" s="264" t="s">
        <v>443</v>
      </c>
      <c r="B83" s="72"/>
      <c r="C83" s="72"/>
      <c r="D83" s="72"/>
      <c r="E83" s="46" t="s">
        <v>442</v>
      </c>
      <c r="F83" s="337">
        <f>'0664'!F83</f>
        <v>0</v>
      </c>
      <c r="G83" s="39" t="s">
        <v>6</v>
      </c>
      <c r="H83" s="131">
        <f>H66</f>
        <v>1.758E-3</v>
      </c>
      <c r="I83" s="104">
        <v>29271.200000000001</v>
      </c>
      <c r="N83" s="422" t="s">
        <v>443</v>
      </c>
      <c r="O83" s="48"/>
      <c r="P83" s="48"/>
      <c r="Q83" s="47"/>
      <c r="R83" s="134">
        <f t="shared" si="15"/>
        <v>0</v>
      </c>
      <c r="S83" s="40"/>
      <c r="T83" s="133"/>
      <c r="U83" s="99">
        <f t="shared" si="16"/>
        <v>0</v>
      </c>
    </row>
    <row r="84" spans="1:21" x14ac:dyDescent="0.25">
      <c r="A84" s="420" t="s">
        <v>444</v>
      </c>
      <c r="B84" s="72"/>
      <c r="C84" s="72"/>
      <c r="D84" s="72"/>
      <c r="E84" s="46"/>
      <c r="F84" s="337"/>
      <c r="G84" s="39"/>
      <c r="H84" s="131"/>
      <c r="I84" s="104">
        <f>I82+I83</f>
        <v>93667.839999999997</v>
      </c>
      <c r="N84" s="421" t="s">
        <v>444</v>
      </c>
      <c r="O84" s="48"/>
      <c r="P84" s="48"/>
      <c r="Q84" s="47"/>
      <c r="R84" s="423"/>
      <c r="S84" s="40"/>
      <c r="T84" s="133"/>
      <c r="U84" s="99">
        <f>U82+U83</f>
        <v>0</v>
      </c>
    </row>
    <row r="85" spans="1:21" x14ac:dyDescent="0.25">
      <c r="A85" s="463" t="s">
        <v>398</v>
      </c>
      <c r="B85" s="453"/>
      <c r="C85" s="453"/>
      <c r="D85" s="72"/>
      <c r="E85" s="46" t="s">
        <v>4</v>
      </c>
      <c r="F85" s="337">
        <f>'0664'!F85</f>
        <v>0</v>
      </c>
      <c r="G85" s="39" t="s">
        <v>6</v>
      </c>
      <c r="H85" s="131">
        <f>H66</f>
        <v>1.758E-3</v>
      </c>
      <c r="I85" s="104">
        <f t="shared" si="14"/>
        <v>0</v>
      </c>
      <c r="N85" s="478" t="s">
        <v>398</v>
      </c>
      <c r="O85" s="479"/>
      <c r="P85" s="479"/>
      <c r="Q85" s="47"/>
      <c r="R85" s="132">
        <f t="shared" si="15"/>
        <v>0</v>
      </c>
      <c r="S85" s="40" t="s">
        <v>6</v>
      </c>
      <c r="T85" s="133">
        <f>T66</f>
        <v>0</v>
      </c>
      <c r="U85" s="99">
        <f t="shared" si="16"/>
        <v>0</v>
      </c>
    </row>
    <row r="86" spans="1:21" x14ac:dyDescent="0.25">
      <c r="B86" s="72"/>
      <c r="C86" s="72"/>
      <c r="D86" s="72"/>
      <c r="E86" s="46"/>
      <c r="F86" s="136"/>
      <c r="G86" s="39"/>
      <c r="H86" s="131"/>
      <c r="I86" s="104"/>
      <c r="N86" s="48"/>
      <c r="O86" s="48"/>
      <c r="P86" s="48"/>
      <c r="Q86" s="47"/>
      <c r="R86" s="137"/>
      <c r="S86" s="40"/>
      <c r="T86" s="133"/>
      <c r="U86" s="106"/>
    </row>
    <row r="87" spans="1:21" x14ac:dyDescent="0.25">
      <c r="A87" s="463" t="s">
        <v>445</v>
      </c>
      <c r="B87" s="453"/>
      <c r="C87" s="453"/>
      <c r="D87" s="453"/>
      <c r="E87" s="453"/>
      <c r="F87" s="453"/>
      <c r="G87" s="453"/>
      <c r="H87" s="453"/>
      <c r="I87" s="453"/>
      <c r="N87" s="478" t="s">
        <v>429</v>
      </c>
      <c r="O87" s="479"/>
      <c r="P87" s="479"/>
      <c r="Q87" s="479"/>
      <c r="R87" s="479"/>
      <c r="S87" s="479"/>
      <c r="T87" s="479"/>
      <c r="U87" s="479"/>
    </row>
    <row r="88" spans="1:21" x14ac:dyDescent="0.25">
      <c r="B88" s="72"/>
      <c r="C88" s="466" t="s">
        <v>73</v>
      </c>
      <c r="D88" s="466"/>
      <c r="E88" s="72"/>
      <c r="F88" s="41" t="s">
        <v>37</v>
      </c>
      <c r="G88" s="72"/>
      <c r="H88" s="72"/>
      <c r="I88" s="72"/>
      <c r="N88" s="48"/>
      <c r="O88" s="48"/>
      <c r="P88" s="48"/>
      <c r="Q88" s="48"/>
      <c r="R88" s="48"/>
      <c r="S88" s="48"/>
      <c r="T88" s="48"/>
      <c r="U88" s="48"/>
    </row>
    <row r="89" spans="1:21" x14ac:dyDescent="0.25">
      <c r="A89" s="3"/>
      <c r="B89" s="138"/>
      <c r="C89" s="462" t="s">
        <v>144</v>
      </c>
      <c r="D89" s="462"/>
      <c r="E89" s="139" t="s">
        <v>150</v>
      </c>
      <c r="F89" s="140" t="s">
        <v>149</v>
      </c>
      <c r="G89" s="141"/>
      <c r="H89" s="141"/>
      <c r="I89" s="141"/>
      <c r="N89" s="495" t="s">
        <v>46</v>
      </c>
      <c r="O89" s="495"/>
      <c r="P89" s="496" t="s">
        <v>119</v>
      </c>
      <c r="Q89" s="496"/>
      <c r="R89" s="497" t="s">
        <v>40</v>
      </c>
      <c r="S89" s="497"/>
      <c r="T89" s="497"/>
      <c r="U89" s="497"/>
    </row>
    <row r="90" spans="1:21" x14ac:dyDescent="0.25">
      <c r="A90" s="27"/>
      <c r="B90" s="55" t="s">
        <v>148</v>
      </c>
      <c r="C90" s="467">
        <f>H13+H14+H19+H22+H25</f>
        <v>278.66930000000002</v>
      </c>
      <c r="D90" s="467"/>
      <c r="E90" s="49">
        <f>H8</f>
        <v>1.0438000000000001</v>
      </c>
      <c r="F90" s="338">
        <f>'0664'!F90</f>
        <v>957.94</v>
      </c>
      <c r="G90" s="41" t="s">
        <v>13</v>
      </c>
      <c r="H90" s="104">
        <f>ROUND(C90*E90*F90,2)</f>
        <v>278640.81</v>
      </c>
      <c r="I90" s="107"/>
      <c r="N90" s="29" t="s">
        <v>22</v>
      </c>
      <c r="O90" s="50">
        <f>T13+T14+T19+T22+T25</f>
        <v>0</v>
      </c>
      <c r="P90" s="490">
        <f>T8</f>
        <v>1.0438000000000001</v>
      </c>
      <c r="Q90" s="490"/>
      <c r="R90" s="51">
        <f>F90</f>
        <v>957.94</v>
      </c>
      <c r="S90" s="42" t="s">
        <v>13</v>
      </c>
      <c r="T90" s="134">
        <f>ROUND(O90*P90*R90,0)</f>
        <v>0</v>
      </c>
      <c r="U90" s="105"/>
    </row>
    <row r="91" spans="1:21" x14ac:dyDescent="0.25">
      <c r="A91" s="52"/>
      <c r="B91" s="52" t="s">
        <v>147</v>
      </c>
      <c r="C91" s="467">
        <f>H15+H16+H20+H23+H26</f>
        <v>102.47999999999999</v>
      </c>
      <c r="D91" s="467"/>
      <c r="E91" s="49">
        <f>H8</f>
        <v>1.0438000000000001</v>
      </c>
      <c r="F91" s="338">
        <f>'0664'!F91</f>
        <v>914.63</v>
      </c>
      <c r="G91" s="41" t="s">
        <v>13</v>
      </c>
      <c r="H91" s="104">
        <f>ROUND(C91*E91*F91,2)</f>
        <v>97836.71</v>
      </c>
      <c r="N91" s="53" t="s">
        <v>14</v>
      </c>
      <c r="O91" s="50">
        <f>T15+T16+T20+T23+T26</f>
        <v>0</v>
      </c>
      <c r="P91" s="490">
        <f>T8</f>
        <v>1.0438000000000001</v>
      </c>
      <c r="Q91" s="490"/>
      <c r="R91" s="51">
        <f>F91</f>
        <v>914.63</v>
      </c>
      <c r="S91" s="42" t="s">
        <v>13</v>
      </c>
      <c r="T91" s="134">
        <f>ROUND(O91*P91*R91,0)</f>
        <v>0</v>
      </c>
      <c r="U91" s="54"/>
    </row>
    <row r="92" spans="1:21" ht="16.5" thickBot="1" x14ac:dyDescent="0.3">
      <c r="A92" s="55"/>
      <c r="B92" s="55" t="s">
        <v>146</v>
      </c>
      <c r="C92" s="467">
        <f>H17+H18+H21+H24+H27+H28</f>
        <v>0</v>
      </c>
      <c r="D92" s="467"/>
      <c r="E92" s="49">
        <f>H8</f>
        <v>1.0438000000000001</v>
      </c>
      <c r="F92" s="338">
        <f>'0664'!F92</f>
        <v>916.84</v>
      </c>
      <c r="G92" s="41" t="s">
        <v>13</v>
      </c>
      <c r="H92" s="97">
        <f>ROUND(C92*E92*F92,2)</f>
        <v>0</v>
      </c>
      <c r="N92" s="56" t="s">
        <v>15</v>
      </c>
      <c r="O92" s="57">
        <f>T17+T18+T21+T24+T27+T28</f>
        <v>0</v>
      </c>
      <c r="P92" s="490">
        <f>T8</f>
        <v>1.0438000000000001</v>
      </c>
      <c r="Q92" s="490"/>
      <c r="R92" s="51">
        <f>F92</f>
        <v>916.84</v>
      </c>
      <c r="S92" s="42" t="s">
        <v>13</v>
      </c>
      <c r="T92" s="134">
        <f>ROUND(O92*P92*R92,0)</f>
        <v>0</v>
      </c>
      <c r="U92" s="54"/>
    </row>
    <row r="93" spans="1:21" ht="16.5" thickBot="1" x14ac:dyDescent="0.3">
      <c r="A93" s="58"/>
      <c r="B93" s="142" t="s">
        <v>145</v>
      </c>
      <c r="C93" s="469">
        <f>SUM(C90:C92)</f>
        <v>381.14930000000004</v>
      </c>
      <c r="D93" s="469"/>
      <c r="E93" s="143"/>
      <c r="F93" s="143"/>
      <c r="G93" s="143"/>
      <c r="H93" s="144" t="s">
        <v>143</v>
      </c>
      <c r="I93" s="104">
        <f>IF(A1=75,0,H92+H91+H90)</f>
        <v>376477.52</v>
      </c>
      <c r="N93" s="59" t="s">
        <v>120</v>
      </c>
      <c r="O93" s="60">
        <f>SUM(O90:O92)</f>
        <v>0</v>
      </c>
      <c r="P93" s="491" t="s">
        <v>18</v>
      </c>
      <c r="Q93" s="492"/>
      <c r="R93" s="492"/>
      <c r="S93" s="492"/>
      <c r="T93" s="492"/>
      <c r="U93" s="99">
        <f>IF(N1=75,0,T92+T91+T90)</f>
        <v>0</v>
      </c>
    </row>
    <row r="94" spans="1:21" ht="16.5" thickTop="1" x14ac:dyDescent="0.25">
      <c r="A94" s="540" t="s">
        <v>90</v>
      </c>
      <c r="B94" s="540"/>
      <c r="C94" s="540"/>
      <c r="D94" s="540"/>
      <c r="E94" s="540"/>
      <c r="F94" s="540"/>
      <c r="G94" s="540"/>
      <c r="H94" s="540"/>
      <c r="I94" s="540"/>
      <c r="N94" s="493" t="s">
        <v>90</v>
      </c>
      <c r="O94" s="493"/>
      <c r="P94" s="493"/>
      <c r="Q94" s="493"/>
      <c r="R94" s="493"/>
      <c r="S94" s="493"/>
      <c r="T94" s="493"/>
      <c r="U94" s="493"/>
    </row>
    <row r="95" spans="1:21" x14ac:dyDescent="0.25">
      <c r="A95" s="145"/>
      <c r="B95" s="145"/>
      <c r="C95" s="145"/>
      <c r="D95" s="145"/>
      <c r="E95" s="145"/>
      <c r="F95" s="145"/>
      <c r="G95" s="145"/>
      <c r="H95" s="145"/>
      <c r="I95" s="145"/>
      <c r="N95" s="146"/>
      <c r="O95" s="146"/>
      <c r="P95" s="146"/>
      <c r="Q95" s="146"/>
      <c r="R95" s="146"/>
      <c r="S95" s="146"/>
      <c r="T95" s="146"/>
      <c r="U95" s="146"/>
    </row>
    <row r="96" spans="1:21" x14ac:dyDescent="0.25">
      <c r="A96" s="84" t="s">
        <v>446</v>
      </c>
      <c r="C96" s="46"/>
      <c r="D96" s="72"/>
      <c r="E96" s="46" t="s">
        <v>100</v>
      </c>
      <c r="F96" s="471"/>
      <c r="G96" s="471"/>
      <c r="H96" s="471"/>
      <c r="I96" s="471"/>
      <c r="N96" s="478" t="s">
        <v>426</v>
      </c>
      <c r="O96" s="479"/>
      <c r="P96" s="479"/>
      <c r="Q96" s="494"/>
      <c r="R96" s="494"/>
      <c r="S96" s="494"/>
      <c r="T96" s="494"/>
      <c r="U96" s="106"/>
    </row>
    <row r="97" spans="1:21" x14ac:dyDescent="0.25">
      <c r="B97" s="72"/>
      <c r="C97" s="91" t="s">
        <v>409</v>
      </c>
      <c r="D97" s="371" t="s">
        <v>410</v>
      </c>
      <c r="E97" s="92" t="s">
        <v>151</v>
      </c>
      <c r="F97" s="46"/>
      <c r="G97" s="46"/>
      <c r="H97" s="46"/>
      <c r="I97" s="46"/>
      <c r="N97" s="48"/>
      <c r="O97" s="48"/>
      <c r="P97" s="48"/>
      <c r="Q97" s="147"/>
      <c r="R97" s="147"/>
      <c r="S97" s="147"/>
      <c r="T97" s="147"/>
      <c r="U97" s="106"/>
    </row>
    <row r="98" spans="1:21" x14ac:dyDescent="0.25">
      <c r="B98" s="72"/>
      <c r="C98" s="362" t="s">
        <v>2</v>
      </c>
      <c r="D98" s="362" t="s">
        <v>2</v>
      </c>
      <c r="E98" s="362" t="s">
        <v>2</v>
      </c>
      <c r="F98" s="46"/>
      <c r="G98" s="46"/>
      <c r="H98" s="46"/>
      <c r="I98" s="46"/>
      <c r="N98" s="48"/>
      <c r="O98" s="48"/>
      <c r="P98" s="48"/>
      <c r="Q98" s="147"/>
      <c r="R98" s="147"/>
      <c r="S98" s="147"/>
      <c r="T98" s="147"/>
      <c r="U98" s="106"/>
    </row>
    <row r="99" spans="1:21" x14ac:dyDescent="0.25">
      <c r="A99" s="536" t="s">
        <v>470</v>
      </c>
      <c r="B99" s="461"/>
      <c r="C99" s="165">
        <v>1</v>
      </c>
      <c r="D99" s="165">
        <v>0</v>
      </c>
      <c r="E99" s="125">
        <f>C99</f>
        <v>1</v>
      </c>
      <c r="F99" s="148" t="s">
        <v>39</v>
      </c>
      <c r="G99" s="339">
        <f>'0664'!G99</f>
        <v>558</v>
      </c>
      <c r="I99" s="104">
        <f>ROUND(G99*E99,2)</f>
        <v>558</v>
      </c>
      <c r="N99" s="488" t="s">
        <v>65</v>
      </c>
      <c r="O99" s="488"/>
      <c r="P99" s="489">
        <f>IF(H120=1,E99,0)</f>
        <v>0</v>
      </c>
      <c r="Q99" s="489"/>
      <c r="R99" s="489"/>
      <c r="S99" s="86" t="s">
        <v>39</v>
      </c>
      <c r="T99" s="61">
        <f>G99</f>
        <v>558</v>
      </c>
      <c r="U99" s="99">
        <f>ROUND(T99*P99,0)</f>
        <v>0</v>
      </c>
    </row>
    <row r="100" spans="1:21" x14ac:dyDescent="0.25">
      <c r="A100" s="536" t="s">
        <v>471</v>
      </c>
      <c r="B100" s="461"/>
      <c r="C100" s="165">
        <v>0</v>
      </c>
      <c r="D100" s="165">
        <v>0</v>
      </c>
      <c r="E100" s="125">
        <f>C100</f>
        <v>0</v>
      </c>
      <c r="F100" s="148" t="s">
        <v>39</v>
      </c>
      <c r="G100" s="339">
        <f>'0664'!G100</f>
        <v>1707</v>
      </c>
      <c r="I100" s="104">
        <f>ROUND(G100*E100,2)</f>
        <v>0</v>
      </c>
      <c r="N100" s="488" t="s">
        <v>81</v>
      </c>
      <c r="O100" s="488"/>
      <c r="P100" s="483"/>
      <c r="Q100" s="483"/>
      <c r="R100" s="483"/>
      <c r="S100" s="86" t="s">
        <v>39</v>
      </c>
      <c r="T100" s="61">
        <f>G100</f>
        <v>1707</v>
      </c>
      <c r="U100" s="99">
        <f>ROUND(T100*P100,0)</f>
        <v>0</v>
      </c>
    </row>
    <row r="101" spans="1:21" x14ac:dyDescent="0.25">
      <c r="A101" s="149"/>
      <c r="B101" s="149"/>
      <c r="C101" s="68"/>
      <c r="D101" s="68"/>
      <c r="E101" s="68"/>
      <c r="F101" s="68"/>
      <c r="G101" s="150"/>
      <c r="H101" s="151"/>
      <c r="I101" s="104"/>
      <c r="N101" s="152"/>
      <c r="O101" s="152"/>
      <c r="P101" s="153"/>
      <c r="Q101" s="153"/>
      <c r="R101" s="153"/>
      <c r="S101" s="86"/>
      <c r="T101" s="61"/>
      <c r="U101" s="106"/>
    </row>
    <row r="102" spans="1:21" x14ac:dyDescent="0.25">
      <c r="A102" s="149"/>
      <c r="B102" s="149"/>
      <c r="C102" s="68"/>
      <c r="D102" s="68"/>
      <c r="E102" s="68"/>
      <c r="F102" s="68"/>
      <c r="G102" s="150"/>
      <c r="H102" s="151"/>
      <c r="I102" s="104"/>
      <c r="N102" s="152"/>
      <c r="O102" s="152"/>
      <c r="P102" s="153"/>
      <c r="Q102" s="153"/>
      <c r="R102" s="153"/>
      <c r="S102" s="86"/>
      <c r="T102" s="61"/>
      <c r="U102" s="106"/>
    </row>
    <row r="103" spans="1:21" hidden="1" x14ac:dyDescent="0.25">
      <c r="A103" s="463" t="s">
        <v>447</v>
      </c>
      <c r="B103" s="453"/>
      <c r="C103" s="453"/>
      <c r="D103" s="72"/>
      <c r="E103" s="41" t="s">
        <v>41</v>
      </c>
      <c r="F103" s="466"/>
      <c r="G103" s="466"/>
      <c r="H103" s="466"/>
      <c r="I103" s="466"/>
      <c r="N103" s="478" t="s">
        <v>362</v>
      </c>
      <c r="O103" s="479"/>
      <c r="P103" s="479"/>
      <c r="Q103" s="479"/>
      <c r="R103" s="479"/>
      <c r="S103" s="479"/>
      <c r="T103" s="479"/>
      <c r="U103" s="479"/>
    </row>
    <row r="104" spans="1:21" hidden="1" x14ac:dyDescent="0.25">
      <c r="B104" s="72"/>
      <c r="C104" s="462" t="s">
        <v>91</v>
      </c>
      <c r="D104" s="462"/>
      <c r="E104" s="462"/>
      <c r="F104" s="39"/>
      <c r="G104" s="39"/>
      <c r="H104" s="41" t="s">
        <v>152</v>
      </c>
      <c r="I104" s="39"/>
      <c r="N104" s="48"/>
      <c r="O104" s="48"/>
      <c r="P104" s="48"/>
      <c r="Q104" s="48"/>
      <c r="R104" s="48"/>
      <c r="S104" s="48"/>
      <c r="T104" s="48"/>
      <c r="U104" s="48"/>
    </row>
    <row r="105" spans="1:21" hidden="1" x14ac:dyDescent="0.25">
      <c r="B105" s="72"/>
      <c r="C105" s="91" t="s">
        <v>371</v>
      </c>
      <c r="D105" s="91" t="s">
        <v>351</v>
      </c>
      <c r="E105" s="159" t="s">
        <v>8</v>
      </c>
      <c r="F105" s="464" t="s">
        <v>153</v>
      </c>
      <c r="G105" s="466"/>
      <c r="H105" s="39" t="s">
        <v>38</v>
      </c>
      <c r="I105" s="39"/>
      <c r="N105" s="48"/>
      <c r="O105" s="48"/>
      <c r="P105" s="48"/>
      <c r="Q105" s="48"/>
      <c r="R105" s="48"/>
      <c r="S105" s="48"/>
      <c r="T105" s="48"/>
      <c r="U105" s="48"/>
    </row>
    <row r="106" spans="1:21" hidden="1" x14ac:dyDescent="0.25">
      <c r="A106" s="462" t="s">
        <v>94</v>
      </c>
      <c r="B106" s="462"/>
      <c r="C106" s="93" t="s">
        <v>2</v>
      </c>
      <c r="D106" s="93" t="s">
        <v>2</v>
      </c>
      <c r="E106" s="62" t="s">
        <v>2</v>
      </c>
      <c r="F106" s="462" t="s">
        <v>37</v>
      </c>
      <c r="G106" s="462"/>
      <c r="H106" s="62" t="s">
        <v>37</v>
      </c>
      <c r="I106" s="62" t="s">
        <v>8</v>
      </c>
      <c r="N106" s="484" t="s">
        <v>66</v>
      </c>
      <c r="O106" s="484"/>
      <c r="P106" s="489" t="s">
        <v>91</v>
      </c>
      <c r="Q106" s="489"/>
      <c r="R106" s="484" t="s">
        <v>67</v>
      </c>
      <c r="S106" s="484"/>
      <c r="T106" s="63" t="s">
        <v>68</v>
      </c>
      <c r="U106" s="63" t="s">
        <v>8</v>
      </c>
    </row>
    <row r="107" spans="1:21" hidden="1" x14ac:dyDescent="0.25">
      <c r="A107" s="473" t="s">
        <v>69</v>
      </c>
      <c r="B107" s="473"/>
      <c r="C107" s="163">
        <v>0</v>
      </c>
      <c r="D107" s="163">
        <v>0</v>
      </c>
      <c r="E107" s="210">
        <f>IF(D$59=0,C107*2,C107+D107)</f>
        <v>0</v>
      </c>
      <c r="F107" s="474">
        <v>0</v>
      </c>
      <c r="G107" s="474"/>
      <c r="H107" s="250">
        <f>IF(C107=0,0,125)</f>
        <v>0</v>
      </c>
      <c r="I107" s="104">
        <f>ROUND((H107+F107)*E107,2)</f>
        <v>0</v>
      </c>
      <c r="N107" s="479" t="s">
        <v>69</v>
      </c>
      <c r="O107" s="479"/>
      <c r="P107" s="483">
        <f>IF(H$120=1,C107,0)</f>
        <v>0</v>
      </c>
      <c r="Q107" s="483"/>
      <c r="R107" s="486">
        <f>F107</f>
        <v>0</v>
      </c>
      <c r="S107" s="486"/>
      <c r="T107" s="65">
        <f>H107</f>
        <v>0</v>
      </c>
      <c r="U107" s="99">
        <f>ROUND((T107+R107)*P107,0)</f>
        <v>0</v>
      </c>
    </row>
    <row r="108" spans="1:21" hidden="1" x14ac:dyDescent="0.25">
      <c r="A108" s="456" t="s">
        <v>70</v>
      </c>
      <c r="B108" s="456"/>
      <c r="C108" s="165">
        <v>0</v>
      </c>
      <c r="D108" s="165">
        <v>0</v>
      </c>
      <c r="E108" s="125">
        <f>IF(D$59=0,C108*2,C108+D108)</f>
        <v>0</v>
      </c>
      <c r="F108" s="468">
        <f>ROUND(F107/2,2)</f>
        <v>0</v>
      </c>
      <c r="G108" s="468"/>
      <c r="H108" s="250">
        <f>IF(C108=0,0,62.5)</f>
        <v>0</v>
      </c>
      <c r="I108" s="104">
        <f>ROUND((H108+F108)*E108,2)</f>
        <v>0</v>
      </c>
      <c r="N108" s="479" t="s">
        <v>70</v>
      </c>
      <c r="O108" s="479"/>
      <c r="P108" s="483">
        <f>IF(H$120=1,C108,0)</f>
        <v>0</v>
      </c>
      <c r="Q108" s="483"/>
      <c r="R108" s="487">
        <f>ROUND(R107/2,2)</f>
        <v>0</v>
      </c>
      <c r="S108" s="487"/>
      <c r="T108" s="65">
        <f>H108</f>
        <v>0</v>
      </c>
      <c r="U108" s="99">
        <f>ROUND((T108+R108)*P108,0)</f>
        <v>0</v>
      </c>
    </row>
    <row r="109" spans="1:21" ht="16.5" hidden="1" thickBot="1" x14ac:dyDescent="0.3">
      <c r="A109" s="456" t="s">
        <v>71</v>
      </c>
      <c r="B109" s="456"/>
      <c r="C109" s="165">
        <v>0</v>
      </c>
      <c r="D109" s="165">
        <v>0</v>
      </c>
      <c r="E109" s="125">
        <f>IF(D$59=0,C109*2,C109+D109)</f>
        <v>0</v>
      </c>
      <c r="F109" s="475"/>
      <c r="G109" s="475"/>
      <c r="H109" s="251">
        <f>IF(H107&gt;0,436,0)</f>
        <v>0</v>
      </c>
      <c r="I109" s="104">
        <f>ROUND(H109*E109,2)</f>
        <v>0</v>
      </c>
      <c r="N109" s="482" t="s">
        <v>71</v>
      </c>
      <c r="O109" s="482"/>
      <c r="P109" s="483">
        <f>IF(H$120=1,C109,0)</f>
        <v>0</v>
      </c>
      <c r="Q109" s="483"/>
      <c r="R109" s="484"/>
      <c r="S109" s="484"/>
      <c r="T109" s="67">
        <f>H109</f>
        <v>0</v>
      </c>
      <c r="U109" s="106">
        <f>ROUND(T109*P109,0)</f>
        <v>0</v>
      </c>
    </row>
    <row r="110" spans="1:21" ht="16.5" hidden="1" thickBot="1" x14ac:dyDescent="0.3">
      <c r="A110" s="466" t="s">
        <v>8</v>
      </c>
      <c r="B110" s="466"/>
      <c r="C110" s="68"/>
      <c r="D110" s="68"/>
      <c r="E110" s="68"/>
      <c r="F110" s="68"/>
      <c r="G110" s="68"/>
      <c r="H110" s="68"/>
      <c r="I110" s="100">
        <f>SUM(I107:I109)</f>
        <v>0</v>
      </c>
      <c r="N110" s="485" t="s">
        <v>8</v>
      </c>
      <c r="O110" s="485"/>
      <c r="P110" s="69"/>
      <c r="Q110" s="69"/>
      <c r="R110" s="69"/>
      <c r="S110" s="69"/>
      <c r="T110" s="69"/>
      <c r="U110" s="70">
        <f>SUM(U107:U109)</f>
        <v>0</v>
      </c>
    </row>
    <row r="111" spans="1:21" hidden="1" x14ac:dyDescent="0.25">
      <c r="A111" s="39"/>
      <c r="B111" s="39"/>
      <c r="C111" s="68"/>
      <c r="D111" s="68"/>
      <c r="E111" s="68"/>
      <c r="F111" s="68"/>
      <c r="G111" s="68"/>
      <c r="H111" s="68"/>
      <c r="I111" s="104"/>
      <c r="N111" s="40"/>
      <c r="O111" s="40"/>
      <c r="P111" s="69"/>
      <c r="Q111" s="69"/>
      <c r="R111" s="69"/>
      <c r="S111" s="69"/>
      <c r="T111" s="69"/>
      <c r="U111" s="160"/>
    </row>
    <row r="112" spans="1:21" x14ac:dyDescent="0.25">
      <c r="A112" s="463" t="s">
        <v>448</v>
      </c>
      <c r="B112" s="453"/>
      <c r="C112" s="453"/>
      <c r="D112" s="72"/>
      <c r="E112" s="71" t="s">
        <v>354</v>
      </c>
      <c r="F112" s="472"/>
      <c r="G112" s="472"/>
      <c r="H112" s="472"/>
      <c r="I112" s="125">
        <v>0</v>
      </c>
      <c r="N112" s="478" t="s">
        <v>427</v>
      </c>
      <c r="O112" s="479"/>
      <c r="P112" s="479"/>
      <c r="Q112" s="341"/>
      <c r="R112" s="341"/>
      <c r="S112" s="341"/>
      <c r="T112" s="341"/>
      <c r="U112" s="99">
        <f>IF($H$120=1,I112,0)</f>
        <v>0</v>
      </c>
    </row>
    <row r="113" spans="1:21" x14ac:dyDescent="0.25">
      <c r="A113" s="463" t="s">
        <v>449</v>
      </c>
      <c r="B113" s="453"/>
      <c r="C113" s="453"/>
      <c r="D113" s="72"/>
      <c r="E113" s="71" t="s">
        <v>45</v>
      </c>
      <c r="F113" s="472"/>
      <c r="G113" s="472"/>
      <c r="H113" s="472"/>
      <c r="I113" s="177">
        <v>0</v>
      </c>
      <c r="N113" s="478" t="s">
        <v>428</v>
      </c>
      <c r="O113" s="479"/>
      <c r="P113" s="479"/>
      <c r="Q113" s="341"/>
      <c r="R113" s="341"/>
      <c r="S113" s="341"/>
      <c r="T113" s="341"/>
      <c r="U113" s="99">
        <f>IF($H$120=1,I113,0)</f>
        <v>0</v>
      </c>
    </row>
    <row r="114" spans="1:21" ht="16.5" thickBot="1" x14ac:dyDescent="0.3">
      <c r="B114" s="72"/>
      <c r="C114" s="72"/>
      <c r="D114" s="72"/>
      <c r="E114" s="71"/>
      <c r="F114" s="71"/>
      <c r="G114" s="71"/>
      <c r="H114" s="71"/>
      <c r="I114" s="125"/>
      <c r="N114" s="480" t="s">
        <v>42</v>
      </c>
      <c r="O114" s="480"/>
      <c r="P114" s="480"/>
      <c r="Q114" s="480"/>
      <c r="R114" s="480"/>
      <c r="S114" s="480"/>
      <c r="T114" s="480"/>
      <c r="U114" s="154">
        <f>SUM(U112,U110,U100,U99,U93,U77,U76,U74,U73,U72,U71,U70,U68,U59,U45,U78,U79,U80,U85,U113)</f>
        <v>0</v>
      </c>
    </row>
    <row r="115" spans="1:21" ht="16.5" thickTop="1" x14ac:dyDescent="0.25">
      <c r="A115" s="461" t="s">
        <v>8</v>
      </c>
      <c r="B115" s="461"/>
      <c r="C115" s="461"/>
      <c r="D115" s="461"/>
      <c r="E115" s="461"/>
      <c r="F115" s="461"/>
      <c r="G115" s="461"/>
      <c r="H115" s="461"/>
      <c r="I115" s="97">
        <f>SUM(I113,I112,I110,I100,I99,I93,I85,I84,I80,I79,I78,I77,I76,I74,I73,I72,I71,I70,I68,I59,I45)</f>
        <v>2893616.1999999997</v>
      </c>
      <c r="N115" s="29"/>
      <c r="O115" s="29"/>
      <c r="P115" s="29"/>
      <c r="Q115" s="29"/>
      <c r="R115" s="29"/>
      <c r="S115" s="29"/>
      <c r="T115" s="29"/>
      <c r="U115" s="160"/>
    </row>
    <row r="116" spans="1:21" x14ac:dyDescent="0.25">
      <c r="A116" s="27"/>
      <c r="B116" s="27"/>
      <c r="C116" s="27"/>
      <c r="D116" s="27"/>
      <c r="E116" s="27"/>
      <c r="F116" s="27"/>
      <c r="G116" s="27"/>
      <c r="H116" s="27"/>
      <c r="I116" s="104"/>
      <c r="N116" s="29"/>
      <c r="O116" s="29"/>
      <c r="P116" s="29"/>
      <c r="Q116" s="29"/>
      <c r="R116" s="29"/>
      <c r="S116" s="29"/>
      <c r="T116" s="29"/>
      <c r="U116" s="160"/>
    </row>
    <row r="117" spans="1:21" x14ac:dyDescent="0.25">
      <c r="A117" s="432" t="s">
        <v>467</v>
      </c>
      <c r="B117" s="27"/>
      <c r="C117" s="27"/>
      <c r="D117" s="27"/>
      <c r="E117" s="27"/>
      <c r="F117" s="27"/>
      <c r="G117" s="27"/>
      <c r="H117" s="27"/>
      <c r="I117" s="104">
        <f>I115-I84</f>
        <v>2799948.36</v>
      </c>
      <c r="N117" s="29"/>
      <c r="O117" s="29"/>
      <c r="P117" s="29"/>
      <c r="Q117" s="29"/>
      <c r="R117" s="29"/>
      <c r="S117" s="29"/>
      <c r="T117" s="29"/>
      <c r="U117" s="160"/>
    </row>
    <row r="118" spans="1:21" x14ac:dyDescent="0.25">
      <c r="A118" s="27"/>
      <c r="B118" s="27"/>
      <c r="C118" s="27"/>
      <c r="D118" s="27"/>
      <c r="E118" s="27"/>
      <c r="F118" s="27"/>
      <c r="G118" s="27"/>
      <c r="H118" s="27"/>
      <c r="I118" s="104"/>
      <c r="N118" s="29"/>
      <c r="O118" s="29"/>
      <c r="P118" s="29"/>
      <c r="Q118" s="29"/>
      <c r="R118" s="29"/>
      <c r="S118" s="29"/>
      <c r="T118" s="29"/>
      <c r="U118" s="160"/>
    </row>
    <row r="119" spans="1:21" x14ac:dyDescent="0.25">
      <c r="A119" s="463" t="s">
        <v>468</v>
      </c>
      <c r="B119" s="453"/>
      <c r="C119" s="453"/>
      <c r="D119" s="453"/>
      <c r="E119" s="453"/>
      <c r="F119" s="453"/>
      <c r="G119" s="453"/>
      <c r="H119" s="84" t="s">
        <v>394</v>
      </c>
      <c r="I119" s="156"/>
      <c r="N119" s="481"/>
      <c r="O119" s="481"/>
      <c r="P119" s="481"/>
      <c r="Q119" s="481"/>
      <c r="R119" s="481"/>
      <c r="S119" s="481"/>
      <c r="T119" s="481"/>
      <c r="U119" s="481"/>
    </row>
    <row r="120" spans="1:21" x14ac:dyDescent="0.25">
      <c r="A120" s="453" t="s">
        <v>95</v>
      </c>
      <c r="B120" s="453"/>
      <c r="C120" s="453"/>
      <c r="D120" s="453"/>
      <c r="E120" s="453"/>
      <c r="F120" s="453"/>
      <c r="G120" s="453"/>
      <c r="H120" s="73" t="str">
        <f>IF(E29=0,"",IF((E14+E16+SUM(E18:E24))/E29&gt;0.75,1,""))</f>
        <v/>
      </c>
      <c r="I120" s="125">
        <f>U114</f>
        <v>0</v>
      </c>
      <c r="N120" s="476" t="s">
        <v>7</v>
      </c>
      <c r="O120" s="476"/>
      <c r="P120" s="476"/>
      <c r="Q120" s="476"/>
      <c r="R120" s="476"/>
      <c r="S120" s="476"/>
      <c r="T120" s="476"/>
      <c r="U120" s="476"/>
    </row>
    <row r="121" spans="1:21" x14ac:dyDescent="0.25">
      <c r="B121" s="72"/>
      <c r="C121" s="72"/>
      <c r="D121" s="72"/>
      <c r="E121" s="72"/>
      <c r="F121" s="72"/>
      <c r="G121" s="72"/>
      <c r="H121" s="68"/>
      <c r="I121" s="104"/>
      <c r="N121" s="74" t="s">
        <v>106</v>
      </c>
      <c r="O121" s="74"/>
      <c r="P121" s="74"/>
      <c r="Q121" s="74"/>
      <c r="R121" s="74"/>
      <c r="S121" s="74"/>
      <c r="T121" s="74"/>
      <c r="U121" s="74"/>
    </row>
    <row r="122" spans="1:21" x14ac:dyDescent="0.25">
      <c r="A122" s="3" t="s">
        <v>102</v>
      </c>
      <c r="B122" s="72"/>
      <c r="C122" s="72"/>
      <c r="D122" s="72"/>
      <c r="E122" s="72"/>
      <c r="F122" s="72"/>
      <c r="G122" s="287" t="s">
        <v>290</v>
      </c>
      <c r="H122" s="161">
        <f>IF(H120=1,I120,I117)</f>
        <v>2799948.36</v>
      </c>
      <c r="I122" s="97">
        <f>ROUND(IF(E29=0,0,IF(E29&gt;250,-(((250/E29)*H122)*IF(G122="H",0.02,0.05)),IF(G122="H",-0.02*H122,-0.05*H122))),2)</f>
        <v>-40056.49</v>
      </c>
      <c r="N122" s="75" t="s">
        <v>107</v>
      </c>
      <c r="O122" s="74"/>
      <c r="P122" s="74"/>
      <c r="Q122" s="74"/>
      <c r="R122" s="74"/>
      <c r="S122" s="74"/>
      <c r="T122" s="74"/>
      <c r="U122" s="74"/>
    </row>
    <row r="123" spans="1:21" x14ac:dyDescent="0.25">
      <c r="B123" s="72"/>
      <c r="C123" s="72"/>
      <c r="D123" s="72"/>
      <c r="E123" s="72"/>
      <c r="F123" s="72"/>
      <c r="G123" s="72"/>
      <c r="H123" s="68"/>
      <c r="I123" s="104"/>
      <c r="N123" s="76"/>
      <c r="O123" s="76"/>
      <c r="P123" s="76"/>
      <c r="Q123" s="76"/>
      <c r="R123" s="76"/>
      <c r="S123" s="76"/>
      <c r="T123" s="76"/>
      <c r="U123" s="76"/>
    </row>
    <row r="124" spans="1:21" x14ac:dyDescent="0.25">
      <c r="A124" s="345" t="s">
        <v>103</v>
      </c>
      <c r="B124" s="346"/>
      <c r="C124" s="346"/>
      <c r="D124" s="346"/>
      <c r="E124" s="346"/>
      <c r="F124" s="346"/>
      <c r="G124" s="346"/>
      <c r="H124" s="347"/>
      <c r="I124" s="348">
        <f>I115+I122</f>
        <v>2853559.7099999995</v>
      </c>
      <c r="N124" s="76"/>
      <c r="O124" s="76"/>
      <c r="P124" s="76"/>
      <c r="Q124" s="76"/>
      <c r="R124" s="76"/>
      <c r="S124" s="76"/>
      <c r="T124" s="76"/>
      <c r="U124" s="76"/>
    </row>
    <row r="125" spans="1:21" x14ac:dyDescent="0.25">
      <c r="B125" s="72"/>
      <c r="C125" s="72"/>
      <c r="D125" s="72"/>
      <c r="E125" s="72"/>
      <c r="F125" s="72"/>
      <c r="G125" s="72"/>
      <c r="H125" s="68"/>
      <c r="I125" s="104"/>
      <c r="N125" s="76"/>
      <c r="O125" s="76"/>
      <c r="P125" s="76"/>
      <c r="Q125" s="76"/>
      <c r="R125" s="76"/>
      <c r="S125" s="76"/>
      <c r="T125" s="76"/>
      <c r="U125" s="76"/>
    </row>
    <row r="126" spans="1:21" x14ac:dyDescent="0.25">
      <c r="A126" s="3" t="s">
        <v>104</v>
      </c>
      <c r="B126" s="72"/>
      <c r="C126" s="162"/>
      <c r="D126" s="72"/>
      <c r="F126" s="72"/>
      <c r="G126" s="72"/>
      <c r="H126" s="68"/>
      <c r="I126" s="302">
        <v>-2100070.86</v>
      </c>
      <c r="N126" s="76"/>
      <c r="O126" s="76"/>
      <c r="P126" s="76"/>
      <c r="Q126" s="76"/>
      <c r="R126" s="76"/>
      <c r="S126" s="76"/>
      <c r="T126" s="76"/>
      <c r="U126" s="76"/>
    </row>
    <row r="127" spans="1:21" x14ac:dyDescent="0.25">
      <c r="B127" s="72"/>
      <c r="C127" s="72"/>
      <c r="D127" s="72"/>
      <c r="E127" s="72"/>
      <c r="F127" s="72"/>
      <c r="G127" s="72"/>
      <c r="H127" s="68"/>
      <c r="I127" s="104"/>
      <c r="N127" s="76"/>
      <c r="O127" s="76"/>
      <c r="P127" s="76"/>
      <c r="Q127" s="76"/>
      <c r="R127" s="76"/>
      <c r="S127" s="76"/>
      <c r="T127" s="76"/>
      <c r="U127" s="76"/>
    </row>
    <row r="128" spans="1:21" x14ac:dyDescent="0.25">
      <c r="A128" s="84" t="s">
        <v>297</v>
      </c>
      <c r="B128" s="72"/>
      <c r="C128" s="72"/>
      <c r="D128" s="72"/>
      <c r="E128" s="72"/>
      <c r="F128" s="72"/>
      <c r="G128" s="72"/>
      <c r="H128" s="68"/>
      <c r="I128" s="104">
        <f>I124+I126</f>
        <v>753488.84999999963</v>
      </c>
      <c r="N128" s="76"/>
      <c r="O128" s="76"/>
      <c r="P128" s="76"/>
      <c r="Q128" s="76"/>
      <c r="R128" s="76"/>
      <c r="S128" s="76"/>
      <c r="T128" s="76"/>
      <c r="U128" s="76"/>
    </row>
    <row r="129" spans="1:21" x14ac:dyDescent="0.25">
      <c r="A129" s="84"/>
      <c r="B129" s="72"/>
      <c r="C129" s="72"/>
      <c r="D129" s="72"/>
      <c r="E129" s="72"/>
      <c r="F129" s="72"/>
      <c r="G129" s="72"/>
      <c r="H129" s="68"/>
      <c r="I129" s="104"/>
      <c r="N129" s="76"/>
      <c r="O129" s="76"/>
      <c r="P129" s="76"/>
      <c r="Q129" s="76"/>
      <c r="R129" s="76"/>
      <c r="S129" s="76"/>
      <c r="T129" s="76"/>
      <c r="U129" s="76"/>
    </row>
    <row r="130" spans="1:21" x14ac:dyDescent="0.25">
      <c r="A130" s="84" t="s">
        <v>298</v>
      </c>
      <c r="B130" s="72"/>
      <c r="C130" s="72"/>
      <c r="D130" s="72"/>
      <c r="E130" s="72"/>
      <c r="F130" s="72"/>
      <c r="G130" s="72"/>
      <c r="H130" s="68"/>
      <c r="I130" s="303">
        <f>'0664'!I130</f>
        <v>3</v>
      </c>
      <c r="N130" s="76"/>
      <c r="O130" s="76"/>
      <c r="P130" s="76"/>
      <c r="Q130" s="76"/>
      <c r="R130" s="76"/>
      <c r="S130" s="76"/>
      <c r="T130" s="76"/>
      <c r="U130" s="76"/>
    </row>
    <row r="131" spans="1:21" x14ac:dyDescent="0.25">
      <c r="B131" s="72"/>
      <c r="C131" s="72"/>
      <c r="D131" s="72"/>
      <c r="E131" s="72"/>
      <c r="F131" s="72"/>
      <c r="G131" s="72"/>
      <c r="H131" s="68"/>
      <c r="I131" s="104"/>
      <c r="N131" s="76"/>
      <c r="O131" s="76"/>
      <c r="P131" s="76"/>
      <c r="Q131" s="76"/>
      <c r="R131" s="76"/>
      <c r="S131" s="76"/>
      <c r="T131" s="76"/>
      <c r="U131" s="76"/>
    </row>
    <row r="132" spans="1:21" ht="16.5" thickBot="1" x14ac:dyDescent="0.3">
      <c r="A132" s="3" t="s">
        <v>105</v>
      </c>
      <c r="B132" s="72"/>
      <c r="C132" s="72"/>
      <c r="D132" s="72"/>
      <c r="E132" s="72"/>
      <c r="F132" s="72"/>
      <c r="G132" s="72"/>
      <c r="H132" s="68"/>
      <c r="I132" s="178">
        <f>ROUND(I128/I130,2)</f>
        <v>251162.95</v>
      </c>
      <c r="N132" s="76"/>
      <c r="O132" s="76"/>
      <c r="P132" s="76"/>
      <c r="Q132" s="76"/>
      <c r="R132" s="76"/>
      <c r="S132" s="76"/>
      <c r="T132" s="76"/>
      <c r="U132" s="76"/>
    </row>
    <row r="133" spans="1:21" ht="16.5" thickTop="1" x14ac:dyDescent="0.25">
      <c r="B133" s="72"/>
      <c r="C133" s="72"/>
      <c r="D133" s="72"/>
      <c r="E133" s="72"/>
      <c r="F133" s="72"/>
      <c r="G133" s="72"/>
      <c r="H133" s="68"/>
      <c r="I133" s="104"/>
      <c r="N133" s="76"/>
      <c r="O133" s="76"/>
      <c r="P133" s="76"/>
      <c r="Q133" s="76"/>
      <c r="R133" s="76"/>
      <c r="S133" s="76"/>
      <c r="T133" s="76"/>
      <c r="U133" s="76"/>
    </row>
    <row r="134" spans="1:21" ht="16.5" thickBot="1" x14ac:dyDescent="0.3">
      <c r="A134" s="3" t="s">
        <v>121</v>
      </c>
      <c r="B134" s="72"/>
      <c r="C134" s="72"/>
      <c r="D134" s="72"/>
      <c r="E134" s="72"/>
      <c r="F134" s="72"/>
      <c r="G134" s="72"/>
      <c r="H134" s="68"/>
      <c r="I134" s="155">
        <f>ROUND(IF(G122="H",(H122*0.02)+I122,(H122*0.05)+I122),2)</f>
        <v>15942.48</v>
      </c>
      <c r="N134" s="76"/>
      <c r="O134" s="76"/>
      <c r="P134" s="76"/>
      <c r="Q134" s="76"/>
      <c r="R134" s="76"/>
      <c r="S134" s="76"/>
      <c r="T134" s="76"/>
      <c r="U134" s="76"/>
    </row>
    <row r="135" spans="1:21" ht="16.5" thickTop="1" x14ac:dyDescent="0.25">
      <c r="B135" s="72"/>
      <c r="C135" s="72"/>
      <c r="D135" s="72"/>
      <c r="E135" s="72"/>
      <c r="F135" s="72"/>
      <c r="G135" s="72"/>
      <c r="H135" s="68"/>
      <c r="I135" s="156"/>
      <c r="N135" s="76"/>
      <c r="O135" s="76"/>
      <c r="P135" s="76"/>
      <c r="Q135" s="76"/>
      <c r="R135" s="76"/>
      <c r="S135" s="76"/>
      <c r="T135" s="76"/>
      <c r="U135" s="76"/>
    </row>
    <row r="136" spans="1:21" x14ac:dyDescent="0.25">
      <c r="B136" s="72"/>
      <c r="C136" s="72"/>
      <c r="D136" s="72"/>
      <c r="E136" s="72"/>
      <c r="F136" s="72"/>
      <c r="G136" s="72"/>
      <c r="H136" s="68"/>
      <c r="I136" s="104"/>
      <c r="N136" s="76"/>
      <c r="O136" s="76"/>
      <c r="P136" s="76"/>
      <c r="Q136" s="76"/>
      <c r="R136" s="76"/>
      <c r="S136" s="76"/>
      <c r="T136" s="76"/>
      <c r="U136" s="76"/>
    </row>
    <row r="137" spans="1:21" x14ac:dyDescent="0.25">
      <c r="B137" s="72"/>
      <c r="C137" s="72"/>
      <c r="D137" s="72"/>
      <c r="E137" s="72"/>
      <c r="F137" s="72"/>
      <c r="G137" s="72"/>
      <c r="H137" s="68"/>
      <c r="I137" s="156"/>
      <c r="N137" s="76"/>
      <c r="O137" s="76"/>
      <c r="P137" s="76"/>
      <c r="Q137" s="76"/>
      <c r="R137" s="76"/>
      <c r="S137" s="76"/>
      <c r="T137" s="76"/>
      <c r="U137" s="76"/>
    </row>
    <row r="138" spans="1:21" x14ac:dyDescent="0.25">
      <c r="A138" s="281" t="s">
        <v>7</v>
      </c>
      <c r="B138" s="281"/>
      <c r="C138" s="281"/>
      <c r="D138" s="281"/>
      <c r="E138" s="281"/>
      <c r="F138" s="281"/>
      <c r="G138" s="281"/>
      <c r="H138" s="281"/>
      <c r="I138" s="281"/>
      <c r="J138" s="156"/>
      <c r="N138" s="76"/>
      <c r="O138" s="76"/>
      <c r="P138" s="76"/>
      <c r="Q138" s="76"/>
      <c r="R138" s="76"/>
      <c r="S138" s="76"/>
      <c r="T138" s="76"/>
      <c r="U138" s="76"/>
    </row>
    <row r="139" spans="1:21" ht="15.75" customHeight="1" x14ac:dyDescent="0.25">
      <c r="A139" s="356" t="str">
        <f>'0664'!A139</f>
        <v>(a) Additional FTE includes FTE earned through Advanced Placement, International Baccalaureate, Advanced International Certificate of Education, Industry Certified Career</v>
      </c>
      <c r="B139" s="357"/>
      <c r="C139" s="357"/>
      <c r="D139" s="357"/>
      <c r="E139" s="357"/>
      <c r="F139" s="357"/>
      <c r="G139" s="357"/>
      <c r="H139" s="357"/>
      <c r="I139" s="357"/>
      <c r="J139" s="80"/>
      <c r="K139" s="79"/>
      <c r="L139" s="79"/>
      <c r="M139" s="79"/>
      <c r="N139" s="477"/>
      <c r="O139" s="477"/>
      <c r="P139" s="477"/>
      <c r="Q139" s="477"/>
      <c r="R139" s="477"/>
      <c r="S139" s="477"/>
      <c r="T139" s="477"/>
      <c r="U139" s="477"/>
    </row>
    <row r="140" spans="1:21" ht="15.75" customHeight="1" x14ac:dyDescent="0.25">
      <c r="A140" s="390" t="str">
        <f>'0664'!A140</f>
        <v xml:space="preserve">Education (CAPE), Early High School Graduation and the small district ESE Supplement, pursuant to s. 1011.62(1)(l-p), F.S. </v>
      </c>
      <c r="B140" s="357"/>
      <c r="C140" s="357"/>
      <c r="D140" s="357"/>
      <c r="E140" s="357"/>
      <c r="F140" s="357"/>
      <c r="G140" s="357"/>
      <c r="H140" s="357"/>
      <c r="I140" s="357"/>
      <c r="J140" s="80"/>
      <c r="K140" s="79"/>
      <c r="L140" s="79"/>
      <c r="M140" s="79"/>
      <c r="N140" s="76"/>
      <c r="O140" s="76"/>
      <c r="P140" s="76"/>
      <c r="Q140" s="76"/>
      <c r="R140" s="76"/>
      <c r="S140" s="76"/>
      <c r="T140" s="76"/>
      <c r="U140" s="76"/>
    </row>
    <row r="141" spans="1:21" x14ac:dyDescent="0.25">
      <c r="A141" s="356" t="str">
        <f>'0664'!A141</f>
        <v>(b) District allocations multiplied by percentage from item 3A.</v>
      </c>
      <c r="B141" s="281"/>
      <c r="C141" s="281"/>
      <c r="D141" s="281"/>
      <c r="E141" s="281"/>
      <c r="F141" s="281"/>
      <c r="G141" s="281"/>
      <c r="H141" s="281"/>
      <c r="I141" s="281"/>
      <c r="J141" s="79"/>
      <c r="K141" s="79"/>
      <c r="L141" s="79"/>
      <c r="M141" s="79"/>
      <c r="N141" s="81"/>
      <c r="O141" s="82"/>
      <c r="P141" s="82"/>
      <c r="Q141" s="82"/>
      <c r="R141" s="82"/>
      <c r="S141" s="82"/>
      <c r="T141" s="82"/>
      <c r="U141" s="82"/>
    </row>
    <row r="142" spans="1:21" s="79" customFormat="1" x14ac:dyDescent="0.2">
      <c r="A142" s="356" t="str">
        <f>'0664'!A142</f>
        <v>(c) District allocations multiplied by percentage from item 3B.</v>
      </c>
      <c r="B142" s="281"/>
      <c r="C142" s="281"/>
      <c r="D142" s="281"/>
      <c r="E142" s="281"/>
      <c r="F142" s="281"/>
      <c r="G142" s="281"/>
      <c r="H142" s="281"/>
      <c r="I142" s="281"/>
      <c r="N142" s="81"/>
    </row>
    <row r="143" spans="1:21" s="79" customFormat="1" ht="15.75" customHeight="1" x14ac:dyDescent="0.2">
      <c r="A143" s="356" t="str">
        <f>'0664'!A143</f>
        <v>(d) The Digital Classroom Allocation is provided pursuant to s. 1011.62(12), F.S.</v>
      </c>
      <c r="B143" s="281"/>
      <c r="C143" s="281"/>
      <c r="D143" s="281"/>
      <c r="E143" s="281"/>
      <c r="F143" s="281"/>
      <c r="G143" s="281"/>
      <c r="H143" s="281"/>
      <c r="I143" s="281"/>
      <c r="N143" s="81"/>
    </row>
    <row r="144" spans="1:21" s="79" customFormat="1" ht="15.75" customHeight="1" x14ac:dyDescent="0.2">
      <c r="A144" s="356" t="str">
        <f>'0664'!A144</f>
        <v>(e) School districts are required to pay for instructional materials used for the instruction of public high school students who are earning credit toward high school</v>
      </c>
      <c r="B144" s="281"/>
      <c r="C144" s="281"/>
      <c r="D144" s="281"/>
      <c r="E144" s="281"/>
      <c r="F144" s="281"/>
      <c r="G144" s="281"/>
      <c r="H144" s="281"/>
      <c r="I144" s="281"/>
      <c r="N144" s="81"/>
    </row>
    <row r="145" spans="1:14" s="79" customFormat="1" ht="15.75" customHeight="1" x14ac:dyDescent="0.2">
      <c r="A145" s="390" t="str">
        <f>'0664'!A145</f>
        <v xml:space="preserve">graduation under the dual enrollment program as provided in s. 1011.62(l)(i), F.S.  </v>
      </c>
      <c r="B145" s="281"/>
      <c r="C145" s="281"/>
      <c r="D145" s="281"/>
      <c r="E145" s="281"/>
      <c r="F145" s="281"/>
      <c r="G145" s="281"/>
      <c r="H145" s="281"/>
      <c r="I145" s="281"/>
      <c r="N145" s="81"/>
    </row>
    <row r="146" spans="1:14" s="79" customFormat="1" x14ac:dyDescent="0.2">
      <c r="A146" s="356" t="str">
        <f>'0664'!A146</f>
        <v>(f) This allocation will be frozen as of the 2021-22 FEFP Second Calculation and will not be recalculated throughout the year. Charter school allocations should be</v>
      </c>
      <c r="B146" s="281"/>
      <c r="C146" s="281"/>
      <c r="D146" s="281"/>
      <c r="E146" s="281"/>
      <c r="F146" s="281"/>
      <c r="G146" s="281"/>
      <c r="H146" s="281"/>
      <c r="I146" s="281"/>
      <c r="N146" s="81"/>
    </row>
    <row r="147" spans="1:14" s="79" customFormat="1" x14ac:dyDescent="0.2">
      <c r="A147" s="358" t="str">
        <f>'0664'!A147</f>
        <v xml:space="preserve">distributed on weighted FTE (or base funding as is done in the FEFP) and should not be recalculated with fluctuations in student enrollment later in the year. </v>
      </c>
      <c r="B147" s="281"/>
      <c r="C147" s="281"/>
      <c r="D147" s="281"/>
      <c r="E147" s="281"/>
      <c r="F147" s="281"/>
      <c r="G147" s="281"/>
      <c r="H147" s="281"/>
      <c r="I147" s="281"/>
      <c r="N147" s="81"/>
    </row>
    <row r="148" spans="1:14" s="79" customFormat="1" x14ac:dyDescent="0.2">
      <c r="A148" s="356" t="str">
        <f>'0664'!A148</f>
        <v>(g) Numbers entered here will be multiplied by the district level transportation funding per rider. "All Adjusted Fundable Riders" should include both basic and ESE Riders.</v>
      </c>
      <c r="B148" s="281"/>
      <c r="C148" s="281"/>
      <c r="D148" s="281"/>
      <c r="E148" s="281"/>
      <c r="F148" s="281"/>
      <c r="G148" s="281"/>
      <c r="H148" s="281"/>
      <c r="I148" s="281"/>
      <c r="N148" s="81"/>
    </row>
    <row r="149" spans="1:14" s="79" customFormat="1" x14ac:dyDescent="0.2">
      <c r="A149" s="390" t="str">
        <f>'0664'!A149</f>
        <v>"All Adjusted ESE Riders" should include only ESE Riders.</v>
      </c>
      <c r="B149" s="281"/>
      <c r="C149" s="281"/>
      <c r="D149" s="281"/>
      <c r="E149" s="281"/>
      <c r="F149" s="281"/>
      <c r="G149" s="281"/>
      <c r="H149" s="281"/>
      <c r="I149" s="281"/>
      <c r="N149" s="81"/>
    </row>
    <row r="150" spans="1:14" s="79" customFormat="1" x14ac:dyDescent="0.2">
      <c r="A150" s="356" t="str">
        <f>'0664'!A150</f>
        <v xml:space="preserve">(h) The Federally Connected Student Supplement provides additional funding for students on federal lands that receive Section 8003 impact aide pursuant to s. 1011.62(13), F.S. </v>
      </c>
      <c r="B150" s="281"/>
      <c r="C150" s="281"/>
      <c r="D150" s="281"/>
      <c r="E150" s="281"/>
      <c r="F150" s="281"/>
      <c r="G150" s="281"/>
      <c r="H150" s="281"/>
      <c r="I150" s="281"/>
      <c r="N150" s="81"/>
    </row>
    <row r="151" spans="1:14" s="79" customFormat="1" x14ac:dyDescent="0.2">
      <c r="A151" s="356" t="str">
        <f>'0664'!A151</f>
        <v>(i) Teacher Classroom Supply Assistance Program allocation pursuant to s. 1012.71, F.S., for certified teachers employed by a public school district or public charter school</v>
      </c>
      <c r="B151" s="281"/>
      <c r="C151" s="281"/>
      <c r="D151" s="281"/>
      <c r="E151" s="281"/>
      <c r="F151" s="281"/>
      <c r="G151" s="281"/>
      <c r="H151" s="281"/>
      <c r="I151" s="281"/>
      <c r="N151" s="81"/>
    </row>
    <row r="152" spans="1:14" s="79" customFormat="1" x14ac:dyDescent="0.2">
      <c r="A152" s="358" t="str">
        <f>'0664'!A152</f>
        <v xml:space="preserve">before September 1 of each year whose full-time or job-share responsibility is the classroom instruction of students in prekindergarten through grade 12, including </v>
      </c>
      <c r="B152" s="281"/>
      <c r="C152" s="281"/>
      <c r="D152" s="281"/>
      <c r="E152" s="281"/>
      <c r="F152" s="281"/>
      <c r="G152" s="281"/>
      <c r="H152" s="281"/>
      <c r="I152" s="281"/>
      <c r="N152" s="81"/>
    </row>
    <row r="153" spans="1:14" s="79" customFormat="1" ht="15.75" customHeight="1" x14ac:dyDescent="0.2">
      <c r="A153" s="358" t="str">
        <f>'0664'!A153</f>
        <v>full-time media specialists and certified school counselors serving students in prekindergarten through grade 12, who are funded through the FEFP.</v>
      </c>
      <c r="B153" s="281"/>
      <c r="C153" s="281"/>
      <c r="D153" s="281"/>
      <c r="E153" s="281"/>
      <c r="F153" s="281"/>
      <c r="G153" s="281"/>
      <c r="H153" s="281"/>
      <c r="I153" s="281"/>
      <c r="N153" s="81"/>
    </row>
    <row r="154" spans="1:14" s="79" customFormat="1" ht="15.75" customHeight="1" x14ac:dyDescent="0.2">
      <c r="A154" s="356" t="str">
        <f>'0664'!A154</f>
        <v xml:space="preserve">(j) Funding based on student eligibility and meals provided, if participating in the National School Lunch Program. </v>
      </c>
      <c r="B154" s="328"/>
      <c r="C154" s="328"/>
      <c r="D154" s="328"/>
      <c r="E154" s="328"/>
      <c r="F154" s="328"/>
      <c r="G154" s="328"/>
      <c r="H154" s="328"/>
      <c r="I154" s="328"/>
      <c r="N154" s="81"/>
    </row>
    <row r="155" spans="1:14" s="79" customFormat="1" ht="15.75" customHeight="1" x14ac:dyDescent="0.2">
      <c r="A155" s="356" t="str">
        <f>'0664'!A155</f>
        <v>(k) Consistent with s. 1002.33(20)(a), F.S., for charter schools with a population of 75% or more ESE students, the administrative fee shall be calculated based on</v>
      </c>
      <c r="B155" s="381"/>
      <c r="C155" s="381"/>
      <c r="D155" s="381"/>
      <c r="E155" s="381"/>
      <c r="F155" s="381"/>
      <c r="G155" s="381"/>
      <c r="H155" s="381"/>
      <c r="I155" s="381"/>
      <c r="N155" s="81"/>
    </row>
    <row r="156" spans="1:14" s="79" customFormat="1" ht="15.75" customHeight="1" x14ac:dyDescent="0.2">
      <c r="A156" s="390" t="str">
        <f>'0664'!A156</f>
        <v xml:space="preserve">unweighted full-time equivalent students. </v>
      </c>
      <c r="B156" s="381"/>
      <c r="C156" s="381"/>
      <c r="D156" s="381"/>
      <c r="E156" s="381"/>
      <c r="F156" s="381"/>
      <c r="G156" s="381"/>
      <c r="H156" s="381"/>
      <c r="I156" s="381"/>
      <c r="N156" s="81"/>
    </row>
    <row r="157" spans="1:14" s="79" customFormat="1" ht="15.75" customHeight="1" x14ac:dyDescent="0.2">
      <c r="A157" s="356"/>
      <c r="B157" s="381"/>
      <c r="C157" s="381"/>
      <c r="D157" s="381"/>
      <c r="E157" s="381"/>
      <c r="F157" s="381"/>
      <c r="G157" s="381"/>
      <c r="H157" s="381"/>
      <c r="I157" s="381"/>
      <c r="N157" s="81"/>
    </row>
    <row r="158" spans="1:14" s="79" customFormat="1" ht="15.75" customHeight="1" x14ac:dyDescent="0.25">
      <c r="A158" s="398" t="str">
        <f>'0664'!A158</f>
        <v>Administrative fees:</v>
      </c>
      <c r="B158" s="328"/>
      <c r="C158" s="328"/>
      <c r="D158" s="328"/>
      <c r="E158" s="328"/>
      <c r="F158" s="328"/>
      <c r="G158" s="328"/>
      <c r="H158" s="328"/>
      <c r="I158" s="328"/>
      <c r="J158" s="3"/>
      <c r="K158" s="3"/>
      <c r="L158" s="3"/>
      <c r="M158" s="3"/>
      <c r="N158" s="81"/>
    </row>
    <row r="159" spans="1:14" s="79" customFormat="1" ht="15.75" customHeight="1" x14ac:dyDescent="0.25">
      <c r="A159" s="399" t="str">
        <f>'0664'!A159</f>
        <v xml:space="preserve">Administrative fees charged by the school district pursuant to s. 1002.33(20)(a), F.S., shall be calculated based upon 5% of available funds from the FEFP and categorical </v>
      </c>
      <c r="B159" s="328"/>
      <c r="C159" s="328"/>
      <c r="D159" s="328"/>
      <c r="E159" s="328"/>
      <c r="F159" s="328"/>
      <c r="G159" s="328"/>
      <c r="H159" s="328"/>
      <c r="I159" s="328"/>
      <c r="J159" s="3"/>
      <c r="K159" s="3"/>
      <c r="L159" s="3"/>
      <c r="M159" s="3"/>
      <c r="N159" s="81"/>
    </row>
    <row r="160" spans="1:14" s="79" customFormat="1" ht="15.75" customHeight="1" x14ac:dyDescent="0.25">
      <c r="A160" s="400" t="str">
        <f>'0664'!A160</f>
        <v>funding for which charter students may be eligible.  To calculate the administrative fee to be withheld for schools with more than 250 students, divide the school</v>
      </c>
      <c r="B160" s="328"/>
      <c r="C160" s="328"/>
      <c r="D160" s="328"/>
      <c r="E160" s="328"/>
      <c r="F160" s="328"/>
      <c r="G160" s="328"/>
      <c r="H160" s="328"/>
      <c r="I160" s="328"/>
      <c r="J160" s="3"/>
      <c r="K160" s="3"/>
      <c r="L160" s="3"/>
      <c r="M160" s="3"/>
      <c r="N160" s="81"/>
    </row>
    <row r="161" spans="1:21" s="79" customFormat="1" ht="15.75" customHeight="1" x14ac:dyDescent="0.25">
      <c r="A161" s="400" t="str">
        <f>'0664'!A161</f>
        <v xml:space="preserve">population into 250. Multiply that fraction times the funds available, then times 5%.  </v>
      </c>
      <c r="B161" s="328"/>
      <c r="C161" s="328"/>
      <c r="D161" s="328"/>
      <c r="E161" s="328"/>
      <c r="F161" s="328"/>
      <c r="G161" s="328"/>
      <c r="H161" s="328"/>
      <c r="I161" s="328"/>
      <c r="J161" s="3"/>
      <c r="K161" s="3"/>
      <c r="L161" s="3"/>
      <c r="M161" s="3"/>
      <c r="N161" s="81"/>
    </row>
    <row r="162" spans="1:21" s="79" customFormat="1" ht="15.75" customHeight="1" x14ac:dyDescent="0.25">
      <c r="A162" s="399"/>
      <c r="B162" s="394"/>
      <c r="C162" s="394"/>
      <c r="D162" s="394"/>
      <c r="E162" s="394"/>
      <c r="F162" s="394"/>
      <c r="G162" s="394"/>
      <c r="H162" s="394"/>
      <c r="I162" s="394"/>
      <c r="N162" s="77"/>
      <c r="O162" s="3"/>
      <c r="P162" s="3"/>
      <c r="Q162" s="3"/>
      <c r="R162" s="3"/>
      <c r="S162" s="3"/>
      <c r="T162" s="3"/>
      <c r="U162" s="3"/>
    </row>
    <row r="163" spans="1:21" ht="15.75" customHeight="1" x14ac:dyDescent="0.25">
      <c r="A163" s="399" t="str">
        <f>'0664'!A163</f>
        <v xml:space="preserve">For high performing charter schools, administrative fees charged by the school district shall be calculated based upon 2% of available funds from the FEFP and categorical </v>
      </c>
      <c r="B163" s="328"/>
      <c r="C163" s="328"/>
      <c r="D163" s="328"/>
      <c r="E163" s="328"/>
      <c r="F163" s="328"/>
      <c r="G163" s="328"/>
      <c r="H163" s="328"/>
      <c r="I163" s="328"/>
      <c r="J163" s="79"/>
      <c r="K163" s="79"/>
      <c r="L163" s="79"/>
      <c r="M163" s="79"/>
      <c r="N163" s="81"/>
      <c r="O163" s="79"/>
      <c r="P163" s="79"/>
      <c r="Q163" s="79"/>
      <c r="R163" s="79"/>
      <c r="S163" s="79"/>
      <c r="T163" s="79"/>
      <c r="U163" s="79"/>
    </row>
    <row r="164" spans="1:21" ht="15.75" customHeight="1" x14ac:dyDescent="0.25">
      <c r="A164" s="400" t="str">
        <f>'0664'!A164</f>
        <v>funding for which charter students may be eligible.  To calculate the administrative fee to be withheld for schools with more than 250 students, divide the school</v>
      </c>
      <c r="B164" s="381"/>
      <c r="C164" s="381"/>
      <c r="D164" s="381"/>
      <c r="E164" s="381"/>
      <c r="F164" s="381"/>
      <c r="G164" s="381"/>
      <c r="H164" s="381"/>
      <c r="I164" s="381"/>
      <c r="J164" s="79"/>
      <c r="K164" s="79"/>
      <c r="L164" s="79"/>
      <c r="M164" s="79"/>
      <c r="N164" s="81"/>
      <c r="O164" s="79"/>
      <c r="P164" s="79"/>
      <c r="Q164" s="79"/>
      <c r="R164" s="79"/>
      <c r="S164" s="79"/>
      <c r="T164" s="79"/>
      <c r="U164" s="79"/>
    </row>
    <row r="165" spans="1:21" s="79" customFormat="1" ht="15.75" customHeight="1" x14ac:dyDescent="0.2">
      <c r="A165" s="400" t="str">
        <f>'0664'!A165</f>
        <v xml:space="preserve">population into 250. Multiply that fraction times the funds available, then times 2%.  </v>
      </c>
      <c r="B165" s="328"/>
      <c r="C165" s="328"/>
      <c r="D165" s="328"/>
      <c r="E165" s="328"/>
      <c r="F165" s="328"/>
      <c r="G165" s="328"/>
      <c r="H165" s="328"/>
      <c r="I165" s="328"/>
      <c r="N165" s="81"/>
    </row>
    <row r="166" spans="1:21" x14ac:dyDescent="0.25">
      <c r="A166" s="356"/>
      <c r="N166" s="77"/>
    </row>
    <row r="167" spans="1:21" x14ac:dyDescent="0.25">
      <c r="A167" s="398" t="str">
        <f>'0664'!A167</f>
        <v>Other:</v>
      </c>
      <c r="N167" s="77"/>
    </row>
    <row r="168" spans="1:21" x14ac:dyDescent="0.25">
      <c r="A168" s="399" t="str">
        <f>'0664'!A168</f>
        <v>FEFP and categorical funding are recalculated during the year to reflect the revised number of full-time equivalent students reported during the survey periods designated</v>
      </c>
      <c r="N168" s="77"/>
    </row>
    <row r="169" spans="1:21" x14ac:dyDescent="0.25">
      <c r="A169" s="402" t="str">
        <f>'0664'!A169</f>
        <v>by the Commissioner of Education.</v>
      </c>
      <c r="N169" s="77"/>
    </row>
    <row r="170" spans="1:21" x14ac:dyDescent="0.25">
      <c r="A170" s="399" t="str">
        <f>'0664'!A170</f>
        <v>Revenues flow to districts from state sources and from county tax collectors on various distribution schedules.</v>
      </c>
      <c r="N170" s="77"/>
    </row>
    <row r="171" spans="1:21" x14ac:dyDescent="0.25">
      <c r="A171" s="77"/>
      <c r="N171" s="77"/>
    </row>
    <row r="172" spans="1:21" x14ac:dyDescent="0.25">
      <c r="A172" s="77"/>
      <c r="N172" s="77"/>
    </row>
    <row r="173" spans="1:21" x14ac:dyDescent="0.25">
      <c r="A173" s="77"/>
      <c r="N173" s="77"/>
    </row>
    <row r="174" spans="1:21" x14ac:dyDescent="0.25">
      <c r="A174" s="77"/>
      <c r="N174" s="77"/>
    </row>
    <row r="175" spans="1:21" x14ac:dyDescent="0.25">
      <c r="A175" s="77"/>
      <c r="N175" s="77"/>
    </row>
    <row r="176" spans="1:21" x14ac:dyDescent="0.25">
      <c r="A176" s="77"/>
      <c r="N176" s="77"/>
    </row>
    <row r="177" spans="1:14" x14ac:dyDescent="0.25">
      <c r="A177" s="77"/>
      <c r="N177" s="77"/>
    </row>
    <row r="178" spans="1:14" x14ac:dyDescent="0.25">
      <c r="A178" s="77"/>
      <c r="N178" s="77"/>
    </row>
    <row r="179" spans="1:14" x14ac:dyDescent="0.25">
      <c r="A179" s="77"/>
      <c r="N179" s="77"/>
    </row>
    <row r="180" spans="1:14" x14ac:dyDescent="0.25">
      <c r="A180" s="77"/>
      <c r="N180" s="77"/>
    </row>
    <row r="181" spans="1:14" x14ac:dyDescent="0.25">
      <c r="A181" s="77"/>
      <c r="N181" s="77"/>
    </row>
    <row r="182" spans="1:14" x14ac:dyDescent="0.25">
      <c r="A182" s="77"/>
      <c r="N182" s="77"/>
    </row>
    <row r="183" spans="1:14" x14ac:dyDescent="0.25">
      <c r="A183" s="77"/>
      <c r="N183" s="77"/>
    </row>
    <row r="184" spans="1:14" x14ac:dyDescent="0.25">
      <c r="A184" s="77"/>
      <c r="N184" s="77"/>
    </row>
    <row r="185" spans="1:14" x14ac:dyDescent="0.25">
      <c r="A185" s="77"/>
      <c r="N185" s="77"/>
    </row>
    <row r="186" spans="1:14" x14ac:dyDescent="0.25">
      <c r="A186" s="77"/>
      <c r="N186" s="77"/>
    </row>
    <row r="187" spans="1:14" x14ac:dyDescent="0.25">
      <c r="A187" s="77"/>
      <c r="N187" s="77"/>
    </row>
    <row r="188" spans="1:14" x14ac:dyDescent="0.25">
      <c r="A188" s="77"/>
    </row>
    <row r="189" spans="1:14" x14ac:dyDescent="0.25">
      <c r="A189" s="77"/>
    </row>
    <row r="190" spans="1:14" x14ac:dyDescent="0.25">
      <c r="A190" s="77"/>
    </row>
    <row r="191" spans="1:14" x14ac:dyDescent="0.25">
      <c r="A191" s="77"/>
    </row>
    <row r="192" spans="1:14" x14ac:dyDescent="0.25">
      <c r="A192" s="77"/>
    </row>
    <row r="193" spans="1:1" x14ac:dyDescent="0.25">
      <c r="A193" s="77"/>
    </row>
    <row r="194" spans="1:1" x14ac:dyDescent="0.25">
      <c r="A194" s="77"/>
    </row>
    <row r="195" spans="1:1" x14ac:dyDescent="0.25">
      <c r="A195" s="77"/>
    </row>
    <row r="196" spans="1:1" x14ac:dyDescent="0.25">
      <c r="A196" s="77"/>
    </row>
    <row r="197" spans="1:1" x14ac:dyDescent="0.25">
      <c r="A197" s="77"/>
    </row>
    <row r="198" spans="1:1" x14ac:dyDescent="0.25">
      <c r="A198" s="77"/>
    </row>
    <row r="199" spans="1:1" x14ac:dyDescent="0.25">
      <c r="A199" s="77"/>
    </row>
    <row r="200" spans="1:1" x14ac:dyDescent="0.25">
      <c r="A200" s="77"/>
    </row>
    <row r="201" spans="1:1" x14ac:dyDescent="0.25">
      <c r="A201" s="77"/>
    </row>
    <row r="202" spans="1:1" x14ac:dyDescent="0.25">
      <c r="A202" s="77"/>
    </row>
    <row r="203" spans="1:1" x14ac:dyDescent="0.25">
      <c r="A203" s="77"/>
    </row>
    <row r="204" spans="1:1" x14ac:dyDescent="0.25">
      <c r="A204" s="77"/>
    </row>
    <row r="205" spans="1:1" x14ac:dyDescent="0.25">
      <c r="A205" s="77"/>
    </row>
    <row r="206" spans="1:1" x14ac:dyDescent="0.25">
      <c r="A206" s="77"/>
    </row>
  </sheetData>
  <mergeCells count="266">
    <mergeCell ref="A112:C112"/>
    <mergeCell ref="F112:H112"/>
    <mergeCell ref="N112:P112"/>
    <mergeCell ref="A109:B109"/>
    <mergeCell ref="F109:G109"/>
    <mergeCell ref="N109:O109"/>
    <mergeCell ref="P109:Q109"/>
    <mergeCell ref="N139:U139"/>
    <mergeCell ref="N119:U119"/>
    <mergeCell ref="N113:P113"/>
    <mergeCell ref="A113:C113"/>
    <mergeCell ref="F113:H113"/>
    <mergeCell ref="N114:T114"/>
    <mergeCell ref="A115:H115"/>
    <mergeCell ref="A119:G119"/>
    <mergeCell ref="N120:U120"/>
    <mergeCell ref="A120:G120"/>
    <mergeCell ref="R109:S109"/>
    <mergeCell ref="A110:B110"/>
    <mergeCell ref="N110:O110"/>
    <mergeCell ref="A107:B107"/>
    <mergeCell ref="F107:G107"/>
    <mergeCell ref="N107:O107"/>
    <mergeCell ref="P107:Q107"/>
    <mergeCell ref="R107:S107"/>
    <mergeCell ref="A108:B108"/>
    <mergeCell ref="F108:G108"/>
    <mergeCell ref="N108:O108"/>
    <mergeCell ref="P108:Q108"/>
    <mergeCell ref="R108:S108"/>
    <mergeCell ref="A103:C103"/>
    <mergeCell ref="F103:I103"/>
    <mergeCell ref="N103:U103"/>
    <mergeCell ref="C104:E104"/>
    <mergeCell ref="F105:G105"/>
    <mergeCell ref="A106:B106"/>
    <mergeCell ref="F106:G106"/>
    <mergeCell ref="N106:O106"/>
    <mergeCell ref="P106:Q106"/>
    <mergeCell ref="R106:S106"/>
    <mergeCell ref="A99:B99"/>
    <mergeCell ref="N99:O99"/>
    <mergeCell ref="P99:R99"/>
    <mergeCell ref="A100:B100"/>
    <mergeCell ref="N100:O100"/>
    <mergeCell ref="P100:R100"/>
    <mergeCell ref="C91:D91"/>
    <mergeCell ref="P91:Q91"/>
    <mergeCell ref="C92:D92"/>
    <mergeCell ref="P92:Q92"/>
    <mergeCell ref="C93:D93"/>
    <mergeCell ref="P93:T93"/>
    <mergeCell ref="A94:I94"/>
    <mergeCell ref="N94:U94"/>
    <mergeCell ref="F96:I96"/>
    <mergeCell ref="N96:P96"/>
    <mergeCell ref="Q96:T96"/>
    <mergeCell ref="A87:I87"/>
    <mergeCell ref="N87:U87"/>
    <mergeCell ref="C88:D88"/>
    <mergeCell ref="C89:D89"/>
    <mergeCell ref="N89:O89"/>
    <mergeCell ref="P89:Q89"/>
    <mergeCell ref="R89:U89"/>
    <mergeCell ref="C90:D90"/>
    <mergeCell ref="P90:Q90"/>
    <mergeCell ref="A80:C80"/>
    <mergeCell ref="N80:P80"/>
    <mergeCell ref="A85:C85"/>
    <mergeCell ref="N85:P85"/>
    <mergeCell ref="F73:H73"/>
    <mergeCell ref="N73:T73"/>
    <mergeCell ref="N74:T74"/>
    <mergeCell ref="A78:C78"/>
    <mergeCell ref="N78:P78"/>
    <mergeCell ref="A79:C79"/>
    <mergeCell ref="A69:C69"/>
    <mergeCell ref="N69:P69"/>
    <mergeCell ref="N79:P79"/>
    <mergeCell ref="A76:C76"/>
    <mergeCell ref="N76:P76"/>
    <mergeCell ref="A77:C77"/>
    <mergeCell ref="A70:C70"/>
    <mergeCell ref="A71:C71"/>
    <mergeCell ref="N71:P71"/>
    <mergeCell ref="A72:C72"/>
    <mergeCell ref="N77:P77"/>
    <mergeCell ref="N72:P72"/>
    <mergeCell ref="A65:B65"/>
    <mergeCell ref="D65:G65"/>
    <mergeCell ref="N65:O65"/>
    <mergeCell ref="Q65:S65"/>
    <mergeCell ref="T65:U65"/>
    <mergeCell ref="N66:S66"/>
    <mergeCell ref="T66:U66"/>
    <mergeCell ref="A68:C68"/>
    <mergeCell ref="N68:P68"/>
    <mergeCell ref="A62:B62"/>
    <mergeCell ref="D62:G62"/>
    <mergeCell ref="N62:O62"/>
    <mergeCell ref="Q62:S62"/>
    <mergeCell ref="T62:U62"/>
    <mergeCell ref="N63:S63"/>
    <mergeCell ref="T63:U63"/>
    <mergeCell ref="A64:I64"/>
    <mergeCell ref="N64:U64"/>
    <mergeCell ref="A59:B59"/>
    <mergeCell ref="F59:H59"/>
    <mergeCell ref="N59:O59"/>
    <mergeCell ref="P59:Q59"/>
    <mergeCell ref="R59:T59"/>
    <mergeCell ref="A60:I60"/>
    <mergeCell ref="N60:U60"/>
    <mergeCell ref="A61:I61"/>
    <mergeCell ref="N61:U61"/>
    <mergeCell ref="A50:B58"/>
    <mergeCell ref="N50:O58"/>
    <mergeCell ref="P50:Q50"/>
    <mergeCell ref="P51:Q51"/>
    <mergeCell ref="P52:Q52"/>
    <mergeCell ref="P53:Q53"/>
    <mergeCell ref="P54:Q54"/>
    <mergeCell ref="P55:Q55"/>
    <mergeCell ref="P56:Q56"/>
    <mergeCell ref="P57:Q57"/>
    <mergeCell ref="P58:Q58"/>
    <mergeCell ref="A42:B42"/>
    <mergeCell ref="N42:O42"/>
    <mergeCell ref="P42:T42"/>
    <mergeCell ref="N43:Q43"/>
    <mergeCell ref="S43:T43"/>
    <mergeCell ref="N45:Q45"/>
    <mergeCell ref="S45:T45"/>
    <mergeCell ref="N49:O49"/>
    <mergeCell ref="P49:Q49"/>
    <mergeCell ref="A39:B39"/>
    <mergeCell ref="N39:O39"/>
    <mergeCell ref="P39:T39"/>
    <mergeCell ref="A40:B40"/>
    <mergeCell ref="N40:O40"/>
    <mergeCell ref="P40:T40"/>
    <mergeCell ref="A41:B41"/>
    <mergeCell ref="N41:O41"/>
    <mergeCell ref="P41:T41"/>
    <mergeCell ref="N34:T34"/>
    <mergeCell ref="A36:B36"/>
    <mergeCell ref="N36:O36"/>
    <mergeCell ref="P36:T36"/>
    <mergeCell ref="A37:B37"/>
    <mergeCell ref="N37:O37"/>
    <mergeCell ref="P37:T37"/>
    <mergeCell ref="F33:H36"/>
    <mergeCell ref="A38:B38"/>
    <mergeCell ref="N38:O38"/>
    <mergeCell ref="P38:T38"/>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A20:B20"/>
    <mergeCell ref="F20:G20"/>
    <mergeCell ref="N20:O20"/>
    <mergeCell ref="P20:Q20"/>
    <mergeCell ref="R20:S20"/>
    <mergeCell ref="A21:B21"/>
    <mergeCell ref="F21:G21"/>
    <mergeCell ref="N21:O21"/>
    <mergeCell ref="P21:Q21"/>
    <mergeCell ref="R21:S21"/>
    <mergeCell ref="A18:B18"/>
    <mergeCell ref="F18:G18"/>
    <mergeCell ref="N18:O18"/>
    <mergeCell ref="P18:Q18"/>
    <mergeCell ref="R18:S18"/>
    <mergeCell ref="A19:B19"/>
    <mergeCell ref="F19:G19"/>
    <mergeCell ref="N19:O19"/>
    <mergeCell ref="P19:Q19"/>
    <mergeCell ref="R19:S19"/>
    <mergeCell ref="A16:B16"/>
    <mergeCell ref="F16:G16"/>
    <mergeCell ref="N16:O16"/>
    <mergeCell ref="P16:Q16"/>
    <mergeCell ref="R16:S16"/>
    <mergeCell ref="A17:B17"/>
    <mergeCell ref="F17:G17"/>
    <mergeCell ref="N17:O17"/>
    <mergeCell ref="P17:Q17"/>
    <mergeCell ref="R17:S17"/>
    <mergeCell ref="A14:B14"/>
    <mergeCell ref="F14:G14"/>
    <mergeCell ref="N14:O14"/>
    <mergeCell ref="P14:Q14"/>
    <mergeCell ref="R14:S14"/>
    <mergeCell ref="P15:Q15"/>
    <mergeCell ref="R15:S15"/>
    <mergeCell ref="A15:B15"/>
    <mergeCell ref="F15:G15"/>
    <mergeCell ref="N15:O15"/>
    <mergeCell ref="B1:I1"/>
    <mergeCell ref="A7:I7"/>
    <mergeCell ref="A11:B11"/>
    <mergeCell ref="F11:G11"/>
    <mergeCell ref="O1:U1"/>
    <mergeCell ref="N2:U2"/>
    <mergeCell ref="N3:U3"/>
    <mergeCell ref="A4:B4"/>
    <mergeCell ref="C4:E4"/>
    <mergeCell ref="N4:O4"/>
    <mergeCell ref="P4:Q4"/>
    <mergeCell ref="P8:Q8"/>
    <mergeCell ref="R8:S8"/>
    <mergeCell ref="T8:U8"/>
    <mergeCell ref="F10:G10"/>
    <mergeCell ref="R10:S10"/>
    <mergeCell ref="N7:U7"/>
    <mergeCell ref="N8:O8"/>
    <mergeCell ref="R13:S13"/>
    <mergeCell ref="A13:B13"/>
    <mergeCell ref="F13:G13"/>
    <mergeCell ref="A12:B12"/>
    <mergeCell ref="F12:G12"/>
    <mergeCell ref="N13:O13"/>
    <mergeCell ref="P13:Q13"/>
    <mergeCell ref="N11:O11"/>
    <mergeCell ref="P11:Q11"/>
    <mergeCell ref="R11:S11"/>
    <mergeCell ref="N12:O12"/>
    <mergeCell ref="P12:Q12"/>
    <mergeCell ref="R12:S12"/>
  </mergeCells>
  <pageMargins left="0.1" right="0.1" top="0.5" bottom="0.5" header="0" footer="0.1"/>
  <pageSetup scale="70" fitToHeight="3" orientation="portrait" r:id="rId1"/>
  <headerFooter alignWithMargins="0">
    <oddFooter>&amp;R&amp;P of &amp;N</oddFooter>
  </headerFooter>
  <rowBreaks count="1" manualBreakCount="1">
    <brk id="138" max="16383" man="1"/>
  </rowBreaks>
  <colBreaks count="1" manualBreakCount="1">
    <brk id="9"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0">
    <tabColor rgb="FFCCFFCC"/>
  </sheetPr>
  <dimension ref="A1:U206"/>
  <sheetViews>
    <sheetView showGridLines="0" zoomScaleNormal="100" workbookViewId="0">
      <pane ySplit="1" topLeftCell="A11" activePane="bottomLeft" state="frozen"/>
      <selection activeCell="I9" sqref="I9"/>
      <selection pane="bottomLeft" activeCell="D50" sqref="D50:D58"/>
    </sheetView>
  </sheetViews>
  <sheetFormatPr defaultRowHeight="15.75" x14ac:dyDescent="0.25"/>
  <cols>
    <col min="1" max="1" width="10.28515625" style="72"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72"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5">
        <v>50</v>
      </c>
      <c r="B1" s="441" t="s">
        <v>17</v>
      </c>
      <c r="C1" s="442"/>
      <c r="D1" s="442"/>
      <c r="E1" s="442"/>
      <c r="F1" s="442"/>
      <c r="G1" s="442"/>
      <c r="H1" s="442"/>
      <c r="I1" s="442"/>
      <c r="J1" s="157"/>
      <c r="K1" s="157"/>
      <c r="L1" s="157"/>
      <c r="N1" s="85">
        <f>A1</f>
        <v>50</v>
      </c>
      <c r="O1" s="527" t="s">
        <v>17</v>
      </c>
      <c r="P1" s="528"/>
      <c r="Q1" s="528"/>
      <c r="R1" s="528"/>
      <c r="S1" s="528"/>
      <c r="T1" s="528"/>
      <c r="U1" s="528"/>
    </row>
    <row r="2" spans="1:21" ht="21" x14ac:dyDescent="0.35">
      <c r="A2" s="1" t="s">
        <v>169</v>
      </c>
      <c r="B2" s="2"/>
      <c r="C2" s="2"/>
      <c r="D2" s="2"/>
      <c r="E2" s="2"/>
      <c r="F2" s="2"/>
      <c r="G2" s="2"/>
      <c r="H2" s="2"/>
      <c r="I2" s="2"/>
      <c r="N2" s="529" t="s">
        <v>23</v>
      </c>
      <c r="O2" s="529"/>
      <c r="P2" s="529"/>
      <c r="Q2" s="529"/>
      <c r="R2" s="529"/>
      <c r="S2" s="529"/>
      <c r="T2" s="529"/>
      <c r="U2" s="529"/>
    </row>
    <row r="3" spans="1:21" x14ac:dyDescent="0.25">
      <c r="A3" s="84" t="str">
        <f>'0664'!A3</f>
        <v>Based on the FLDOE 2022-23 FEFP Third Calculation</v>
      </c>
      <c r="N3" s="485" t="str">
        <f>A3</f>
        <v>Based on the FLDOE 2022-23 FEFP Third Calculation</v>
      </c>
      <c r="O3" s="485"/>
      <c r="P3" s="485"/>
      <c r="Q3" s="485"/>
      <c r="R3" s="485"/>
      <c r="S3" s="485"/>
      <c r="T3" s="485"/>
      <c r="U3" s="485"/>
    </row>
    <row r="4" spans="1:21" x14ac:dyDescent="0.25">
      <c r="A4" s="443" t="s">
        <v>0</v>
      </c>
      <c r="B4" s="443"/>
      <c r="C4" s="444" t="s">
        <v>9</v>
      </c>
      <c r="D4" s="444"/>
      <c r="E4" s="444"/>
      <c r="F4" s="4" t="str">
        <f>'0664'!F4</f>
        <v>Apr 2023</v>
      </c>
      <c r="G4" s="4"/>
      <c r="H4" s="4"/>
      <c r="I4" s="4"/>
      <c r="N4" s="530" t="s">
        <v>0</v>
      </c>
      <c r="O4" s="530"/>
      <c r="P4" s="531" t="str">
        <f>C4</f>
        <v>Palm Beach</v>
      </c>
      <c r="Q4" s="531"/>
      <c r="R4" s="5"/>
      <c r="S4" s="5"/>
      <c r="T4" s="5"/>
      <c r="U4" s="5"/>
    </row>
    <row r="5" spans="1:21" ht="12" customHeight="1" thickBot="1" x14ac:dyDescent="0.3">
      <c r="A5" s="262"/>
      <c r="B5" s="262"/>
      <c r="C5" s="253"/>
      <c r="D5" s="253"/>
      <c r="E5" s="253"/>
      <c r="F5" s="254"/>
      <c r="G5" s="254"/>
      <c r="H5" s="254"/>
      <c r="I5" s="254"/>
      <c r="N5" s="86"/>
      <c r="O5" s="86"/>
      <c r="P5" s="6"/>
      <c r="Q5" s="6"/>
      <c r="R5" s="5"/>
      <c r="S5" s="5"/>
      <c r="T5" s="5"/>
      <c r="U5" s="5"/>
    </row>
    <row r="6" spans="1:21" ht="12" customHeight="1" x14ac:dyDescent="0.25">
      <c r="A6" s="150"/>
      <c r="B6" s="150"/>
      <c r="C6" s="261"/>
      <c r="D6" s="261"/>
      <c r="E6" s="261"/>
      <c r="F6" s="4"/>
      <c r="G6" s="4"/>
      <c r="H6" s="4"/>
      <c r="I6" s="4"/>
      <c r="N6" s="86"/>
      <c r="O6" s="86"/>
      <c r="P6" s="6"/>
      <c r="Q6" s="6"/>
      <c r="R6" s="5"/>
      <c r="S6" s="5"/>
      <c r="T6" s="5"/>
      <c r="U6" s="5"/>
    </row>
    <row r="7" spans="1:21" x14ac:dyDescent="0.25">
      <c r="A7" s="445" t="str">
        <f>'0664'!A7:I7</f>
        <v>1.   2022-23 FEFP State and Local Funding</v>
      </c>
      <c r="B7" s="533"/>
      <c r="C7" s="533"/>
      <c r="D7" s="533"/>
      <c r="E7" s="533"/>
      <c r="F7" s="533"/>
      <c r="G7" s="533"/>
      <c r="H7" s="533"/>
      <c r="I7" s="533"/>
      <c r="N7" s="530" t="s">
        <v>86</v>
      </c>
      <c r="O7" s="530"/>
      <c r="P7" s="530"/>
      <c r="Q7" s="530"/>
      <c r="R7" s="530"/>
      <c r="S7" s="530"/>
      <c r="T7" s="530"/>
      <c r="U7" s="530"/>
    </row>
    <row r="8" spans="1:21" x14ac:dyDescent="0.25">
      <c r="A8" s="87"/>
      <c r="B8" s="88" t="s">
        <v>123</v>
      </c>
      <c r="C8" s="334">
        <f>'0664'!C8</f>
        <v>4587.3999999999996</v>
      </c>
      <c r="D8" s="89"/>
      <c r="E8" s="90"/>
      <c r="F8" s="87"/>
      <c r="G8" s="88" t="s">
        <v>122</v>
      </c>
      <c r="H8" s="320">
        <f>'0664'!H8</f>
        <v>1.0438000000000001</v>
      </c>
      <c r="I8" s="78"/>
      <c r="N8" s="534" t="s">
        <v>10</v>
      </c>
      <c r="O8" s="534"/>
      <c r="P8" s="535">
        <v>4154.45</v>
      </c>
      <c r="Q8" s="535"/>
      <c r="R8" s="518" t="s">
        <v>11</v>
      </c>
      <c r="S8" s="518"/>
      <c r="T8" s="519">
        <f>H8</f>
        <v>1.0438000000000001</v>
      </c>
      <c r="U8" s="519"/>
    </row>
    <row r="9" spans="1:21" x14ac:dyDescent="0.25">
      <c r="A9" s="7"/>
      <c r="B9" s="44" t="s">
        <v>370</v>
      </c>
      <c r="C9" s="372" t="s">
        <v>370</v>
      </c>
      <c r="D9" s="372" t="s">
        <v>370</v>
      </c>
      <c r="E9" s="8"/>
      <c r="F9" s="9"/>
      <c r="G9" s="9"/>
      <c r="H9" s="10"/>
      <c r="I9" s="340" t="str">
        <f>'0664'!I9</f>
        <v>2022-23</v>
      </c>
      <c r="N9" s="12"/>
      <c r="O9" s="12"/>
      <c r="P9" s="13"/>
      <c r="Q9" s="13"/>
      <c r="R9" s="14"/>
      <c r="S9" s="14"/>
      <c r="T9" s="15"/>
      <c r="U9" s="405" t="s">
        <v>405</v>
      </c>
    </row>
    <row r="10" spans="1:21" x14ac:dyDescent="0.25">
      <c r="A10" s="7"/>
      <c r="B10" s="7"/>
      <c r="C10" s="91" t="s">
        <v>463</v>
      </c>
      <c r="D10" s="371" t="s">
        <v>464</v>
      </c>
      <c r="E10" s="92" t="s">
        <v>8</v>
      </c>
      <c r="F10" s="446" t="s">
        <v>1</v>
      </c>
      <c r="G10" s="446"/>
      <c r="H10" s="10" t="s">
        <v>73</v>
      </c>
      <c r="I10" s="11" t="s">
        <v>36</v>
      </c>
      <c r="N10" s="12"/>
      <c r="O10" s="12"/>
      <c r="P10" s="13"/>
      <c r="Q10" s="13"/>
      <c r="R10" s="520" t="s">
        <v>1</v>
      </c>
      <c r="S10" s="520"/>
      <c r="T10" s="15" t="s">
        <v>73</v>
      </c>
      <c r="U10" s="16" t="s">
        <v>36</v>
      </c>
    </row>
    <row r="11" spans="1:21" x14ac:dyDescent="0.25">
      <c r="A11" s="447" t="s">
        <v>1</v>
      </c>
      <c r="B11" s="447"/>
      <c r="C11" s="362" t="s">
        <v>2</v>
      </c>
      <c r="D11" s="362" t="s">
        <v>2</v>
      </c>
      <c r="E11" s="362" t="s">
        <v>2</v>
      </c>
      <c r="F11" s="448" t="s">
        <v>76</v>
      </c>
      <c r="G11" s="448"/>
      <c r="H11" s="17" t="s">
        <v>72</v>
      </c>
      <c r="I11" s="18" t="s">
        <v>75</v>
      </c>
      <c r="N11" s="510" t="s">
        <v>1</v>
      </c>
      <c r="O11" s="510"/>
      <c r="P11" s="521" t="s">
        <v>24</v>
      </c>
      <c r="Q11" s="521"/>
      <c r="R11" s="522" t="s">
        <v>76</v>
      </c>
      <c r="S11" s="522"/>
      <c r="T11" s="19" t="s">
        <v>72</v>
      </c>
      <c r="U11" s="20" t="s">
        <v>75</v>
      </c>
    </row>
    <row r="12" spans="1:21" x14ac:dyDescent="0.25">
      <c r="A12" s="449" t="s">
        <v>47</v>
      </c>
      <c r="B12" s="449"/>
      <c r="C12" s="94"/>
      <c r="D12" s="94"/>
      <c r="E12" s="95" t="s">
        <v>48</v>
      </c>
      <c r="F12" s="450" t="s">
        <v>49</v>
      </c>
      <c r="G12" s="450"/>
      <c r="H12" s="21" t="s">
        <v>50</v>
      </c>
      <c r="I12" s="22" t="s">
        <v>51</v>
      </c>
      <c r="N12" s="523" t="s">
        <v>47</v>
      </c>
      <c r="O12" s="523"/>
      <c r="P12" s="524" t="s">
        <v>48</v>
      </c>
      <c r="Q12" s="524"/>
      <c r="R12" s="525" t="s">
        <v>49</v>
      </c>
      <c r="S12" s="525"/>
      <c r="T12" s="23" t="s">
        <v>50</v>
      </c>
      <c r="U12" s="24" t="s">
        <v>51</v>
      </c>
    </row>
    <row r="13" spans="1:21" x14ac:dyDescent="0.25">
      <c r="A13" s="451" t="s">
        <v>29</v>
      </c>
      <c r="B13" s="451"/>
      <c r="C13" s="165">
        <v>0</v>
      </c>
      <c r="D13" s="163">
        <v>0</v>
      </c>
      <c r="E13" s="210">
        <f>IF(D$29=0,C13*2,C13+D13)</f>
        <v>0</v>
      </c>
      <c r="F13" s="537">
        <f>'0664'!F13:G13</f>
        <v>1.1259999999999999</v>
      </c>
      <c r="G13" s="537"/>
      <c r="H13" s="167">
        <f>ROUND(E13*F13,4)</f>
        <v>0</v>
      </c>
      <c r="I13" s="119">
        <f t="shared" ref="I13:I28" si="0">ROUND(ROUND(H13*$C$8,4)*($H$8),2)</f>
        <v>0</v>
      </c>
      <c r="N13" s="512" t="s">
        <v>29</v>
      </c>
      <c r="O13" s="512"/>
      <c r="P13" s="513">
        <f t="shared" ref="P13:P28" si="1">IF($H$120=1,E13,0)</f>
        <v>0</v>
      </c>
      <c r="Q13" s="513"/>
      <c r="R13" s="526">
        <v>1</v>
      </c>
      <c r="S13" s="526"/>
      <c r="T13" s="98">
        <f>ROUND(P13*R13,4)</f>
        <v>0</v>
      </c>
      <c r="U13" s="99">
        <f t="shared" ref="U13:U28" si="2">ROUND(ROUND(T13*$C$8,4)*($H$8),0)</f>
        <v>0</v>
      </c>
    </row>
    <row r="14" spans="1:21" x14ac:dyDescent="0.25">
      <c r="A14" s="453" t="s">
        <v>30</v>
      </c>
      <c r="B14" s="453"/>
      <c r="C14" s="165">
        <v>0</v>
      </c>
      <c r="D14" s="165">
        <v>0</v>
      </c>
      <c r="E14" s="125">
        <f t="shared" ref="E14:E28" si="3">IF(D$29=0,C14*2,C14+D14)</f>
        <v>0</v>
      </c>
      <c r="F14" s="532">
        <f>'0664'!F14:G14</f>
        <v>1.1259999999999999</v>
      </c>
      <c r="G14" s="532"/>
      <c r="H14" s="83">
        <f t="shared" ref="H14:H28" si="4">ROUND(E14*F14,4)</f>
        <v>0</v>
      </c>
      <c r="I14" s="104">
        <f t="shared" si="0"/>
        <v>0</v>
      </c>
      <c r="J14" s="68" t="str">
        <f>IF(ROUND(E14,2)=ROUND(SUM(E50:E52),2)," ","CHECK PK-3 LINES BELOW")</f>
        <v xml:space="preserve"> </v>
      </c>
      <c r="N14" s="479" t="s">
        <v>30</v>
      </c>
      <c r="O14" s="479"/>
      <c r="P14" s="513">
        <f t="shared" si="1"/>
        <v>0</v>
      </c>
      <c r="Q14" s="513"/>
      <c r="R14" s="517">
        <v>1</v>
      </c>
      <c r="S14" s="517"/>
      <c r="T14" s="98">
        <f t="shared" ref="T14:T28" si="5">ROUND(P14*R14,4)</f>
        <v>0</v>
      </c>
      <c r="U14" s="99">
        <f t="shared" si="2"/>
        <v>0</v>
      </c>
    </row>
    <row r="15" spans="1:21" x14ac:dyDescent="0.25">
      <c r="A15" s="453" t="s">
        <v>31</v>
      </c>
      <c r="B15" s="453"/>
      <c r="C15" s="165">
        <v>0</v>
      </c>
      <c r="D15" s="165">
        <v>0</v>
      </c>
      <c r="E15" s="125">
        <f t="shared" si="3"/>
        <v>0</v>
      </c>
      <c r="F15" s="532">
        <f>'0664'!F15:G15</f>
        <v>1</v>
      </c>
      <c r="G15" s="532"/>
      <c r="H15" s="83">
        <f t="shared" si="4"/>
        <v>0</v>
      </c>
      <c r="I15" s="104">
        <f t="shared" si="0"/>
        <v>0</v>
      </c>
      <c r="N15" s="479" t="s">
        <v>31</v>
      </c>
      <c r="O15" s="479"/>
      <c r="P15" s="513">
        <f t="shared" si="1"/>
        <v>0</v>
      </c>
      <c r="Q15" s="513"/>
      <c r="R15" s="517">
        <v>1</v>
      </c>
      <c r="S15" s="517"/>
      <c r="T15" s="98">
        <f t="shared" si="5"/>
        <v>0</v>
      </c>
      <c r="U15" s="99">
        <f t="shared" si="2"/>
        <v>0</v>
      </c>
    </row>
    <row r="16" spans="1:21" x14ac:dyDescent="0.25">
      <c r="A16" s="453" t="s">
        <v>32</v>
      </c>
      <c r="B16" s="453"/>
      <c r="C16" s="165">
        <v>0</v>
      </c>
      <c r="D16" s="165">
        <v>0</v>
      </c>
      <c r="E16" s="125">
        <f t="shared" si="3"/>
        <v>0</v>
      </c>
      <c r="F16" s="532">
        <f>'0664'!F16:G16</f>
        <v>1</v>
      </c>
      <c r="G16" s="532"/>
      <c r="H16" s="83">
        <f t="shared" si="4"/>
        <v>0</v>
      </c>
      <c r="I16" s="104">
        <f t="shared" si="0"/>
        <v>0</v>
      </c>
      <c r="J16" s="68" t="str">
        <f>IF(ROUND(E16,2)=ROUND(SUM(E53:E55),2)," ","CHECK 4-8 LINES BELOW")</f>
        <v xml:space="preserve"> </v>
      </c>
      <c r="N16" s="479" t="s">
        <v>32</v>
      </c>
      <c r="O16" s="479"/>
      <c r="P16" s="513">
        <f t="shared" si="1"/>
        <v>0</v>
      </c>
      <c r="Q16" s="513"/>
      <c r="R16" s="517">
        <v>1</v>
      </c>
      <c r="S16" s="517"/>
      <c r="T16" s="98">
        <f t="shared" si="5"/>
        <v>0</v>
      </c>
      <c r="U16" s="99">
        <f t="shared" si="2"/>
        <v>0</v>
      </c>
    </row>
    <row r="17" spans="1:21" x14ac:dyDescent="0.25">
      <c r="A17" s="453" t="s">
        <v>33</v>
      </c>
      <c r="B17" s="453"/>
      <c r="C17" s="165">
        <v>121.43</v>
      </c>
      <c r="D17" s="165">
        <v>142.29</v>
      </c>
      <c r="E17" s="125">
        <f t="shared" si="3"/>
        <v>263.72000000000003</v>
      </c>
      <c r="F17" s="532">
        <f>'0664'!F17:G17</f>
        <v>0.999</v>
      </c>
      <c r="G17" s="532"/>
      <c r="H17" s="83">
        <f t="shared" si="4"/>
        <v>263.4563</v>
      </c>
      <c r="I17" s="104">
        <f t="shared" si="0"/>
        <v>1261515.21</v>
      </c>
      <c r="N17" s="479" t="s">
        <v>33</v>
      </c>
      <c r="O17" s="479"/>
      <c r="P17" s="513">
        <f t="shared" si="1"/>
        <v>0</v>
      </c>
      <c r="Q17" s="513"/>
      <c r="R17" s="517">
        <v>1</v>
      </c>
      <c r="S17" s="517"/>
      <c r="T17" s="98">
        <f t="shared" si="5"/>
        <v>0</v>
      </c>
      <c r="U17" s="99">
        <f t="shared" si="2"/>
        <v>0</v>
      </c>
    </row>
    <row r="18" spans="1:21" x14ac:dyDescent="0.25">
      <c r="A18" s="453" t="s">
        <v>34</v>
      </c>
      <c r="B18" s="453"/>
      <c r="C18" s="165">
        <v>19.5</v>
      </c>
      <c r="D18" s="165">
        <v>23.39</v>
      </c>
      <c r="E18" s="125">
        <f t="shared" si="3"/>
        <v>42.89</v>
      </c>
      <c r="F18" s="532">
        <f>'0664'!F18:G18</f>
        <v>0.999</v>
      </c>
      <c r="G18" s="532"/>
      <c r="H18" s="83">
        <f t="shared" si="4"/>
        <v>42.847099999999998</v>
      </c>
      <c r="I18" s="104">
        <f t="shared" si="0"/>
        <v>205165.97</v>
      </c>
      <c r="J18" s="68" t="str">
        <f>IF(ROUND(E18,2)=ROUND(SUM(E56:E58),2)," ","CHECK 4-8 LINES BELOW")</f>
        <v xml:space="preserve"> </v>
      </c>
      <c r="N18" s="479" t="s">
        <v>34</v>
      </c>
      <c r="O18" s="479"/>
      <c r="P18" s="513">
        <f t="shared" si="1"/>
        <v>0</v>
      </c>
      <c r="Q18" s="513"/>
      <c r="R18" s="517">
        <v>1</v>
      </c>
      <c r="S18" s="517"/>
      <c r="T18" s="98">
        <f t="shared" si="5"/>
        <v>0</v>
      </c>
      <c r="U18" s="101">
        <f t="shared" si="2"/>
        <v>0</v>
      </c>
    </row>
    <row r="19" spans="1:21" x14ac:dyDescent="0.25">
      <c r="A19" s="453" t="s">
        <v>108</v>
      </c>
      <c r="B19" s="453"/>
      <c r="C19" s="165">
        <v>0</v>
      </c>
      <c r="D19" s="165">
        <v>0</v>
      </c>
      <c r="E19" s="125">
        <f t="shared" si="3"/>
        <v>0</v>
      </c>
      <c r="F19" s="532">
        <f>'0664'!F19:G19</f>
        <v>3.6739999999999999</v>
      </c>
      <c r="G19" s="532"/>
      <c r="H19" s="83">
        <f t="shared" si="4"/>
        <v>0</v>
      </c>
      <c r="I19" s="104">
        <f t="shared" si="0"/>
        <v>0</v>
      </c>
      <c r="N19" s="479" t="s">
        <v>108</v>
      </c>
      <c r="O19" s="479"/>
      <c r="P19" s="513">
        <f t="shared" si="1"/>
        <v>0</v>
      </c>
      <c r="Q19" s="513"/>
      <c r="R19" s="517">
        <v>1</v>
      </c>
      <c r="S19" s="517"/>
      <c r="T19" s="98">
        <f t="shared" si="5"/>
        <v>0</v>
      </c>
      <c r="U19" s="99">
        <f t="shared" si="2"/>
        <v>0</v>
      </c>
    </row>
    <row r="20" spans="1:21" x14ac:dyDescent="0.25">
      <c r="A20" s="453" t="s">
        <v>109</v>
      </c>
      <c r="B20" s="453"/>
      <c r="C20" s="165">
        <v>0</v>
      </c>
      <c r="D20" s="165">
        <v>0</v>
      </c>
      <c r="E20" s="125">
        <f t="shared" si="3"/>
        <v>0</v>
      </c>
      <c r="F20" s="532">
        <f>'0664'!F20:G20</f>
        <v>3.6739999999999999</v>
      </c>
      <c r="G20" s="532"/>
      <c r="H20" s="83">
        <f t="shared" si="4"/>
        <v>0</v>
      </c>
      <c r="I20" s="104">
        <f t="shared" si="0"/>
        <v>0</v>
      </c>
      <c r="N20" s="479" t="s">
        <v>109</v>
      </c>
      <c r="O20" s="479"/>
      <c r="P20" s="513">
        <f t="shared" si="1"/>
        <v>0</v>
      </c>
      <c r="Q20" s="513"/>
      <c r="R20" s="517">
        <v>1</v>
      </c>
      <c r="S20" s="517"/>
      <c r="T20" s="98">
        <f t="shared" si="5"/>
        <v>0</v>
      </c>
      <c r="U20" s="99">
        <f t="shared" si="2"/>
        <v>0</v>
      </c>
    </row>
    <row r="21" spans="1:21" x14ac:dyDescent="0.25">
      <c r="A21" s="453" t="s">
        <v>110</v>
      </c>
      <c r="B21" s="453"/>
      <c r="C21" s="165">
        <v>0</v>
      </c>
      <c r="D21" s="165">
        <v>0</v>
      </c>
      <c r="E21" s="125">
        <f t="shared" si="3"/>
        <v>0</v>
      </c>
      <c r="F21" s="532">
        <f>'0664'!F21:G21</f>
        <v>3.6739999999999999</v>
      </c>
      <c r="G21" s="532"/>
      <c r="H21" s="83">
        <f t="shared" si="4"/>
        <v>0</v>
      </c>
      <c r="I21" s="104">
        <f t="shared" si="0"/>
        <v>0</v>
      </c>
      <c r="N21" s="479" t="s">
        <v>110</v>
      </c>
      <c r="O21" s="479"/>
      <c r="P21" s="513">
        <f t="shared" si="1"/>
        <v>0</v>
      </c>
      <c r="Q21" s="513"/>
      <c r="R21" s="517">
        <v>1</v>
      </c>
      <c r="S21" s="517"/>
      <c r="T21" s="98">
        <f t="shared" si="5"/>
        <v>0</v>
      </c>
      <c r="U21" s="99">
        <f t="shared" si="2"/>
        <v>0</v>
      </c>
    </row>
    <row r="22" spans="1:21" x14ac:dyDescent="0.25">
      <c r="A22" s="453" t="s">
        <v>111</v>
      </c>
      <c r="B22" s="453"/>
      <c r="C22" s="165">
        <v>0</v>
      </c>
      <c r="D22" s="165">
        <v>0</v>
      </c>
      <c r="E22" s="125">
        <f t="shared" si="3"/>
        <v>0</v>
      </c>
      <c r="F22" s="532">
        <f>'0664'!F22:G22</f>
        <v>5.4009999999999998</v>
      </c>
      <c r="G22" s="532"/>
      <c r="H22" s="83">
        <f t="shared" si="4"/>
        <v>0</v>
      </c>
      <c r="I22" s="104">
        <f t="shared" si="0"/>
        <v>0</v>
      </c>
      <c r="N22" s="479" t="s">
        <v>111</v>
      </c>
      <c r="O22" s="479"/>
      <c r="P22" s="513">
        <f t="shared" si="1"/>
        <v>0</v>
      </c>
      <c r="Q22" s="513"/>
      <c r="R22" s="517">
        <v>1</v>
      </c>
      <c r="S22" s="517"/>
      <c r="T22" s="98">
        <f t="shared" si="5"/>
        <v>0</v>
      </c>
      <c r="U22" s="99">
        <f t="shared" si="2"/>
        <v>0</v>
      </c>
    </row>
    <row r="23" spans="1:21" x14ac:dyDescent="0.25">
      <c r="A23" s="453" t="s">
        <v>112</v>
      </c>
      <c r="B23" s="453"/>
      <c r="C23" s="165">
        <v>0</v>
      </c>
      <c r="D23" s="165">
        <v>0</v>
      </c>
      <c r="E23" s="125">
        <f t="shared" si="3"/>
        <v>0</v>
      </c>
      <c r="F23" s="532">
        <f>'0664'!F23:G23</f>
        <v>5.4009999999999998</v>
      </c>
      <c r="G23" s="532"/>
      <c r="H23" s="83">
        <f t="shared" si="4"/>
        <v>0</v>
      </c>
      <c r="I23" s="104">
        <f t="shared" si="0"/>
        <v>0</v>
      </c>
      <c r="N23" s="479" t="s">
        <v>112</v>
      </c>
      <c r="O23" s="479"/>
      <c r="P23" s="513">
        <f t="shared" si="1"/>
        <v>0</v>
      </c>
      <c r="Q23" s="513"/>
      <c r="R23" s="517">
        <v>1</v>
      </c>
      <c r="S23" s="517"/>
      <c r="T23" s="98">
        <f t="shared" si="5"/>
        <v>0</v>
      </c>
      <c r="U23" s="99">
        <f t="shared" si="2"/>
        <v>0</v>
      </c>
    </row>
    <row r="24" spans="1:21" x14ac:dyDescent="0.25">
      <c r="A24" s="453" t="s">
        <v>113</v>
      </c>
      <c r="B24" s="453"/>
      <c r="C24" s="165">
        <v>0</v>
      </c>
      <c r="D24" s="165">
        <v>0</v>
      </c>
      <c r="E24" s="125">
        <f t="shared" si="3"/>
        <v>0</v>
      </c>
      <c r="F24" s="532">
        <f>'0664'!F24:G24</f>
        <v>5.4009999999999998</v>
      </c>
      <c r="G24" s="532"/>
      <c r="H24" s="83">
        <f t="shared" si="4"/>
        <v>0</v>
      </c>
      <c r="I24" s="104">
        <f t="shared" si="0"/>
        <v>0</v>
      </c>
      <c r="N24" s="479" t="s">
        <v>113</v>
      </c>
      <c r="O24" s="479"/>
      <c r="P24" s="513">
        <f t="shared" si="1"/>
        <v>0</v>
      </c>
      <c r="Q24" s="513"/>
      <c r="R24" s="517">
        <v>1</v>
      </c>
      <c r="S24" s="517"/>
      <c r="T24" s="98">
        <f t="shared" si="5"/>
        <v>0</v>
      </c>
      <c r="U24" s="99">
        <f t="shared" si="2"/>
        <v>0</v>
      </c>
    </row>
    <row r="25" spans="1:21" x14ac:dyDescent="0.25">
      <c r="A25" s="453" t="s">
        <v>114</v>
      </c>
      <c r="B25" s="453"/>
      <c r="C25" s="165">
        <v>0</v>
      </c>
      <c r="D25" s="165">
        <v>0</v>
      </c>
      <c r="E25" s="125">
        <f t="shared" si="3"/>
        <v>0</v>
      </c>
      <c r="F25" s="532">
        <f>'0664'!F25:G25</f>
        <v>1.206</v>
      </c>
      <c r="G25" s="532"/>
      <c r="H25" s="83">
        <f t="shared" si="4"/>
        <v>0</v>
      </c>
      <c r="I25" s="104">
        <f t="shared" si="0"/>
        <v>0</v>
      </c>
      <c r="N25" s="479" t="s">
        <v>114</v>
      </c>
      <c r="O25" s="479"/>
      <c r="P25" s="513">
        <f t="shared" si="1"/>
        <v>0</v>
      </c>
      <c r="Q25" s="513"/>
      <c r="R25" s="517">
        <v>1</v>
      </c>
      <c r="S25" s="517"/>
      <c r="T25" s="98">
        <f t="shared" si="5"/>
        <v>0</v>
      </c>
      <c r="U25" s="99">
        <f t="shared" si="2"/>
        <v>0</v>
      </c>
    </row>
    <row r="26" spans="1:21" x14ac:dyDescent="0.25">
      <c r="A26" s="453" t="s">
        <v>115</v>
      </c>
      <c r="B26" s="453"/>
      <c r="C26" s="165">
        <v>0</v>
      </c>
      <c r="D26" s="165">
        <v>0</v>
      </c>
      <c r="E26" s="125">
        <f t="shared" si="3"/>
        <v>0</v>
      </c>
      <c r="F26" s="532">
        <f>'0664'!F26:G26</f>
        <v>1.206</v>
      </c>
      <c r="G26" s="532"/>
      <c r="H26" s="83">
        <f t="shared" si="4"/>
        <v>0</v>
      </c>
      <c r="I26" s="104">
        <f t="shared" si="0"/>
        <v>0</v>
      </c>
      <c r="N26" s="479" t="s">
        <v>115</v>
      </c>
      <c r="O26" s="479"/>
      <c r="P26" s="513">
        <f t="shared" si="1"/>
        <v>0</v>
      </c>
      <c r="Q26" s="513"/>
      <c r="R26" s="517">
        <v>1</v>
      </c>
      <c r="S26" s="517"/>
      <c r="T26" s="98">
        <f t="shared" si="5"/>
        <v>0</v>
      </c>
      <c r="U26" s="99">
        <f t="shared" si="2"/>
        <v>0</v>
      </c>
    </row>
    <row r="27" spans="1:21" x14ac:dyDescent="0.25">
      <c r="A27" s="453" t="s">
        <v>116</v>
      </c>
      <c r="B27" s="453"/>
      <c r="C27" s="165">
        <v>6.2</v>
      </c>
      <c r="D27" s="165">
        <v>9.08</v>
      </c>
      <c r="E27" s="125">
        <f t="shared" si="3"/>
        <v>15.280000000000001</v>
      </c>
      <c r="F27" s="532">
        <f>'0664'!F27:G27</f>
        <v>1.206</v>
      </c>
      <c r="G27" s="532"/>
      <c r="H27" s="83">
        <f t="shared" si="4"/>
        <v>18.427700000000002</v>
      </c>
      <c r="I27" s="104">
        <f t="shared" si="0"/>
        <v>88237.87</v>
      </c>
      <c r="N27" s="479" t="s">
        <v>116</v>
      </c>
      <c r="O27" s="479"/>
      <c r="P27" s="513">
        <f t="shared" si="1"/>
        <v>0</v>
      </c>
      <c r="Q27" s="513"/>
      <c r="R27" s="517">
        <v>1</v>
      </c>
      <c r="S27" s="517"/>
      <c r="T27" s="98">
        <f t="shared" si="5"/>
        <v>0</v>
      </c>
      <c r="U27" s="99">
        <f t="shared" si="2"/>
        <v>0</v>
      </c>
    </row>
    <row r="28" spans="1:21" x14ac:dyDescent="0.25">
      <c r="A28" s="453" t="s">
        <v>117</v>
      </c>
      <c r="B28" s="453"/>
      <c r="C28" s="116">
        <v>2.1</v>
      </c>
      <c r="D28" s="116">
        <v>1.4</v>
      </c>
      <c r="E28" s="177">
        <f t="shared" si="3"/>
        <v>3.5</v>
      </c>
      <c r="F28" s="532">
        <f>'0664'!F28:G28</f>
        <v>0.999</v>
      </c>
      <c r="G28" s="532"/>
      <c r="H28" s="96">
        <f t="shared" si="4"/>
        <v>3.4965000000000002</v>
      </c>
      <c r="I28" s="97">
        <f t="shared" si="0"/>
        <v>16742.39</v>
      </c>
      <c r="N28" s="482" t="s">
        <v>117</v>
      </c>
      <c r="O28" s="482"/>
      <c r="P28" s="513">
        <f t="shared" si="1"/>
        <v>0</v>
      </c>
      <c r="Q28" s="513"/>
      <c r="R28" s="514">
        <v>1</v>
      </c>
      <c r="S28" s="514"/>
      <c r="T28" s="98">
        <f t="shared" si="5"/>
        <v>0</v>
      </c>
      <c r="U28" s="99">
        <f t="shared" si="2"/>
        <v>0</v>
      </c>
    </row>
    <row r="29" spans="1:21" x14ac:dyDescent="0.25">
      <c r="A29" s="461" t="s">
        <v>5</v>
      </c>
      <c r="B29" s="461"/>
      <c r="C29" s="97">
        <f>SUM(C13:C28)</f>
        <v>149.22999999999999</v>
      </c>
      <c r="D29" s="97">
        <f>SUM(D13:D28)</f>
        <v>176.16000000000003</v>
      </c>
      <c r="E29" s="97">
        <f>SUM(E13:E28)</f>
        <v>325.39</v>
      </c>
      <c r="F29" s="457"/>
      <c r="G29" s="457"/>
      <c r="H29" s="102">
        <f>SUM(H13:H28)</f>
        <v>328.22760000000005</v>
      </c>
      <c r="I29" s="97">
        <f>SUM(I13:I28)</f>
        <v>1571661.4399999997</v>
      </c>
      <c r="N29" s="515" t="s">
        <v>5</v>
      </c>
      <c r="O29" s="515"/>
      <c r="P29" s="516">
        <f>SUM(P13:P28)</f>
        <v>0</v>
      </c>
      <c r="Q29" s="516"/>
      <c r="R29" s="508"/>
      <c r="S29" s="508"/>
      <c r="T29" s="103">
        <f>SUM(T13:T28)</f>
        <v>0</v>
      </c>
      <c r="U29" s="99">
        <f>SUM(U13:U28)</f>
        <v>0</v>
      </c>
    </row>
    <row r="30" spans="1:21" x14ac:dyDescent="0.25">
      <c r="A30" s="27"/>
      <c r="B30" s="27"/>
      <c r="C30" s="104"/>
      <c r="D30" s="104"/>
      <c r="E30" s="104"/>
      <c r="F30" s="28"/>
      <c r="G30" s="28"/>
      <c r="H30" s="83"/>
      <c r="I30" s="104"/>
      <c r="N30" s="29"/>
      <c r="O30" s="29"/>
      <c r="P30" s="30"/>
      <c r="Q30" s="30"/>
      <c r="R30" s="31"/>
      <c r="S30" s="31"/>
      <c r="T30" s="105"/>
      <c r="U30" s="106"/>
    </row>
    <row r="31" spans="1:21" x14ac:dyDescent="0.25">
      <c r="A31" s="168" t="s">
        <v>97</v>
      </c>
      <c r="B31" s="27"/>
      <c r="C31" s="104"/>
      <c r="D31" s="104"/>
      <c r="E31" s="104"/>
      <c r="F31" s="28"/>
      <c r="G31" s="28"/>
      <c r="H31" s="83"/>
      <c r="I31" s="104"/>
      <c r="N31" s="29"/>
      <c r="O31" s="29"/>
      <c r="P31" s="30"/>
      <c r="Q31" s="30"/>
      <c r="R31" s="31"/>
      <c r="S31" s="31"/>
      <c r="T31" s="105"/>
      <c r="U31" s="106"/>
    </row>
    <row r="32" spans="1:21" hidden="1" x14ac:dyDescent="0.25">
      <c r="A32" s="168"/>
      <c r="B32" s="27"/>
      <c r="C32" s="104"/>
      <c r="D32" s="104"/>
      <c r="E32" s="104"/>
      <c r="F32" s="28"/>
      <c r="G32" s="28"/>
      <c r="H32" s="83"/>
      <c r="I32" s="104"/>
      <c r="N32" s="29"/>
      <c r="O32" s="29"/>
      <c r="P32" s="30"/>
      <c r="Q32" s="30"/>
      <c r="R32" s="31"/>
      <c r="S32" s="31"/>
      <c r="T32" s="105"/>
      <c r="U32" s="106"/>
    </row>
    <row r="33" spans="1:21" hidden="1" x14ac:dyDescent="0.25">
      <c r="A33" s="168"/>
      <c r="B33" s="27"/>
      <c r="C33" s="104"/>
      <c r="D33" s="104"/>
      <c r="E33" s="104"/>
      <c r="F33" s="541" t="s">
        <v>282</v>
      </c>
      <c r="G33" s="541"/>
      <c r="H33" s="541"/>
      <c r="I33" s="104"/>
      <c r="N33" s="29"/>
      <c r="O33" s="29"/>
      <c r="P33" s="30"/>
      <c r="Q33" s="30"/>
      <c r="R33" s="31"/>
      <c r="S33" s="31"/>
      <c r="T33" s="105"/>
      <c r="U33" s="106"/>
    </row>
    <row r="34" spans="1:21" hidden="1" x14ac:dyDescent="0.25">
      <c r="A34" s="3"/>
      <c r="B34" s="72"/>
      <c r="C34" s="72"/>
      <c r="D34" s="72"/>
      <c r="E34" s="72"/>
      <c r="F34" s="541"/>
      <c r="G34" s="541"/>
      <c r="H34" s="541"/>
      <c r="I34" s="25" t="s">
        <v>74</v>
      </c>
      <c r="N34" s="485" t="s">
        <v>35</v>
      </c>
      <c r="O34" s="485"/>
      <c r="P34" s="485"/>
      <c r="Q34" s="485"/>
      <c r="R34" s="485"/>
      <c r="S34" s="485"/>
      <c r="T34" s="485"/>
      <c r="U34" s="26" t="s">
        <v>74</v>
      </c>
    </row>
    <row r="35" spans="1:21" hidden="1" x14ac:dyDescent="0.25">
      <c r="A35" s="27"/>
      <c r="B35" s="27"/>
      <c r="C35" s="91" t="s">
        <v>124</v>
      </c>
      <c r="D35" s="91" t="s">
        <v>125</v>
      </c>
      <c r="E35" s="92" t="s">
        <v>8</v>
      </c>
      <c r="F35" s="541"/>
      <c r="G35" s="541"/>
      <c r="H35" s="541"/>
      <c r="I35" s="25" t="s">
        <v>36</v>
      </c>
      <c r="N35" s="29"/>
      <c r="O35" s="29"/>
      <c r="P35" s="30"/>
      <c r="Q35" s="30"/>
      <c r="R35" s="31"/>
      <c r="S35" s="31"/>
      <c r="T35" s="105"/>
      <c r="U35" s="26" t="s">
        <v>36</v>
      </c>
    </row>
    <row r="36" spans="1:21" hidden="1" x14ac:dyDescent="0.25">
      <c r="A36" s="447" t="s">
        <v>63</v>
      </c>
      <c r="B36" s="447"/>
      <c r="C36" s="93" t="s">
        <v>2</v>
      </c>
      <c r="D36" s="93" t="s">
        <v>2</v>
      </c>
      <c r="E36" s="93" t="s">
        <v>2</v>
      </c>
      <c r="F36" s="542"/>
      <c r="G36" s="542"/>
      <c r="H36" s="542"/>
      <c r="I36" s="32" t="s">
        <v>75</v>
      </c>
      <c r="N36" s="510" t="s">
        <v>63</v>
      </c>
      <c r="O36" s="510"/>
      <c r="P36" s="511" t="s">
        <v>24</v>
      </c>
      <c r="Q36" s="511"/>
      <c r="R36" s="511"/>
      <c r="S36" s="511"/>
      <c r="T36" s="511"/>
      <c r="U36" s="20" t="s">
        <v>75</v>
      </c>
    </row>
    <row r="37" spans="1:21" hidden="1" x14ac:dyDescent="0.25">
      <c r="A37" s="451" t="s">
        <v>56</v>
      </c>
      <c r="B37" s="451"/>
      <c r="C37" s="169">
        <v>0</v>
      </c>
      <c r="D37" s="169">
        <v>0</v>
      </c>
      <c r="E37" s="210">
        <f t="shared" ref="E37:E42" si="6">IF(D$43=0,C37*2,C37+D37)</f>
        <v>0</v>
      </c>
      <c r="F37" s="170"/>
      <c r="G37" s="170"/>
      <c r="H37" s="170"/>
      <c r="I37" s="119">
        <f t="shared" ref="I37:I42" si="7">ROUND(ROUND(E37*$C$8,4)*($H$8),2)</f>
        <v>0</v>
      </c>
      <c r="N37" s="512" t="s">
        <v>56</v>
      </c>
      <c r="O37" s="512"/>
      <c r="P37" s="483">
        <f t="shared" ref="P37:P42" si="8">IF($H$120=1,E37,0)</f>
        <v>0</v>
      </c>
      <c r="Q37" s="483"/>
      <c r="R37" s="483"/>
      <c r="S37" s="483"/>
      <c r="T37" s="483"/>
      <c r="U37" s="101">
        <f t="shared" ref="U37:U42" si="9">ROUND(ROUND(P37*$C$8,4)*($H$8),0)</f>
        <v>0</v>
      </c>
    </row>
    <row r="38" spans="1:21" hidden="1" x14ac:dyDescent="0.25">
      <c r="A38" s="453" t="s">
        <v>57</v>
      </c>
      <c r="B38" s="453"/>
      <c r="C38" s="172">
        <v>0</v>
      </c>
      <c r="D38" s="172">
        <v>0</v>
      </c>
      <c r="E38" s="125">
        <f t="shared" si="6"/>
        <v>0</v>
      </c>
      <c r="F38" s="173"/>
      <c r="G38" s="173"/>
      <c r="H38" s="173"/>
      <c r="I38" s="104">
        <f t="shared" si="7"/>
        <v>0</v>
      </c>
      <c r="N38" s="479" t="s">
        <v>57</v>
      </c>
      <c r="O38" s="479"/>
      <c r="P38" s="483">
        <f t="shared" si="8"/>
        <v>0</v>
      </c>
      <c r="Q38" s="483"/>
      <c r="R38" s="483"/>
      <c r="S38" s="483"/>
      <c r="T38" s="483"/>
      <c r="U38" s="101">
        <f t="shared" si="9"/>
        <v>0</v>
      </c>
    </row>
    <row r="39" spans="1:21" hidden="1" x14ac:dyDescent="0.25">
      <c r="A39" s="458" t="s">
        <v>58</v>
      </c>
      <c r="B39" s="458"/>
      <c r="C39" s="172">
        <v>0</v>
      </c>
      <c r="D39" s="172">
        <v>0</v>
      </c>
      <c r="E39" s="125">
        <f t="shared" si="6"/>
        <v>0</v>
      </c>
      <c r="F39" s="173"/>
      <c r="G39" s="173"/>
      <c r="H39" s="173"/>
      <c r="I39" s="104">
        <f t="shared" si="7"/>
        <v>0</v>
      </c>
      <c r="N39" s="509" t="s">
        <v>58</v>
      </c>
      <c r="O39" s="509"/>
      <c r="P39" s="483">
        <f t="shared" si="8"/>
        <v>0</v>
      </c>
      <c r="Q39" s="483"/>
      <c r="R39" s="483"/>
      <c r="S39" s="483"/>
      <c r="T39" s="483"/>
      <c r="U39" s="101">
        <f t="shared" si="9"/>
        <v>0</v>
      </c>
    </row>
    <row r="40" spans="1:21" hidden="1" x14ac:dyDescent="0.25">
      <c r="A40" s="453" t="s">
        <v>59</v>
      </c>
      <c r="B40" s="453"/>
      <c r="C40" s="172">
        <v>0</v>
      </c>
      <c r="D40" s="172">
        <v>0</v>
      </c>
      <c r="E40" s="125">
        <f t="shared" si="6"/>
        <v>0</v>
      </c>
      <c r="F40" s="173"/>
      <c r="G40" s="173"/>
      <c r="H40" s="173"/>
      <c r="I40" s="104">
        <f t="shared" si="7"/>
        <v>0</v>
      </c>
      <c r="N40" s="479" t="s">
        <v>59</v>
      </c>
      <c r="O40" s="479"/>
      <c r="P40" s="483">
        <f t="shared" si="8"/>
        <v>0</v>
      </c>
      <c r="Q40" s="483"/>
      <c r="R40" s="483"/>
      <c r="S40" s="483"/>
      <c r="T40" s="483"/>
      <c r="U40" s="101">
        <f t="shared" si="9"/>
        <v>0</v>
      </c>
    </row>
    <row r="41" spans="1:21" hidden="1" x14ac:dyDescent="0.25">
      <c r="A41" s="453" t="s">
        <v>60</v>
      </c>
      <c r="B41" s="453"/>
      <c r="C41" s="172">
        <v>0</v>
      </c>
      <c r="D41" s="172">
        <v>0</v>
      </c>
      <c r="E41" s="125">
        <f t="shared" si="6"/>
        <v>0</v>
      </c>
      <c r="F41" s="173"/>
      <c r="G41" s="173"/>
      <c r="H41" s="173"/>
      <c r="I41" s="104">
        <f t="shared" si="7"/>
        <v>0</v>
      </c>
      <c r="N41" s="479" t="s">
        <v>60</v>
      </c>
      <c r="O41" s="479"/>
      <c r="P41" s="483">
        <f t="shared" si="8"/>
        <v>0</v>
      </c>
      <c r="Q41" s="483"/>
      <c r="R41" s="483"/>
      <c r="S41" s="483"/>
      <c r="T41" s="483"/>
      <c r="U41" s="101">
        <f t="shared" si="9"/>
        <v>0</v>
      </c>
    </row>
    <row r="42" spans="1:21" hidden="1" x14ac:dyDescent="0.25">
      <c r="A42" s="453" t="s">
        <v>52</v>
      </c>
      <c r="B42" s="453"/>
      <c r="C42" s="171">
        <v>0</v>
      </c>
      <c r="D42" s="171">
        <v>0</v>
      </c>
      <c r="E42" s="177">
        <f t="shared" si="6"/>
        <v>0</v>
      </c>
      <c r="F42" s="173"/>
      <c r="G42" s="173"/>
      <c r="H42" s="173"/>
      <c r="I42" s="97">
        <f t="shared" si="7"/>
        <v>0</v>
      </c>
      <c r="N42" s="482" t="s">
        <v>52</v>
      </c>
      <c r="O42" s="482"/>
      <c r="P42" s="483">
        <f t="shared" si="8"/>
        <v>0</v>
      </c>
      <c r="Q42" s="483"/>
      <c r="R42" s="483"/>
      <c r="S42" s="483"/>
      <c r="T42" s="483"/>
      <c r="U42" s="101">
        <f t="shared" si="9"/>
        <v>0</v>
      </c>
    </row>
    <row r="43" spans="1:21" hidden="1" x14ac:dyDescent="0.25">
      <c r="A43" s="3"/>
      <c r="B43" s="55" t="s">
        <v>126</v>
      </c>
      <c r="C43" s="100">
        <f>SUM(C37:C42)</f>
        <v>0</v>
      </c>
      <c r="D43" s="100">
        <f>SUM(D37:D42)</f>
        <v>0</v>
      </c>
      <c r="E43" s="100">
        <f>SUM(E37:E42)</f>
        <v>0</v>
      </c>
      <c r="F43" s="33"/>
      <c r="G43" s="109"/>
      <c r="H43" s="110" t="s">
        <v>128</v>
      </c>
      <c r="I43" s="100">
        <f>SUM(I37:I42)</f>
        <v>0</v>
      </c>
      <c r="N43" s="480" t="s">
        <v>54</v>
      </c>
      <c r="O43" s="480"/>
      <c r="P43" s="480"/>
      <c r="Q43" s="480"/>
      <c r="R43" s="34">
        <f>SUM(P37:R42)</f>
        <v>0</v>
      </c>
      <c r="S43" s="508" t="s">
        <v>64</v>
      </c>
      <c r="T43" s="508"/>
      <c r="U43" s="106">
        <f>SUM(U37:U42)</f>
        <v>0</v>
      </c>
    </row>
    <row r="44" spans="1:21" ht="16.5" hidden="1" thickBot="1" x14ac:dyDescent="0.3">
      <c r="A44" s="3"/>
      <c r="B44" s="55"/>
      <c r="C44" s="104"/>
      <c r="D44" s="104"/>
      <c r="E44" s="119"/>
      <c r="F44" s="33"/>
      <c r="G44" s="109"/>
      <c r="H44" s="110"/>
      <c r="I44" s="104"/>
      <c r="N44" s="29"/>
      <c r="O44" s="29"/>
      <c r="P44" s="29"/>
      <c r="Q44" s="29"/>
      <c r="R44" s="34"/>
      <c r="S44" s="31"/>
      <c r="T44" s="31"/>
      <c r="U44" s="106"/>
    </row>
    <row r="45" spans="1:21" ht="16.5" hidden="1" thickBot="1" x14ac:dyDescent="0.3">
      <c r="A45" s="3"/>
      <c r="B45" s="55" t="s">
        <v>127</v>
      </c>
      <c r="E45" s="174">
        <f>H29+E43</f>
        <v>328.22760000000005</v>
      </c>
      <c r="F45" s="35"/>
      <c r="G45" s="109"/>
      <c r="H45" s="110" t="s">
        <v>129</v>
      </c>
      <c r="I45" s="97">
        <f>SUM(I43,I29)</f>
        <v>1571661.4399999997</v>
      </c>
      <c r="N45" s="480" t="s">
        <v>55</v>
      </c>
      <c r="O45" s="480"/>
      <c r="P45" s="480"/>
      <c r="Q45" s="480"/>
      <c r="R45" s="36">
        <f>R43+T29</f>
        <v>0</v>
      </c>
      <c r="S45" s="508" t="s">
        <v>53</v>
      </c>
      <c r="T45" s="508"/>
      <c r="U45" s="111">
        <f>SUM(U43,U29)</f>
        <v>0</v>
      </c>
    </row>
    <row r="46" spans="1:21" hidden="1" x14ac:dyDescent="0.25">
      <c r="A46" s="27"/>
      <c r="B46" s="27"/>
      <c r="C46" s="27"/>
      <c r="D46" s="27"/>
      <c r="E46" s="27"/>
      <c r="F46" s="35"/>
      <c r="G46" s="28"/>
      <c r="H46" s="28"/>
      <c r="I46" s="104"/>
      <c r="N46" s="29"/>
      <c r="O46" s="29"/>
      <c r="P46" s="29"/>
      <c r="Q46" s="29"/>
      <c r="R46" s="36"/>
      <c r="S46" s="31"/>
      <c r="T46" s="31"/>
      <c r="U46" s="106"/>
    </row>
    <row r="47" spans="1:21" x14ac:dyDescent="0.25">
      <c r="A47" s="27"/>
      <c r="B47" s="55" t="s">
        <v>370</v>
      </c>
      <c r="C47" s="372" t="s">
        <v>370</v>
      </c>
      <c r="D47" s="372" t="s">
        <v>370</v>
      </c>
      <c r="E47" s="27"/>
      <c r="F47" s="35"/>
      <c r="G47" s="28"/>
      <c r="H47" s="28"/>
      <c r="I47" s="104"/>
      <c r="N47" s="29"/>
      <c r="O47" s="29"/>
      <c r="P47" s="29"/>
      <c r="Q47" s="29"/>
      <c r="R47" s="36"/>
      <c r="S47" s="31"/>
      <c r="T47" s="31"/>
      <c r="U47" s="106"/>
    </row>
    <row r="48" spans="1:21" x14ac:dyDescent="0.25">
      <c r="A48" s="27"/>
      <c r="B48" s="27"/>
      <c r="C48" s="91" t="s">
        <v>463</v>
      </c>
      <c r="D48" s="371" t="s">
        <v>464</v>
      </c>
      <c r="E48" s="92" t="s">
        <v>8</v>
      </c>
      <c r="F48" s="49" t="s">
        <v>130</v>
      </c>
      <c r="G48" s="112" t="s">
        <v>132</v>
      </c>
      <c r="H48" s="113" t="s">
        <v>133</v>
      </c>
      <c r="I48" s="104"/>
      <c r="N48" s="29"/>
      <c r="O48" s="29"/>
      <c r="P48" s="29"/>
      <c r="Q48" s="29"/>
      <c r="R48" s="36"/>
      <c r="S48" s="31"/>
      <c r="T48" s="31"/>
      <c r="U48" s="106"/>
    </row>
    <row r="49" spans="1:21" x14ac:dyDescent="0.25">
      <c r="A49" s="37" t="s">
        <v>87</v>
      </c>
      <c r="B49" s="37"/>
      <c r="C49" s="362" t="s">
        <v>2</v>
      </c>
      <c r="D49" s="362" t="s">
        <v>2</v>
      </c>
      <c r="E49" s="362" t="s">
        <v>2</v>
      </c>
      <c r="F49" s="95" t="s">
        <v>131</v>
      </c>
      <c r="G49" s="62" t="s">
        <v>131</v>
      </c>
      <c r="H49" s="114" t="s">
        <v>134</v>
      </c>
      <c r="I49" s="37"/>
      <c r="N49" s="482" t="s">
        <v>87</v>
      </c>
      <c r="O49" s="482"/>
      <c r="P49" s="503" t="s">
        <v>2</v>
      </c>
      <c r="Q49" s="503"/>
      <c r="R49" s="38" t="s">
        <v>25</v>
      </c>
      <c r="S49" s="63" t="s">
        <v>26</v>
      </c>
      <c r="T49" s="115" t="s">
        <v>27</v>
      </c>
      <c r="U49" s="38"/>
    </row>
    <row r="50" spans="1:21" x14ac:dyDescent="0.25">
      <c r="A50" s="459" t="s">
        <v>98</v>
      </c>
      <c r="B50" s="459"/>
      <c r="C50" s="165">
        <v>0</v>
      </c>
      <c r="D50" s="165">
        <v>0</v>
      </c>
      <c r="E50" s="125">
        <f>IF(D$59=0,C50*2,C50+D50)</f>
        <v>0</v>
      </c>
      <c r="F50" s="39" t="s">
        <v>21</v>
      </c>
      <c r="G50" s="39">
        <v>251</v>
      </c>
      <c r="H50" s="321">
        <f>'0664'!H50</f>
        <v>1047</v>
      </c>
      <c r="I50" s="104">
        <f>ROUND(E50*H50,2)</f>
        <v>0</v>
      </c>
      <c r="N50" s="504" t="s">
        <v>28</v>
      </c>
      <c r="O50" s="504"/>
      <c r="P50" s="505"/>
      <c r="Q50" s="505"/>
      <c r="R50" s="40" t="s">
        <v>21</v>
      </c>
      <c r="S50" s="40">
        <v>251</v>
      </c>
      <c r="T50" s="117">
        <f>H50</f>
        <v>1047</v>
      </c>
      <c r="U50" s="118">
        <f>ROUND(P50*T50,0)</f>
        <v>0</v>
      </c>
    </row>
    <row r="51" spans="1:21" x14ac:dyDescent="0.25">
      <c r="A51" s="460"/>
      <c r="B51" s="460"/>
      <c r="C51" s="165">
        <v>0</v>
      </c>
      <c r="D51" s="165">
        <v>0</v>
      </c>
      <c r="E51" s="125">
        <f t="shared" ref="E51:E58" si="10">IF(D$59=0,C51*2,C51+D51)</f>
        <v>0</v>
      </c>
      <c r="F51" s="39" t="s">
        <v>21</v>
      </c>
      <c r="G51" s="39">
        <v>252</v>
      </c>
      <c r="H51" s="321">
        <f>'0664'!H51</f>
        <v>3380</v>
      </c>
      <c r="I51" s="104">
        <f t="shared" ref="I51:I58" si="11">ROUND(E51*H51,2)</f>
        <v>0</v>
      </c>
      <c r="N51" s="504"/>
      <c r="O51" s="504"/>
      <c r="P51" s="506"/>
      <c r="Q51" s="506"/>
      <c r="R51" s="40" t="s">
        <v>21</v>
      </c>
      <c r="S51" s="40">
        <v>252</v>
      </c>
      <c r="T51" s="117">
        <f t="shared" ref="T51:T58" si="12">H51</f>
        <v>3380</v>
      </c>
      <c r="U51" s="118">
        <f t="shared" ref="U51:U58" si="13">ROUND(P51*T51,0)</f>
        <v>0</v>
      </c>
    </row>
    <row r="52" spans="1:21" x14ac:dyDescent="0.25">
      <c r="A52" s="460"/>
      <c r="B52" s="460"/>
      <c r="C52" s="165">
        <v>0</v>
      </c>
      <c r="D52" s="165">
        <v>0</v>
      </c>
      <c r="E52" s="125">
        <f t="shared" si="10"/>
        <v>0</v>
      </c>
      <c r="F52" s="39" t="s">
        <v>21</v>
      </c>
      <c r="G52" s="39">
        <v>253</v>
      </c>
      <c r="H52" s="321">
        <f>'0664'!H52</f>
        <v>6896</v>
      </c>
      <c r="I52" s="104">
        <f t="shared" si="11"/>
        <v>0</v>
      </c>
      <c r="N52" s="504"/>
      <c r="O52" s="504"/>
      <c r="P52" s="506"/>
      <c r="Q52" s="506"/>
      <c r="R52" s="40" t="s">
        <v>21</v>
      </c>
      <c r="S52" s="40">
        <v>253</v>
      </c>
      <c r="T52" s="117">
        <f t="shared" si="12"/>
        <v>6896</v>
      </c>
      <c r="U52" s="118">
        <f t="shared" si="13"/>
        <v>0</v>
      </c>
    </row>
    <row r="53" spans="1:21" x14ac:dyDescent="0.25">
      <c r="A53" s="460"/>
      <c r="B53" s="460"/>
      <c r="C53" s="165">
        <v>0</v>
      </c>
      <c r="D53" s="165">
        <v>0</v>
      </c>
      <c r="E53" s="125">
        <f t="shared" si="10"/>
        <v>0</v>
      </c>
      <c r="F53" s="41" t="s">
        <v>14</v>
      </c>
      <c r="G53" s="39">
        <v>251</v>
      </c>
      <c r="H53" s="321">
        <f>'0664'!H53</f>
        <v>1173</v>
      </c>
      <c r="I53" s="104">
        <f t="shared" si="11"/>
        <v>0</v>
      </c>
      <c r="N53" s="504"/>
      <c r="O53" s="504"/>
      <c r="P53" s="506"/>
      <c r="Q53" s="506"/>
      <c r="R53" s="42" t="s">
        <v>14</v>
      </c>
      <c r="S53" s="40">
        <v>251</v>
      </c>
      <c r="T53" s="117">
        <f t="shared" si="12"/>
        <v>1173</v>
      </c>
      <c r="U53" s="118">
        <f t="shared" si="13"/>
        <v>0</v>
      </c>
    </row>
    <row r="54" spans="1:21" x14ac:dyDescent="0.25">
      <c r="A54" s="460"/>
      <c r="B54" s="460"/>
      <c r="C54" s="165">
        <v>0</v>
      </c>
      <c r="D54" s="165">
        <v>0</v>
      </c>
      <c r="E54" s="125">
        <f t="shared" si="10"/>
        <v>0</v>
      </c>
      <c r="F54" s="41" t="s">
        <v>14</v>
      </c>
      <c r="G54" s="39">
        <v>252</v>
      </c>
      <c r="H54" s="321">
        <f>'0664'!H54</f>
        <v>3506</v>
      </c>
      <c r="I54" s="104">
        <f t="shared" si="11"/>
        <v>0</v>
      </c>
      <c r="N54" s="504"/>
      <c r="O54" s="504"/>
      <c r="P54" s="506"/>
      <c r="Q54" s="506"/>
      <c r="R54" s="42" t="s">
        <v>14</v>
      </c>
      <c r="S54" s="40">
        <v>252</v>
      </c>
      <c r="T54" s="117">
        <f t="shared" si="12"/>
        <v>3506</v>
      </c>
      <c r="U54" s="118">
        <f t="shared" si="13"/>
        <v>0</v>
      </c>
    </row>
    <row r="55" spans="1:21" x14ac:dyDescent="0.25">
      <c r="A55" s="460"/>
      <c r="B55" s="460"/>
      <c r="C55" s="165">
        <v>0</v>
      </c>
      <c r="D55" s="165">
        <v>0</v>
      </c>
      <c r="E55" s="125">
        <f t="shared" si="10"/>
        <v>0</v>
      </c>
      <c r="F55" s="41" t="s">
        <v>14</v>
      </c>
      <c r="G55" s="39">
        <v>253</v>
      </c>
      <c r="H55" s="321">
        <f>'0664'!H55</f>
        <v>7023</v>
      </c>
      <c r="I55" s="104">
        <f t="shared" si="11"/>
        <v>0</v>
      </c>
      <c r="N55" s="504"/>
      <c r="O55" s="504"/>
      <c r="P55" s="506"/>
      <c r="Q55" s="506"/>
      <c r="R55" s="42" t="s">
        <v>14</v>
      </c>
      <c r="S55" s="40">
        <v>253</v>
      </c>
      <c r="T55" s="117">
        <f t="shared" si="12"/>
        <v>7023</v>
      </c>
      <c r="U55" s="118">
        <f t="shared" si="13"/>
        <v>0</v>
      </c>
    </row>
    <row r="56" spans="1:21" x14ac:dyDescent="0.25">
      <c r="A56" s="460"/>
      <c r="B56" s="460"/>
      <c r="C56" s="165">
        <v>17.5</v>
      </c>
      <c r="D56" s="165">
        <v>20.99</v>
      </c>
      <c r="E56" s="125">
        <f t="shared" si="10"/>
        <v>38.489999999999995</v>
      </c>
      <c r="F56" s="41" t="s">
        <v>15</v>
      </c>
      <c r="G56" s="39">
        <v>251</v>
      </c>
      <c r="H56" s="321">
        <f>'0664'!H56</f>
        <v>835</v>
      </c>
      <c r="I56" s="104">
        <f t="shared" si="11"/>
        <v>32139.15</v>
      </c>
      <c r="N56" s="504"/>
      <c r="O56" s="504"/>
      <c r="P56" s="506"/>
      <c r="Q56" s="506"/>
      <c r="R56" s="42" t="s">
        <v>15</v>
      </c>
      <c r="S56" s="40">
        <v>251</v>
      </c>
      <c r="T56" s="117">
        <f t="shared" si="12"/>
        <v>835</v>
      </c>
      <c r="U56" s="118">
        <f t="shared" si="13"/>
        <v>0</v>
      </c>
    </row>
    <row r="57" spans="1:21" x14ac:dyDescent="0.25">
      <c r="A57" s="460"/>
      <c r="B57" s="460"/>
      <c r="C57" s="165">
        <v>2</v>
      </c>
      <c r="D57" s="165">
        <v>2.4</v>
      </c>
      <c r="E57" s="125">
        <f t="shared" si="10"/>
        <v>4.4000000000000004</v>
      </c>
      <c r="F57" s="41" t="s">
        <v>15</v>
      </c>
      <c r="G57" s="39">
        <v>252</v>
      </c>
      <c r="H57" s="321">
        <f>'0664'!H57</f>
        <v>3168</v>
      </c>
      <c r="I57" s="104">
        <f t="shared" si="11"/>
        <v>13939.2</v>
      </c>
      <c r="N57" s="504"/>
      <c r="O57" s="504"/>
      <c r="P57" s="506"/>
      <c r="Q57" s="506"/>
      <c r="R57" s="42" t="s">
        <v>15</v>
      </c>
      <c r="S57" s="40">
        <v>252</v>
      </c>
      <c r="T57" s="117">
        <f t="shared" si="12"/>
        <v>3168</v>
      </c>
      <c r="U57" s="118">
        <f t="shared" si="13"/>
        <v>0</v>
      </c>
    </row>
    <row r="58" spans="1:21" ht="16.5" thickBot="1" x14ac:dyDescent="0.3">
      <c r="A58" s="460"/>
      <c r="B58" s="460"/>
      <c r="C58" s="165">
        <v>0</v>
      </c>
      <c r="D58" s="165">
        <v>0</v>
      </c>
      <c r="E58" s="125">
        <f t="shared" si="10"/>
        <v>0</v>
      </c>
      <c r="F58" s="41" t="s">
        <v>15</v>
      </c>
      <c r="G58" s="39">
        <v>253</v>
      </c>
      <c r="H58" s="321">
        <f>'0664'!H58</f>
        <v>6685</v>
      </c>
      <c r="I58" s="104">
        <f t="shared" si="11"/>
        <v>0</v>
      </c>
      <c r="N58" s="504"/>
      <c r="O58" s="504"/>
      <c r="P58" s="507"/>
      <c r="Q58" s="507"/>
      <c r="R58" s="42" t="s">
        <v>15</v>
      </c>
      <c r="S58" s="40">
        <v>253</v>
      </c>
      <c r="T58" s="117">
        <f t="shared" si="12"/>
        <v>6685</v>
      </c>
      <c r="U58" s="120">
        <f t="shared" si="13"/>
        <v>0</v>
      </c>
    </row>
    <row r="59" spans="1:21" ht="16.5" thickBot="1" x14ac:dyDescent="0.3">
      <c r="A59" s="461" t="s">
        <v>16</v>
      </c>
      <c r="B59" s="461"/>
      <c r="C59" s="100">
        <f>SUM(C50:C58)</f>
        <v>19.5</v>
      </c>
      <c r="D59" s="100">
        <f>SUM(D50:D58)</f>
        <v>23.389999999999997</v>
      </c>
      <c r="E59" s="100">
        <f>SUM(E50:E58)</f>
        <v>42.889999999999993</v>
      </c>
      <c r="F59" s="461" t="s">
        <v>77</v>
      </c>
      <c r="G59" s="461"/>
      <c r="H59" s="461"/>
      <c r="I59" s="100">
        <f>SUM(I50:I58)</f>
        <v>46078.350000000006</v>
      </c>
      <c r="N59" s="480" t="s">
        <v>16</v>
      </c>
      <c r="O59" s="480"/>
      <c r="P59" s="502">
        <f>SUM(P50:P58)</f>
        <v>0</v>
      </c>
      <c r="Q59" s="502"/>
      <c r="R59" s="480" t="s">
        <v>77</v>
      </c>
      <c r="S59" s="480"/>
      <c r="T59" s="480"/>
      <c r="U59" s="111">
        <f>SUM(U50:U58)</f>
        <v>0</v>
      </c>
    </row>
    <row r="60" spans="1:21" x14ac:dyDescent="0.25">
      <c r="A60" s="462"/>
      <c r="B60" s="462"/>
      <c r="C60" s="462"/>
      <c r="D60" s="462"/>
      <c r="E60" s="462"/>
      <c r="F60" s="462"/>
      <c r="G60" s="462"/>
      <c r="H60" s="462"/>
      <c r="I60" s="462"/>
      <c r="N60" s="484"/>
      <c r="O60" s="484"/>
      <c r="P60" s="484"/>
      <c r="Q60" s="484"/>
      <c r="R60" s="484"/>
      <c r="S60" s="484"/>
      <c r="T60" s="484"/>
      <c r="U60" s="484"/>
    </row>
    <row r="61" spans="1:21" x14ac:dyDescent="0.25">
      <c r="A61" s="463" t="s">
        <v>136</v>
      </c>
      <c r="B61" s="453"/>
      <c r="C61" s="453"/>
      <c r="D61" s="453"/>
      <c r="E61" s="453"/>
      <c r="F61" s="453"/>
      <c r="G61" s="453"/>
      <c r="H61" s="453"/>
      <c r="I61" s="453"/>
      <c r="N61" s="479" t="s">
        <v>88</v>
      </c>
      <c r="O61" s="479"/>
      <c r="P61" s="479"/>
      <c r="Q61" s="479"/>
      <c r="R61" s="479"/>
      <c r="S61" s="479"/>
      <c r="T61" s="479"/>
      <c r="U61" s="479"/>
    </row>
    <row r="62" spans="1:21" x14ac:dyDescent="0.25">
      <c r="A62" s="463" t="s">
        <v>138</v>
      </c>
      <c r="B62" s="453"/>
      <c r="C62" s="121">
        <f>E29</f>
        <v>325.39</v>
      </c>
      <c r="D62" s="464" t="s">
        <v>135</v>
      </c>
      <c r="E62" s="464"/>
      <c r="F62" s="464"/>
      <c r="G62" s="464"/>
      <c r="H62" s="335">
        <f>'0664'!H62</f>
        <v>193340.76</v>
      </c>
      <c r="I62" s="122"/>
      <c r="N62" s="478" t="s">
        <v>312</v>
      </c>
      <c r="O62" s="479"/>
      <c r="P62" s="43">
        <f>P29</f>
        <v>0</v>
      </c>
      <c r="Q62" s="498" t="s">
        <v>78</v>
      </c>
      <c r="R62" s="498"/>
      <c r="S62" s="498"/>
      <c r="T62" s="497">
        <f>H62</f>
        <v>193340.76</v>
      </c>
      <c r="U62" s="497"/>
    </row>
    <row r="63" spans="1:21" x14ac:dyDescent="0.25">
      <c r="B63" s="72"/>
      <c r="G63" s="44" t="s">
        <v>13</v>
      </c>
      <c r="H63" s="123">
        <f>ROUND(C62/H62,6)</f>
        <v>1.683E-3</v>
      </c>
      <c r="I63" s="124"/>
      <c r="N63" s="479" t="s">
        <v>19</v>
      </c>
      <c r="O63" s="479"/>
      <c r="P63" s="479"/>
      <c r="Q63" s="479"/>
      <c r="R63" s="479"/>
      <c r="S63" s="479"/>
      <c r="T63" s="501">
        <f>ROUND(P62/T62,6)</f>
        <v>0</v>
      </c>
      <c r="U63" s="501"/>
    </row>
    <row r="64" spans="1:21" x14ac:dyDescent="0.25">
      <c r="A64" s="463" t="s">
        <v>137</v>
      </c>
      <c r="B64" s="453"/>
      <c r="C64" s="453"/>
      <c r="D64" s="453"/>
      <c r="E64" s="453"/>
      <c r="F64" s="453"/>
      <c r="G64" s="453"/>
      <c r="H64" s="453"/>
      <c r="I64" s="453"/>
      <c r="N64" s="479" t="s">
        <v>89</v>
      </c>
      <c r="O64" s="479"/>
      <c r="P64" s="479"/>
      <c r="Q64" s="479"/>
      <c r="R64" s="479"/>
      <c r="S64" s="479"/>
      <c r="T64" s="479"/>
      <c r="U64" s="479"/>
    </row>
    <row r="65" spans="1:21" x14ac:dyDescent="0.25">
      <c r="A65" s="463" t="s">
        <v>139</v>
      </c>
      <c r="B65" s="453"/>
      <c r="C65" s="121">
        <f>E45</f>
        <v>328.22760000000005</v>
      </c>
      <c r="D65" s="464" t="s">
        <v>140</v>
      </c>
      <c r="E65" s="464"/>
      <c r="F65" s="464"/>
      <c r="G65" s="464"/>
      <c r="H65" s="336">
        <f>'0664'!H65</f>
        <v>216845.88</v>
      </c>
      <c r="I65" s="125"/>
      <c r="N65" s="479" t="s">
        <v>80</v>
      </c>
      <c r="O65" s="479"/>
      <c r="P65" s="43">
        <f>R45</f>
        <v>0</v>
      </c>
      <c r="Q65" s="498" t="s">
        <v>79</v>
      </c>
      <c r="R65" s="498"/>
      <c r="S65" s="498"/>
      <c r="T65" s="497">
        <f>H65</f>
        <v>216845.88</v>
      </c>
      <c r="U65" s="497"/>
    </row>
    <row r="66" spans="1:21" s="37" customFormat="1" x14ac:dyDescent="0.25">
      <c r="A66" s="126"/>
      <c r="G66" s="45" t="s">
        <v>13</v>
      </c>
      <c r="H66" s="127">
        <f>ROUND(C65/H65,6)</f>
        <v>1.5139999999999999E-3</v>
      </c>
      <c r="I66" s="127"/>
      <c r="N66" s="482" t="s">
        <v>20</v>
      </c>
      <c r="O66" s="482"/>
      <c r="P66" s="482"/>
      <c r="Q66" s="482"/>
      <c r="R66" s="482"/>
      <c r="S66" s="482"/>
      <c r="T66" s="500">
        <f>ROUND(P65/T65,6)</f>
        <v>0</v>
      </c>
      <c r="U66" s="500"/>
    </row>
    <row r="67" spans="1:21" x14ac:dyDescent="0.25">
      <c r="G67" s="44"/>
      <c r="H67" s="123"/>
      <c r="I67" s="123"/>
      <c r="N67" s="48"/>
      <c r="O67" s="48"/>
      <c r="P67" s="48"/>
      <c r="Q67" s="48"/>
      <c r="R67" s="128"/>
      <c r="S67" s="48"/>
      <c r="T67" s="129"/>
      <c r="U67" s="130"/>
    </row>
    <row r="68" spans="1:21" x14ac:dyDescent="0.25">
      <c r="A68" s="453" t="s">
        <v>85</v>
      </c>
      <c r="B68" s="453"/>
      <c r="C68" s="453"/>
      <c r="D68" s="72"/>
      <c r="E68" s="46" t="s">
        <v>3</v>
      </c>
      <c r="F68" s="337">
        <f>'0664'!F68</f>
        <v>42465042</v>
      </c>
      <c r="G68" s="39" t="s">
        <v>6</v>
      </c>
      <c r="H68" s="131">
        <f>H63</f>
        <v>1.683E-3</v>
      </c>
      <c r="I68" s="104">
        <f>ROUND(F68*H68,2)</f>
        <v>71468.67</v>
      </c>
      <c r="N68" s="479" t="s">
        <v>85</v>
      </c>
      <c r="O68" s="479"/>
      <c r="P68" s="479"/>
      <c r="Q68" s="47"/>
      <c r="R68" s="132">
        <f>F68</f>
        <v>42465042</v>
      </c>
      <c r="S68" s="40" t="s">
        <v>6</v>
      </c>
      <c r="T68" s="133">
        <f>T63</f>
        <v>0</v>
      </c>
      <c r="U68" s="99">
        <f>ROUND(R68*T68,0)</f>
        <v>0</v>
      </c>
    </row>
    <row r="69" spans="1:21" x14ac:dyDescent="0.25">
      <c r="A69" s="458" t="s">
        <v>96</v>
      </c>
      <c r="B69" s="453"/>
      <c r="C69" s="453"/>
      <c r="D69" s="72"/>
      <c r="E69" s="46"/>
      <c r="F69" s="136"/>
      <c r="G69" s="39"/>
      <c r="H69" s="131"/>
      <c r="I69" s="104"/>
      <c r="N69" s="479" t="s">
        <v>84</v>
      </c>
      <c r="O69" s="479"/>
      <c r="P69" s="479"/>
      <c r="Q69" s="54"/>
      <c r="R69" s="54"/>
      <c r="S69" s="54"/>
      <c r="T69" s="54"/>
      <c r="U69" s="54"/>
    </row>
    <row r="70" spans="1:21" x14ac:dyDescent="0.25">
      <c r="A70" s="465" t="s">
        <v>141</v>
      </c>
      <c r="B70" s="453"/>
      <c r="C70" s="453"/>
      <c r="D70" s="72"/>
      <c r="E70" s="46" t="s">
        <v>3</v>
      </c>
      <c r="F70" s="337">
        <f>'0664'!F70</f>
        <v>0</v>
      </c>
      <c r="G70" s="39" t="s">
        <v>6</v>
      </c>
      <c r="H70" s="131">
        <f>H63</f>
        <v>1.683E-3</v>
      </c>
      <c r="I70" s="104">
        <f>ROUND(F70*H70,2)</f>
        <v>0</v>
      </c>
      <c r="N70" s="48"/>
      <c r="O70" s="48"/>
      <c r="P70" s="48"/>
      <c r="Q70" s="47"/>
      <c r="R70" s="132">
        <f>F70</f>
        <v>0</v>
      </c>
      <c r="S70" s="40" t="s">
        <v>6</v>
      </c>
      <c r="T70" s="133">
        <f>T63</f>
        <v>0</v>
      </c>
      <c r="U70" s="99">
        <f>ROUND(R70*T70,0)</f>
        <v>0</v>
      </c>
    </row>
    <row r="71" spans="1:21" x14ac:dyDescent="0.25">
      <c r="A71" s="463" t="s">
        <v>433</v>
      </c>
      <c r="B71" s="453"/>
      <c r="C71" s="453"/>
      <c r="D71" s="72"/>
      <c r="E71" s="46" t="s">
        <v>3</v>
      </c>
      <c r="F71" s="337">
        <f>'0664'!F71</f>
        <v>13414654</v>
      </c>
      <c r="G71" s="39" t="s">
        <v>6</v>
      </c>
      <c r="H71" s="131">
        <f>H63</f>
        <v>1.683E-3</v>
      </c>
      <c r="I71" s="104">
        <f>ROUND(F71*H71,2)</f>
        <v>22576.86</v>
      </c>
      <c r="N71" s="479" t="s">
        <v>83</v>
      </c>
      <c r="O71" s="479"/>
      <c r="P71" s="479"/>
      <c r="Q71" s="47"/>
      <c r="R71" s="132">
        <f>F71</f>
        <v>13414654</v>
      </c>
      <c r="S71" s="40" t="s">
        <v>6</v>
      </c>
      <c r="T71" s="133">
        <f>T63</f>
        <v>0</v>
      </c>
      <c r="U71" s="99">
        <f>ROUND(R71*T71,0)</f>
        <v>0</v>
      </c>
    </row>
    <row r="72" spans="1:21" x14ac:dyDescent="0.25">
      <c r="A72" s="463" t="s">
        <v>434</v>
      </c>
      <c r="B72" s="453"/>
      <c r="C72" s="453"/>
      <c r="D72" s="72"/>
      <c r="E72" s="46" t="s">
        <v>3</v>
      </c>
      <c r="F72" s="337">
        <f>'0664'!F72</f>
        <v>14708421</v>
      </c>
      <c r="G72" s="39" t="s">
        <v>6</v>
      </c>
      <c r="H72" s="131">
        <f>H63</f>
        <v>1.683E-3</v>
      </c>
      <c r="I72" s="104">
        <f>ROUND(F72*H72,2)</f>
        <v>24754.27</v>
      </c>
      <c r="N72" s="479" t="s">
        <v>82</v>
      </c>
      <c r="O72" s="479"/>
      <c r="P72" s="479"/>
      <c r="Q72" s="47"/>
      <c r="R72" s="134">
        <f>F72</f>
        <v>14708421</v>
      </c>
      <c r="S72" s="40" t="s">
        <v>6</v>
      </c>
      <c r="T72" s="133">
        <f>T63</f>
        <v>0</v>
      </c>
      <c r="U72" s="99">
        <f>ROUND(R72*T72,0)</f>
        <v>0</v>
      </c>
    </row>
    <row r="73" spans="1:21" x14ac:dyDescent="0.25">
      <c r="A73" s="263" t="s">
        <v>99</v>
      </c>
      <c r="D73" s="72"/>
      <c r="E73" s="41" t="s">
        <v>353</v>
      </c>
      <c r="F73" s="466"/>
      <c r="G73" s="466"/>
      <c r="H73" s="466"/>
      <c r="I73" s="104">
        <v>0</v>
      </c>
      <c r="N73" s="499" t="s">
        <v>118</v>
      </c>
      <c r="O73" s="499"/>
      <c r="P73" s="499"/>
      <c r="Q73" s="499"/>
      <c r="R73" s="499"/>
      <c r="S73" s="499"/>
      <c r="T73" s="499"/>
      <c r="U73" s="99">
        <f>IF($H$120=1,I73,0)</f>
        <v>0</v>
      </c>
    </row>
    <row r="74" spans="1:21" x14ac:dyDescent="0.25">
      <c r="A74" s="264" t="s">
        <v>142</v>
      </c>
      <c r="I74" s="104"/>
      <c r="N74" s="499" t="s">
        <v>43</v>
      </c>
      <c r="O74" s="499"/>
      <c r="P74" s="499"/>
      <c r="Q74" s="499"/>
      <c r="R74" s="499"/>
      <c r="S74" s="499"/>
      <c r="T74" s="499"/>
      <c r="U74" s="99">
        <f>IF($H$120=1,I74,0)</f>
        <v>0</v>
      </c>
    </row>
    <row r="75" spans="1:21" x14ac:dyDescent="0.25">
      <c r="A75" s="324" t="s">
        <v>101</v>
      </c>
      <c r="B75" s="72"/>
      <c r="C75" s="72"/>
      <c r="D75" s="72"/>
      <c r="E75" s="72"/>
      <c r="F75" s="72"/>
      <c r="G75" s="72"/>
      <c r="H75" s="72"/>
      <c r="I75" s="135"/>
      <c r="N75" s="382" t="s">
        <v>44</v>
      </c>
      <c r="O75" s="48"/>
      <c r="P75" s="48"/>
      <c r="Q75" s="48"/>
      <c r="R75" s="48"/>
      <c r="S75" s="48"/>
      <c r="T75" s="48"/>
      <c r="U75" s="106"/>
    </row>
    <row r="76" spans="1:21" x14ac:dyDescent="0.25">
      <c r="A76" s="463" t="s">
        <v>435</v>
      </c>
      <c r="B76" s="453"/>
      <c r="C76" s="453"/>
      <c r="D76" s="72"/>
      <c r="E76" s="46" t="s">
        <v>3</v>
      </c>
      <c r="F76" s="337">
        <f>'0664'!F76</f>
        <v>8720092</v>
      </c>
      <c r="G76" s="39" t="s">
        <v>6</v>
      </c>
      <c r="H76" s="131">
        <f>H63</f>
        <v>1.683E-3</v>
      </c>
      <c r="I76" s="104">
        <f t="shared" ref="I76:I85" si="14">ROUND(F76*H76,2)</f>
        <v>14675.91</v>
      </c>
      <c r="N76" s="478" t="s">
        <v>366</v>
      </c>
      <c r="O76" s="479"/>
      <c r="P76" s="479"/>
      <c r="Q76" s="47"/>
      <c r="R76" s="134">
        <f t="shared" ref="R76:R85" si="15">F76</f>
        <v>8720092</v>
      </c>
      <c r="S76" s="40" t="s">
        <v>6</v>
      </c>
      <c r="T76" s="133">
        <f>T63</f>
        <v>0</v>
      </c>
      <c r="U76" s="99">
        <f t="shared" ref="U76:U85" si="16">ROUND(R76*T76,0)</f>
        <v>0</v>
      </c>
    </row>
    <row r="77" spans="1:21" x14ac:dyDescent="0.25">
      <c r="A77" s="463" t="s">
        <v>436</v>
      </c>
      <c r="B77" s="453"/>
      <c r="C77" s="453"/>
      <c r="D77" s="72"/>
      <c r="E77" s="46" t="s">
        <v>3</v>
      </c>
      <c r="F77" s="337">
        <f>'0664'!F77</f>
        <v>0</v>
      </c>
      <c r="G77" s="39" t="s">
        <v>6</v>
      </c>
      <c r="H77" s="131">
        <f>H63</f>
        <v>1.683E-3</v>
      </c>
      <c r="I77" s="104">
        <f t="shared" si="14"/>
        <v>0</v>
      </c>
      <c r="N77" s="479" t="s">
        <v>367</v>
      </c>
      <c r="O77" s="479"/>
      <c r="P77" s="479"/>
      <c r="Q77" s="47"/>
      <c r="R77" s="134">
        <f t="shared" si="15"/>
        <v>0</v>
      </c>
      <c r="S77" s="40" t="s">
        <v>6</v>
      </c>
      <c r="T77" s="133">
        <f>T63</f>
        <v>0</v>
      </c>
      <c r="U77" s="99">
        <f t="shared" si="16"/>
        <v>0</v>
      </c>
    </row>
    <row r="78" spans="1:21" x14ac:dyDescent="0.25">
      <c r="A78" s="463" t="s">
        <v>437</v>
      </c>
      <c r="B78" s="453"/>
      <c r="C78" s="453"/>
      <c r="D78" s="72"/>
      <c r="E78" s="46" t="s">
        <v>4</v>
      </c>
      <c r="F78" s="337">
        <f>'0664'!F78</f>
        <v>0</v>
      </c>
      <c r="G78" s="39" t="s">
        <v>6</v>
      </c>
      <c r="H78" s="131">
        <f>H66</f>
        <v>1.5139999999999999E-3</v>
      </c>
      <c r="I78" s="104">
        <f t="shared" si="14"/>
        <v>0</v>
      </c>
      <c r="N78" s="478" t="s">
        <v>392</v>
      </c>
      <c r="O78" s="479"/>
      <c r="P78" s="479"/>
      <c r="Q78" s="47"/>
      <c r="R78" s="134">
        <f t="shared" si="15"/>
        <v>0</v>
      </c>
      <c r="S78" s="40" t="s">
        <v>6</v>
      </c>
      <c r="T78" s="133">
        <f>T66</f>
        <v>0</v>
      </c>
      <c r="U78" s="99">
        <f t="shared" si="16"/>
        <v>0</v>
      </c>
    </row>
    <row r="79" spans="1:21" x14ac:dyDescent="0.25">
      <c r="A79" s="463" t="s">
        <v>438</v>
      </c>
      <c r="B79" s="453"/>
      <c r="C79" s="453"/>
      <c r="D79" s="72"/>
      <c r="E79" s="46" t="s">
        <v>4</v>
      </c>
      <c r="F79" s="337">
        <f>'0664'!F79</f>
        <v>11278687</v>
      </c>
      <c r="G79" s="39" t="s">
        <v>6</v>
      </c>
      <c r="H79" s="131">
        <f>H66</f>
        <v>1.5139999999999999E-3</v>
      </c>
      <c r="I79" s="104">
        <f t="shared" si="14"/>
        <v>17075.93</v>
      </c>
      <c r="N79" s="478" t="s">
        <v>393</v>
      </c>
      <c r="O79" s="479"/>
      <c r="P79" s="479"/>
      <c r="Q79" s="47"/>
      <c r="R79" s="134">
        <f t="shared" si="15"/>
        <v>11278687</v>
      </c>
      <c r="S79" s="40" t="s">
        <v>6</v>
      </c>
      <c r="T79" s="133">
        <f>T66</f>
        <v>0</v>
      </c>
      <c r="U79" s="99">
        <f t="shared" si="16"/>
        <v>0</v>
      </c>
    </row>
    <row r="80" spans="1:21" x14ac:dyDescent="0.25">
      <c r="A80" s="463" t="s">
        <v>439</v>
      </c>
      <c r="B80" s="453"/>
      <c r="C80" s="453"/>
      <c r="D80" s="72"/>
      <c r="E80" s="46" t="s">
        <v>4</v>
      </c>
      <c r="F80" s="337">
        <f>'0664'!F80</f>
        <v>206284749</v>
      </c>
      <c r="G80" s="39" t="s">
        <v>6</v>
      </c>
      <c r="H80" s="131">
        <f>H66</f>
        <v>1.5139999999999999E-3</v>
      </c>
      <c r="I80" s="104">
        <f t="shared" si="14"/>
        <v>312315.11</v>
      </c>
      <c r="N80" s="478" t="s">
        <v>397</v>
      </c>
      <c r="O80" s="479"/>
      <c r="P80" s="479"/>
      <c r="Q80" s="47"/>
      <c r="R80" s="134">
        <f t="shared" si="15"/>
        <v>206284749</v>
      </c>
      <c r="S80" s="40" t="s">
        <v>6</v>
      </c>
      <c r="T80" s="133">
        <f>T66</f>
        <v>0</v>
      </c>
      <c r="U80" s="99">
        <f t="shared" si="16"/>
        <v>0</v>
      </c>
    </row>
    <row r="81" spans="1:21" x14ac:dyDescent="0.25">
      <c r="A81" s="84" t="s">
        <v>440</v>
      </c>
      <c r="B81" s="72"/>
      <c r="C81" s="72"/>
      <c r="D81" s="72"/>
      <c r="E81" s="46"/>
      <c r="F81" s="337"/>
      <c r="G81" s="39"/>
      <c r="H81" s="131"/>
      <c r="I81" s="104"/>
      <c r="N81" s="419" t="s">
        <v>440</v>
      </c>
      <c r="O81" s="48"/>
      <c r="P81" s="48"/>
      <c r="Q81" s="47"/>
      <c r="R81" s="423"/>
      <c r="S81" s="40"/>
      <c r="T81" s="133"/>
      <c r="U81" s="120"/>
    </row>
    <row r="82" spans="1:21" x14ac:dyDescent="0.25">
      <c r="A82" s="264" t="s">
        <v>441</v>
      </c>
      <c r="B82" s="72"/>
      <c r="C82" s="72"/>
      <c r="D82" s="72"/>
      <c r="E82" s="46" t="s">
        <v>442</v>
      </c>
      <c r="F82" s="337">
        <f>'0664'!F82</f>
        <v>0</v>
      </c>
      <c r="G82" s="39" t="s">
        <v>6</v>
      </c>
      <c r="H82" s="131">
        <f>H66</f>
        <v>1.5139999999999999E-3</v>
      </c>
      <c r="I82" s="104">
        <v>58112.29</v>
      </c>
      <c r="N82" s="422" t="s">
        <v>441</v>
      </c>
      <c r="O82" s="48"/>
      <c r="P82" s="48"/>
      <c r="Q82" s="47"/>
      <c r="R82" s="134">
        <f t="shared" si="15"/>
        <v>0</v>
      </c>
      <c r="S82" s="40"/>
      <c r="T82" s="133"/>
      <c r="U82" s="99">
        <f t="shared" si="16"/>
        <v>0</v>
      </c>
    </row>
    <row r="83" spans="1:21" x14ac:dyDescent="0.25">
      <c r="A83" s="264" t="s">
        <v>443</v>
      </c>
      <c r="B83" s="72"/>
      <c r="C83" s="72"/>
      <c r="D83" s="72"/>
      <c r="E83" s="46" t="s">
        <v>442</v>
      </c>
      <c r="F83" s="337">
        <f>'0664'!F83</f>
        <v>0</v>
      </c>
      <c r="G83" s="39" t="s">
        <v>6</v>
      </c>
      <c r="H83" s="131">
        <f>H66</f>
        <v>1.5139999999999999E-3</v>
      </c>
      <c r="I83" s="104">
        <v>26414.68</v>
      </c>
      <c r="N83" s="422" t="s">
        <v>443</v>
      </c>
      <c r="O83" s="48"/>
      <c r="P83" s="48"/>
      <c r="Q83" s="47"/>
      <c r="R83" s="134">
        <f t="shared" si="15"/>
        <v>0</v>
      </c>
      <c r="S83" s="40"/>
      <c r="T83" s="133"/>
      <c r="U83" s="99">
        <f t="shared" si="16"/>
        <v>0</v>
      </c>
    </row>
    <row r="84" spans="1:21" x14ac:dyDescent="0.25">
      <c r="A84" s="420" t="s">
        <v>444</v>
      </c>
      <c r="B84" s="72"/>
      <c r="C84" s="72"/>
      <c r="D84" s="72"/>
      <c r="E84" s="46"/>
      <c r="F84" s="337"/>
      <c r="G84" s="39"/>
      <c r="H84" s="131"/>
      <c r="I84" s="104">
        <f>I82+I83</f>
        <v>84526.97</v>
      </c>
      <c r="N84" s="421" t="s">
        <v>444</v>
      </c>
      <c r="O84" s="48"/>
      <c r="P84" s="48"/>
      <c r="Q84" s="47"/>
      <c r="R84" s="423"/>
      <c r="S84" s="40"/>
      <c r="T84" s="133"/>
      <c r="U84" s="99">
        <f>U82+U83</f>
        <v>0</v>
      </c>
    </row>
    <row r="85" spans="1:21" x14ac:dyDescent="0.25">
      <c r="A85" s="463" t="s">
        <v>398</v>
      </c>
      <c r="B85" s="453"/>
      <c r="C85" s="453"/>
      <c r="D85" s="72"/>
      <c r="E85" s="46" t="s">
        <v>4</v>
      </c>
      <c r="F85" s="337">
        <f>'0664'!F85</f>
        <v>0</v>
      </c>
      <c r="G85" s="39" t="s">
        <v>6</v>
      </c>
      <c r="H85" s="131">
        <f>H66</f>
        <v>1.5139999999999999E-3</v>
      </c>
      <c r="I85" s="104">
        <f t="shared" si="14"/>
        <v>0</v>
      </c>
      <c r="N85" s="478" t="s">
        <v>398</v>
      </c>
      <c r="O85" s="479"/>
      <c r="P85" s="479"/>
      <c r="Q85" s="47"/>
      <c r="R85" s="132">
        <f t="shared" si="15"/>
        <v>0</v>
      </c>
      <c r="S85" s="40" t="s">
        <v>6</v>
      </c>
      <c r="T85" s="133">
        <f>T66</f>
        <v>0</v>
      </c>
      <c r="U85" s="99">
        <f t="shared" si="16"/>
        <v>0</v>
      </c>
    </row>
    <row r="86" spans="1:21" x14ac:dyDescent="0.25">
      <c r="B86" s="72"/>
      <c r="C86" s="72"/>
      <c r="D86" s="72"/>
      <c r="E86" s="46"/>
      <c r="F86" s="136"/>
      <c r="G86" s="39"/>
      <c r="H86" s="131"/>
      <c r="I86" s="104"/>
      <c r="N86" s="48"/>
      <c r="O86" s="48"/>
      <c r="P86" s="48"/>
      <c r="Q86" s="47"/>
      <c r="R86" s="137"/>
      <c r="S86" s="40"/>
      <c r="T86" s="133"/>
      <c r="U86" s="106"/>
    </row>
    <row r="87" spans="1:21" x14ac:dyDescent="0.25">
      <c r="A87" s="463" t="s">
        <v>445</v>
      </c>
      <c r="B87" s="453"/>
      <c r="C87" s="453"/>
      <c r="D87" s="453"/>
      <c r="E87" s="453"/>
      <c r="F87" s="453"/>
      <c r="G87" s="453"/>
      <c r="H87" s="453"/>
      <c r="I87" s="453"/>
      <c r="N87" s="478" t="s">
        <v>429</v>
      </c>
      <c r="O87" s="479"/>
      <c r="P87" s="479"/>
      <c r="Q87" s="479"/>
      <c r="R87" s="479"/>
      <c r="S87" s="479"/>
      <c r="T87" s="479"/>
      <c r="U87" s="479"/>
    </row>
    <row r="88" spans="1:21" x14ac:dyDescent="0.25">
      <c r="B88" s="72"/>
      <c r="C88" s="466" t="s">
        <v>73</v>
      </c>
      <c r="D88" s="466"/>
      <c r="E88" s="72"/>
      <c r="F88" s="41" t="s">
        <v>37</v>
      </c>
      <c r="G88" s="72"/>
      <c r="H88" s="72"/>
      <c r="I88" s="72"/>
      <c r="N88" s="48"/>
      <c r="O88" s="48"/>
      <c r="P88" s="48"/>
      <c r="Q88" s="48"/>
      <c r="R88" s="48"/>
      <c r="S88" s="48"/>
      <c r="T88" s="48"/>
      <c r="U88" s="48"/>
    </row>
    <row r="89" spans="1:21" x14ac:dyDescent="0.25">
      <c r="A89" s="3"/>
      <c r="B89" s="138"/>
      <c r="C89" s="462" t="s">
        <v>144</v>
      </c>
      <c r="D89" s="462"/>
      <c r="E89" s="139" t="s">
        <v>150</v>
      </c>
      <c r="F89" s="140" t="s">
        <v>149</v>
      </c>
      <c r="G89" s="141"/>
      <c r="H89" s="141"/>
      <c r="I89" s="141"/>
      <c r="N89" s="495" t="s">
        <v>46</v>
      </c>
      <c r="O89" s="495"/>
      <c r="P89" s="496" t="s">
        <v>119</v>
      </c>
      <c r="Q89" s="496"/>
      <c r="R89" s="497" t="s">
        <v>40</v>
      </c>
      <c r="S89" s="497"/>
      <c r="T89" s="497"/>
      <c r="U89" s="497"/>
    </row>
    <row r="90" spans="1:21" x14ac:dyDescent="0.25">
      <c r="A90" s="27"/>
      <c r="B90" s="55" t="s">
        <v>148</v>
      </c>
      <c r="C90" s="467">
        <f>H13+H14+H19+H22+H25</f>
        <v>0</v>
      </c>
      <c r="D90" s="467"/>
      <c r="E90" s="49">
        <f>H8</f>
        <v>1.0438000000000001</v>
      </c>
      <c r="F90" s="338">
        <f>'0664'!F90</f>
        <v>957.94</v>
      </c>
      <c r="G90" s="41" t="s">
        <v>13</v>
      </c>
      <c r="H90" s="104">
        <f>ROUND(C90*E90*F90,2)</f>
        <v>0</v>
      </c>
      <c r="I90" s="107"/>
      <c r="N90" s="29" t="s">
        <v>22</v>
      </c>
      <c r="O90" s="50">
        <f>T13+T14+T19+T22+T25</f>
        <v>0</v>
      </c>
      <c r="P90" s="490">
        <f>T8</f>
        <v>1.0438000000000001</v>
      </c>
      <c r="Q90" s="490"/>
      <c r="R90" s="51">
        <f>F90</f>
        <v>957.94</v>
      </c>
      <c r="S90" s="42" t="s">
        <v>13</v>
      </c>
      <c r="T90" s="134">
        <f>ROUND(O90*P90*R90,0)</f>
        <v>0</v>
      </c>
      <c r="U90" s="105"/>
    </row>
    <row r="91" spans="1:21" x14ac:dyDescent="0.25">
      <c r="A91" s="52"/>
      <c r="B91" s="52" t="s">
        <v>147</v>
      </c>
      <c r="C91" s="467">
        <f>H15+H16+H20+H23+H26</f>
        <v>0</v>
      </c>
      <c r="D91" s="467"/>
      <c r="E91" s="49">
        <f>H8</f>
        <v>1.0438000000000001</v>
      </c>
      <c r="F91" s="338">
        <f>'0664'!F91</f>
        <v>914.63</v>
      </c>
      <c r="G91" s="41" t="s">
        <v>13</v>
      </c>
      <c r="H91" s="104">
        <f>ROUND(C91*E91*F91,2)</f>
        <v>0</v>
      </c>
      <c r="N91" s="53" t="s">
        <v>14</v>
      </c>
      <c r="O91" s="50">
        <f>T15+T16+T20+T23+T26</f>
        <v>0</v>
      </c>
      <c r="P91" s="490">
        <f>T8</f>
        <v>1.0438000000000001</v>
      </c>
      <c r="Q91" s="490"/>
      <c r="R91" s="51">
        <f>F91</f>
        <v>914.63</v>
      </c>
      <c r="S91" s="42" t="s">
        <v>13</v>
      </c>
      <c r="T91" s="134">
        <f>ROUND(O91*P91*R91,0)</f>
        <v>0</v>
      </c>
      <c r="U91" s="54"/>
    </row>
    <row r="92" spans="1:21" ht="16.5" thickBot="1" x14ac:dyDescent="0.3">
      <c r="A92" s="55"/>
      <c r="B92" s="55" t="s">
        <v>146</v>
      </c>
      <c r="C92" s="467">
        <f>H17+H18+H21+H24+H27+H28</f>
        <v>328.22760000000005</v>
      </c>
      <c r="D92" s="467"/>
      <c r="E92" s="49">
        <f>H8</f>
        <v>1.0438000000000001</v>
      </c>
      <c r="F92" s="338">
        <f>'0664'!F92</f>
        <v>916.84</v>
      </c>
      <c r="G92" s="41" t="s">
        <v>13</v>
      </c>
      <c r="H92" s="97">
        <f>ROUND(C92*E92*F92,2)</f>
        <v>314113.02</v>
      </c>
      <c r="N92" s="56" t="s">
        <v>15</v>
      </c>
      <c r="O92" s="57">
        <f>T17+T18+T21+T24+T27+T28</f>
        <v>0</v>
      </c>
      <c r="P92" s="490">
        <f>T8</f>
        <v>1.0438000000000001</v>
      </c>
      <c r="Q92" s="490"/>
      <c r="R92" s="51">
        <f>F92</f>
        <v>916.84</v>
      </c>
      <c r="S92" s="42" t="s">
        <v>13</v>
      </c>
      <c r="T92" s="134">
        <f>ROUND(O92*P92*R92,0)</f>
        <v>0</v>
      </c>
      <c r="U92" s="54"/>
    </row>
    <row r="93" spans="1:21" ht="16.5" thickBot="1" x14ac:dyDescent="0.3">
      <c r="A93" s="58"/>
      <c r="B93" s="142" t="s">
        <v>145</v>
      </c>
      <c r="C93" s="469">
        <f>SUM(C90:C92)</f>
        <v>328.22760000000005</v>
      </c>
      <c r="D93" s="469"/>
      <c r="E93" s="143"/>
      <c r="F93" s="143"/>
      <c r="G93" s="143"/>
      <c r="H93" s="144" t="s">
        <v>143</v>
      </c>
      <c r="I93" s="104">
        <f>IF(A1=75,0,H92+H91+H90)</f>
        <v>314113.02</v>
      </c>
      <c r="N93" s="59" t="s">
        <v>120</v>
      </c>
      <c r="O93" s="60">
        <f>SUM(O90:O92)</f>
        <v>0</v>
      </c>
      <c r="P93" s="491" t="s">
        <v>18</v>
      </c>
      <c r="Q93" s="492"/>
      <c r="R93" s="492"/>
      <c r="S93" s="492"/>
      <c r="T93" s="492"/>
      <c r="U93" s="99">
        <f>IF(N1=75,0,T92+T91+T90)</f>
        <v>0</v>
      </c>
    </row>
    <row r="94" spans="1:21" ht="16.5" thickTop="1" x14ac:dyDescent="0.25">
      <c r="A94" s="540" t="s">
        <v>90</v>
      </c>
      <c r="B94" s="540"/>
      <c r="C94" s="540"/>
      <c r="D94" s="540"/>
      <c r="E94" s="540"/>
      <c r="F94" s="540"/>
      <c r="G94" s="540"/>
      <c r="H94" s="540"/>
      <c r="I94" s="540"/>
      <c r="N94" s="493" t="s">
        <v>90</v>
      </c>
      <c r="O94" s="493"/>
      <c r="P94" s="493"/>
      <c r="Q94" s="493"/>
      <c r="R94" s="493"/>
      <c r="S94" s="493"/>
      <c r="T94" s="493"/>
      <c r="U94" s="493"/>
    </row>
    <row r="95" spans="1:21" x14ac:dyDescent="0.25">
      <c r="A95" s="145"/>
      <c r="B95" s="145"/>
      <c r="C95" s="145"/>
      <c r="D95" s="145"/>
      <c r="E95" s="145"/>
      <c r="F95" s="145"/>
      <c r="G95" s="145"/>
      <c r="H95" s="145"/>
      <c r="I95" s="145"/>
      <c r="N95" s="146"/>
      <c r="O95" s="146"/>
      <c r="P95" s="146"/>
      <c r="Q95" s="146"/>
      <c r="R95" s="146"/>
      <c r="S95" s="146"/>
      <c r="T95" s="146"/>
      <c r="U95" s="146"/>
    </row>
    <row r="96" spans="1:21" x14ac:dyDescent="0.25">
      <c r="A96" s="84" t="s">
        <v>446</v>
      </c>
      <c r="C96" s="46"/>
      <c r="D96" s="72"/>
      <c r="E96" s="46" t="s">
        <v>100</v>
      </c>
      <c r="F96" s="471"/>
      <c r="G96" s="471"/>
      <c r="H96" s="471"/>
      <c r="I96" s="471"/>
      <c r="N96" s="478" t="s">
        <v>426</v>
      </c>
      <c r="O96" s="479"/>
      <c r="P96" s="479"/>
      <c r="Q96" s="494"/>
      <c r="R96" s="494"/>
      <c r="S96" s="494"/>
      <c r="T96" s="494"/>
      <c r="U96" s="106"/>
    </row>
    <row r="97" spans="1:21" x14ac:dyDescent="0.25">
      <c r="B97" s="72"/>
      <c r="C97" s="91" t="s">
        <v>409</v>
      </c>
      <c r="D97" s="371" t="s">
        <v>410</v>
      </c>
      <c r="E97" s="92" t="s">
        <v>151</v>
      </c>
      <c r="F97" s="46"/>
      <c r="G97" s="46"/>
      <c r="H97" s="46"/>
      <c r="I97" s="46"/>
      <c r="N97" s="48"/>
      <c r="O97" s="48"/>
      <c r="P97" s="48"/>
      <c r="Q97" s="147"/>
      <c r="R97" s="147"/>
      <c r="S97" s="147"/>
      <c r="T97" s="147"/>
      <c r="U97" s="106"/>
    </row>
    <row r="98" spans="1:21" x14ac:dyDescent="0.25">
      <c r="B98" s="72"/>
      <c r="C98" s="362" t="s">
        <v>2</v>
      </c>
      <c r="D98" s="362" t="s">
        <v>2</v>
      </c>
      <c r="E98" s="362" t="s">
        <v>2</v>
      </c>
      <c r="F98" s="46"/>
      <c r="G98" s="46"/>
      <c r="H98" s="46"/>
      <c r="I98" s="46"/>
      <c r="N98" s="48"/>
      <c r="O98" s="48"/>
      <c r="P98" s="48"/>
      <c r="Q98" s="147"/>
      <c r="R98" s="147"/>
      <c r="S98" s="147"/>
      <c r="T98" s="147"/>
      <c r="U98" s="106"/>
    </row>
    <row r="99" spans="1:21" x14ac:dyDescent="0.25">
      <c r="A99" s="536" t="s">
        <v>470</v>
      </c>
      <c r="B99" s="461"/>
      <c r="C99" s="165">
        <v>5</v>
      </c>
      <c r="D99" s="165">
        <v>0</v>
      </c>
      <c r="E99" s="125">
        <f>C99</f>
        <v>5</v>
      </c>
      <c r="F99" s="148" t="s">
        <v>39</v>
      </c>
      <c r="G99" s="339">
        <f>'0664'!G99</f>
        <v>558</v>
      </c>
      <c r="I99" s="104">
        <f>ROUND(G99*E99,2)</f>
        <v>2790</v>
      </c>
      <c r="N99" s="488" t="s">
        <v>65</v>
      </c>
      <c r="O99" s="488"/>
      <c r="P99" s="489">
        <f>IF(H120=1,E99,0)</f>
        <v>0</v>
      </c>
      <c r="Q99" s="489"/>
      <c r="R99" s="489"/>
      <c r="S99" s="86" t="s">
        <v>39</v>
      </c>
      <c r="T99" s="61">
        <f>G99</f>
        <v>558</v>
      </c>
      <c r="U99" s="99">
        <f>ROUND(T99*P99,0)</f>
        <v>0</v>
      </c>
    </row>
    <row r="100" spans="1:21" x14ac:dyDescent="0.25">
      <c r="A100" s="536" t="s">
        <v>471</v>
      </c>
      <c r="B100" s="461"/>
      <c r="C100" s="165">
        <v>0</v>
      </c>
      <c r="D100" s="165">
        <v>0</v>
      </c>
      <c r="E100" s="125">
        <f>C100</f>
        <v>0</v>
      </c>
      <c r="F100" s="148" t="s">
        <v>39</v>
      </c>
      <c r="G100" s="339">
        <f>'0664'!G100</f>
        <v>1707</v>
      </c>
      <c r="I100" s="104">
        <f>ROUND(G100*E100,2)</f>
        <v>0</v>
      </c>
      <c r="N100" s="488" t="s">
        <v>81</v>
      </c>
      <c r="O100" s="488"/>
      <c r="P100" s="483"/>
      <c r="Q100" s="483"/>
      <c r="R100" s="483"/>
      <c r="S100" s="86" t="s">
        <v>39</v>
      </c>
      <c r="T100" s="61">
        <f>G100</f>
        <v>1707</v>
      </c>
      <c r="U100" s="99">
        <f>ROUND(T100*P100,0)</f>
        <v>0</v>
      </c>
    </row>
    <row r="101" spans="1:21" x14ac:dyDescent="0.25">
      <c r="A101" s="149"/>
      <c r="B101" s="149"/>
      <c r="C101" s="68"/>
      <c r="D101" s="68"/>
      <c r="E101" s="68"/>
      <c r="F101" s="68"/>
      <c r="G101" s="150"/>
      <c r="H101" s="151"/>
      <c r="I101" s="104"/>
      <c r="N101" s="152"/>
      <c r="O101" s="152"/>
      <c r="P101" s="153"/>
      <c r="Q101" s="153"/>
      <c r="R101" s="153"/>
      <c r="S101" s="86"/>
      <c r="T101" s="61"/>
      <c r="U101" s="106"/>
    </row>
    <row r="102" spans="1:21" x14ac:dyDescent="0.25">
      <c r="A102" s="149"/>
      <c r="B102" s="149"/>
      <c r="C102" s="68"/>
      <c r="D102" s="68"/>
      <c r="E102" s="68"/>
      <c r="F102" s="68"/>
      <c r="G102" s="150"/>
      <c r="H102" s="151"/>
      <c r="I102" s="104"/>
      <c r="N102" s="152"/>
      <c r="O102" s="152"/>
      <c r="P102" s="153"/>
      <c r="Q102" s="153"/>
      <c r="R102" s="153"/>
      <c r="S102" s="86"/>
      <c r="T102" s="61"/>
      <c r="U102" s="106"/>
    </row>
    <row r="103" spans="1:21" hidden="1" x14ac:dyDescent="0.25">
      <c r="A103" s="463" t="s">
        <v>447</v>
      </c>
      <c r="B103" s="453"/>
      <c r="C103" s="453"/>
      <c r="D103" s="72"/>
      <c r="E103" s="41" t="s">
        <v>41</v>
      </c>
      <c r="F103" s="466"/>
      <c r="G103" s="466"/>
      <c r="H103" s="466"/>
      <c r="I103" s="466"/>
      <c r="N103" s="478" t="s">
        <v>362</v>
      </c>
      <c r="O103" s="479"/>
      <c r="P103" s="479"/>
      <c r="Q103" s="479"/>
      <c r="R103" s="479"/>
      <c r="S103" s="479"/>
      <c r="T103" s="479"/>
      <c r="U103" s="479"/>
    </row>
    <row r="104" spans="1:21" hidden="1" x14ac:dyDescent="0.25">
      <c r="B104" s="72"/>
      <c r="C104" s="462" t="s">
        <v>91</v>
      </c>
      <c r="D104" s="462"/>
      <c r="E104" s="462"/>
      <c r="F104" s="39"/>
      <c r="G104" s="39"/>
      <c r="H104" s="41" t="s">
        <v>152</v>
      </c>
      <c r="I104" s="39"/>
      <c r="N104" s="48"/>
      <c r="O104" s="48"/>
      <c r="P104" s="48"/>
      <c r="Q104" s="48"/>
      <c r="R104" s="48"/>
      <c r="S104" s="48"/>
      <c r="T104" s="48"/>
      <c r="U104" s="48"/>
    </row>
    <row r="105" spans="1:21" hidden="1" x14ac:dyDescent="0.25">
      <c r="B105" s="72"/>
      <c r="C105" s="91" t="s">
        <v>371</v>
      </c>
      <c r="D105" s="91" t="s">
        <v>351</v>
      </c>
      <c r="E105" s="159" t="s">
        <v>8</v>
      </c>
      <c r="F105" s="464" t="s">
        <v>153</v>
      </c>
      <c r="G105" s="466"/>
      <c r="H105" s="39" t="s">
        <v>38</v>
      </c>
      <c r="I105" s="39"/>
      <c r="N105" s="48"/>
      <c r="O105" s="48"/>
      <c r="P105" s="48"/>
      <c r="Q105" s="48"/>
      <c r="R105" s="48"/>
      <c r="S105" s="48"/>
      <c r="T105" s="48"/>
      <c r="U105" s="48"/>
    </row>
    <row r="106" spans="1:21" hidden="1" x14ac:dyDescent="0.25">
      <c r="A106" s="462" t="s">
        <v>94</v>
      </c>
      <c r="B106" s="462"/>
      <c r="C106" s="93" t="s">
        <v>2</v>
      </c>
      <c r="D106" s="93" t="s">
        <v>2</v>
      </c>
      <c r="E106" s="62" t="s">
        <v>2</v>
      </c>
      <c r="F106" s="462" t="s">
        <v>37</v>
      </c>
      <c r="G106" s="462"/>
      <c r="H106" s="62" t="s">
        <v>37</v>
      </c>
      <c r="I106" s="62" t="s">
        <v>8</v>
      </c>
      <c r="N106" s="484" t="s">
        <v>66</v>
      </c>
      <c r="O106" s="484"/>
      <c r="P106" s="489" t="s">
        <v>91</v>
      </c>
      <c r="Q106" s="489"/>
      <c r="R106" s="484" t="s">
        <v>67</v>
      </c>
      <c r="S106" s="484"/>
      <c r="T106" s="63" t="s">
        <v>68</v>
      </c>
      <c r="U106" s="63" t="s">
        <v>8</v>
      </c>
    </row>
    <row r="107" spans="1:21" hidden="1" x14ac:dyDescent="0.25">
      <c r="A107" s="473" t="s">
        <v>69</v>
      </c>
      <c r="B107" s="473"/>
      <c r="C107" s="163">
        <v>0</v>
      </c>
      <c r="D107" s="163">
        <v>0</v>
      </c>
      <c r="E107" s="210">
        <f>IF(D$59=0,C107*2,C107+D107)</f>
        <v>0</v>
      </c>
      <c r="F107" s="474">
        <v>0</v>
      </c>
      <c r="G107" s="474"/>
      <c r="H107" s="250">
        <f>IF(C107=0,0,125)</f>
        <v>0</v>
      </c>
      <c r="I107" s="104">
        <f>ROUND((H107+F107)*E107,2)</f>
        <v>0</v>
      </c>
      <c r="N107" s="479" t="s">
        <v>69</v>
      </c>
      <c r="O107" s="479"/>
      <c r="P107" s="483">
        <f>IF(H$120=1,C107,0)</f>
        <v>0</v>
      </c>
      <c r="Q107" s="483"/>
      <c r="R107" s="486">
        <f>F107</f>
        <v>0</v>
      </c>
      <c r="S107" s="486"/>
      <c r="T107" s="65">
        <f>H107</f>
        <v>0</v>
      </c>
      <c r="U107" s="99">
        <f>ROUND((T107+R107)*P107,0)</f>
        <v>0</v>
      </c>
    </row>
    <row r="108" spans="1:21" hidden="1" x14ac:dyDescent="0.25">
      <c r="A108" s="456" t="s">
        <v>70</v>
      </c>
      <c r="B108" s="456"/>
      <c r="C108" s="165">
        <v>0</v>
      </c>
      <c r="D108" s="165">
        <v>0</v>
      </c>
      <c r="E108" s="125">
        <f>IF(D$59=0,C108*2,C108+D108)</f>
        <v>0</v>
      </c>
      <c r="F108" s="468">
        <f>ROUND(F107/2,2)</f>
        <v>0</v>
      </c>
      <c r="G108" s="468"/>
      <c r="H108" s="250">
        <f>IF(C108=0,0,62.5)</f>
        <v>0</v>
      </c>
      <c r="I108" s="104">
        <f>ROUND((H108+F108)*E108,2)</f>
        <v>0</v>
      </c>
      <c r="N108" s="479" t="s">
        <v>70</v>
      </c>
      <c r="O108" s="479"/>
      <c r="P108" s="483">
        <f>IF(H$120=1,C108,0)</f>
        <v>0</v>
      </c>
      <c r="Q108" s="483"/>
      <c r="R108" s="487">
        <f>ROUND(R107/2,2)</f>
        <v>0</v>
      </c>
      <c r="S108" s="487"/>
      <c r="T108" s="65">
        <f>H108</f>
        <v>0</v>
      </c>
      <c r="U108" s="99">
        <f>ROUND((T108+R108)*P108,0)</f>
        <v>0</v>
      </c>
    </row>
    <row r="109" spans="1:21" ht="16.5" hidden="1" thickBot="1" x14ac:dyDescent="0.3">
      <c r="A109" s="456" t="s">
        <v>71</v>
      </c>
      <c r="B109" s="456"/>
      <c r="C109" s="165">
        <v>0</v>
      </c>
      <c r="D109" s="165">
        <v>0</v>
      </c>
      <c r="E109" s="125">
        <f>IF(D$59=0,C109*2,C109+D109)</f>
        <v>0</v>
      </c>
      <c r="F109" s="475"/>
      <c r="G109" s="475"/>
      <c r="H109" s="251">
        <f>IF(H107&gt;0,436,0)</f>
        <v>0</v>
      </c>
      <c r="I109" s="104">
        <f>ROUND(H109*E109,2)</f>
        <v>0</v>
      </c>
      <c r="N109" s="482" t="s">
        <v>71</v>
      </c>
      <c r="O109" s="482"/>
      <c r="P109" s="483">
        <f>IF(H$120=1,C109,0)</f>
        <v>0</v>
      </c>
      <c r="Q109" s="483"/>
      <c r="R109" s="484"/>
      <c r="S109" s="484"/>
      <c r="T109" s="67">
        <f>H109</f>
        <v>0</v>
      </c>
      <c r="U109" s="106">
        <f>ROUND(T109*P109,0)</f>
        <v>0</v>
      </c>
    </row>
    <row r="110" spans="1:21" ht="16.5" hidden="1" thickBot="1" x14ac:dyDescent="0.3">
      <c r="A110" s="466" t="s">
        <v>8</v>
      </c>
      <c r="B110" s="466"/>
      <c r="C110" s="68"/>
      <c r="D110" s="68"/>
      <c r="E110" s="68"/>
      <c r="F110" s="68"/>
      <c r="G110" s="68"/>
      <c r="H110" s="68"/>
      <c r="I110" s="100">
        <f>SUM(I107:I109)</f>
        <v>0</v>
      </c>
      <c r="N110" s="485" t="s">
        <v>8</v>
      </c>
      <c r="O110" s="485"/>
      <c r="P110" s="69"/>
      <c r="Q110" s="69"/>
      <c r="R110" s="69"/>
      <c r="S110" s="69"/>
      <c r="T110" s="69"/>
      <c r="U110" s="70">
        <f>SUM(U107:U109)</f>
        <v>0</v>
      </c>
    </row>
    <row r="111" spans="1:21" hidden="1" x14ac:dyDescent="0.25">
      <c r="A111" s="39"/>
      <c r="B111" s="39"/>
      <c r="C111" s="68"/>
      <c r="D111" s="68"/>
      <c r="E111" s="68"/>
      <c r="F111" s="68"/>
      <c r="G111" s="68"/>
      <c r="H111" s="68"/>
      <c r="I111" s="104"/>
      <c r="N111" s="40"/>
      <c r="O111" s="40"/>
      <c r="P111" s="69"/>
      <c r="Q111" s="69"/>
      <c r="R111" s="69"/>
      <c r="S111" s="69"/>
      <c r="T111" s="69"/>
      <c r="U111" s="160"/>
    </row>
    <row r="112" spans="1:21" x14ac:dyDescent="0.25">
      <c r="A112" s="463" t="s">
        <v>448</v>
      </c>
      <c r="B112" s="453"/>
      <c r="C112" s="453"/>
      <c r="D112" s="72"/>
      <c r="E112" s="71" t="s">
        <v>354</v>
      </c>
      <c r="F112" s="472"/>
      <c r="G112" s="472"/>
      <c r="H112" s="472"/>
      <c r="I112" s="125">
        <v>0</v>
      </c>
      <c r="N112" s="478" t="s">
        <v>427</v>
      </c>
      <c r="O112" s="479"/>
      <c r="P112" s="479"/>
      <c r="Q112" s="341"/>
      <c r="R112" s="341"/>
      <c r="S112" s="341"/>
      <c r="T112" s="341"/>
      <c r="U112" s="99">
        <f>IF($H$120=1,I112,0)</f>
        <v>0</v>
      </c>
    </row>
    <row r="113" spans="1:21" x14ac:dyDescent="0.25">
      <c r="A113" s="463" t="s">
        <v>449</v>
      </c>
      <c r="B113" s="453"/>
      <c r="C113" s="453"/>
      <c r="D113" s="72"/>
      <c r="E113" s="71" t="s">
        <v>45</v>
      </c>
      <c r="F113" s="472"/>
      <c r="G113" s="472"/>
      <c r="H113" s="472"/>
      <c r="I113" s="177">
        <v>0</v>
      </c>
      <c r="N113" s="478" t="s">
        <v>428</v>
      </c>
      <c r="O113" s="479"/>
      <c r="P113" s="479"/>
      <c r="Q113" s="341"/>
      <c r="R113" s="341"/>
      <c r="S113" s="341"/>
      <c r="T113" s="341"/>
      <c r="U113" s="99">
        <f>IF($H$120=1,I113,0)</f>
        <v>0</v>
      </c>
    </row>
    <row r="114" spans="1:21" ht="16.5" thickBot="1" x14ac:dyDescent="0.3">
      <c r="B114" s="72"/>
      <c r="C114" s="72"/>
      <c r="D114" s="72"/>
      <c r="E114" s="71"/>
      <c r="F114" s="71"/>
      <c r="G114" s="71"/>
      <c r="H114" s="71"/>
      <c r="I114" s="125"/>
      <c r="N114" s="480" t="s">
        <v>42</v>
      </c>
      <c r="O114" s="480"/>
      <c r="P114" s="480"/>
      <c r="Q114" s="480"/>
      <c r="R114" s="480"/>
      <c r="S114" s="480"/>
      <c r="T114" s="480"/>
      <c r="U114" s="154">
        <f>SUM(U112,U110,U100,U99,U93,U77,U76,U74,U73,U72,U71,U70,U68,U59,U45,U78,U79,U80,U85,U113)</f>
        <v>0</v>
      </c>
    </row>
    <row r="115" spans="1:21" ht="16.5" thickTop="1" x14ac:dyDescent="0.25">
      <c r="A115" s="461" t="s">
        <v>8</v>
      </c>
      <c r="B115" s="461"/>
      <c r="C115" s="461"/>
      <c r="D115" s="461"/>
      <c r="E115" s="461"/>
      <c r="F115" s="461"/>
      <c r="G115" s="461"/>
      <c r="H115" s="461"/>
      <c r="I115" s="97">
        <f>SUM(I113,I112,I110,I100,I99,I93,I85,I84,I80,I79,I78,I77,I76,I74,I73,I72,I71,I70,I68,I59,I45)</f>
        <v>2482036.5299999998</v>
      </c>
      <c r="N115" s="29"/>
      <c r="O115" s="29"/>
      <c r="P115" s="29"/>
      <c r="Q115" s="29"/>
      <c r="R115" s="29"/>
      <c r="S115" s="29"/>
      <c r="T115" s="29"/>
      <c r="U115" s="160"/>
    </row>
    <row r="116" spans="1:21" x14ac:dyDescent="0.25">
      <c r="A116" s="27"/>
      <c r="B116" s="27"/>
      <c r="C116" s="27"/>
      <c r="D116" s="27"/>
      <c r="E116" s="27"/>
      <c r="F116" s="27"/>
      <c r="G116" s="27"/>
      <c r="H116" s="27"/>
      <c r="I116" s="104"/>
      <c r="N116" s="29"/>
      <c r="O116" s="29"/>
      <c r="P116" s="29"/>
      <c r="Q116" s="29"/>
      <c r="R116" s="29"/>
      <c r="S116" s="29"/>
      <c r="T116" s="29"/>
      <c r="U116" s="160"/>
    </row>
    <row r="117" spans="1:21" x14ac:dyDescent="0.25">
      <c r="A117" s="432" t="s">
        <v>467</v>
      </c>
      <c r="B117" s="27"/>
      <c r="C117" s="27"/>
      <c r="D117" s="27"/>
      <c r="E117" s="27"/>
      <c r="F117" s="27"/>
      <c r="G117" s="27"/>
      <c r="H117" s="27"/>
      <c r="I117" s="104">
        <f>I115-I84</f>
        <v>2397509.5599999996</v>
      </c>
      <c r="N117" s="29"/>
      <c r="O117" s="29"/>
      <c r="P117" s="29"/>
      <c r="Q117" s="29"/>
      <c r="R117" s="29"/>
      <c r="S117" s="29"/>
      <c r="T117" s="29"/>
      <c r="U117" s="160"/>
    </row>
    <row r="118" spans="1:21" x14ac:dyDescent="0.25">
      <c r="A118" s="27"/>
      <c r="B118" s="27"/>
      <c r="C118" s="27"/>
      <c r="D118" s="27"/>
      <c r="E118" s="27"/>
      <c r="F118" s="27"/>
      <c r="G118" s="27"/>
      <c r="H118" s="27"/>
      <c r="I118" s="104"/>
      <c r="N118" s="29"/>
      <c r="O118" s="29"/>
      <c r="P118" s="29"/>
      <c r="Q118" s="29"/>
      <c r="R118" s="29"/>
      <c r="S118" s="29"/>
      <c r="T118" s="29"/>
      <c r="U118" s="160"/>
    </row>
    <row r="119" spans="1:21" x14ac:dyDescent="0.25">
      <c r="A119" s="463" t="s">
        <v>468</v>
      </c>
      <c r="B119" s="453"/>
      <c r="C119" s="453"/>
      <c r="D119" s="453"/>
      <c r="E119" s="453"/>
      <c r="F119" s="453"/>
      <c r="G119" s="453"/>
      <c r="H119" s="84" t="s">
        <v>394</v>
      </c>
      <c r="I119" s="156"/>
      <c r="N119" s="481"/>
      <c r="O119" s="481"/>
      <c r="P119" s="481"/>
      <c r="Q119" s="481"/>
      <c r="R119" s="481"/>
      <c r="S119" s="481"/>
      <c r="T119" s="481"/>
      <c r="U119" s="481"/>
    </row>
    <row r="120" spans="1:21" x14ac:dyDescent="0.25">
      <c r="A120" s="453" t="s">
        <v>95</v>
      </c>
      <c r="B120" s="453"/>
      <c r="C120" s="453"/>
      <c r="D120" s="453"/>
      <c r="E120" s="453"/>
      <c r="F120" s="453"/>
      <c r="G120" s="453"/>
      <c r="H120" s="73" t="str">
        <f>IF(E29=0,"",IF((E14+E16+SUM(E18:E24))/E29&gt;0.75,1,""))</f>
        <v/>
      </c>
      <c r="I120" s="125">
        <f>U114</f>
        <v>0</v>
      </c>
      <c r="N120" s="476" t="s">
        <v>7</v>
      </c>
      <c r="O120" s="476"/>
      <c r="P120" s="476"/>
      <c r="Q120" s="476"/>
      <c r="R120" s="476"/>
      <c r="S120" s="476"/>
      <c r="T120" s="476"/>
      <c r="U120" s="476"/>
    </row>
    <row r="121" spans="1:21" x14ac:dyDescent="0.25">
      <c r="B121" s="72"/>
      <c r="C121" s="72"/>
      <c r="D121" s="72"/>
      <c r="E121" s="72"/>
      <c r="F121" s="72"/>
      <c r="G121" s="72"/>
      <c r="H121" s="68"/>
      <c r="I121" s="104"/>
      <c r="N121" s="74" t="s">
        <v>106</v>
      </c>
      <c r="O121" s="74"/>
      <c r="P121" s="74"/>
      <c r="Q121" s="74"/>
      <c r="R121" s="74"/>
      <c r="S121" s="74"/>
      <c r="T121" s="74"/>
      <c r="U121" s="74"/>
    </row>
    <row r="122" spans="1:21" x14ac:dyDescent="0.25">
      <c r="A122" s="3" t="s">
        <v>102</v>
      </c>
      <c r="B122" s="72"/>
      <c r="C122" s="72"/>
      <c r="D122" s="72"/>
      <c r="E122" s="72"/>
      <c r="F122" s="72"/>
      <c r="G122" s="286"/>
      <c r="H122" s="161">
        <f>IF(H120=1,I120,I117)</f>
        <v>2397509.5599999996</v>
      </c>
      <c r="I122" s="97">
        <f>ROUND(IF(E29=0,0,IF(E29&gt;250,-(((250/E29)*H122)*IF(G122="H",0.02,0.05)),IF(G122="H",-0.02*H122,-0.05*H122))),2)</f>
        <v>-92101.38</v>
      </c>
      <c r="N122" s="75" t="s">
        <v>107</v>
      </c>
      <c r="O122" s="74"/>
      <c r="P122" s="74"/>
      <c r="Q122" s="74"/>
      <c r="R122" s="74"/>
      <c r="S122" s="74"/>
      <c r="T122" s="74"/>
      <c r="U122" s="74"/>
    </row>
    <row r="123" spans="1:21" x14ac:dyDescent="0.25">
      <c r="B123" s="72"/>
      <c r="C123" s="72"/>
      <c r="D123" s="72"/>
      <c r="E123" s="72"/>
      <c r="F123" s="72"/>
      <c r="G123" s="72"/>
      <c r="H123" s="68"/>
      <c r="I123" s="104"/>
      <c r="N123" s="76"/>
      <c r="O123" s="76"/>
      <c r="P123" s="76"/>
      <c r="Q123" s="76"/>
      <c r="R123" s="76"/>
      <c r="S123" s="76"/>
      <c r="T123" s="76"/>
      <c r="U123" s="76"/>
    </row>
    <row r="124" spans="1:21" x14ac:dyDescent="0.25">
      <c r="A124" s="345" t="s">
        <v>103</v>
      </c>
      <c r="B124" s="346"/>
      <c r="C124" s="346"/>
      <c r="D124" s="346"/>
      <c r="E124" s="346"/>
      <c r="F124" s="346"/>
      <c r="G124" s="346"/>
      <c r="H124" s="347"/>
      <c r="I124" s="348">
        <f>I115+I122</f>
        <v>2389935.15</v>
      </c>
      <c r="N124" s="76"/>
      <c r="O124" s="76"/>
      <c r="P124" s="76"/>
      <c r="Q124" s="76"/>
      <c r="R124" s="76"/>
      <c r="S124" s="76"/>
      <c r="T124" s="76"/>
      <c r="U124" s="76"/>
    </row>
    <row r="125" spans="1:21" x14ac:dyDescent="0.25">
      <c r="B125" s="72"/>
      <c r="C125" s="72"/>
      <c r="D125" s="72"/>
      <c r="E125" s="72"/>
      <c r="F125" s="72"/>
      <c r="G125" s="72"/>
      <c r="H125" s="68"/>
      <c r="I125" s="104"/>
      <c r="N125" s="76"/>
      <c r="O125" s="76"/>
      <c r="P125" s="76"/>
      <c r="Q125" s="76"/>
      <c r="R125" s="76"/>
      <c r="S125" s="76"/>
      <c r="T125" s="76"/>
      <c r="U125" s="76"/>
    </row>
    <row r="126" spans="1:21" x14ac:dyDescent="0.25">
      <c r="A126" s="3" t="s">
        <v>104</v>
      </c>
      <c r="B126" s="72"/>
      <c r="C126" s="162"/>
      <c r="D126" s="72"/>
      <c r="F126" s="72"/>
      <c r="G126" s="72"/>
      <c r="H126" s="68"/>
      <c r="I126" s="302">
        <v>-1706553.66</v>
      </c>
      <c r="N126" s="76"/>
      <c r="O126" s="76"/>
      <c r="P126" s="76"/>
      <c r="Q126" s="76"/>
      <c r="R126" s="76"/>
      <c r="S126" s="76"/>
      <c r="T126" s="76"/>
      <c r="U126" s="76"/>
    </row>
    <row r="127" spans="1:21" x14ac:dyDescent="0.25">
      <c r="B127" s="72"/>
      <c r="C127" s="72"/>
      <c r="D127" s="72"/>
      <c r="E127" s="72"/>
      <c r="F127" s="72"/>
      <c r="G127" s="72"/>
      <c r="H127" s="68"/>
      <c r="I127" s="104"/>
      <c r="N127" s="76"/>
      <c r="O127" s="76"/>
      <c r="P127" s="76"/>
      <c r="Q127" s="76"/>
      <c r="R127" s="76"/>
      <c r="S127" s="76"/>
      <c r="T127" s="76"/>
      <c r="U127" s="76"/>
    </row>
    <row r="128" spans="1:21" x14ac:dyDescent="0.25">
      <c r="A128" s="84" t="s">
        <v>297</v>
      </c>
      <c r="B128" s="72"/>
      <c r="C128" s="72"/>
      <c r="D128" s="72"/>
      <c r="E128" s="72"/>
      <c r="F128" s="72"/>
      <c r="G128" s="72"/>
      <c r="H128" s="68"/>
      <c r="I128" s="104">
        <f>I124+I126</f>
        <v>683381.49</v>
      </c>
      <c r="N128" s="76"/>
      <c r="O128" s="76"/>
      <c r="P128" s="76"/>
      <c r="Q128" s="76"/>
      <c r="R128" s="76"/>
      <c r="S128" s="76"/>
      <c r="T128" s="76"/>
      <c r="U128" s="76"/>
    </row>
    <row r="129" spans="1:21" x14ac:dyDescent="0.25">
      <c r="A129" s="84"/>
      <c r="B129" s="72"/>
      <c r="C129" s="72"/>
      <c r="D129" s="72"/>
      <c r="E129" s="72"/>
      <c r="F129" s="72"/>
      <c r="G129" s="72"/>
      <c r="H129" s="68"/>
      <c r="I129" s="104"/>
      <c r="N129" s="76"/>
      <c r="O129" s="76"/>
      <c r="P129" s="76"/>
      <c r="Q129" s="76"/>
      <c r="R129" s="76"/>
      <c r="S129" s="76"/>
      <c r="T129" s="76"/>
      <c r="U129" s="76"/>
    </row>
    <row r="130" spans="1:21" x14ac:dyDescent="0.25">
      <c r="A130" s="84" t="s">
        <v>298</v>
      </c>
      <c r="B130" s="72"/>
      <c r="C130" s="72"/>
      <c r="D130" s="72"/>
      <c r="E130" s="72"/>
      <c r="F130" s="72"/>
      <c r="G130" s="72"/>
      <c r="H130" s="68"/>
      <c r="I130" s="303">
        <f>'0664'!I130</f>
        <v>3</v>
      </c>
      <c r="N130" s="76"/>
      <c r="O130" s="76"/>
      <c r="P130" s="76"/>
      <c r="Q130" s="76"/>
      <c r="R130" s="76"/>
      <c r="S130" s="76"/>
      <c r="T130" s="76"/>
      <c r="U130" s="76"/>
    </row>
    <row r="131" spans="1:21" x14ac:dyDescent="0.25">
      <c r="B131" s="72"/>
      <c r="C131" s="72"/>
      <c r="D131" s="72"/>
      <c r="E131" s="72"/>
      <c r="F131" s="72"/>
      <c r="G131" s="72"/>
      <c r="H131" s="68"/>
      <c r="I131" s="104"/>
      <c r="N131" s="76"/>
      <c r="O131" s="76"/>
      <c r="P131" s="76"/>
      <c r="Q131" s="76"/>
      <c r="R131" s="76"/>
      <c r="S131" s="76"/>
      <c r="T131" s="76"/>
      <c r="U131" s="76"/>
    </row>
    <row r="132" spans="1:21" ht="16.5" thickBot="1" x14ac:dyDescent="0.3">
      <c r="A132" s="3" t="s">
        <v>105</v>
      </c>
      <c r="B132" s="72"/>
      <c r="C132" s="72"/>
      <c r="D132" s="72"/>
      <c r="E132" s="72"/>
      <c r="F132" s="72"/>
      <c r="G132" s="72"/>
      <c r="H132" s="68"/>
      <c r="I132" s="178">
        <f>ROUND(I128/I130,2)</f>
        <v>227793.83</v>
      </c>
      <c r="N132" s="76"/>
      <c r="O132" s="76"/>
      <c r="P132" s="76"/>
      <c r="Q132" s="76"/>
      <c r="R132" s="76"/>
      <c r="S132" s="76"/>
      <c r="T132" s="76"/>
      <c r="U132" s="76"/>
    </row>
    <row r="133" spans="1:21" ht="16.5" thickTop="1" x14ac:dyDescent="0.25">
      <c r="B133" s="72"/>
      <c r="C133" s="72"/>
      <c r="D133" s="72"/>
      <c r="E133" s="72"/>
      <c r="F133" s="72"/>
      <c r="G133" s="72"/>
      <c r="H133" s="68"/>
      <c r="I133" s="104"/>
      <c r="N133" s="76"/>
      <c r="O133" s="76"/>
      <c r="P133" s="76"/>
      <c r="Q133" s="76"/>
      <c r="R133" s="76"/>
      <c r="S133" s="76"/>
      <c r="T133" s="76"/>
      <c r="U133" s="76"/>
    </row>
    <row r="134" spans="1:21" ht="16.5" thickBot="1" x14ac:dyDescent="0.3">
      <c r="A134" s="3" t="s">
        <v>121</v>
      </c>
      <c r="B134" s="72"/>
      <c r="C134" s="72"/>
      <c r="D134" s="72"/>
      <c r="E134" s="72"/>
      <c r="F134" s="72"/>
      <c r="G134" s="72"/>
      <c r="H134" s="68"/>
      <c r="I134" s="155">
        <f>ROUND(IF(G122="H",(H122*0.02)+I122,(H122*0.05)+I122),2)</f>
        <v>27774.1</v>
      </c>
      <c r="N134" s="76"/>
      <c r="O134" s="76"/>
      <c r="P134" s="76"/>
      <c r="Q134" s="76"/>
      <c r="R134" s="76"/>
      <c r="S134" s="76"/>
      <c r="T134" s="76"/>
      <c r="U134" s="76"/>
    </row>
    <row r="135" spans="1:21" ht="16.5" thickTop="1" x14ac:dyDescent="0.25">
      <c r="B135" s="72"/>
      <c r="C135" s="72"/>
      <c r="D135" s="72"/>
      <c r="E135" s="72"/>
      <c r="F135" s="72"/>
      <c r="G135" s="72"/>
      <c r="H135" s="68"/>
      <c r="I135" s="156"/>
      <c r="N135" s="76"/>
      <c r="O135" s="76"/>
      <c r="P135" s="76"/>
      <c r="Q135" s="76"/>
      <c r="R135" s="76"/>
      <c r="S135" s="76"/>
      <c r="T135" s="76"/>
      <c r="U135" s="76"/>
    </row>
    <row r="136" spans="1:21" x14ac:dyDescent="0.25">
      <c r="B136" s="72"/>
      <c r="C136" s="72"/>
      <c r="D136" s="72"/>
      <c r="E136" s="72"/>
      <c r="F136" s="72"/>
      <c r="G136" s="72"/>
      <c r="H136" s="68"/>
      <c r="I136" s="104"/>
      <c r="N136" s="76"/>
      <c r="O136" s="76"/>
      <c r="P136" s="76"/>
      <c r="Q136" s="76"/>
      <c r="R136" s="76"/>
      <c r="S136" s="76"/>
      <c r="T136" s="76"/>
      <c r="U136" s="76"/>
    </row>
    <row r="137" spans="1:21" x14ac:dyDescent="0.25">
      <c r="B137" s="72"/>
      <c r="C137" s="72"/>
      <c r="D137" s="72"/>
      <c r="E137" s="72"/>
      <c r="F137" s="72"/>
      <c r="G137" s="72"/>
      <c r="H137" s="68"/>
      <c r="I137" s="156"/>
      <c r="N137" s="76"/>
      <c r="O137" s="76"/>
      <c r="P137" s="76"/>
      <c r="Q137" s="76"/>
      <c r="R137" s="76"/>
      <c r="S137" s="76"/>
      <c r="T137" s="76"/>
      <c r="U137" s="76"/>
    </row>
    <row r="138" spans="1:21" x14ac:dyDescent="0.25">
      <c r="A138" s="281" t="s">
        <v>7</v>
      </c>
      <c r="B138" s="281"/>
      <c r="C138" s="281"/>
      <c r="D138" s="281"/>
      <c r="E138" s="281"/>
      <c r="F138" s="281"/>
      <c r="G138" s="281"/>
      <c r="H138" s="281"/>
      <c r="I138" s="281"/>
      <c r="J138" s="156"/>
      <c r="N138" s="76"/>
      <c r="O138" s="76"/>
      <c r="P138" s="76"/>
      <c r="Q138" s="76"/>
      <c r="R138" s="76"/>
      <c r="S138" s="76"/>
      <c r="T138" s="76"/>
      <c r="U138" s="76"/>
    </row>
    <row r="139" spans="1:21" ht="15.75" customHeight="1" x14ac:dyDescent="0.25">
      <c r="A139" s="356" t="str">
        <f>'0664'!A139</f>
        <v>(a) Additional FTE includes FTE earned through Advanced Placement, International Baccalaureate, Advanced International Certificate of Education, Industry Certified Career</v>
      </c>
      <c r="B139" s="357"/>
      <c r="C139" s="357"/>
      <c r="D139" s="357"/>
      <c r="E139" s="357"/>
      <c r="F139" s="357"/>
      <c r="G139" s="357"/>
      <c r="H139" s="357"/>
      <c r="I139" s="357"/>
      <c r="J139" s="80"/>
      <c r="K139" s="79"/>
      <c r="L139" s="79"/>
      <c r="M139" s="79"/>
      <c r="N139" s="477"/>
      <c r="O139" s="477"/>
      <c r="P139" s="477"/>
      <c r="Q139" s="477"/>
      <c r="R139" s="477"/>
      <c r="S139" s="477"/>
      <c r="T139" s="477"/>
      <c r="U139" s="477"/>
    </row>
    <row r="140" spans="1:21" ht="15.75" customHeight="1" x14ac:dyDescent="0.25">
      <c r="A140" s="390" t="str">
        <f>'0664'!A140</f>
        <v xml:space="preserve">Education (CAPE), Early High School Graduation and the small district ESE Supplement, pursuant to s. 1011.62(1)(l-p), F.S. </v>
      </c>
      <c r="B140" s="357"/>
      <c r="C140" s="357"/>
      <c r="D140" s="357"/>
      <c r="E140" s="357"/>
      <c r="F140" s="357"/>
      <c r="G140" s="357"/>
      <c r="H140" s="357"/>
      <c r="I140" s="357"/>
      <c r="J140" s="80"/>
      <c r="K140" s="79"/>
      <c r="L140" s="79"/>
      <c r="M140" s="79"/>
      <c r="N140" s="76"/>
      <c r="O140" s="76"/>
      <c r="P140" s="76"/>
      <c r="Q140" s="76"/>
      <c r="R140" s="76"/>
      <c r="S140" s="76"/>
      <c r="T140" s="76"/>
      <c r="U140" s="76"/>
    </row>
    <row r="141" spans="1:21" x14ac:dyDescent="0.25">
      <c r="A141" s="356" t="str">
        <f>'0664'!A141</f>
        <v>(b) District allocations multiplied by percentage from item 3A.</v>
      </c>
      <c r="B141" s="281"/>
      <c r="C141" s="281"/>
      <c r="D141" s="281"/>
      <c r="E141" s="281"/>
      <c r="F141" s="281"/>
      <c r="G141" s="281"/>
      <c r="H141" s="281"/>
      <c r="I141" s="281"/>
      <c r="J141" s="79"/>
      <c r="K141" s="79"/>
      <c r="L141" s="79"/>
      <c r="M141" s="79"/>
      <c r="N141" s="81"/>
      <c r="O141" s="82"/>
      <c r="P141" s="82"/>
      <c r="Q141" s="82"/>
      <c r="R141" s="82"/>
      <c r="S141" s="82"/>
      <c r="T141" s="82"/>
      <c r="U141" s="82"/>
    </row>
    <row r="142" spans="1:21" s="79" customFormat="1" x14ac:dyDescent="0.2">
      <c r="A142" s="356" t="str">
        <f>'0664'!A142</f>
        <v>(c) District allocations multiplied by percentage from item 3B.</v>
      </c>
      <c r="B142" s="281"/>
      <c r="C142" s="281"/>
      <c r="D142" s="281"/>
      <c r="E142" s="281"/>
      <c r="F142" s="281"/>
      <c r="G142" s="281"/>
      <c r="H142" s="281"/>
      <c r="I142" s="281"/>
      <c r="N142" s="81"/>
    </row>
    <row r="143" spans="1:21" s="79" customFormat="1" ht="15.75" customHeight="1" x14ac:dyDescent="0.2">
      <c r="A143" s="356" t="str">
        <f>'0664'!A143</f>
        <v>(d) The Digital Classroom Allocation is provided pursuant to s. 1011.62(12), F.S.</v>
      </c>
      <c r="B143" s="281"/>
      <c r="C143" s="281"/>
      <c r="D143" s="281"/>
      <c r="E143" s="281"/>
      <c r="F143" s="281"/>
      <c r="G143" s="281"/>
      <c r="H143" s="281"/>
      <c r="I143" s="281"/>
      <c r="N143" s="81"/>
    </row>
    <row r="144" spans="1:21" s="79" customFormat="1" ht="15.75" customHeight="1" x14ac:dyDescent="0.2">
      <c r="A144" s="356" t="str">
        <f>'0664'!A144</f>
        <v>(e) School districts are required to pay for instructional materials used for the instruction of public high school students who are earning credit toward high school</v>
      </c>
      <c r="B144" s="281"/>
      <c r="C144" s="281"/>
      <c r="D144" s="281"/>
      <c r="E144" s="281"/>
      <c r="F144" s="281"/>
      <c r="G144" s="281"/>
      <c r="H144" s="281"/>
      <c r="I144" s="281"/>
      <c r="N144" s="81"/>
    </row>
    <row r="145" spans="1:14" s="79" customFormat="1" ht="15.75" customHeight="1" x14ac:dyDescent="0.2">
      <c r="A145" s="390" t="str">
        <f>'0664'!A145</f>
        <v xml:space="preserve">graduation under the dual enrollment program as provided in s. 1011.62(l)(i), F.S.  </v>
      </c>
      <c r="B145" s="281"/>
      <c r="C145" s="281"/>
      <c r="D145" s="281"/>
      <c r="E145" s="281"/>
      <c r="F145" s="281"/>
      <c r="G145" s="281"/>
      <c r="H145" s="281"/>
      <c r="I145" s="281"/>
      <c r="N145" s="81"/>
    </row>
    <row r="146" spans="1:14" s="79" customFormat="1" x14ac:dyDescent="0.2">
      <c r="A146" s="356" t="str">
        <f>'0664'!A146</f>
        <v>(f) This allocation will be frozen as of the 2021-22 FEFP Second Calculation and will not be recalculated throughout the year. Charter school allocations should be</v>
      </c>
      <c r="B146" s="281"/>
      <c r="C146" s="281"/>
      <c r="D146" s="281"/>
      <c r="E146" s="281"/>
      <c r="F146" s="281"/>
      <c r="G146" s="281"/>
      <c r="H146" s="281"/>
      <c r="I146" s="281"/>
      <c r="N146" s="81"/>
    </row>
    <row r="147" spans="1:14" s="79" customFormat="1" x14ac:dyDescent="0.2">
      <c r="A147" s="358" t="str">
        <f>'0664'!A147</f>
        <v xml:space="preserve">distributed on weighted FTE (or base funding as is done in the FEFP) and should not be recalculated with fluctuations in student enrollment later in the year. </v>
      </c>
      <c r="B147" s="281"/>
      <c r="C147" s="281"/>
      <c r="D147" s="281"/>
      <c r="E147" s="281"/>
      <c r="F147" s="281"/>
      <c r="G147" s="281"/>
      <c r="H147" s="281"/>
      <c r="I147" s="281"/>
      <c r="N147" s="81"/>
    </row>
    <row r="148" spans="1:14" s="79" customFormat="1" x14ac:dyDescent="0.2">
      <c r="A148" s="356" t="str">
        <f>'0664'!A148</f>
        <v>(g) Numbers entered here will be multiplied by the district level transportation funding per rider. "All Adjusted Fundable Riders" should include both basic and ESE Riders.</v>
      </c>
      <c r="B148" s="281"/>
      <c r="C148" s="281"/>
      <c r="D148" s="281"/>
      <c r="E148" s="281"/>
      <c r="F148" s="281"/>
      <c r="G148" s="281"/>
      <c r="H148" s="281"/>
      <c r="I148" s="281"/>
      <c r="N148" s="81"/>
    </row>
    <row r="149" spans="1:14" s="79" customFormat="1" x14ac:dyDescent="0.2">
      <c r="A149" s="390" t="str">
        <f>'0664'!A149</f>
        <v>"All Adjusted ESE Riders" should include only ESE Riders.</v>
      </c>
      <c r="B149" s="281"/>
      <c r="C149" s="281"/>
      <c r="D149" s="281"/>
      <c r="E149" s="281"/>
      <c r="F149" s="281"/>
      <c r="G149" s="281"/>
      <c r="H149" s="281"/>
      <c r="I149" s="281"/>
      <c r="N149" s="81"/>
    </row>
    <row r="150" spans="1:14" s="79" customFormat="1" x14ac:dyDescent="0.2">
      <c r="A150" s="356" t="str">
        <f>'0664'!A150</f>
        <v xml:space="preserve">(h) The Federally Connected Student Supplement provides additional funding for students on federal lands that receive Section 8003 impact aide pursuant to s. 1011.62(13), F.S. </v>
      </c>
      <c r="B150" s="281"/>
      <c r="C150" s="281"/>
      <c r="D150" s="281"/>
      <c r="E150" s="281"/>
      <c r="F150" s="281"/>
      <c r="G150" s="281"/>
      <c r="H150" s="281"/>
      <c r="I150" s="281"/>
      <c r="N150" s="81"/>
    </row>
    <row r="151" spans="1:14" s="79" customFormat="1" x14ac:dyDescent="0.2">
      <c r="A151" s="356" t="str">
        <f>'0664'!A151</f>
        <v>(i) Teacher Classroom Supply Assistance Program allocation pursuant to s. 1012.71, F.S., for certified teachers employed by a public school district or public charter school</v>
      </c>
      <c r="B151" s="281"/>
      <c r="C151" s="281"/>
      <c r="D151" s="281"/>
      <c r="E151" s="281"/>
      <c r="F151" s="281"/>
      <c r="G151" s="281"/>
      <c r="H151" s="281"/>
      <c r="I151" s="281"/>
      <c r="N151" s="81"/>
    </row>
    <row r="152" spans="1:14" s="79" customFormat="1" x14ac:dyDescent="0.2">
      <c r="A152" s="358" t="str">
        <f>'0664'!A152</f>
        <v xml:space="preserve">before September 1 of each year whose full-time or job-share responsibility is the classroom instruction of students in prekindergarten through grade 12, including </v>
      </c>
      <c r="B152" s="281"/>
      <c r="C152" s="281"/>
      <c r="D152" s="281"/>
      <c r="E152" s="281"/>
      <c r="F152" s="281"/>
      <c r="G152" s="281"/>
      <c r="H152" s="281"/>
      <c r="I152" s="281"/>
      <c r="N152" s="81"/>
    </row>
    <row r="153" spans="1:14" s="79" customFormat="1" ht="15.75" customHeight="1" x14ac:dyDescent="0.2">
      <c r="A153" s="358" t="str">
        <f>'0664'!A153</f>
        <v>full-time media specialists and certified school counselors serving students in prekindergarten through grade 12, who are funded through the FEFP.</v>
      </c>
      <c r="B153" s="281"/>
      <c r="C153" s="281"/>
      <c r="D153" s="281"/>
      <c r="E153" s="281"/>
      <c r="F153" s="281"/>
      <c r="G153" s="281"/>
      <c r="H153" s="281"/>
      <c r="I153" s="281"/>
      <c r="N153" s="81"/>
    </row>
    <row r="154" spans="1:14" s="79" customFormat="1" ht="15.75" customHeight="1" x14ac:dyDescent="0.2">
      <c r="A154" s="356" t="str">
        <f>'0664'!A154</f>
        <v xml:space="preserve">(j) Funding based on student eligibility and meals provided, if participating in the National School Lunch Program. </v>
      </c>
      <c r="B154" s="328"/>
      <c r="C154" s="328"/>
      <c r="D154" s="328"/>
      <c r="E154" s="328"/>
      <c r="F154" s="328"/>
      <c r="G154" s="328"/>
      <c r="H154" s="328"/>
      <c r="I154" s="328"/>
      <c r="N154" s="81"/>
    </row>
    <row r="155" spans="1:14" s="79" customFormat="1" ht="15.75" customHeight="1" x14ac:dyDescent="0.2">
      <c r="A155" s="356" t="str">
        <f>'0664'!A155</f>
        <v>(k) Consistent with s. 1002.33(20)(a), F.S., for charter schools with a population of 75% or more ESE students, the administrative fee shall be calculated based on</v>
      </c>
      <c r="B155" s="381"/>
      <c r="C155" s="381"/>
      <c r="D155" s="381"/>
      <c r="E155" s="381"/>
      <c r="F155" s="381"/>
      <c r="G155" s="381"/>
      <c r="H155" s="381"/>
      <c r="I155" s="381"/>
      <c r="N155" s="81"/>
    </row>
    <row r="156" spans="1:14" s="79" customFormat="1" ht="15.75" customHeight="1" x14ac:dyDescent="0.2">
      <c r="A156" s="390" t="str">
        <f>'0664'!A156</f>
        <v xml:space="preserve">unweighted full-time equivalent students. </v>
      </c>
      <c r="B156" s="381"/>
      <c r="C156" s="381"/>
      <c r="D156" s="381"/>
      <c r="E156" s="381"/>
      <c r="F156" s="381"/>
      <c r="G156" s="381"/>
      <c r="H156" s="381"/>
      <c r="I156" s="381"/>
      <c r="N156" s="81"/>
    </row>
    <row r="157" spans="1:14" s="79" customFormat="1" ht="15.75" customHeight="1" x14ac:dyDescent="0.2">
      <c r="A157" s="356"/>
      <c r="B157" s="381"/>
      <c r="C157" s="381"/>
      <c r="D157" s="381"/>
      <c r="E157" s="381"/>
      <c r="F157" s="381"/>
      <c r="G157" s="381"/>
      <c r="H157" s="381"/>
      <c r="I157" s="381"/>
      <c r="N157" s="81"/>
    </row>
    <row r="158" spans="1:14" s="79" customFormat="1" ht="15.75" customHeight="1" x14ac:dyDescent="0.25">
      <c r="A158" s="398" t="str">
        <f>'0664'!A158</f>
        <v>Administrative fees:</v>
      </c>
      <c r="B158" s="328"/>
      <c r="C158" s="328"/>
      <c r="D158" s="328"/>
      <c r="E158" s="328"/>
      <c r="F158" s="328"/>
      <c r="G158" s="328"/>
      <c r="H158" s="328"/>
      <c r="I158" s="328"/>
      <c r="J158" s="3"/>
      <c r="K158" s="3"/>
      <c r="L158" s="3"/>
      <c r="M158" s="3"/>
      <c r="N158" s="81"/>
    </row>
    <row r="159" spans="1:14" s="79" customFormat="1" ht="15.75" customHeight="1" x14ac:dyDescent="0.25">
      <c r="A159" s="399" t="str">
        <f>'0664'!A159</f>
        <v xml:space="preserve">Administrative fees charged by the school district pursuant to s. 1002.33(20)(a), F.S., shall be calculated based upon 5% of available funds from the FEFP and categorical </v>
      </c>
      <c r="B159" s="328"/>
      <c r="C159" s="328"/>
      <c r="D159" s="328"/>
      <c r="E159" s="328"/>
      <c r="F159" s="328"/>
      <c r="G159" s="328"/>
      <c r="H159" s="328"/>
      <c r="I159" s="328"/>
      <c r="J159" s="3"/>
      <c r="K159" s="3"/>
      <c r="L159" s="3"/>
      <c r="M159" s="3"/>
      <c r="N159" s="81"/>
    </row>
    <row r="160" spans="1:14" s="79" customFormat="1" ht="15.75" customHeight="1" x14ac:dyDescent="0.25">
      <c r="A160" s="400" t="str">
        <f>'0664'!A160</f>
        <v>funding for which charter students may be eligible.  To calculate the administrative fee to be withheld for schools with more than 250 students, divide the school</v>
      </c>
      <c r="B160" s="328"/>
      <c r="C160" s="328"/>
      <c r="D160" s="328"/>
      <c r="E160" s="328"/>
      <c r="F160" s="328"/>
      <c r="G160" s="328"/>
      <c r="H160" s="328"/>
      <c r="I160" s="328"/>
      <c r="J160" s="3"/>
      <c r="K160" s="3"/>
      <c r="L160" s="3"/>
      <c r="M160" s="3"/>
      <c r="N160" s="81"/>
    </row>
    <row r="161" spans="1:21" s="79" customFormat="1" ht="15.75" customHeight="1" x14ac:dyDescent="0.25">
      <c r="A161" s="400" t="str">
        <f>'0664'!A161</f>
        <v xml:space="preserve">population into 250. Multiply that fraction times the funds available, then times 5%.  </v>
      </c>
      <c r="B161" s="328"/>
      <c r="C161" s="328"/>
      <c r="D161" s="328"/>
      <c r="E161" s="328"/>
      <c r="F161" s="328"/>
      <c r="G161" s="328"/>
      <c r="H161" s="328"/>
      <c r="I161" s="328"/>
      <c r="J161" s="3"/>
      <c r="K161" s="3"/>
      <c r="L161" s="3"/>
      <c r="M161" s="3"/>
      <c r="N161" s="81"/>
    </row>
    <row r="162" spans="1:21" s="79" customFormat="1" ht="15.75" customHeight="1" x14ac:dyDescent="0.25">
      <c r="A162" s="399"/>
      <c r="B162" s="394"/>
      <c r="C162" s="394"/>
      <c r="D162" s="394"/>
      <c r="E162" s="394"/>
      <c r="F162" s="394"/>
      <c r="G162" s="394"/>
      <c r="H162" s="394"/>
      <c r="I162" s="394"/>
      <c r="N162" s="77"/>
      <c r="O162" s="3"/>
      <c r="P162" s="3"/>
      <c r="Q162" s="3"/>
      <c r="R162" s="3"/>
      <c r="S162" s="3"/>
      <c r="T162" s="3"/>
      <c r="U162" s="3"/>
    </row>
    <row r="163" spans="1:21" ht="15.75" customHeight="1" x14ac:dyDescent="0.25">
      <c r="A163" s="399" t="str">
        <f>'0664'!A163</f>
        <v xml:space="preserve">For high performing charter schools, administrative fees charged by the school district shall be calculated based upon 2% of available funds from the FEFP and categorical </v>
      </c>
      <c r="B163" s="328"/>
      <c r="C163" s="328"/>
      <c r="D163" s="328"/>
      <c r="E163" s="328"/>
      <c r="F163" s="328"/>
      <c r="G163" s="328"/>
      <c r="H163" s="328"/>
      <c r="I163" s="328"/>
      <c r="J163" s="79"/>
      <c r="K163" s="79"/>
      <c r="L163" s="79"/>
      <c r="M163" s="79"/>
      <c r="N163" s="81"/>
      <c r="O163" s="79"/>
      <c r="P163" s="79"/>
      <c r="Q163" s="79"/>
      <c r="R163" s="79"/>
      <c r="S163" s="79"/>
      <c r="T163" s="79"/>
      <c r="U163" s="79"/>
    </row>
    <row r="164" spans="1:21" ht="15.75" customHeight="1" x14ac:dyDescent="0.25">
      <c r="A164" s="400" t="str">
        <f>'0664'!A164</f>
        <v>funding for which charter students may be eligible.  To calculate the administrative fee to be withheld for schools with more than 250 students, divide the school</v>
      </c>
      <c r="B164" s="381"/>
      <c r="C164" s="381"/>
      <c r="D164" s="381"/>
      <c r="E164" s="381"/>
      <c r="F164" s="381"/>
      <c r="G164" s="381"/>
      <c r="H164" s="381"/>
      <c r="I164" s="381"/>
      <c r="J164" s="79"/>
      <c r="K164" s="79"/>
      <c r="L164" s="79"/>
      <c r="M164" s="79"/>
      <c r="N164" s="81"/>
      <c r="O164" s="79"/>
      <c r="P164" s="79"/>
      <c r="Q164" s="79"/>
      <c r="R164" s="79"/>
      <c r="S164" s="79"/>
      <c r="T164" s="79"/>
      <c r="U164" s="79"/>
    </row>
    <row r="165" spans="1:21" s="79" customFormat="1" ht="15.75" customHeight="1" x14ac:dyDescent="0.2">
      <c r="A165" s="400" t="str">
        <f>'0664'!A165</f>
        <v xml:space="preserve">population into 250. Multiply that fraction times the funds available, then times 2%.  </v>
      </c>
      <c r="B165" s="328"/>
      <c r="C165" s="328"/>
      <c r="D165" s="328"/>
      <c r="E165" s="328"/>
      <c r="F165" s="328"/>
      <c r="G165" s="328"/>
      <c r="H165" s="328"/>
      <c r="I165" s="328"/>
      <c r="N165" s="81"/>
    </row>
    <row r="166" spans="1:21" x14ac:dyDescent="0.25">
      <c r="A166" s="356"/>
      <c r="N166" s="77"/>
    </row>
    <row r="167" spans="1:21" x14ac:dyDescent="0.25">
      <c r="A167" s="398" t="str">
        <f>'0664'!A167</f>
        <v>Other:</v>
      </c>
      <c r="N167" s="77"/>
    </row>
    <row r="168" spans="1:21" x14ac:dyDescent="0.25">
      <c r="A168" s="399" t="str">
        <f>'0664'!A168</f>
        <v>FEFP and categorical funding are recalculated during the year to reflect the revised number of full-time equivalent students reported during the survey periods designated</v>
      </c>
      <c r="N168" s="77"/>
    </row>
    <row r="169" spans="1:21" x14ac:dyDescent="0.25">
      <c r="A169" s="402" t="str">
        <f>'0664'!A169</f>
        <v>by the Commissioner of Education.</v>
      </c>
      <c r="N169" s="77"/>
    </row>
    <row r="170" spans="1:21" x14ac:dyDescent="0.25">
      <c r="A170" s="399" t="str">
        <f>'0664'!A170</f>
        <v>Revenues flow to districts from state sources and from county tax collectors on various distribution schedules.</v>
      </c>
      <c r="N170" s="77"/>
    </row>
    <row r="171" spans="1:21" x14ac:dyDescent="0.25">
      <c r="A171" s="77"/>
      <c r="N171" s="77"/>
    </row>
    <row r="172" spans="1:21" x14ac:dyDescent="0.25">
      <c r="A172" s="77"/>
      <c r="N172" s="77"/>
    </row>
    <row r="173" spans="1:21" x14ac:dyDescent="0.25">
      <c r="A173" s="77"/>
      <c r="N173" s="77"/>
    </row>
    <row r="174" spans="1:21" x14ac:dyDescent="0.25">
      <c r="A174" s="77"/>
      <c r="N174" s="77"/>
    </row>
    <row r="175" spans="1:21" x14ac:dyDescent="0.25">
      <c r="A175" s="77"/>
      <c r="N175" s="77"/>
    </row>
    <row r="176" spans="1:21" x14ac:dyDescent="0.25">
      <c r="A176" s="77"/>
      <c r="N176" s="77"/>
    </row>
    <row r="177" spans="1:14" x14ac:dyDescent="0.25">
      <c r="A177" s="77"/>
      <c r="N177" s="77"/>
    </row>
    <row r="178" spans="1:14" x14ac:dyDescent="0.25">
      <c r="A178" s="77"/>
      <c r="N178" s="77"/>
    </row>
    <row r="179" spans="1:14" x14ac:dyDescent="0.25">
      <c r="A179" s="77"/>
      <c r="N179" s="77"/>
    </row>
    <row r="180" spans="1:14" x14ac:dyDescent="0.25">
      <c r="A180" s="77"/>
      <c r="N180" s="77"/>
    </row>
    <row r="181" spans="1:14" x14ac:dyDescent="0.25">
      <c r="A181" s="77"/>
      <c r="N181" s="77"/>
    </row>
    <row r="182" spans="1:14" x14ac:dyDescent="0.25">
      <c r="A182" s="77"/>
      <c r="N182" s="77"/>
    </row>
    <row r="183" spans="1:14" x14ac:dyDescent="0.25">
      <c r="A183" s="77"/>
      <c r="N183" s="77"/>
    </row>
    <row r="184" spans="1:14" x14ac:dyDescent="0.25">
      <c r="A184" s="77"/>
      <c r="N184" s="77"/>
    </row>
    <row r="185" spans="1:14" x14ac:dyDescent="0.25">
      <c r="A185" s="77"/>
      <c r="N185" s="77"/>
    </row>
    <row r="186" spans="1:14" x14ac:dyDescent="0.25">
      <c r="A186" s="77"/>
      <c r="N186" s="77"/>
    </row>
    <row r="187" spans="1:14" x14ac:dyDescent="0.25">
      <c r="A187" s="77"/>
      <c r="N187" s="77"/>
    </row>
    <row r="188" spans="1:14" x14ac:dyDescent="0.25">
      <c r="A188" s="77"/>
    </row>
    <row r="189" spans="1:14" x14ac:dyDescent="0.25">
      <c r="A189" s="77"/>
    </row>
    <row r="190" spans="1:14" x14ac:dyDescent="0.25">
      <c r="A190" s="77"/>
    </row>
    <row r="191" spans="1:14" x14ac:dyDescent="0.25">
      <c r="A191" s="77"/>
    </row>
    <row r="192" spans="1:14" x14ac:dyDescent="0.25">
      <c r="A192" s="77"/>
    </row>
    <row r="193" spans="1:1" x14ac:dyDescent="0.25">
      <c r="A193" s="77"/>
    </row>
    <row r="194" spans="1:1" x14ac:dyDescent="0.25">
      <c r="A194" s="77"/>
    </row>
    <row r="195" spans="1:1" x14ac:dyDescent="0.25">
      <c r="A195" s="77"/>
    </row>
    <row r="196" spans="1:1" x14ac:dyDescent="0.25">
      <c r="A196" s="77"/>
    </row>
    <row r="197" spans="1:1" x14ac:dyDescent="0.25">
      <c r="A197" s="77"/>
    </row>
    <row r="198" spans="1:1" x14ac:dyDescent="0.25">
      <c r="A198" s="77"/>
    </row>
    <row r="199" spans="1:1" x14ac:dyDescent="0.25">
      <c r="A199" s="77"/>
    </row>
    <row r="200" spans="1:1" x14ac:dyDescent="0.25">
      <c r="A200" s="77"/>
    </row>
    <row r="201" spans="1:1" x14ac:dyDescent="0.25">
      <c r="A201" s="77"/>
    </row>
    <row r="202" spans="1:1" x14ac:dyDescent="0.25">
      <c r="A202" s="77"/>
    </row>
    <row r="203" spans="1:1" x14ac:dyDescent="0.25">
      <c r="A203" s="77"/>
    </row>
    <row r="204" spans="1:1" x14ac:dyDescent="0.25">
      <c r="A204" s="77"/>
    </row>
    <row r="205" spans="1:1" x14ac:dyDescent="0.25">
      <c r="A205" s="77"/>
    </row>
    <row r="206" spans="1:1" x14ac:dyDescent="0.25">
      <c r="A206" s="77"/>
    </row>
  </sheetData>
  <mergeCells count="266">
    <mergeCell ref="A112:C112"/>
    <mergeCell ref="F112:H112"/>
    <mergeCell ref="N112:P112"/>
    <mergeCell ref="A109:B109"/>
    <mergeCell ref="F109:G109"/>
    <mergeCell ref="N109:O109"/>
    <mergeCell ref="P109:Q109"/>
    <mergeCell ref="N139:U139"/>
    <mergeCell ref="N119:U119"/>
    <mergeCell ref="N113:P113"/>
    <mergeCell ref="A113:C113"/>
    <mergeCell ref="F113:H113"/>
    <mergeCell ref="N114:T114"/>
    <mergeCell ref="A115:H115"/>
    <mergeCell ref="A119:G119"/>
    <mergeCell ref="N120:U120"/>
    <mergeCell ref="A120:G120"/>
    <mergeCell ref="R109:S109"/>
    <mergeCell ref="A110:B110"/>
    <mergeCell ref="N110:O110"/>
    <mergeCell ref="A107:B107"/>
    <mergeCell ref="F107:G107"/>
    <mergeCell ref="N107:O107"/>
    <mergeCell ref="P107:Q107"/>
    <mergeCell ref="R107:S107"/>
    <mergeCell ref="A108:B108"/>
    <mergeCell ref="F108:G108"/>
    <mergeCell ref="N108:O108"/>
    <mergeCell ref="P108:Q108"/>
    <mergeCell ref="R108:S108"/>
    <mergeCell ref="A103:C103"/>
    <mergeCell ref="F103:I103"/>
    <mergeCell ref="N103:U103"/>
    <mergeCell ref="C104:E104"/>
    <mergeCell ref="F105:G105"/>
    <mergeCell ref="A106:B106"/>
    <mergeCell ref="F106:G106"/>
    <mergeCell ref="N106:O106"/>
    <mergeCell ref="P106:Q106"/>
    <mergeCell ref="R106:S106"/>
    <mergeCell ref="A99:B99"/>
    <mergeCell ref="N99:O99"/>
    <mergeCell ref="P99:R99"/>
    <mergeCell ref="A100:B100"/>
    <mergeCell ref="N100:O100"/>
    <mergeCell ref="P100:R100"/>
    <mergeCell ref="C91:D91"/>
    <mergeCell ref="P91:Q91"/>
    <mergeCell ref="C92:D92"/>
    <mergeCell ref="P92:Q92"/>
    <mergeCell ref="C93:D93"/>
    <mergeCell ref="P93:T93"/>
    <mergeCell ref="A94:I94"/>
    <mergeCell ref="N94:U94"/>
    <mergeCell ref="F96:I96"/>
    <mergeCell ref="N96:P96"/>
    <mergeCell ref="Q96:T96"/>
    <mergeCell ref="A87:I87"/>
    <mergeCell ref="N87:U87"/>
    <mergeCell ref="C88:D88"/>
    <mergeCell ref="C89:D89"/>
    <mergeCell ref="N89:O89"/>
    <mergeCell ref="P89:Q89"/>
    <mergeCell ref="R89:U89"/>
    <mergeCell ref="C90:D90"/>
    <mergeCell ref="P90:Q90"/>
    <mergeCell ref="A80:C80"/>
    <mergeCell ref="N80:P80"/>
    <mergeCell ref="A85:C85"/>
    <mergeCell ref="N85:P85"/>
    <mergeCell ref="F73:H73"/>
    <mergeCell ref="N73:T73"/>
    <mergeCell ref="N74:T74"/>
    <mergeCell ref="A78:C78"/>
    <mergeCell ref="N78:P78"/>
    <mergeCell ref="A79:C79"/>
    <mergeCell ref="A69:C69"/>
    <mergeCell ref="N69:P69"/>
    <mergeCell ref="N79:P79"/>
    <mergeCell ref="A76:C76"/>
    <mergeCell ref="N76:P76"/>
    <mergeCell ref="A77:C77"/>
    <mergeCell ref="A70:C70"/>
    <mergeCell ref="A71:C71"/>
    <mergeCell ref="N71:P71"/>
    <mergeCell ref="A72:C72"/>
    <mergeCell ref="N77:P77"/>
    <mergeCell ref="N72:P72"/>
    <mergeCell ref="A65:B65"/>
    <mergeCell ref="D65:G65"/>
    <mergeCell ref="N65:O65"/>
    <mergeCell ref="Q65:S65"/>
    <mergeCell ref="T65:U65"/>
    <mergeCell ref="N66:S66"/>
    <mergeCell ref="T66:U66"/>
    <mergeCell ref="A68:C68"/>
    <mergeCell ref="N68:P68"/>
    <mergeCell ref="A62:B62"/>
    <mergeCell ref="D62:G62"/>
    <mergeCell ref="N62:O62"/>
    <mergeCell ref="Q62:S62"/>
    <mergeCell ref="T62:U62"/>
    <mergeCell ref="N63:S63"/>
    <mergeCell ref="T63:U63"/>
    <mergeCell ref="A64:I64"/>
    <mergeCell ref="N64:U64"/>
    <mergeCell ref="A59:B59"/>
    <mergeCell ref="F59:H59"/>
    <mergeCell ref="N59:O59"/>
    <mergeCell ref="P59:Q59"/>
    <mergeCell ref="R59:T59"/>
    <mergeCell ref="A60:I60"/>
    <mergeCell ref="N60:U60"/>
    <mergeCell ref="A61:I61"/>
    <mergeCell ref="N61:U61"/>
    <mergeCell ref="A50:B58"/>
    <mergeCell ref="N50:O58"/>
    <mergeCell ref="P50:Q50"/>
    <mergeCell ref="P51:Q51"/>
    <mergeCell ref="P52:Q52"/>
    <mergeCell ref="P53:Q53"/>
    <mergeCell ref="P54:Q54"/>
    <mergeCell ref="P55:Q55"/>
    <mergeCell ref="P56:Q56"/>
    <mergeCell ref="P57:Q57"/>
    <mergeCell ref="P58:Q58"/>
    <mergeCell ref="A42:B42"/>
    <mergeCell ref="N42:O42"/>
    <mergeCell ref="P42:T42"/>
    <mergeCell ref="N43:Q43"/>
    <mergeCell ref="S43:T43"/>
    <mergeCell ref="N45:Q45"/>
    <mergeCell ref="S45:T45"/>
    <mergeCell ref="N49:O49"/>
    <mergeCell ref="P49:Q49"/>
    <mergeCell ref="A39:B39"/>
    <mergeCell ref="N39:O39"/>
    <mergeCell ref="P39:T39"/>
    <mergeCell ref="A40:B40"/>
    <mergeCell ref="N40:O40"/>
    <mergeCell ref="P40:T40"/>
    <mergeCell ref="A41:B41"/>
    <mergeCell ref="N41:O41"/>
    <mergeCell ref="P41:T41"/>
    <mergeCell ref="N34:T34"/>
    <mergeCell ref="A36:B36"/>
    <mergeCell ref="N36:O36"/>
    <mergeCell ref="P36:T36"/>
    <mergeCell ref="A37:B37"/>
    <mergeCell ref="N37:O37"/>
    <mergeCell ref="P37:T37"/>
    <mergeCell ref="F33:H36"/>
    <mergeCell ref="A38:B38"/>
    <mergeCell ref="N38:O38"/>
    <mergeCell ref="P38:T38"/>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A20:B20"/>
    <mergeCell ref="F20:G20"/>
    <mergeCell ref="N20:O20"/>
    <mergeCell ref="P20:Q20"/>
    <mergeCell ref="R20:S20"/>
    <mergeCell ref="A21:B21"/>
    <mergeCell ref="F21:G21"/>
    <mergeCell ref="N21:O21"/>
    <mergeCell ref="P21:Q21"/>
    <mergeCell ref="R21:S21"/>
    <mergeCell ref="A18:B18"/>
    <mergeCell ref="F18:G18"/>
    <mergeCell ref="N18:O18"/>
    <mergeCell ref="P18:Q18"/>
    <mergeCell ref="R18:S18"/>
    <mergeCell ref="A19:B19"/>
    <mergeCell ref="F19:G19"/>
    <mergeCell ref="N19:O19"/>
    <mergeCell ref="P19:Q19"/>
    <mergeCell ref="R19:S19"/>
    <mergeCell ref="A16:B16"/>
    <mergeCell ref="F16:G16"/>
    <mergeCell ref="N16:O16"/>
    <mergeCell ref="P16:Q16"/>
    <mergeCell ref="R16:S16"/>
    <mergeCell ref="A17:B17"/>
    <mergeCell ref="F17:G17"/>
    <mergeCell ref="N17:O17"/>
    <mergeCell ref="P17:Q17"/>
    <mergeCell ref="R17:S17"/>
    <mergeCell ref="A14:B14"/>
    <mergeCell ref="F14:G14"/>
    <mergeCell ref="N14:O14"/>
    <mergeCell ref="P14:Q14"/>
    <mergeCell ref="R14:S14"/>
    <mergeCell ref="P15:Q15"/>
    <mergeCell ref="R15:S15"/>
    <mergeCell ref="A15:B15"/>
    <mergeCell ref="F15:G15"/>
    <mergeCell ref="N15:O15"/>
    <mergeCell ref="B1:I1"/>
    <mergeCell ref="A7:I7"/>
    <mergeCell ref="A11:B11"/>
    <mergeCell ref="F11:G11"/>
    <mergeCell ref="O1:U1"/>
    <mergeCell ref="N2:U2"/>
    <mergeCell ref="N3:U3"/>
    <mergeCell ref="A4:B4"/>
    <mergeCell ref="C4:E4"/>
    <mergeCell ref="N4:O4"/>
    <mergeCell ref="P4:Q4"/>
    <mergeCell ref="P8:Q8"/>
    <mergeCell ref="R8:S8"/>
    <mergeCell ref="T8:U8"/>
    <mergeCell ref="F10:G10"/>
    <mergeCell ref="R10:S10"/>
    <mergeCell ref="N7:U7"/>
    <mergeCell ref="N8:O8"/>
    <mergeCell ref="R13:S13"/>
    <mergeCell ref="A13:B13"/>
    <mergeCell ref="F13:G13"/>
    <mergeCell ref="A12:B12"/>
    <mergeCell ref="F12:G12"/>
    <mergeCell ref="N13:O13"/>
    <mergeCell ref="P13:Q13"/>
    <mergeCell ref="N11:O11"/>
    <mergeCell ref="P11:Q11"/>
    <mergeCell ref="R11:S11"/>
    <mergeCell ref="N12:O12"/>
    <mergeCell ref="P12:Q12"/>
    <mergeCell ref="R12:S12"/>
  </mergeCells>
  <pageMargins left="0.1" right="0.1" top="0.5" bottom="0.5" header="0" footer="0.1"/>
  <pageSetup scale="70" fitToHeight="3" orientation="portrait" r:id="rId1"/>
  <headerFooter alignWithMargins="0">
    <oddFooter>&amp;R&amp;P of &amp;N</oddFooter>
  </headerFooter>
  <rowBreaks count="1" manualBreakCount="1">
    <brk id="138" max="16383" man="1"/>
  </rowBreaks>
  <colBreaks count="1" manualBreakCount="1">
    <brk id="9"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CCFFCC"/>
  </sheetPr>
  <dimension ref="A1:U206"/>
  <sheetViews>
    <sheetView showGridLines="0" zoomScaleNormal="100" workbookViewId="0">
      <pane ySplit="1" topLeftCell="A11" activePane="bottomLeft" state="frozen"/>
      <selection activeCell="I9" sqref="I9"/>
      <selection pane="bottomLeft" activeCell="B1" sqref="B1:I1"/>
    </sheetView>
  </sheetViews>
  <sheetFormatPr defaultRowHeight="15.75" x14ac:dyDescent="0.25"/>
  <cols>
    <col min="1" max="1" width="10.28515625" style="72"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72"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5">
        <v>50</v>
      </c>
      <c r="B1" s="441" t="s">
        <v>17</v>
      </c>
      <c r="C1" s="442"/>
      <c r="D1" s="442"/>
      <c r="E1" s="442"/>
      <c r="F1" s="442"/>
      <c r="G1" s="442"/>
      <c r="H1" s="442"/>
      <c r="I1" s="442"/>
      <c r="J1" s="157"/>
      <c r="K1" s="157"/>
      <c r="L1" s="157"/>
      <c r="N1" s="85">
        <f>A1</f>
        <v>50</v>
      </c>
      <c r="O1" s="527" t="s">
        <v>17</v>
      </c>
      <c r="P1" s="528"/>
      <c r="Q1" s="528"/>
      <c r="R1" s="528"/>
      <c r="S1" s="528"/>
      <c r="T1" s="528"/>
      <c r="U1" s="528"/>
    </row>
    <row r="2" spans="1:21" ht="21" x14ac:dyDescent="0.35">
      <c r="A2" s="1" t="s">
        <v>170</v>
      </c>
      <c r="B2" s="2"/>
      <c r="C2" s="2"/>
      <c r="D2" s="2"/>
      <c r="E2" s="2"/>
      <c r="F2" s="2"/>
      <c r="G2" s="2"/>
      <c r="H2" s="2"/>
      <c r="I2" s="2"/>
      <c r="N2" s="529" t="s">
        <v>23</v>
      </c>
      <c r="O2" s="529"/>
      <c r="P2" s="529"/>
      <c r="Q2" s="529"/>
      <c r="R2" s="529"/>
      <c r="S2" s="529"/>
      <c r="T2" s="529"/>
      <c r="U2" s="529"/>
    </row>
    <row r="3" spans="1:21" x14ac:dyDescent="0.25">
      <c r="A3" s="84" t="str">
        <f>'0664'!A3</f>
        <v>Based on the FLDOE 2022-23 FEFP Third Calculation</v>
      </c>
      <c r="N3" s="485" t="str">
        <f>A3</f>
        <v>Based on the FLDOE 2022-23 FEFP Third Calculation</v>
      </c>
      <c r="O3" s="485"/>
      <c r="P3" s="485"/>
      <c r="Q3" s="485"/>
      <c r="R3" s="485"/>
      <c r="S3" s="485"/>
      <c r="T3" s="485"/>
      <c r="U3" s="485"/>
    </row>
    <row r="4" spans="1:21" x14ac:dyDescent="0.25">
      <c r="A4" s="443" t="s">
        <v>0</v>
      </c>
      <c r="B4" s="443"/>
      <c r="C4" s="444" t="s">
        <v>9</v>
      </c>
      <c r="D4" s="444"/>
      <c r="E4" s="444"/>
      <c r="F4" s="4" t="str">
        <f>'0664'!F4</f>
        <v>Apr 2023</v>
      </c>
      <c r="G4" s="4"/>
      <c r="H4" s="4"/>
      <c r="I4" s="4"/>
      <c r="N4" s="530" t="s">
        <v>0</v>
      </c>
      <c r="O4" s="530"/>
      <c r="P4" s="531" t="str">
        <f>C4</f>
        <v>Palm Beach</v>
      </c>
      <c r="Q4" s="531"/>
      <c r="R4" s="5"/>
      <c r="S4" s="5"/>
      <c r="T4" s="5"/>
      <c r="U4" s="5"/>
    </row>
    <row r="5" spans="1:21" ht="12" customHeight="1" thickBot="1" x14ac:dyDescent="0.3">
      <c r="A5" s="262"/>
      <c r="B5" s="262"/>
      <c r="C5" s="253"/>
      <c r="D5" s="253"/>
      <c r="E5" s="253"/>
      <c r="F5" s="254"/>
      <c r="G5" s="254"/>
      <c r="H5" s="254"/>
      <c r="I5" s="254"/>
      <c r="N5" s="86"/>
      <c r="O5" s="86"/>
      <c r="P5" s="6"/>
      <c r="Q5" s="6"/>
      <c r="R5" s="5"/>
      <c r="S5" s="5"/>
      <c r="T5" s="5"/>
      <c r="U5" s="5"/>
    </row>
    <row r="6" spans="1:21" ht="12" customHeight="1" x14ac:dyDescent="0.25">
      <c r="A6" s="150"/>
      <c r="B6" s="150"/>
      <c r="C6" s="261"/>
      <c r="D6" s="261"/>
      <c r="E6" s="261"/>
      <c r="F6" s="4"/>
      <c r="G6" s="4"/>
      <c r="H6" s="4"/>
      <c r="I6" s="4"/>
      <c r="N6" s="86"/>
      <c r="O6" s="86"/>
      <c r="P6" s="6"/>
      <c r="Q6" s="6"/>
      <c r="R6" s="5"/>
      <c r="S6" s="5"/>
      <c r="T6" s="5"/>
      <c r="U6" s="5"/>
    </row>
    <row r="7" spans="1:21" x14ac:dyDescent="0.25">
      <c r="A7" s="445" t="str">
        <f>'0664'!A7:I7</f>
        <v>1.   2022-23 FEFP State and Local Funding</v>
      </c>
      <c r="B7" s="533"/>
      <c r="C7" s="533"/>
      <c r="D7" s="533"/>
      <c r="E7" s="533"/>
      <c r="F7" s="533"/>
      <c r="G7" s="533"/>
      <c r="H7" s="533"/>
      <c r="I7" s="533"/>
      <c r="N7" s="530" t="s">
        <v>86</v>
      </c>
      <c r="O7" s="530"/>
      <c r="P7" s="530"/>
      <c r="Q7" s="530"/>
      <c r="R7" s="530"/>
      <c r="S7" s="530"/>
      <c r="T7" s="530"/>
      <c r="U7" s="530"/>
    </row>
    <row r="8" spans="1:21" x14ac:dyDescent="0.25">
      <c r="A8" s="87"/>
      <c r="B8" s="88" t="s">
        <v>123</v>
      </c>
      <c r="C8" s="334">
        <f>'0664'!C8</f>
        <v>4587.3999999999996</v>
      </c>
      <c r="D8" s="89"/>
      <c r="E8" s="90"/>
      <c r="F8" s="87"/>
      <c r="G8" s="88" t="s">
        <v>122</v>
      </c>
      <c r="H8" s="320">
        <f>'0664'!H8</f>
        <v>1.0438000000000001</v>
      </c>
      <c r="I8" s="78"/>
      <c r="N8" s="534" t="s">
        <v>10</v>
      </c>
      <c r="O8" s="534"/>
      <c r="P8" s="535">
        <v>4154.45</v>
      </c>
      <c r="Q8" s="535"/>
      <c r="R8" s="518" t="s">
        <v>11</v>
      </c>
      <c r="S8" s="518"/>
      <c r="T8" s="519">
        <f>H8</f>
        <v>1.0438000000000001</v>
      </c>
      <c r="U8" s="519"/>
    </row>
    <row r="9" spans="1:21" x14ac:dyDescent="0.25">
      <c r="A9" s="7"/>
      <c r="B9" s="44" t="s">
        <v>370</v>
      </c>
      <c r="C9" s="41" t="s">
        <v>370</v>
      </c>
      <c r="D9" s="91" t="s">
        <v>370</v>
      </c>
      <c r="E9" s="8"/>
      <c r="F9" s="9"/>
      <c r="G9" s="9"/>
      <c r="H9" s="10"/>
      <c r="I9" s="340" t="str">
        <f>'0664'!I9</f>
        <v>2022-23</v>
      </c>
      <c r="N9" s="12"/>
      <c r="O9" s="12"/>
      <c r="P9" s="13"/>
      <c r="Q9" s="13"/>
      <c r="R9" s="14"/>
      <c r="S9" s="14"/>
      <c r="T9" s="15"/>
      <c r="U9" s="405" t="s">
        <v>405</v>
      </c>
    </row>
    <row r="10" spans="1:21" x14ac:dyDescent="0.25">
      <c r="A10" s="7"/>
      <c r="B10" s="7"/>
      <c r="C10" s="91" t="s">
        <v>463</v>
      </c>
      <c r="D10" s="371" t="s">
        <v>464</v>
      </c>
      <c r="E10" s="92" t="s">
        <v>8</v>
      </c>
      <c r="F10" s="446" t="s">
        <v>1</v>
      </c>
      <c r="G10" s="446"/>
      <c r="H10" s="10" t="s">
        <v>73</v>
      </c>
      <c r="I10" s="11" t="s">
        <v>36</v>
      </c>
      <c r="N10" s="12"/>
      <c r="O10" s="12"/>
      <c r="P10" s="13"/>
      <c r="Q10" s="13"/>
      <c r="R10" s="520" t="s">
        <v>1</v>
      </c>
      <c r="S10" s="520"/>
      <c r="T10" s="15" t="s">
        <v>73</v>
      </c>
      <c r="U10" s="16" t="s">
        <v>36</v>
      </c>
    </row>
    <row r="11" spans="1:21" x14ac:dyDescent="0.25">
      <c r="A11" s="447" t="s">
        <v>1</v>
      </c>
      <c r="B11" s="447"/>
      <c r="C11" s="362" t="s">
        <v>2</v>
      </c>
      <c r="D11" s="362" t="s">
        <v>2</v>
      </c>
      <c r="E11" s="362" t="s">
        <v>2</v>
      </c>
      <c r="F11" s="448" t="s">
        <v>76</v>
      </c>
      <c r="G11" s="448"/>
      <c r="H11" s="17" t="s">
        <v>72</v>
      </c>
      <c r="I11" s="18" t="s">
        <v>75</v>
      </c>
      <c r="N11" s="510" t="s">
        <v>1</v>
      </c>
      <c r="O11" s="510"/>
      <c r="P11" s="521" t="s">
        <v>24</v>
      </c>
      <c r="Q11" s="521"/>
      <c r="R11" s="522" t="s">
        <v>76</v>
      </c>
      <c r="S11" s="522"/>
      <c r="T11" s="19" t="s">
        <v>72</v>
      </c>
      <c r="U11" s="20" t="s">
        <v>75</v>
      </c>
    </row>
    <row r="12" spans="1:21" x14ac:dyDescent="0.25">
      <c r="A12" s="449" t="s">
        <v>47</v>
      </c>
      <c r="B12" s="449"/>
      <c r="C12" s="94"/>
      <c r="D12" s="94"/>
      <c r="E12" s="95" t="s">
        <v>48</v>
      </c>
      <c r="F12" s="450" t="s">
        <v>49</v>
      </c>
      <c r="G12" s="450"/>
      <c r="H12" s="21" t="s">
        <v>50</v>
      </c>
      <c r="I12" s="22" t="s">
        <v>51</v>
      </c>
      <c r="N12" s="523" t="s">
        <v>47</v>
      </c>
      <c r="O12" s="523"/>
      <c r="P12" s="524" t="s">
        <v>48</v>
      </c>
      <c r="Q12" s="524"/>
      <c r="R12" s="525" t="s">
        <v>49</v>
      </c>
      <c r="S12" s="525"/>
      <c r="T12" s="23" t="s">
        <v>50</v>
      </c>
      <c r="U12" s="24" t="s">
        <v>51</v>
      </c>
    </row>
    <row r="13" spans="1:21" x14ac:dyDescent="0.25">
      <c r="A13" s="451" t="s">
        <v>29</v>
      </c>
      <c r="B13" s="451"/>
      <c r="C13" s="165">
        <v>204.52</v>
      </c>
      <c r="D13" s="163">
        <v>197.36</v>
      </c>
      <c r="E13" s="210">
        <f>IF(D$29=0,C13*2,C13+D13)</f>
        <v>401.88</v>
      </c>
      <c r="F13" s="537">
        <f>'0664'!F13:G13</f>
        <v>1.1259999999999999</v>
      </c>
      <c r="G13" s="537"/>
      <c r="H13" s="167">
        <f>ROUND(E13*F13,4)</f>
        <v>452.51690000000002</v>
      </c>
      <c r="I13" s="119">
        <f t="shared" ref="I13:I28" si="0">ROUND(ROUND(H13*$C$8,4)*($H$8),2)</f>
        <v>2166799.4</v>
      </c>
      <c r="N13" s="512" t="s">
        <v>29</v>
      </c>
      <c r="O13" s="512"/>
      <c r="P13" s="513">
        <f t="shared" ref="P13:P28" si="1">IF($H$120=1,E13,0)</f>
        <v>0</v>
      </c>
      <c r="Q13" s="513"/>
      <c r="R13" s="526">
        <v>1</v>
      </c>
      <c r="S13" s="526"/>
      <c r="T13" s="98">
        <f>ROUND(P13*R13,4)</f>
        <v>0</v>
      </c>
      <c r="U13" s="99">
        <f t="shared" ref="U13:U28" si="2">ROUND(ROUND(T13*$C$8,4)*($H$8),0)</f>
        <v>0</v>
      </c>
    </row>
    <row r="14" spans="1:21" x14ac:dyDescent="0.25">
      <c r="A14" s="453" t="s">
        <v>30</v>
      </c>
      <c r="B14" s="453"/>
      <c r="C14" s="165">
        <v>23</v>
      </c>
      <c r="D14" s="165">
        <v>24.5</v>
      </c>
      <c r="E14" s="125">
        <f t="shared" ref="E14:E28" si="3">IF(D$29=0,C14*2,C14+D14)</f>
        <v>47.5</v>
      </c>
      <c r="F14" s="532">
        <f>'0664'!F14:G14</f>
        <v>1.1259999999999999</v>
      </c>
      <c r="G14" s="532"/>
      <c r="H14" s="83">
        <f t="shared" ref="H14:H28" si="4">ROUND(E14*F14,4)</f>
        <v>53.484999999999999</v>
      </c>
      <c r="I14" s="104">
        <f t="shared" si="0"/>
        <v>256103.73</v>
      </c>
      <c r="J14" s="68" t="str">
        <f>IF(ROUND(E14,2)=ROUND(SUM(E50:E52),2)," ","CHECK PK-3 LINES BELOW")</f>
        <v xml:space="preserve"> </v>
      </c>
      <c r="N14" s="479" t="s">
        <v>30</v>
      </c>
      <c r="O14" s="479"/>
      <c r="P14" s="513">
        <f t="shared" si="1"/>
        <v>0</v>
      </c>
      <c r="Q14" s="513"/>
      <c r="R14" s="517">
        <v>1</v>
      </c>
      <c r="S14" s="517"/>
      <c r="T14" s="98">
        <f t="shared" ref="T14:T28" si="5">ROUND(P14*R14,4)</f>
        <v>0</v>
      </c>
      <c r="U14" s="99">
        <f t="shared" si="2"/>
        <v>0</v>
      </c>
    </row>
    <row r="15" spans="1:21" x14ac:dyDescent="0.25">
      <c r="A15" s="453" t="s">
        <v>31</v>
      </c>
      <c r="B15" s="453"/>
      <c r="C15" s="165">
        <v>233.25</v>
      </c>
      <c r="D15" s="165">
        <v>226.71</v>
      </c>
      <c r="E15" s="125">
        <f t="shared" si="3"/>
        <v>459.96000000000004</v>
      </c>
      <c r="F15" s="532">
        <f>'0664'!F15:G15</f>
        <v>1</v>
      </c>
      <c r="G15" s="532"/>
      <c r="H15" s="83">
        <f t="shared" si="4"/>
        <v>459.96</v>
      </c>
      <c r="I15" s="104">
        <f t="shared" si="0"/>
        <v>2202439.4</v>
      </c>
      <c r="N15" s="479" t="s">
        <v>31</v>
      </c>
      <c r="O15" s="479"/>
      <c r="P15" s="513">
        <f t="shared" si="1"/>
        <v>0</v>
      </c>
      <c r="Q15" s="513"/>
      <c r="R15" s="517">
        <v>1</v>
      </c>
      <c r="S15" s="517"/>
      <c r="T15" s="98">
        <f t="shared" si="5"/>
        <v>0</v>
      </c>
      <c r="U15" s="99">
        <f t="shared" si="2"/>
        <v>0</v>
      </c>
    </row>
    <row r="16" spans="1:21" x14ac:dyDescent="0.25">
      <c r="A16" s="453" t="s">
        <v>32</v>
      </c>
      <c r="B16" s="453"/>
      <c r="C16" s="165">
        <v>30.5</v>
      </c>
      <c r="D16" s="165">
        <v>29.49</v>
      </c>
      <c r="E16" s="125">
        <f t="shared" si="3"/>
        <v>59.989999999999995</v>
      </c>
      <c r="F16" s="532">
        <f>'0664'!F16:G16</f>
        <v>1</v>
      </c>
      <c r="G16" s="532"/>
      <c r="H16" s="83">
        <f t="shared" si="4"/>
        <v>59.99</v>
      </c>
      <c r="I16" s="104">
        <f t="shared" si="0"/>
        <v>287251.8</v>
      </c>
      <c r="J16" s="68" t="str">
        <f>IF(ROUND(E16,2)=ROUND(SUM(E53:E55),2)," ","CHECK 4-8 LINES BELOW")</f>
        <v xml:space="preserve"> </v>
      </c>
      <c r="N16" s="479" t="s">
        <v>32</v>
      </c>
      <c r="O16" s="479"/>
      <c r="P16" s="513">
        <f t="shared" si="1"/>
        <v>0</v>
      </c>
      <c r="Q16" s="513"/>
      <c r="R16" s="517">
        <v>1</v>
      </c>
      <c r="S16" s="517"/>
      <c r="T16" s="98">
        <f t="shared" si="5"/>
        <v>0</v>
      </c>
      <c r="U16" s="99">
        <f t="shared" si="2"/>
        <v>0</v>
      </c>
    </row>
    <row r="17" spans="1:21" x14ac:dyDescent="0.25">
      <c r="A17" s="453" t="s">
        <v>33</v>
      </c>
      <c r="B17" s="453"/>
      <c r="C17" s="165">
        <v>0</v>
      </c>
      <c r="D17" s="165">
        <v>0</v>
      </c>
      <c r="E17" s="125">
        <f t="shared" si="3"/>
        <v>0</v>
      </c>
      <c r="F17" s="532">
        <f>'0664'!F17:G17</f>
        <v>0.999</v>
      </c>
      <c r="G17" s="532"/>
      <c r="H17" s="83">
        <f t="shared" si="4"/>
        <v>0</v>
      </c>
      <c r="I17" s="104">
        <f t="shared" si="0"/>
        <v>0</v>
      </c>
      <c r="N17" s="479" t="s">
        <v>33</v>
      </c>
      <c r="O17" s="479"/>
      <c r="P17" s="513">
        <f t="shared" si="1"/>
        <v>0</v>
      </c>
      <c r="Q17" s="513"/>
      <c r="R17" s="517">
        <v>1</v>
      </c>
      <c r="S17" s="517"/>
      <c r="T17" s="98">
        <f t="shared" si="5"/>
        <v>0</v>
      </c>
      <c r="U17" s="99">
        <f t="shared" si="2"/>
        <v>0</v>
      </c>
    </row>
    <row r="18" spans="1:21" x14ac:dyDescent="0.25">
      <c r="A18" s="453" t="s">
        <v>34</v>
      </c>
      <c r="B18" s="453"/>
      <c r="C18" s="165">
        <v>0</v>
      </c>
      <c r="D18" s="165">
        <v>0</v>
      </c>
      <c r="E18" s="125">
        <f t="shared" si="3"/>
        <v>0</v>
      </c>
      <c r="F18" s="532">
        <f>'0664'!F18:G18</f>
        <v>0.999</v>
      </c>
      <c r="G18" s="532"/>
      <c r="H18" s="83">
        <f t="shared" si="4"/>
        <v>0</v>
      </c>
      <c r="I18" s="104">
        <f t="shared" si="0"/>
        <v>0</v>
      </c>
      <c r="J18" s="68" t="str">
        <f>IF(ROUND(E18,2)=ROUND(SUM(E56:E58),2)," ","CHECK 4-8 LINES BELOW")</f>
        <v xml:space="preserve"> </v>
      </c>
      <c r="N18" s="479" t="s">
        <v>34</v>
      </c>
      <c r="O18" s="479"/>
      <c r="P18" s="513">
        <f t="shared" si="1"/>
        <v>0</v>
      </c>
      <c r="Q18" s="513"/>
      <c r="R18" s="517">
        <v>1</v>
      </c>
      <c r="S18" s="517"/>
      <c r="T18" s="98">
        <f t="shared" si="5"/>
        <v>0</v>
      </c>
      <c r="U18" s="101">
        <f t="shared" si="2"/>
        <v>0</v>
      </c>
    </row>
    <row r="19" spans="1:21" x14ac:dyDescent="0.25">
      <c r="A19" s="453" t="s">
        <v>108</v>
      </c>
      <c r="B19" s="453"/>
      <c r="C19" s="165">
        <v>0</v>
      </c>
      <c r="D19" s="165">
        <v>0</v>
      </c>
      <c r="E19" s="125">
        <f t="shared" si="3"/>
        <v>0</v>
      </c>
      <c r="F19" s="532">
        <f>'0664'!F19:G19</f>
        <v>3.6739999999999999</v>
      </c>
      <c r="G19" s="532"/>
      <c r="H19" s="83">
        <f t="shared" si="4"/>
        <v>0</v>
      </c>
      <c r="I19" s="104">
        <f t="shared" si="0"/>
        <v>0</v>
      </c>
      <c r="N19" s="479" t="s">
        <v>108</v>
      </c>
      <c r="O19" s="479"/>
      <c r="P19" s="513">
        <f t="shared" si="1"/>
        <v>0</v>
      </c>
      <c r="Q19" s="513"/>
      <c r="R19" s="517">
        <v>1</v>
      </c>
      <c r="S19" s="517"/>
      <c r="T19" s="98">
        <f t="shared" si="5"/>
        <v>0</v>
      </c>
      <c r="U19" s="99">
        <f t="shared" si="2"/>
        <v>0</v>
      </c>
    </row>
    <row r="20" spans="1:21" x14ac:dyDescent="0.25">
      <c r="A20" s="453" t="s">
        <v>109</v>
      </c>
      <c r="B20" s="453"/>
      <c r="C20" s="165">
        <v>0</v>
      </c>
      <c r="D20" s="165">
        <v>0</v>
      </c>
      <c r="E20" s="125">
        <f t="shared" si="3"/>
        <v>0</v>
      </c>
      <c r="F20" s="532">
        <f>'0664'!F20:G20</f>
        <v>3.6739999999999999</v>
      </c>
      <c r="G20" s="532"/>
      <c r="H20" s="83">
        <f t="shared" si="4"/>
        <v>0</v>
      </c>
      <c r="I20" s="104">
        <f t="shared" si="0"/>
        <v>0</v>
      </c>
      <c r="N20" s="479" t="s">
        <v>109</v>
      </c>
      <c r="O20" s="479"/>
      <c r="P20" s="513">
        <f t="shared" si="1"/>
        <v>0</v>
      </c>
      <c r="Q20" s="513"/>
      <c r="R20" s="517">
        <v>1</v>
      </c>
      <c r="S20" s="517"/>
      <c r="T20" s="98">
        <f t="shared" si="5"/>
        <v>0</v>
      </c>
      <c r="U20" s="99">
        <f t="shared" si="2"/>
        <v>0</v>
      </c>
    </row>
    <row r="21" spans="1:21" x14ac:dyDescent="0.25">
      <c r="A21" s="453" t="s">
        <v>110</v>
      </c>
      <c r="B21" s="453"/>
      <c r="C21" s="165">
        <v>0</v>
      </c>
      <c r="D21" s="165">
        <v>0</v>
      </c>
      <c r="E21" s="125">
        <f t="shared" si="3"/>
        <v>0</v>
      </c>
      <c r="F21" s="532">
        <f>'0664'!F21:G21</f>
        <v>3.6739999999999999</v>
      </c>
      <c r="G21" s="532"/>
      <c r="H21" s="83">
        <f t="shared" si="4"/>
        <v>0</v>
      </c>
      <c r="I21" s="104">
        <f t="shared" si="0"/>
        <v>0</v>
      </c>
      <c r="N21" s="479" t="s">
        <v>110</v>
      </c>
      <c r="O21" s="479"/>
      <c r="P21" s="513">
        <f t="shared" si="1"/>
        <v>0</v>
      </c>
      <c r="Q21" s="513"/>
      <c r="R21" s="517">
        <v>1</v>
      </c>
      <c r="S21" s="517"/>
      <c r="T21" s="98">
        <f t="shared" si="5"/>
        <v>0</v>
      </c>
      <c r="U21" s="99">
        <f t="shared" si="2"/>
        <v>0</v>
      </c>
    </row>
    <row r="22" spans="1:21" x14ac:dyDescent="0.25">
      <c r="A22" s="453" t="s">
        <v>111</v>
      </c>
      <c r="B22" s="453"/>
      <c r="C22" s="165">
        <v>0</v>
      </c>
      <c r="D22" s="165">
        <v>0</v>
      </c>
      <c r="E22" s="125">
        <f t="shared" si="3"/>
        <v>0</v>
      </c>
      <c r="F22" s="532">
        <f>'0664'!F22:G22</f>
        <v>5.4009999999999998</v>
      </c>
      <c r="G22" s="532"/>
      <c r="H22" s="83">
        <f t="shared" si="4"/>
        <v>0</v>
      </c>
      <c r="I22" s="104">
        <f t="shared" si="0"/>
        <v>0</v>
      </c>
      <c r="N22" s="479" t="s">
        <v>111</v>
      </c>
      <c r="O22" s="479"/>
      <c r="P22" s="513">
        <f t="shared" si="1"/>
        <v>0</v>
      </c>
      <c r="Q22" s="513"/>
      <c r="R22" s="517">
        <v>1</v>
      </c>
      <c r="S22" s="517"/>
      <c r="T22" s="98">
        <f t="shared" si="5"/>
        <v>0</v>
      </c>
      <c r="U22" s="99">
        <f t="shared" si="2"/>
        <v>0</v>
      </c>
    </row>
    <row r="23" spans="1:21" x14ac:dyDescent="0.25">
      <c r="A23" s="453" t="s">
        <v>112</v>
      </c>
      <c r="B23" s="453"/>
      <c r="C23" s="165">
        <v>0</v>
      </c>
      <c r="D23" s="165">
        <v>0</v>
      </c>
      <c r="E23" s="125">
        <f t="shared" si="3"/>
        <v>0</v>
      </c>
      <c r="F23" s="532">
        <f>'0664'!F23:G23</f>
        <v>5.4009999999999998</v>
      </c>
      <c r="G23" s="532"/>
      <c r="H23" s="83">
        <f t="shared" si="4"/>
        <v>0</v>
      </c>
      <c r="I23" s="104">
        <f t="shared" si="0"/>
        <v>0</v>
      </c>
      <c r="N23" s="479" t="s">
        <v>112</v>
      </c>
      <c r="O23" s="479"/>
      <c r="P23" s="513">
        <f t="shared" si="1"/>
        <v>0</v>
      </c>
      <c r="Q23" s="513"/>
      <c r="R23" s="517">
        <v>1</v>
      </c>
      <c r="S23" s="517"/>
      <c r="T23" s="98">
        <f t="shared" si="5"/>
        <v>0</v>
      </c>
      <c r="U23" s="99">
        <f t="shared" si="2"/>
        <v>0</v>
      </c>
    </row>
    <row r="24" spans="1:21" x14ac:dyDescent="0.25">
      <c r="A24" s="453" t="s">
        <v>113</v>
      </c>
      <c r="B24" s="453"/>
      <c r="C24" s="165">
        <v>0</v>
      </c>
      <c r="D24" s="165">
        <v>0</v>
      </c>
      <c r="E24" s="125">
        <f t="shared" si="3"/>
        <v>0</v>
      </c>
      <c r="F24" s="532">
        <f>'0664'!F24:G24</f>
        <v>5.4009999999999998</v>
      </c>
      <c r="G24" s="532"/>
      <c r="H24" s="83">
        <f t="shared" si="4"/>
        <v>0</v>
      </c>
      <c r="I24" s="104">
        <f t="shared" si="0"/>
        <v>0</v>
      </c>
      <c r="N24" s="479" t="s">
        <v>113</v>
      </c>
      <c r="O24" s="479"/>
      <c r="P24" s="513">
        <f t="shared" si="1"/>
        <v>0</v>
      </c>
      <c r="Q24" s="513"/>
      <c r="R24" s="517">
        <v>1</v>
      </c>
      <c r="S24" s="517"/>
      <c r="T24" s="98">
        <f t="shared" si="5"/>
        <v>0</v>
      </c>
      <c r="U24" s="99">
        <f t="shared" si="2"/>
        <v>0</v>
      </c>
    </row>
    <row r="25" spans="1:21" x14ac:dyDescent="0.25">
      <c r="A25" s="453" t="s">
        <v>114</v>
      </c>
      <c r="B25" s="453"/>
      <c r="C25" s="165">
        <v>11.76</v>
      </c>
      <c r="D25" s="165">
        <v>10.94</v>
      </c>
      <c r="E25" s="125">
        <f t="shared" si="3"/>
        <v>22.7</v>
      </c>
      <c r="F25" s="532">
        <f>'0664'!F25:G25</f>
        <v>1.206</v>
      </c>
      <c r="G25" s="532"/>
      <c r="H25" s="83">
        <f t="shared" si="4"/>
        <v>27.376200000000001</v>
      </c>
      <c r="I25" s="104">
        <f t="shared" si="0"/>
        <v>131086.23000000001</v>
      </c>
      <c r="N25" s="479" t="s">
        <v>114</v>
      </c>
      <c r="O25" s="479"/>
      <c r="P25" s="513">
        <f t="shared" si="1"/>
        <v>0</v>
      </c>
      <c r="Q25" s="513"/>
      <c r="R25" s="517">
        <v>1</v>
      </c>
      <c r="S25" s="517"/>
      <c r="T25" s="98">
        <f t="shared" si="5"/>
        <v>0</v>
      </c>
      <c r="U25" s="99">
        <f t="shared" si="2"/>
        <v>0</v>
      </c>
    </row>
    <row r="26" spans="1:21" x14ac:dyDescent="0.25">
      <c r="A26" s="453" t="s">
        <v>115</v>
      </c>
      <c r="B26" s="453"/>
      <c r="C26" s="165">
        <v>3.01</v>
      </c>
      <c r="D26" s="165">
        <v>2.57</v>
      </c>
      <c r="E26" s="125">
        <f t="shared" si="3"/>
        <v>5.58</v>
      </c>
      <c r="F26" s="532">
        <f>'0664'!F26:G26</f>
        <v>1.206</v>
      </c>
      <c r="G26" s="532"/>
      <c r="H26" s="83">
        <f t="shared" si="4"/>
        <v>6.7294999999999998</v>
      </c>
      <c r="I26" s="104">
        <f t="shared" si="0"/>
        <v>32223.05</v>
      </c>
      <c r="N26" s="479" t="s">
        <v>115</v>
      </c>
      <c r="O26" s="479"/>
      <c r="P26" s="513">
        <f t="shared" si="1"/>
        <v>0</v>
      </c>
      <c r="Q26" s="513"/>
      <c r="R26" s="517">
        <v>1</v>
      </c>
      <c r="S26" s="517"/>
      <c r="T26" s="98">
        <f t="shared" si="5"/>
        <v>0</v>
      </c>
      <c r="U26" s="99">
        <f t="shared" si="2"/>
        <v>0</v>
      </c>
    </row>
    <row r="27" spans="1:21" x14ac:dyDescent="0.25">
      <c r="A27" s="453" t="s">
        <v>116</v>
      </c>
      <c r="B27" s="453"/>
      <c r="C27" s="165">
        <v>0</v>
      </c>
      <c r="D27" s="165">
        <v>0</v>
      </c>
      <c r="E27" s="125">
        <f t="shared" si="3"/>
        <v>0</v>
      </c>
      <c r="F27" s="532">
        <f>'0664'!F27:G27</f>
        <v>1.206</v>
      </c>
      <c r="G27" s="532"/>
      <c r="H27" s="83">
        <f t="shared" si="4"/>
        <v>0</v>
      </c>
      <c r="I27" s="104">
        <f t="shared" si="0"/>
        <v>0</v>
      </c>
      <c r="N27" s="479" t="s">
        <v>116</v>
      </c>
      <c r="O27" s="479"/>
      <c r="P27" s="513">
        <f t="shared" si="1"/>
        <v>0</v>
      </c>
      <c r="Q27" s="513"/>
      <c r="R27" s="517">
        <v>1</v>
      </c>
      <c r="S27" s="517"/>
      <c r="T27" s="98">
        <f t="shared" si="5"/>
        <v>0</v>
      </c>
      <c r="U27" s="99">
        <f t="shared" si="2"/>
        <v>0</v>
      </c>
    </row>
    <row r="28" spans="1:21" x14ac:dyDescent="0.25">
      <c r="A28" s="453" t="s">
        <v>117</v>
      </c>
      <c r="B28" s="453"/>
      <c r="C28" s="116">
        <v>0</v>
      </c>
      <c r="D28" s="116">
        <v>0</v>
      </c>
      <c r="E28" s="177">
        <f t="shared" si="3"/>
        <v>0</v>
      </c>
      <c r="F28" s="532">
        <f>'0664'!F28:G28</f>
        <v>0.999</v>
      </c>
      <c r="G28" s="532"/>
      <c r="H28" s="96">
        <f t="shared" si="4"/>
        <v>0</v>
      </c>
      <c r="I28" s="97">
        <f t="shared" si="0"/>
        <v>0</v>
      </c>
      <c r="N28" s="482" t="s">
        <v>117</v>
      </c>
      <c r="O28" s="482"/>
      <c r="P28" s="513">
        <f t="shared" si="1"/>
        <v>0</v>
      </c>
      <c r="Q28" s="513"/>
      <c r="R28" s="514">
        <v>1</v>
      </c>
      <c r="S28" s="514"/>
      <c r="T28" s="98">
        <f t="shared" si="5"/>
        <v>0</v>
      </c>
      <c r="U28" s="99">
        <f t="shared" si="2"/>
        <v>0</v>
      </c>
    </row>
    <row r="29" spans="1:21" x14ac:dyDescent="0.25">
      <c r="A29" s="461" t="s">
        <v>5</v>
      </c>
      <c r="B29" s="461"/>
      <c r="C29" s="97">
        <f>SUM(C13:C28)</f>
        <v>506.03999999999996</v>
      </c>
      <c r="D29" s="97">
        <f>SUM(D13:D28)</f>
        <v>491.57000000000005</v>
      </c>
      <c r="E29" s="97">
        <f>SUM(E13:E28)</f>
        <v>997.61000000000013</v>
      </c>
      <c r="F29" s="457"/>
      <c r="G29" s="457"/>
      <c r="H29" s="102">
        <f>SUM(H13:H28)</f>
        <v>1060.0575999999999</v>
      </c>
      <c r="I29" s="97">
        <f>SUM(I13:I28)</f>
        <v>5075903.6099999994</v>
      </c>
      <c r="N29" s="515" t="s">
        <v>5</v>
      </c>
      <c r="O29" s="515"/>
      <c r="P29" s="516">
        <f>SUM(P13:P28)</f>
        <v>0</v>
      </c>
      <c r="Q29" s="516"/>
      <c r="R29" s="508"/>
      <c r="S29" s="508"/>
      <c r="T29" s="103">
        <f>SUM(T13:T28)</f>
        <v>0</v>
      </c>
      <c r="U29" s="99">
        <f>SUM(U13:U28)</f>
        <v>0</v>
      </c>
    </row>
    <row r="30" spans="1:21" x14ac:dyDescent="0.25">
      <c r="A30" s="27"/>
      <c r="B30" s="27"/>
      <c r="C30" s="104"/>
      <c r="D30" s="104"/>
      <c r="E30" s="104"/>
      <c r="F30" s="28"/>
      <c r="G30" s="28"/>
      <c r="H30" s="83"/>
      <c r="I30" s="104"/>
      <c r="N30" s="29"/>
      <c r="O30" s="29"/>
      <c r="P30" s="30"/>
      <c r="Q30" s="30"/>
      <c r="R30" s="31"/>
      <c r="S30" s="31"/>
      <c r="T30" s="105"/>
      <c r="U30" s="106"/>
    </row>
    <row r="31" spans="1:21" x14ac:dyDescent="0.25">
      <c r="A31" s="168" t="s">
        <v>97</v>
      </c>
      <c r="B31" s="27"/>
      <c r="C31" s="104"/>
      <c r="D31" s="104"/>
      <c r="E31" s="104"/>
      <c r="F31" s="28"/>
      <c r="G31" s="28"/>
      <c r="H31" s="83"/>
      <c r="I31" s="104"/>
      <c r="N31" s="29"/>
      <c r="O31" s="29"/>
      <c r="P31" s="30"/>
      <c r="Q31" s="30"/>
      <c r="R31" s="31"/>
      <c r="S31" s="31"/>
      <c r="T31" s="105"/>
      <c r="U31" s="106"/>
    </row>
    <row r="32" spans="1:21" hidden="1" x14ac:dyDescent="0.25">
      <c r="A32" s="168"/>
      <c r="B32" s="27"/>
      <c r="C32" s="104"/>
      <c r="D32" s="104"/>
      <c r="E32" s="104"/>
      <c r="F32" s="28"/>
      <c r="G32" s="28"/>
      <c r="H32" s="83"/>
      <c r="I32" s="104"/>
      <c r="N32" s="29"/>
      <c r="O32" s="29"/>
      <c r="P32" s="30"/>
      <c r="Q32" s="30"/>
      <c r="R32" s="31"/>
      <c r="S32" s="31"/>
      <c r="T32" s="105"/>
      <c r="U32" s="106"/>
    </row>
    <row r="33" spans="1:21" hidden="1" x14ac:dyDescent="0.25">
      <c r="A33" s="168"/>
      <c r="B33" s="27"/>
      <c r="C33" s="104"/>
      <c r="D33" s="104"/>
      <c r="E33" s="104"/>
      <c r="F33" s="541" t="s">
        <v>282</v>
      </c>
      <c r="G33" s="541"/>
      <c r="H33" s="541"/>
      <c r="I33" s="104"/>
      <c r="N33" s="29"/>
      <c r="O33" s="29"/>
      <c r="P33" s="30"/>
      <c r="Q33" s="30"/>
      <c r="R33" s="31"/>
      <c r="S33" s="31"/>
      <c r="T33" s="105"/>
      <c r="U33" s="106"/>
    </row>
    <row r="34" spans="1:21" hidden="1" x14ac:dyDescent="0.25">
      <c r="A34" s="3"/>
      <c r="B34" s="72"/>
      <c r="C34" s="72"/>
      <c r="D34" s="72"/>
      <c r="E34" s="72"/>
      <c r="F34" s="541"/>
      <c r="G34" s="541"/>
      <c r="H34" s="541"/>
      <c r="I34" s="25" t="s">
        <v>74</v>
      </c>
      <c r="N34" s="485" t="s">
        <v>35</v>
      </c>
      <c r="O34" s="485"/>
      <c r="P34" s="485"/>
      <c r="Q34" s="485"/>
      <c r="R34" s="485"/>
      <c r="S34" s="485"/>
      <c r="T34" s="485"/>
      <c r="U34" s="26" t="s">
        <v>74</v>
      </c>
    </row>
    <row r="35" spans="1:21" hidden="1" x14ac:dyDescent="0.25">
      <c r="A35" s="27"/>
      <c r="B35" s="27"/>
      <c r="C35" s="91" t="s">
        <v>124</v>
      </c>
      <c r="D35" s="91" t="s">
        <v>125</v>
      </c>
      <c r="E35" s="92" t="s">
        <v>8</v>
      </c>
      <c r="F35" s="541"/>
      <c r="G35" s="541"/>
      <c r="H35" s="541"/>
      <c r="I35" s="25" t="s">
        <v>36</v>
      </c>
      <c r="N35" s="29"/>
      <c r="O35" s="29"/>
      <c r="P35" s="30"/>
      <c r="Q35" s="30"/>
      <c r="R35" s="31"/>
      <c r="S35" s="31"/>
      <c r="T35" s="105"/>
      <c r="U35" s="26" t="s">
        <v>36</v>
      </c>
    </row>
    <row r="36" spans="1:21" hidden="1" x14ac:dyDescent="0.25">
      <c r="A36" s="447" t="s">
        <v>63</v>
      </c>
      <c r="B36" s="447"/>
      <c r="C36" s="93" t="s">
        <v>2</v>
      </c>
      <c r="D36" s="93" t="s">
        <v>2</v>
      </c>
      <c r="E36" s="93" t="s">
        <v>2</v>
      </c>
      <c r="F36" s="542"/>
      <c r="G36" s="542"/>
      <c r="H36" s="542"/>
      <c r="I36" s="32" t="s">
        <v>75</v>
      </c>
      <c r="N36" s="510" t="s">
        <v>63</v>
      </c>
      <c r="O36" s="510"/>
      <c r="P36" s="511" t="s">
        <v>24</v>
      </c>
      <c r="Q36" s="511"/>
      <c r="R36" s="511"/>
      <c r="S36" s="511"/>
      <c r="T36" s="511"/>
      <c r="U36" s="20" t="s">
        <v>75</v>
      </c>
    </row>
    <row r="37" spans="1:21" hidden="1" x14ac:dyDescent="0.25">
      <c r="A37" s="451" t="s">
        <v>56</v>
      </c>
      <c r="B37" s="451"/>
      <c r="C37" s="169">
        <v>0</v>
      </c>
      <c r="D37" s="169">
        <v>0</v>
      </c>
      <c r="E37" s="210">
        <f t="shared" ref="E37:E42" si="6">IF(D$43=0,C37*2,C37+D37)</f>
        <v>0</v>
      </c>
      <c r="F37" s="170"/>
      <c r="G37" s="170"/>
      <c r="H37" s="170"/>
      <c r="I37" s="119">
        <f t="shared" ref="I37:I42" si="7">ROUND(ROUND(E37*$C$8,4)*($H$8),2)</f>
        <v>0</v>
      </c>
      <c r="N37" s="512" t="s">
        <v>56</v>
      </c>
      <c r="O37" s="512"/>
      <c r="P37" s="483">
        <f t="shared" ref="P37:P42" si="8">IF($H$120=1,E37,0)</f>
        <v>0</v>
      </c>
      <c r="Q37" s="483"/>
      <c r="R37" s="483"/>
      <c r="S37" s="483"/>
      <c r="T37" s="483"/>
      <c r="U37" s="101">
        <f t="shared" ref="U37:U42" si="9">ROUND(ROUND(P37*$C$8,4)*($H$8),0)</f>
        <v>0</v>
      </c>
    </row>
    <row r="38" spans="1:21" hidden="1" x14ac:dyDescent="0.25">
      <c r="A38" s="453" t="s">
        <v>57</v>
      </c>
      <c r="B38" s="453"/>
      <c r="C38" s="172">
        <v>0</v>
      </c>
      <c r="D38" s="172">
        <v>0</v>
      </c>
      <c r="E38" s="125">
        <f t="shared" si="6"/>
        <v>0</v>
      </c>
      <c r="F38" s="173"/>
      <c r="G38" s="173"/>
      <c r="H38" s="173"/>
      <c r="I38" s="104">
        <f t="shared" si="7"/>
        <v>0</v>
      </c>
      <c r="N38" s="479" t="s">
        <v>57</v>
      </c>
      <c r="O38" s="479"/>
      <c r="P38" s="483">
        <f t="shared" si="8"/>
        <v>0</v>
      </c>
      <c r="Q38" s="483"/>
      <c r="R38" s="483"/>
      <c r="S38" s="483"/>
      <c r="T38" s="483"/>
      <c r="U38" s="101">
        <f t="shared" si="9"/>
        <v>0</v>
      </c>
    </row>
    <row r="39" spans="1:21" hidden="1" x14ac:dyDescent="0.25">
      <c r="A39" s="458" t="s">
        <v>58</v>
      </c>
      <c r="B39" s="458"/>
      <c r="C39" s="172">
        <v>0</v>
      </c>
      <c r="D39" s="172">
        <v>0</v>
      </c>
      <c r="E39" s="125">
        <f t="shared" si="6"/>
        <v>0</v>
      </c>
      <c r="F39" s="173"/>
      <c r="G39" s="173"/>
      <c r="H39" s="173"/>
      <c r="I39" s="104">
        <f t="shared" si="7"/>
        <v>0</v>
      </c>
      <c r="N39" s="509" t="s">
        <v>58</v>
      </c>
      <c r="O39" s="509"/>
      <c r="P39" s="483">
        <f t="shared" si="8"/>
        <v>0</v>
      </c>
      <c r="Q39" s="483"/>
      <c r="R39" s="483"/>
      <c r="S39" s="483"/>
      <c r="T39" s="483"/>
      <c r="U39" s="101">
        <f t="shared" si="9"/>
        <v>0</v>
      </c>
    </row>
    <row r="40" spans="1:21" hidden="1" x14ac:dyDescent="0.25">
      <c r="A40" s="453" t="s">
        <v>59</v>
      </c>
      <c r="B40" s="453"/>
      <c r="C40" s="172">
        <v>0</v>
      </c>
      <c r="D40" s="172">
        <v>0</v>
      </c>
      <c r="E40" s="125">
        <f t="shared" si="6"/>
        <v>0</v>
      </c>
      <c r="F40" s="173"/>
      <c r="G40" s="173"/>
      <c r="H40" s="173"/>
      <c r="I40" s="104">
        <f t="shared" si="7"/>
        <v>0</v>
      </c>
      <c r="N40" s="479" t="s">
        <v>59</v>
      </c>
      <c r="O40" s="479"/>
      <c r="P40" s="483">
        <f t="shared" si="8"/>
        <v>0</v>
      </c>
      <c r="Q40" s="483"/>
      <c r="R40" s="483"/>
      <c r="S40" s="483"/>
      <c r="T40" s="483"/>
      <c r="U40" s="101">
        <f t="shared" si="9"/>
        <v>0</v>
      </c>
    </row>
    <row r="41" spans="1:21" hidden="1" x14ac:dyDescent="0.25">
      <c r="A41" s="453" t="s">
        <v>60</v>
      </c>
      <c r="B41" s="453"/>
      <c r="C41" s="172">
        <v>0</v>
      </c>
      <c r="D41" s="172">
        <v>0</v>
      </c>
      <c r="E41" s="125">
        <f t="shared" si="6"/>
        <v>0</v>
      </c>
      <c r="F41" s="173"/>
      <c r="G41" s="173"/>
      <c r="H41" s="173"/>
      <c r="I41" s="104">
        <f t="shared" si="7"/>
        <v>0</v>
      </c>
      <c r="N41" s="479" t="s">
        <v>60</v>
      </c>
      <c r="O41" s="479"/>
      <c r="P41" s="483">
        <f t="shared" si="8"/>
        <v>0</v>
      </c>
      <c r="Q41" s="483"/>
      <c r="R41" s="483"/>
      <c r="S41" s="483"/>
      <c r="T41" s="483"/>
      <c r="U41" s="101">
        <f t="shared" si="9"/>
        <v>0</v>
      </c>
    </row>
    <row r="42" spans="1:21" hidden="1" x14ac:dyDescent="0.25">
      <c r="A42" s="453" t="s">
        <v>52</v>
      </c>
      <c r="B42" s="453"/>
      <c r="C42" s="171">
        <v>0</v>
      </c>
      <c r="D42" s="171">
        <v>0</v>
      </c>
      <c r="E42" s="177">
        <f t="shared" si="6"/>
        <v>0</v>
      </c>
      <c r="F42" s="173"/>
      <c r="G42" s="173"/>
      <c r="H42" s="173"/>
      <c r="I42" s="97">
        <f t="shared" si="7"/>
        <v>0</v>
      </c>
      <c r="N42" s="482" t="s">
        <v>52</v>
      </c>
      <c r="O42" s="482"/>
      <c r="P42" s="483">
        <f t="shared" si="8"/>
        <v>0</v>
      </c>
      <c r="Q42" s="483"/>
      <c r="R42" s="483"/>
      <c r="S42" s="483"/>
      <c r="T42" s="483"/>
      <c r="U42" s="101">
        <f t="shared" si="9"/>
        <v>0</v>
      </c>
    </row>
    <row r="43" spans="1:21" hidden="1" x14ac:dyDescent="0.25">
      <c r="A43" s="3"/>
      <c r="B43" s="55" t="s">
        <v>126</v>
      </c>
      <c r="C43" s="100">
        <f>SUM(C37:C42)</f>
        <v>0</v>
      </c>
      <c r="D43" s="100">
        <f>SUM(D37:D42)</f>
        <v>0</v>
      </c>
      <c r="E43" s="100">
        <f>SUM(E37:E42)</f>
        <v>0</v>
      </c>
      <c r="F43" s="33"/>
      <c r="G43" s="109"/>
      <c r="H43" s="110" t="s">
        <v>128</v>
      </c>
      <c r="I43" s="100">
        <f>SUM(I37:I42)</f>
        <v>0</v>
      </c>
      <c r="N43" s="480" t="s">
        <v>54</v>
      </c>
      <c r="O43" s="480"/>
      <c r="P43" s="480"/>
      <c r="Q43" s="480"/>
      <c r="R43" s="34">
        <f>SUM(P37:R42)</f>
        <v>0</v>
      </c>
      <c r="S43" s="508" t="s">
        <v>64</v>
      </c>
      <c r="T43" s="508"/>
      <c r="U43" s="106">
        <f>SUM(U37:U42)</f>
        <v>0</v>
      </c>
    </row>
    <row r="44" spans="1:21" ht="16.5" hidden="1" thickBot="1" x14ac:dyDescent="0.3">
      <c r="A44" s="3"/>
      <c r="B44" s="55"/>
      <c r="C44" s="104"/>
      <c r="D44" s="104"/>
      <c r="E44" s="119"/>
      <c r="F44" s="33"/>
      <c r="G44" s="109"/>
      <c r="H44" s="110"/>
      <c r="I44" s="104"/>
      <c r="N44" s="29"/>
      <c r="O44" s="29"/>
      <c r="P44" s="29"/>
      <c r="Q44" s="29"/>
      <c r="R44" s="34"/>
      <c r="S44" s="31"/>
      <c r="T44" s="31"/>
      <c r="U44" s="106"/>
    </row>
    <row r="45" spans="1:21" ht="16.5" hidden="1" thickBot="1" x14ac:dyDescent="0.3">
      <c r="A45" s="3"/>
      <c r="B45" s="55" t="s">
        <v>127</v>
      </c>
      <c r="E45" s="174">
        <f>H29+E43</f>
        <v>1060.0575999999999</v>
      </c>
      <c r="F45" s="35"/>
      <c r="G45" s="109"/>
      <c r="H45" s="110" t="s">
        <v>129</v>
      </c>
      <c r="I45" s="97">
        <f>SUM(I43,I29)</f>
        <v>5075903.6099999994</v>
      </c>
      <c r="N45" s="480" t="s">
        <v>55</v>
      </c>
      <c r="O45" s="480"/>
      <c r="P45" s="480"/>
      <c r="Q45" s="480"/>
      <c r="R45" s="36">
        <f>R43+T29</f>
        <v>0</v>
      </c>
      <c r="S45" s="508" t="s">
        <v>53</v>
      </c>
      <c r="T45" s="508"/>
      <c r="U45" s="111">
        <f>SUM(U43,U29)</f>
        <v>0</v>
      </c>
    </row>
    <row r="46" spans="1:21" hidden="1" x14ac:dyDescent="0.25">
      <c r="A46" s="27"/>
      <c r="B46" s="27"/>
      <c r="C46" s="27"/>
      <c r="D46" s="27"/>
      <c r="E46" s="27"/>
      <c r="F46" s="35"/>
      <c r="G46" s="28"/>
      <c r="H46" s="28"/>
      <c r="I46" s="104"/>
      <c r="N46" s="29"/>
      <c r="O46" s="29"/>
      <c r="P46" s="29"/>
      <c r="Q46" s="29"/>
      <c r="R46" s="36"/>
      <c r="S46" s="31"/>
      <c r="T46" s="31"/>
      <c r="U46" s="106"/>
    </row>
    <row r="47" spans="1:21" x14ac:dyDescent="0.25">
      <c r="A47" s="27"/>
      <c r="B47" s="55" t="s">
        <v>370</v>
      </c>
      <c r="C47" s="41" t="s">
        <v>370</v>
      </c>
      <c r="D47" s="91" t="s">
        <v>370</v>
      </c>
      <c r="E47" s="27"/>
      <c r="F47" s="35"/>
      <c r="G47" s="28"/>
      <c r="H47" s="28"/>
      <c r="I47" s="104"/>
      <c r="N47" s="29"/>
      <c r="O47" s="29"/>
      <c r="P47" s="29"/>
      <c r="Q47" s="29"/>
      <c r="R47" s="36"/>
      <c r="S47" s="31"/>
      <c r="T47" s="31"/>
      <c r="U47" s="106"/>
    </row>
    <row r="48" spans="1:21" x14ac:dyDescent="0.25">
      <c r="A48" s="27"/>
      <c r="B48" s="27"/>
      <c r="C48" s="91" t="s">
        <v>463</v>
      </c>
      <c r="D48" s="371" t="s">
        <v>464</v>
      </c>
      <c r="E48" s="92" t="s">
        <v>8</v>
      </c>
      <c r="F48" s="49" t="s">
        <v>130</v>
      </c>
      <c r="G48" s="112" t="s">
        <v>132</v>
      </c>
      <c r="H48" s="113" t="s">
        <v>133</v>
      </c>
      <c r="I48" s="104"/>
      <c r="N48" s="29"/>
      <c r="O48" s="29"/>
      <c r="P48" s="29"/>
      <c r="Q48" s="29"/>
      <c r="R48" s="36"/>
      <c r="S48" s="31"/>
      <c r="T48" s="31"/>
      <c r="U48" s="106"/>
    </row>
    <row r="49" spans="1:21" x14ac:dyDescent="0.25">
      <c r="A49" s="37" t="s">
        <v>87</v>
      </c>
      <c r="B49" s="37"/>
      <c r="C49" s="362" t="s">
        <v>2</v>
      </c>
      <c r="D49" s="362" t="s">
        <v>2</v>
      </c>
      <c r="E49" s="362" t="s">
        <v>2</v>
      </c>
      <c r="F49" s="95" t="s">
        <v>131</v>
      </c>
      <c r="G49" s="62" t="s">
        <v>131</v>
      </c>
      <c r="H49" s="114" t="s">
        <v>134</v>
      </c>
      <c r="I49" s="37"/>
      <c r="N49" s="482" t="s">
        <v>87</v>
      </c>
      <c r="O49" s="482"/>
      <c r="P49" s="503" t="s">
        <v>2</v>
      </c>
      <c r="Q49" s="503"/>
      <c r="R49" s="38" t="s">
        <v>25</v>
      </c>
      <c r="S49" s="63" t="s">
        <v>26</v>
      </c>
      <c r="T49" s="115" t="s">
        <v>27</v>
      </c>
      <c r="U49" s="38"/>
    </row>
    <row r="50" spans="1:21" x14ac:dyDescent="0.25">
      <c r="A50" s="459" t="s">
        <v>98</v>
      </c>
      <c r="B50" s="459"/>
      <c r="C50" s="165">
        <v>19</v>
      </c>
      <c r="D50" s="165">
        <v>20.239999999999998</v>
      </c>
      <c r="E50" s="125">
        <f>IF(D$59=0,C50*2,C50+D50)</f>
        <v>39.239999999999995</v>
      </c>
      <c r="F50" s="39" t="s">
        <v>21</v>
      </c>
      <c r="G50" s="39">
        <v>251</v>
      </c>
      <c r="H50" s="321">
        <f>'0664'!H50</f>
        <v>1047</v>
      </c>
      <c r="I50" s="104">
        <f>ROUND(E50*H50,2)</f>
        <v>41084.28</v>
      </c>
      <c r="N50" s="504" t="s">
        <v>28</v>
      </c>
      <c r="O50" s="504"/>
      <c r="P50" s="505"/>
      <c r="Q50" s="505"/>
      <c r="R50" s="40" t="s">
        <v>21</v>
      </c>
      <c r="S50" s="40">
        <v>251</v>
      </c>
      <c r="T50" s="117">
        <f>H50</f>
        <v>1047</v>
      </c>
      <c r="U50" s="118">
        <f>ROUND(P50*T50,0)</f>
        <v>0</v>
      </c>
    </row>
    <row r="51" spans="1:21" x14ac:dyDescent="0.25">
      <c r="A51" s="460"/>
      <c r="B51" s="460"/>
      <c r="C51" s="165">
        <v>4</v>
      </c>
      <c r="D51" s="165">
        <v>4.26</v>
      </c>
      <c r="E51" s="125">
        <f t="shared" ref="E51:E58" si="10">IF(D$59=0,C51*2,C51+D51)</f>
        <v>8.26</v>
      </c>
      <c r="F51" s="39" t="s">
        <v>21</v>
      </c>
      <c r="G51" s="39">
        <v>252</v>
      </c>
      <c r="H51" s="321">
        <f>'0664'!H51</f>
        <v>3380</v>
      </c>
      <c r="I51" s="104">
        <f t="shared" ref="I51:I58" si="11">ROUND(E51*H51,2)</f>
        <v>27918.799999999999</v>
      </c>
      <c r="N51" s="504"/>
      <c r="O51" s="504"/>
      <c r="P51" s="506"/>
      <c r="Q51" s="506"/>
      <c r="R51" s="40" t="s">
        <v>21</v>
      </c>
      <c r="S51" s="40">
        <v>252</v>
      </c>
      <c r="T51" s="117">
        <f t="shared" ref="T51:T58" si="12">H51</f>
        <v>3380</v>
      </c>
      <c r="U51" s="118">
        <f t="shared" ref="U51:U58" si="13">ROUND(P51*T51,0)</f>
        <v>0</v>
      </c>
    </row>
    <row r="52" spans="1:21" x14ac:dyDescent="0.25">
      <c r="A52" s="460"/>
      <c r="B52" s="460"/>
      <c r="C52" s="165">
        <v>0</v>
      </c>
      <c r="D52" s="165">
        <v>0</v>
      </c>
      <c r="E52" s="125">
        <f t="shared" si="10"/>
        <v>0</v>
      </c>
      <c r="F52" s="39" t="s">
        <v>21</v>
      </c>
      <c r="G52" s="39">
        <v>253</v>
      </c>
      <c r="H52" s="321">
        <f>'0664'!H52</f>
        <v>6896</v>
      </c>
      <c r="I52" s="104">
        <f t="shared" si="11"/>
        <v>0</v>
      </c>
      <c r="N52" s="504"/>
      <c r="O52" s="504"/>
      <c r="P52" s="506"/>
      <c r="Q52" s="506"/>
      <c r="R52" s="40" t="s">
        <v>21</v>
      </c>
      <c r="S52" s="40">
        <v>253</v>
      </c>
      <c r="T52" s="117">
        <f t="shared" si="12"/>
        <v>6896</v>
      </c>
      <c r="U52" s="118">
        <f t="shared" si="13"/>
        <v>0</v>
      </c>
    </row>
    <row r="53" spans="1:21" x14ac:dyDescent="0.25">
      <c r="A53" s="460"/>
      <c r="B53" s="460"/>
      <c r="C53" s="165">
        <v>26.5</v>
      </c>
      <c r="D53" s="165">
        <v>25.62</v>
      </c>
      <c r="E53" s="125">
        <f t="shared" si="10"/>
        <v>52.120000000000005</v>
      </c>
      <c r="F53" s="41" t="s">
        <v>14</v>
      </c>
      <c r="G53" s="39">
        <v>251</v>
      </c>
      <c r="H53" s="321">
        <f>'0664'!H53</f>
        <v>1173</v>
      </c>
      <c r="I53" s="104">
        <f t="shared" si="11"/>
        <v>61136.76</v>
      </c>
      <c r="N53" s="504"/>
      <c r="O53" s="504"/>
      <c r="P53" s="506"/>
      <c r="Q53" s="506"/>
      <c r="R53" s="42" t="s">
        <v>14</v>
      </c>
      <c r="S53" s="40">
        <v>251</v>
      </c>
      <c r="T53" s="117">
        <f t="shared" si="12"/>
        <v>1173</v>
      </c>
      <c r="U53" s="118">
        <f t="shared" si="13"/>
        <v>0</v>
      </c>
    </row>
    <row r="54" spans="1:21" x14ac:dyDescent="0.25">
      <c r="A54" s="460"/>
      <c r="B54" s="460"/>
      <c r="C54" s="165">
        <v>4</v>
      </c>
      <c r="D54" s="165">
        <v>3.87</v>
      </c>
      <c r="E54" s="125">
        <f t="shared" si="10"/>
        <v>7.87</v>
      </c>
      <c r="F54" s="41" t="s">
        <v>14</v>
      </c>
      <c r="G54" s="39">
        <v>252</v>
      </c>
      <c r="H54" s="321">
        <f>'0664'!H54</f>
        <v>3506</v>
      </c>
      <c r="I54" s="104">
        <f t="shared" si="11"/>
        <v>27592.22</v>
      </c>
      <c r="N54" s="504"/>
      <c r="O54" s="504"/>
      <c r="P54" s="506"/>
      <c r="Q54" s="506"/>
      <c r="R54" s="42" t="s">
        <v>14</v>
      </c>
      <c r="S54" s="40">
        <v>252</v>
      </c>
      <c r="T54" s="117">
        <f t="shared" si="12"/>
        <v>3506</v>
      </c>
      <c r="U54" s="118">
        <f t="shared" si="13"/>
        <v>0</v>
      </c>
    </row>
    <row r="55" spans="1:21" x14ac:dyDescent="0.25">
      <c r="A55" s="460"/>
      <c r="B55" s="460"/>
      <c r="C55" s="165">
        <v>0</v>
      </c>
      <c r="D55" s="165">
        <v>0</v>
      </c>
      <c r="E55" s="125">
        <f t="shared" si="10"/>
        <v>0</v>
      </c>
      <c r="F55" s="41" t="s">
        <v>14</v>
      </c>
      <c r="G55" s="39">
        <v>253</v>
      </c>
      <c r="H55" s="321">
        <f>'0664'!H55</f>
        <v>7023</v>
      </c>
      <c r="I55" s="104">
        <f t="shared" si="11"/>
        <v>0</v>
      </c>
      <c r="N55" s="504"/>
      <c r="O55" s="504"/>
      <c r="P55" s="506"/>
      <c r="Q55" s="506"/>
      <c r="R55" s="42" t="s">
        <v>14</v>
      </c>
      <c r="S55" s="40">
        <v>253</v>
      </c>
      <c r="T55" s="117">
        <f t="shared" si="12"/>
        <v>7023</v>
      </c>
      <c r="U55" s="118">
        <f t="shared" si="13"/>
        <v>0</v>
      </c>
    </row>
    <row r="56" spans="1:21" x14ac:dyDescent="0.25">
      <c r="A56" s="460"/>
      <c r="B56" s="460"/>
      <c r="C56" s="165">
        <v>0</v>
      </c>
      <c r="D56" s="165">
        <v>0</v>
      </c>
      <c r="E56" s="125">
        <f t="shared" si="10"/>
        <v>0</v>
      </c>
      <c r="F56" s="41" t="s">
        <v>15</v>
      </c>
      <c r="G56" s="39">
        <v>251</v>
      </c>
      <c r="H56" s="321">
        <f>'0664'!H56</f>
        <v>835</v>
      </c>
      <c r="I56" s="104">
        <f t="shared" si="11"/>
        <v>0</v>
      </c>
      <c r="N56" s="504"/>
      <c r="O56" s="504"/>
      <c r="P56" s="506"/>
      <c r="Q56" s="506"/>
      <c r="R56" s="42" t="s">
        <v>15</v>
      </c>
      <c r="S56" s="40">
        <v>251</v>
      </c>
      <c r="T56" s="117">
        <f t="shared" si="12"/>
        <v>835</v>
      </c>
      <c r="U56" s="118">
        <f t="shared" si="13"/>
        <v>0</v>
      </c>
    </row>
    <row r="57" spans="1:21" x14ac:dyDescent="0.25">
      <c r="A57" s="460"/>
      <c r="B57" s="460"/>
      <c r="C57" s="165">
        <v>0</v>
      </c>
      <c r="D57" s="165">
        <v>0</v>
      </c>
      <c r="E57" s="125">
        <f t="shared" si="10"/>
        <v>0</v>
      </c>
      <c r="F57" s="41" t="s">
        <v>15</v>
      </c>
      <c r="G57" s="39">
        <v>252</v>
      </c>
      <c r="H57" s="321">
        <f>'0664'!H57</f>
        <v>3168</v>
      </c>
      <c r="I57" s="104">
        <f t="shared" si="11"/>
        <v>0</v>
      </c>
      <c r="N57" s="504"/>
      <c r="O57" s="504"/>
      <c r="P57" s="506"/>
      <c r="Q57" s="506"/>
      <c r="R57" s="42" t="s">
        <v>15</v>
      </c>
      <c r="S57" s="40">
        <v>252</v>
      </c>
      <c r="T57" s="117">
        <f t="shared" si="12"/>
        <v>3168</v>
      </c>
      <c r="U57" s="118">
        <f t="shared" si="13"/>
        <v>0</v>
      </c>
    </row>
    <row r="58" spans="1:21" ht="16.5" thickBot="1" x14ac:dyDescent="0.3">
      <c r="A58" s="460"/>
      <c r="B58" s="460"/>
      <c r="C58" s="165">
        <v>0</v>
      </c>
      <c r="D58" s="165">
        <v>0</v>
      </c>
      <c r="E58" s="125">
        <f t="shared" si="10"/>
        <v>0</v>
      </c>
      <c r="F58" s="41" t="s">
        <v>15</v>
      </c>
      <c r="G58" s="39">
        <v>253</v>
      </c>
      <c r="H58" s="321">
        <f>'0664'!H58</f>
        <v>6685</v>
      </c>
      <c r="I58" s="104">
        <f t="shared" si="11"/>
        <v>0</v>
      </c>
      <c r="N58" s="504"/>
      <c r="O58" s="504"/>
      <c r="P58" s="507"/>
      <c r="Q58" s="507"/>
      <c r="R58" s="42" t="s">
        <v>15</v>
      </c>
      <c r="S58" s="40">
        <v>253</v>
      </c>
      <c r="T58" s="117">
        <f t="shared" si="12"/>
        <v>6685</v>
      </c>
      <c r="U58" s="120">
        <f t="shared" si="13"/>
        <v>0</v>
      </c>
    </row>
    <row r="59" spans="1:21" ht="16.5" thickBot="1" x14ac:dyDescent="0.3">
      <c r="A59" s="461" t="s">
        <v>16</v>
      </c>
      <c r="B59" s="461"/>
      <c r="C59" s="100">
        <f>SUM(C50:C58)</f>
        <v>53.5</v>
      </c>
      <c r="D59" s="100">
        <f>SUM(D50:D58)</f>
        <v>53.99</v>
      </c>
      <c r="E59" s="100">
        <f>SUM(E50:E58)</f>
        <v>107.49000000000001</v>
      </c>
      <c r="F59" s="461" t="s">
        <v>77</v>
      </c>
      <c r="G59" s="461"/>
      <c r="H59" s="461"/>
      <c r="I59" s="100">
        <f>SUM(I50:I58)</f>
        <v>157732.06</v>
      </c>
      <c r="N59" s="480" t="s">
        <v>16</v>
      </c>
      <c r="O59" s="480"/>
      <c r="P59" s="502">
        <f>SUM(P50:P58)</f>
        <v>0</v>
      </c>
      <c r="Q59" s="502"/>
      <c r="R59" s="480" t="s">
        <v>77</v>
      </c>
      <c r="S59" s="480"/>
      <c r="T59" s="480"/>
      <c r="U59" s="111">
        <f>SUM(U50:U58)</f>
        <v>0</v>
      </c>
    </row>
    <row r="60" spans="1:21" x14ac:dyDescent="0.25">
      <c r="A60" s="462"/>
      <c r="B60" s="462"/>
      <c r="C60" s="462"/>
      <c r="D60" s="462"/>
      <c r="E60" s="462"/>
      <c r="F60" s="462"/>
      <c r="G60" s="462"/>
      <c r="H60" s="462"/>
      <c r="I60" s="462"/>
      <c r="N60" s="484"/>
      <c r="O60" s="484"/>
      <c r="P60" s="484"/>
      <c r="Q60" s="484"/>
      <c r="R60" s="484"/>
      <c r="S60" s="484"/>
      <c r="T60" s="484"/>
      <c r="U60" s="484"/>
    </row>
    <row r="61" spans="1:21" x14ac:dyDescent="0.25">
      <c r="A61" s="463" t="s">
        <v>136</v>
      </c>
      <c r="B61" s="453"/>
      <c r="C61" s="453"/>
      <c r="D61" s="453"/>
      <c r="E61" s="453"/>
      <c r="F61" s="453"/>
      <c r="G61" s="453"/>
      <c r="H61" s="453"/>
      <c r="I61" s="453"/>
      <c r="N61" s="479" t="s">
        <v>88</v>
      </c>
      <c r="O61" s="479"/>
      <c r="P61" s="479"/>
      <c r="Q61" s="479"/>
      <c r="R61" s="479"/>
      <c r="S61" s="479"/>
      <c r="T61" s="479"/>
      <c r="U61" s="479"/>
    </row>
    <row r="62" spans="1:21" x14ac:dyDescent="0.25">
      <c r="A62" s="463" t="s">
        <v>138</v>
      </c>
      <c r="B62" s="453"/>
      <c r="C62" s="121">
        <f>E29</f>
        <v>997.61000000000013</v>
      </c>
      <c r="D62" s="464" t="s">
        <v>135</v>
      </c>
      <c r="E62" s="464"/>
      <c r="F62" s="464"/>
      <c r="G62" s="464"/>
      <c r="H62" s="335">
        <f>'0664'!H62</f>
        <v>193340.76</v>
      </c>
      <c r="I62" s="122"/>
      <c r="N62" s="478" t="s">
        <v>312</v>
      </c>
      <c r="O62" s="479"/>
      <c r="P62" s="43">
        <f>P29</f>
        <v>0</v>
      </c>
      <c r="Q62" s="498" t="s">
        <v>78</v>
      </c>
      <c r="R62" s="498"/>
      <c r="S62" s="498"/>
      <c r="T62" s="497">
        <f>H62</f>
        <v>193340.76</v>
      </c>
      <c r="U62" s="497"/>
    </row>
    <row r="63" spans="1:21" x14ac:dyDescent="0.25">
      <c r="B63" s="72"/>
      <c r="G63" s="44" t="s">
        <v>13</v>
      </c>
      <c r="H63" s="123">
        <f>ROUND(C62/H62,6)</f>
        <v>5.1599999999999997E-3</v>
      </c>
      <c r="I63" s="124"/>
      <c r="N63" s="479" t="s">
        <v>19</v>
      </c>
      <c r="O63" s="479"/>
      <c r="P63" s="479"/>
      <c r="Q63" s="479"/>
      <c r="R63" s="479"/>
      <c r="S63" s="479"/>
      <c r="T63" s="501">
        <f>ROUND(P62/T62,6)</f>
        <v>0</v>
      </c>
      <c r="U63" s="501"/>
    </row>
    <row r="64" spans="1:21" x14ac:dyDescent="0.25">
      <c r="A64" s="463" t="s">
        <v>137</v>
      </c>
      <c r="B64" s="453"/>
      <c r="C64" s="453"/>
      <c r="D64" s="453"/>
      <c r="E64" s="453"/>
      <c r="F64" s="453"/>
      <c r="G64" s="453"/>
      <c r="H64" s="453"/>
      <c r="I64" s="453"/>
      <c r="N64" s="479" t="s">
        <v>89</v>
      </c>
      <c r="O64" s="479"/>
      <c r="P64" s="479"/>
      <c r="Q64" s="479"/>
      <c r="R64" s="479"/>
      <c r="S64" s="479"/>
      <c r="T64" s="479"/>
      <c r="U64" s="479"/>
    </row>
    <row r="65" spans="1:21" x14ac:dyDescent="0.25">
      <c r="A65" s="463" t="s">
        <v>139</v>
      </c>
      <c r="B65" s="453"/>
      <c r="C65" s="121">
        <f>E45</f>
        <v>1060.0575999999999</v>
      </c>
      <c r="D65" s="464" t="s">
        <v>140</v>
      </c>
      <c r="E65" s="464"/>
      <c r="F65" s="464"/>
      <c r="G65" s="464"/>
      <c r="H65" s="336">
        <f>'0664'!H65</f>
        <v>216845.88</v>
      </c>
      <c r="I65" s="125"/>
      <c r="N65" s="479" t="s">
        <v>80</v>
      </c>
      <c r="O65" s="479"/>
      <c r="P65" s="43">
        <f>R45</f>
        <v>0</v>
      </c>
      <c r="Q65" s="498" t="s">
        <v>79</v>
      </c>
      <c r="R65" s="498"/>
      <c r="S65" s="498"/>
      <c r="T65" s="497">
        <f>H65</f>
        <v>216845.88</v>
      </c>
      <c r="U65" s="497"/>
    </row>
    <row r="66" spans="1:21" s="37" customFormat="1" x14ac:dyDescent="0.25">
      <c r="A66" s="126"/>
      <c r="G66" s="45" t="s">
        <v>13</v>
      </c>
      <c r="H66" s="127">
        <f>ROUND(C65/H65,6)</f>
        <v>4.8890000000000001E-3</v>
      </c>
      <c r="I66" s="127"/>
      <c r="N66" s="482" t="s">
        <v>20</v>
      </c>
      <c r="O66" s="482"/>
      <c r="P66" s="482"/>
      <c r="Q66" s="482"/>
      <c r="R66" s="482"/>
      <c r="S66" s="482"/>
      <c r="T66" s="500">
        <f>ROUND(P65/T65,6)</f>
        <v>0</v>
      </c>
      <c r="U66" s="500"/>
    </row>
    <row r="67" spans="1:21" x14ac:dyDescent="0.25">
      <c r="G67" s="44"/>
      <c r="H67" s="123"/>
      <c r="I67" s="123"/>
      <c r="N67" s="48"/>
      <c r="O67" s="48"/>
      <c r="P67" s="48"/>
      <c r="Q67" s="48"/>
      <c r="R67" s="128"/>
      <c r="S67" s="48"/>
      <c r="T67" s="129"/>
      <c r="U67" s="130"/>
    </row>
    <row r="68" spans="1:21" x14ac:dyDescent="0.25">
      <c r="A68" s="453" t="s">
        <v>85</v>
      </c>
      <c r="B68" s="453"/>
      <c r="C68" s="453"/>
      <c r="D68" s="72"/>
      <c r="E68" s="46" t="s">
        <v>3</v>
      </c>
      <c r="F68" s="337">
        <f>'0664'!F68</f>
        <v>42465042</v>
      </c>
      <c r="G68" s="39" t="s">
        <v>6</v>
      </c>
      <c r="H68" s="131">
        <f>H63</f>
        <v>5.1599999999999997E-3</v>
      </c>
      <c r="I68" s="104">
        <f>ROUND(F68*H68,2)</f>
        <v>219119.62</v>
      </c>
      <c r="N68" s="479" t="s">
        <v>85</v>
      </c>
      <c r="O68" s="479"/>
      <c r="P68" s="479"/>
      <c r="Q68" s="47"/>
      <c r="R68" s="132">
        <f>F68</f>
        <v>42465042</v>
      </c>
      <c r="S68" s="40" t="s">
        <v>6</v>
      </c>
      <c r="T68" s="133">
        <f>T63</f>
        <v>0</v>
      </c>
      <c r="U68" s="99">
        <f>ROUND(R68*T68,0)</f>
        <v>0</v>
      </c>
    </row>
    <row r="69" spans="1:21" x14ac:dyDescent="0.25">
      <c r="A69" s="458" t="s">
        <v>96</v>
      </c>
      <c r="B69" s="453"/>
      <c r="C69" s="453"/>
      <c r="D69" s="72"/>
      <c r="E69" s="46"/>
      <c r="F69" s="136"/>
      <c r="G69" s="39"/>
      <c r="H69" s="131"/>
      <c r="I69" s="104"/>
      <c r="N69" s="479" t="s">
        <v>84</v>
      </c>
      <c r="O69" s="479"/>
      <c r="P69" s="479"/>
      <c r="Q69" s="54"/>
      <c r="R69" s="54"/>
      <c r="S69" s="54"/>
      <c r="T69" s="54"/>
      <c r="U69" s="54"/>
    </row>
    <row r="70" spans="1:21" x14ac:dyDescent="0.25">
      <c r="A70" s="465" t="s">
        <v>141</v>
      </c>
      <c r="B70" s="453"/>
      <c r="C70" s="453"/>
      <c r="D70" s="72"/>
      <c r="E70" s="46" t="s">
        <v>3</v>
      </c>
      <c r="F70" s="337">
        <f>'0664'!F70</f>
        <v>0</v>
      </c>
      <c r="G70" s="39" t="s">
        <v>6</v>
      </c>
      <c r="H70" s="131">
        <f>H63</f>
        <v>5.1599999999999997E-3</v>
      </c>
      <c r="I70" s="104">
        <f>ROUND(F70*H70,2)</f>
        <v>0</v>
      </c>
      <c r="N70" s="48"/>
      <c r="O70" s="48"/>
      <c r="P70" s="48"/>
      <c r="Q70" s="47"/>
      <c r="R70" s="132">
        <f>F70</f>
        <v>0</v>
      </c>
      <c r="S70" s="40" t="s">
        <v>6</v>
      </c>
      <c r="T70" s="133">
        <f>T63</f>
        <v>0</v>
      </c>
      <c r="U70" s="99">
        <f>ROUND(R70*T70,0)</f>
        <v>0</v>
      </c>
    </row>
    <row r="71" spans="1:21" x14ac:dyDescent="0.25">
      <c r="A71" s="463" t="s">
        <v>433</v>
      </c>
      <c r="B71" s="453"/>
      <c r="C71" s="453"/>
      <c r="D71" s="72"/>
      <c r="E71" s="46" t="s">
        <v>3</v>
      </c>
      <c r="F71" s="337">
        <f>'0664'!F71</f>
        <v>13414654</v>
      </c>
      <c r="G71" s="39" t="s">
        <v>6</v>
      </c>
      <c r="H71" s="131">
        <f>H63</f>
        <v>5.1599999999999997E-3</v>
      </c>
      <c r="I71" s="104">
        <f>ROUND(F71*H71,2)</f>
        <v>69219.61</v>
      </c>
      <c r="N71" s="479" t="s">
        <v>83</v>
      </c>
      <c r="O71" s="479"/>
      <c r="P71" s="479"/>
      <c r="Q71" s="47"/>
      <c r="R71" s="132">
        <f>F71</f>
        <v>13414654</v>
      </c>
      <c r="S71" s="40" t="s">
        <v>6</v>
      </c>
      <c r="T71" s="133">
        <f>T63</f>
        <v>0</v>
      </c>
      <c r="U71" s="99">
        <f>ROUND(R71*T71,0)</f>
        <v>0</v>
      </c>
    </row>
    <row r="72" spans="1:21" x14ac:dyDescent="0.25">
      <c r="A72" s="463" t="s">
        <v>434</v>
      </c>
      <c r="B72" s="453"/>
      <c r="C72" s="453"/>
      <c r="D72" s="72"/>
      <c r="E72" s="46" t="s">
        <v>3</v>
      </c>
      <c r="F72" s="337">
        <f>'0664'!F72</f>
        <v>14708421</v>
      </c>
      <c r="G72" s="39" t="s">
        <v>6</v>
      </c>
      <c r="H72" s="131">
        <f>H63</f>
        <v>5.1599999999999997E-3</v>
      </c>
      <c r="I72" s="104">
        <f>ROUND(F72*H72,2)</f>
        <v>75895.45</v>
      </c>
      <c r="N72" s="479" t="s">
        <v>82</v>
      </c>
      <c r="O72" s="479"/>
      <c r="P72" s="479"/>
      <c r="Q72" s="47"/>
      <c r="R72" s="134">
        <f>F72</f>
        <v>14708421</v>
      </c>
      <c r="S72" s="40" t="s">
        <v>6</v>
      </c>
      <c r="T72" s="133">
        <f>T63</f>
        <v>0</v>
      </c>
      <c r="U72" s="99">
        <f>ROUND(R72*T72,0)</f>
        <v>0</v>
      </c>
    </row>
    <row r="73" spans="1:21" x14ac:dyDescent="0.25">
      <c r="A73" s="263" t="s">
        <v>99</v>
      </c>
      <c r="D73" s="72"/>
      <c r="E73" s="41" t="s">
        <v>353</v>
      </c>
      <c r="F73" s="466"/>
      <c r="G73" s="466"/>
      <c r="H73" s="466"/>
      <c r="I73" s="104">
        <v>0</v>
      </c>
      <c r="N73" s="499" t="s">
        <v>118</v>
      </c>
      <c r="O73" s="499"/>
      <c r="P73" s="499"/>
      <c r="Q73" s="499"/>
      <c r="R73" s="499"/>
      <c r="S73" s="499"/>
      <c r="T73" s="499"/>
      <c r="U73" s="99">
        <f>IF($H$120=1,I73,0)</f>
        <v>0</v>
      </c>
    </row>
    <row r="74" spans="1:21" x14ac:dyDescent="0.25">
      <c r="A74" s="264" t="s">
        <v>142</v>
      </c>
      <c r="I74" s="104"/>
      <c r="N74" s="499" t="s">
        <v>43</v>
      </c>
      <c r="O74" s="499"/>
      <c r="P74" s="499"/>
      <c r="Q74" s="499"/>
      <c r="R74" s="499"/>
      <c r="S74" s="499"/>
      <c r="T74" s="499"/>
      <c r="U74" s="99">
        <f>IF($H$120=1,I74,0)</f>
        <v>0</v>
      </c>
    </row>
    <row r="75" spans="1:21" x14ac:dyDescent="0.25">
      <c r="A75" s="324" t="s">
        <v>101</v>
      </c>
      <c r="B75" s="72"/>
      <c r="C75" s="72"/>
      <c r="D75" s="72"/>
      <c r="E75" s="72"/>
      <c r="F75" s="72"/>
      <c r="G75" s="72"/>
      <c r="H75" s="72"/>
      <c r="I75" s="135"/>
      <c r="N75" s="382" t="s">
        <v>44</v>
      </c>
      <c r="O75" s="48"/>
      <c r="P75" s="48"/>
      <c r="Q75" s="48"/>
      <c r="R75" s="48"/>
      <c r="S75" s="48"/>
      <c r="T75" s="48"/>
      <c r="U75" s="106"/>
    </row>
    <row r="76" spans="1:21" x14ac:dyDescent="0.25">
      <c r="A76" s="463" t="s">
        <v>435</v>
      </c>
      <c r="B76" s="453"/>
      <c r="C76" s="453"/>
      <c r="D76" s="72"/>
      <c r="E76" s="46" t="s">
        <v>3</v>
      </c>
      <c r="F76" s="337">
        <f>'0664'!F76</f>
        <v>8720092</v>
      </c>
      <c r="G76" s="39" t="s">
        <v>6</v>
      </c>
      <c r="H76" s="131">
        <f>H63</f>
        <v>5.1599999999999997E-3</v>
      </c>
      <c r="I76" s="104">
        <f t="shared" ref="I76:I85" si="14">ROUND(F76*H76,2)</f>
        <v>44995.67</v>
      </c>
      <c r="N76" s="478" t="s">
        <v>366</v>
      </c>
      <c r="O76" s="479"/>
      <c r="P76" s="479"/>
      <c r="Q76" s="47"/>
      <c r="R76" s="134">
        <f t="shared" ref="R76:R85" si="15">F76</f>
        <v>8720092</v>
      </c>
      <c r="S76" s="40" t="s">
        <v>6</v>
      </c>
      <c r="T76" s="133">
        <f>T63</f>
        <v>0</v>
      </c>
      <c r="U76" s="99">
        <f t="shared" ref="U76:U85" si="16">ROUND(R76*T76,0)</f>
        <v>0</v>
      </c>
    </row>
    <row r="77" spans="1:21" x14ac:dyDescent="0.25">
      <c r="A77" s="463" t="s">
        <v>436</v>
      </c>
      <c r="B77" s="453"/>
      <c r="C77" s="453"/>
      <c r="D77" s="72"/>
      <c r="E77" s="46" t="s">
        <v>3</v>
      </c>
      <c r="F77" s="337">
        <f>'0664'!F77</f>
        <v>0</v>
      </c>
      <c r="G77" s="39" t="s">
        <v>6</v>
      </c>
      <c r="H77" s="131">
        <f>H63</f>
        <v>5.1599999999999997E-3</v>
      </c>
      <c r="I77" s="104">
        <f t="shared" si="14"/>
        <v>0</v>
      </c>
      <c r="N77" s="479" t="s">
        <v>367</v>
      </c>
      <c r="O77" s="479"/>
      <c r="P77" s="479"/>
      <c r="Q77" s="47"/>
      <c r="R77" s="134">
        <f t="shared" si="15"/>
        <v>0</v>
      </c>
      <c r="S77" s="40" t="s">
        <v>6</v>
      </c>
      <c r="T77" s="133">
        <f>T63</f>
        <v>0</v>
      </c>
      <c r="U77" s="99">
        <f t="shared" si="16"/>
        <v>0</v>
      </c>
    </row>
    <row r="78" spans="1:21" x14ac:dyDescent="0.25">
      <c r="A78" s="463" t="s">
        <v>437</v>
      </c>
      <c r="B78" s="453"/>
      <c r="C78" s="453"/>
      <c r="D78" s="72"/>
      <c r="E78" s="46" t="s">
        <v>4</v>
      </c>
      <c r="F78" s="337">
        <f>'0664'!F78</f>
        <v>0</v>
      </c>
      <c r="G78" s="39" t="s">
        <v>6</v>
      </c>
      <c r="H78" s="131">
        <f>H66</f>
        <v>4.8890000000000001E-3</v>
      </c>
      <c r="I78" s="104">
        <f t="shared" si="14"/>
        <v>0</v>
      </c>
      <c r="N78" s="478" t="s">
        <v>392</v>
      </c>
      <c r="O78" s="479"/>
      <c r="P78" s="479"/>
      <c r="Q78" s="47"/>
      <c r="R78" s="134">
        <f t="shared" si="15"/>
        <v>0</v>
      </c>
      <c r="S78" s="40" t="s">
        <v>6</v>
      </c>
      <c r="T78" s="133">
        <f>T66</f>
        <v>0</v>
      </c>
      <c r="U78" s="99">
        <f t="shared" si="16"/>
        <v>0</v>
      </c>
    </row>
    <row r="79" spans="1:21" x14ac:dyDescent="0.25">
      <c r="A79" s="463" t="s">
        <v>438</v>
      </c>
      <c r="B79" s="453"/>
      <c r="C79" s="453"/>
      <c r="D79" s="72"/>
      <c r="E79" s="46" t="s">
        <v>4</v>
      </c>
      <c r="F79" s="337">
        <f>'0664'!F79</f>
        <v>11278687</v>
      </c>
      <c r="G79" s="39" t="s">
        <v>6</v>
      </c>
      <c r="H79" s="131">
        <f>H66</f>
        <v>4.8890000000000001E-3</v>
      </c>
      <c r="I79" s="104">
        <f t="shared" si="14"/>
        <v>55141.5</v>
      </c>
      <c r="N79" s="478" t="s">
        <v>393</v>
      </c>
      <c r="O79" s="479"/>
      <c r="P79" s="479"/>
      <c r="Q79" s="47"/>
      <c r="R79" s="134">
        <f t="shared" si="15"/>
        <v>11278687</v>
      </c>
      <c r="S79" s="40" t="s">
        <v>6</v>
      </c>
      <c r="T79" s="133">
        <f>T66</f>
        <v>0</v>
      </c>
      <c r="U79" s="99">
        <f t="shared" si="16"/>
        <v>0</v>
      </c>
    </row>
    <row r="80" spans="1:21" x14ac:dyDescent="0.25">
      <c r="A80" s="463" t="s">
        <v>439</v>
      </c>
      <c r="B80" s="453"/>
      <c r="C80" s="453"/>
      <c r="D80" s="72"/>
      <c r="E80" s="46" t="s">
        <v>4</v>
      </c>
      <c r="F80" s="337">
        <f>'0664'!F80</f>
        <v>206284749</v>
      </c>
      <c r="G80" s="39" t="s">
        <v>6</v>
      </c>
      <c r="H80" s="131">
        <f>H66</f>
        <v>4.8890000000000001E-3</v>
      </c>
      <c r="I80" s="104">
        <f t="shared" si="14"/>
        <v>1008526.14</v>
      </c>
      <c r="N80" s="478" t="s">
        <v>397</v>
      </c>
      <c r="O80" s="479"/>
      <c r="P80" s="479"/>
      <c r="Q80" s="47"/>
      <c r="R80" s="134">
        <f t="shared" si="15"/>
        <v>206284749</v>
      </c>
      <c r="S80" s="40" t="s">
        <v>6</v>
      </c>
      <c r="T80" s="133">
        <f>T66</f>
        <v>0</v>
      </c>
      <c r="U80" s="99">
        <f t="shared" si="16"/>
        <v>0</v>
      </c>
    </row>
    <row r="81" spans="1:21" x14ac:dyDescent="0.25">
      <c r="A81" s="84" t="s">
        <v>440</v>
      </c>
      <c r="B81" s="72"/>
      <c r="C81" s="72"/>
      <c r="D81" s="72"/>
      <c r="E81" s="46"/>
      <c r="F81" s="337"/>
      <c r="G81" s="39"/>
      <c r="H81" s="131"/>
      <c r="I81" s="104"/>
      <c r="N81" s="419" t="s">
        <v>440</v>
      </c>
      <c r="O81" s="48"/>
      <c r="P81" s="48"/>
      <c r="Q81" s="47"/>
      <c r="R81" s="423"/>
      <c r="S81" s="40"/>
      <c r="T81" s="133"/>
      <c r="U81" s="120"/>
    </row>
    <row r="82" spans="1:21" x14ac:dyDescent="0.25">
      <c r="A82" s="264" t="s">
        <v>441</v>
      </c>
      <c r="B82" s="72"/>
      <c r="C82" s="72"/>
      <c r="D82" s="72"/>
      <c r="E82" s="46" t="s">
        <v>442</v>
      </c>
      <c r="F82" s="337">
        <f>'0664'!F82</f>
        <v>0</v>
      </c>
      <c r="G82" s="39" t="s">
        <v>6</v>
      </c>
      <c r="H82" s="131">
        <f>H66</f>
        <v>4.8890000000000001E-3</v>
      </c>
      <c r="I82" s="104">
        <v>180777.07</v>
      </c>
      <c r="N82" s="422" t="s">
        <v>441</v>
      </c>
      <c r="O82" s="48"/>
      <c r="P82" s="48"/>
      <c r="Q82" s="47"/>
      <c r="R82" s="134">
        <f t="shared" si="15"/>
        <v>0</v>
      </c>
      <c r="S82" s="40"/>
      <c r="T82" s="133"/>
      <c r="U82" s="99">
        <f t="shared" si="16"/>
        <v>0</v>
      </c>
    </row>
    <row r="83" spans="1:21" x14ac:dyDescent="0.25">
      <c r="A83" s="264" t="s">
        <v>443</v>
      </c>
      <c r="B83" s="72"/>
      <c r="C83" s="72"/>
      <c r="D83" s="72"/>
      <c r="E83" s="46" t="s">
        <v>442</v>
      </c>
      <c r="F83" s="337">
        <f>'0664'!F83</f>
        <v>0</v>
      </c>
      <c r="G83" s="39" t="s">
        <v>6</v>
      </c>
      <c r="H83" s="131">
        <f>H66</f>
        <v>4.8890000000000001E-3</v>
      </c>
      <c r="I83" s="104">
        <v>82171.39</v>
      </c>
      <c r="N83" s="422" t="s">
        <v>443</v>
      </c>
      <c r="O83" s="48"/>
      <c r="P83" s="48"/>
      <c r="Q83" s="47"/>
      <c r="R83" s="134">
        <f t="shared" si="15"/>
        <v>0</v>
      </c>
      <c r="S83" s="40"/>
      <c r="T83" s="133"/>
      <c r="U83" s="99">
        <f t="shared" si="16"/>
        <v>0</v>
      </c>
    </row>
    <row r="84" spans="1:21" x14ac:dyDescent="0.25">
      <c r="A84" s="420" t="s">
        <v>444</v>
      </c>
      <c r="B84" s="72"/>
      <c r="C84" s="72"/>
      <c r="D84" s="72"/>
      <c r="E84" s="46"/>
      <c r="F84" s="337"/>
      <c r="G84" s="39"/>
      <c r="H84" s="131"/>
      <c r="I84" s="104">
        <f>I82+I83</f>
        <v>262948.46000000002</v>
      </c>
      <c r="N84" s="421" t="s">
        <v>444</v>
      </c>
      <c r="O84" s="48"/>
      <c r="P84" s="48"/>
      <c r="Q84" s="47"/>
      <c r="R84" s="423"/>
      <c r="S84" s="40"/>
      <c r="T84" s="133"/>
      <c r="U84" s="99">
        <f>U82+U83</f>
        <v>0</v>
      </c>
    </row>
    <row r="85" spans="1:21" x14ac:dyDescent="0.25">
      <c r="A85" s="463" t="s">
        <v>398</v>
      </c>
      <c r="B85" s="453"/>
      <c r="C85" s="453"/>
      <c r="D85" s="72"/>
      <c r="E85" s="46" t="s">
        <v>4</v>
      </c>
      <c r="F85" s="337">
        <f>'0664'!F85</f>
        <v>0</v>
      </c>
      <c r="G85" s="39" t="s">
        <v>6</v>
      </c>
      <c r="H85" s="131">
        <f>H66</f>
        <v>4.8890000000000001E-3</v>
      </c>
      <c r="I85" s="104">
        <f t="shared" si="14"/>
        <v>0</v>
      </c>
      <c r="N85" s="478" t="s">
        <v>398</v>
      </c>
      <c r="O85" s="479"/>
      <c r="P85" s="479"/>
      <c r="Q85" s="47"/>
      <c r="R85" s="132">
        <f t="shared" si="15"/>
        <v>0</v>
      </c>
      <c r="S85" s="40" t="s">
        <v>6</v>
      </c>
      <c r="T85" s="133">
        <f>T66</f>
        <v>0</v>
      </c>
      <c r="U85" s="99">
        <f t="shared" si="16"/>
        <v>0</v>
      </c>
    </row>
    <row r="86" spans="1:21" x14ac:dyDescent="0.25">
      <c r="B86" s="72"/>
      <c r="C86" s="72"/>
      <c r="D86" s="72"/>
      <c r="E86" s="46"/>
      <c r="F86" s="136"/>
      <c r="G86" s="39"/>
      <c r="H86" s="131"/>
      <c r="I86" s="104"/>
      <c r="N86" s="48"/>
      <c r="O86" s="48"/>
      <c r="P86" s="48"/>
      <c r="Q86" s="47"/>
      <c r="R86" s="137"/>
      <c r="S86" s="40"/>
      <c r="T86" s="133"/>
      <c r="U86" s="106"/>
    </row>
    <row r="87" spans="1:21" x14ac:dyDescent="0.25">
      <c r="A87" s="463" t="s">
        <v>445</v>
      </c>
      <c r="B87" s="453"/>
      <c r="C87" s="453"/>
      <c r="D87" s="453"/>
      <c r="E87" s="453"/>
      <c r="F87" s="453"/>
      <c r="G87" s="453"/>
      <c r="H87" s="453"/>
      <c r="I87" s="453"/>
      <c r="N87" s="478" t="s">
        <v>429</v>
      </c>
      <c r="O87" s="479"/>
      <c r="P87" s="479"/>
      <c r="Q87" s="479"/>
      <c r="R87" s="479"/>
      <c r="S87" s="479"/>
      <c r="T87" s="479"/>
      <c r="U87" s="479"/>
    </row>
    <row r="88" spans="1:21" x14ac:dyDescent="0.25">
      <c r="B88" s="72"/>
      <c r="C88" s="466" t="s">
        <v>73</v>
      </c>
      <c r="D88" s="466"/>
      <c r="E88" s="72"/>
      <c r="F88" s="41" t="s">
        <v>37</v>
      </c>
      <c r="G88" s="72"/>
      <c r="H88" s="72"/>
      <c r="I88" s="72"/>
      <c r="N88" s="48"/>
      <c r="O88" s="48"/>
      <c r="P88" s="48"/>
      <c r="Q88" s="48"/>
      <c r="R88" s="48"/>
      <c r="S88" s="48"/>
      <c r="T88" s="48"/>
      <c r="U88" s="48"/>
    </row>
    <row r="89" spans="1:21" x14ac:dyDescent="0.25">
      <c r="A89" s="3"/>
      <c r="B89" s="138"/>
      <c r="C89" s="462" t="s">
        <v>144</v>
      </c>
      <c r="D89" s="462"/>
      <c r="E89" s="139" t="s">
        <v>150</v>
      </c>
      <c r="F89" s="140" t="s">
        <v>149</v>
      </c>
      <c r="G89" s="141"/>
      <c r="H89" s="141"/>
      <c r="I89" s="141"/>
      <c r="N89" s="495" t="s">
        <v>46</v>
      </c>
      <c r="O89" s="495"/>
      <c r="P89" s="496" t="s">
        <v>119</v>
      </c>
      <c r="Q89" s="496"/>
      <c r="R89" s="497" t="s">
        <v>40</v>
      </c>
      <c r="S89" s="497"/>
      <c r="T89" s="497"/>
      <c r="U89" s="497"/>
    </row>
    <row r="90" spans="1:21" x14ac:dyDescent="0.25">
      <c r="A90" s="27"/>
      <c r="B90" s="55" t="s">
        <v>148</v>
      </c>
      <c r="C90" s="467">
        <f>H13+H14+H19+H22+H25</f>
        <v>533.37810000000002</v>
      </c>
      <c r="D90" s="467"/>
      <c r="E90" s="49">
        <f>H8</f>
        <v>1.0438000000000001</v>
      </c>
      <c r="F90" s="338">
        <f>'0664'!F90</f>
        <v>957.94</v>
      </c>
      <c r="G90" s="41" t="s">
        <v>13</v>
      </c>
      <c r="H90" s="104">
        <f>ROUND(C90*E90*F90,2)</f>
        <v>533323.56999999995</v>
      </c>
      <c r="I90" s="107"/>
      <c r="N90" s="29" t="s">
        <v>22</v>
      </c>
      <c r="O90" s="50">
        <f>T13+T14+T19+T22+T25</f>
        <v>0</v>
      </c>
      <c r="P90" s="490">
        <f>T8</f>
        <v>1.0438000000000001</v>
      </c>
      <c r="Q90" s="490"/>
      <c r="R90" s="51">
        <f>F90</f>
        <v>957.94</v>
      </c>
      <c r="S90" s="42" t="s">
        <v>13</v>
      </c>
      <c r="T90" s="134">
        <f>ROUND(O90*P90*R90,0)</f>
        <v>0</v>
      </c>
      <c r="U90" s="105"/>
    </row>
    <row r="91" spans="1:21" x14ac:dyDescent="0.25">
      <c r="A91" s="52"/>
      <c r="B91" s="52" t="s">
        <v>147</v>
      </c>
      <c r="C91" s="467">
        <f>H15+H16+H20+H23+H26</f>
        <v>526.67949999999996</v>
      </c>
      <c r="D91" s="467"/>
      <c r="E91" s="49">
        <f>H8</f>
        <v>1.0438000000000001</v>
      </c>
      <c r="F91" s="338">
        <f>'0664'!F91</f>
        <v>914.63</v>
      </c>
      <c r="G91" s="41" t="s">
        <v>13</v>
      </c>
      <c r="H91" s="104">
        <f>ROUND(C91*E91*F91,2)</f>
        <v>502816.07</v>
      </c>
      <c r="N91" s="53" t="s">
        <v>14</v>
      </c>
      <c r="O91" s="50">
        <f>T15+T16+T20+T23+T26</f>
        <v>0</v>
      </c>
      <c r="P91" s="490">
        <f>T8</f>
        <v>1.0438000000000001</v>
      </c>
      <c r="Q91" s="490"/>
      <c r="R91" s="51">
        <f>F91</f>
        <v>914.63</v>
      </c>
      <c r="S91" s="42" t="s">
        <v>13</v>
      </c>
      <c r="T91" s="134">
        <f>ROUND(O91*P91*R91,0)</f>
        <v>0</v>
      </c>
      <c r="U91" s="54"/>
    </row>
    <row r="92" spans="1:21" ht="16.5" thickBot="1" x14ac:dyDescent="0.3">
      <c r="A92" s="55"/>
      <c r="B92" s="55" t="s">
        <v>146</v>
      </c>
      <c r="C92" s="467">
        <f>H17+H18+H21+H24+H27+H28</f>
        <v>0</v>
      </c>
      <c r="D92" s="467"/>
      <c r="E92" s="49">
        <f>H8</f>
        <v>1.0438000000000001</v>
      </c>
      <c r="F92" s="338">
        <f>'0664'!F92</f>
        <v>916.84</v>
      </c>
      <c r="G92" s="41" t="s">
        <v>13</v>
      </c>
      <c r="H92" s="97">
        <f>ROUND(C92*E92*F92,2)</f>
        <v>0</v>
      </c>
      <c r="N92" s="56" t="s">
        <v>15</v>
      </c>
      <c r="O92" s="57">
        <f>T17+T18+T21+T24+T27+T28</f>
        <v>0</v>
      </c>
      <c r="P92" s="490">
        <f>T8</f>
        <v>1.0438000000000001</v>
      </c>
      <c r="Q92" s="490"/>
      <c r="R92" s="51">
        <f>F92</f>
        <v>916.84</v>
      </c>
      <c r="S92" s="42" t="s">
        <v>13</v>
      </c>
      <c r="T92" s="134">
        <f>ROUND(O92*P92*R92,0)</f>
        <v>0</v>
      </c>
      <c r="U92" s="54"/>
    </row>
    <row r="93" spans="1:21" ht="16.5" thickBot="1" x14ac:dyDescent="0.3">
      <c r="A93" s="58"/>
      <c r="B93" s="142" t="s">
        <v>145</v>
      </c>
      <c r="C93" s="469">
        <f>SUM(C90:C92)</f>
        <v>1060.0576000000001</v>
      </c>
      <c r="D93" s="469"/>
      <c r="E93" s="143"/>
      <c r="F93" s="143"/>
      <c r="G93" s="143"/>
      <c r="H93" s="144" t="s">
        <v>143</v>
      </c>
      <c r="I93" s="104">
        <f>IF(A1=75,0,H92+H91+H90)</f>
        <v>1036139.6399999999</v>
      </c>
      <c r="N93" s="59" t="s">
        <v>120</v>
      </c>
      <c r="O93" s="60">
        <f>SUM(O90:O92)</f>
        <v>0</v>
      </c>
      <c r="P93" s="491" t="s">
        <v>18</v>
      </c>
      <c r="Q93" s="492"/>
      <c r="R93" s="492"/>
      <c r="S93" s="492"/>
      <c r="T93" s="492"/>
      <c r="U93" s="99">
        <f>IF(N1=75,0,T92+T91+T90)</f>
        <v>0</v>
      </c>
    </row>
    <row r="94" spans="1:21" ht="16.5" thickTop="1" x14ac:dyDescent="0.25">
      <c r="A94" s="540" t="s">
        <v>90</v>
      </c>
      <c r="B94" s="540"/>
      <c r="C94" s="540"/>
      <c r="D94" s="540"/>
      <c r="E94" s="540"/>
      <c r="F94" s="540"/>
      <c r="G94" s="540"/>
      <c r="H94" s="540"/>
      <c r="I94" s="540"/>
      <c r="N94" s="493" t="s">
        <v>90</v>
      </c>
      <c r="O94" s="493"/>
      <c r="P94" s="493"/>
      <c r="Q94" s="493"/>
      <c r="R94" s="493"/>
      <c r="S94" s="493"/>
      <c r="T94" s="493"/>
      <c r="U94" s="493"/>
    </row>
    <row r="95" spans="1:21" x14ac:dyDescent="0.25">
      <c r="A95" s="145"/>
      <c r="B95" s="145"/>
      <c r="C95" s="145"/>
      <c r="D95" s="145"/>
      <c r="E95" s="145"/>
      <c r="F95" s="145"/>
      <c r="G95" s="145"/>
      <c r="H95" s="145"/>
      <c r="I95" s="145"/>
      <c r="N95" s="146"/>
      <c r="O95" s="146"/>
      <c r="P95" s="146"/>
      <c r="Q95" s="146"/>
      <c r="R95" s="146"/>
      <c r="S95" s="146"/>
      <c r="T95" s="146"/>
      <c r="U95" s="146"/>
    </row>
    <row r="96" spans="1:21" x14ac:dyDescent="0.25">
      <c r="A96" s="84" t="s">
        <v>446</v>
      </c>
      <c r="C96" s="46"/>
      <c r="D96" s="72"/>
      <c r="E96" s="46" t="s">
        <v>100</v>
      </c>
      <c r="F96" s="471"/>
      <c r="G96" s="471"/>
      <c r="H96" s="471"/>
      <c r="I96" s="471"/>
      <c r="N96" s="478" t="s">
        <v>426</v>
      </c>
      <c r="O96" s="479"/>
      <c r="P96" s="479"/>
      <c r="Q96" s="494"/>
      <c r="R96" s="494"/>
      <c r="S96" s="494"/>
      <c r="T96" s="494"/>
      <c r="U96" s="106"/>
    </row>
    <row r="97" spans="1:21" x14ac:dyDescent="0.25">
      <c r="B97" s="72"/>
      <c r="C97" s="91" t="s">
        <v>409</v>
      </c>
      <c r="D97" s="371" t="s">
        <v>410</v>
      </c>
      <c r="E97" s="92" t="s">
        <v>151</v>
      </c>
      <c r="F97" s="46"/>
      <c r="G97" s="46"/>
      <c r="H97" s="46"/>
      <c r="I97" s="46"/>
      <c r="N97" s="48"/>
      <c r="O97" s="48"/>
      <c r="P97" s="48"/>
      <c r="Q97" s="147"/>
      <c r="R97" s="147"/>
      <c r="S97" s="147"/>
      <c r="T97" s="147"/>
      <c r="U97" s="106"/>
    </row>
    <row r="98" spans="1:21" x14ac:dyDescent="0.25">
      <c r="B98" s="72"/>
      <c r="C98" s="362" t="s">
        <v>2</v>
      </c>
      <c r="D98" s="362" t="s">
        <v>2</v>
      </c>
      <c r="E98" s="362" t="s">
        <v>2</v>
      </c>
      <c r="F98" s="46"/>
      <c r="G98" s="46"/>
      <c r="H98" s="46"/>
      <c r="I98" s="46"/>
      <c r="N98" s="48"/>
      <c r="O98" s="48"/>
      <c r="P98" s="48"/>
      <c r="Q98" s="147"/>
      <c r="R98" s="147"/>
      <c r="S98" s="147"/>
      <c r="T98" s="147"/>
      <c r="U98" s="106"/>
    </row>
    <row r="99" spans="1:21" x14ac:dyDescent="0.25">
      <c r="A99" s="536" t="s">
        <v>470</v>
      </c>
      <c r="B99" s="461"/>
      <c r="C99" s="165">
        <v>46</v>
      </c>
      <c r="D99" s="165">
        <v>0</v>
      </c>
      <c r="E99" s="125">
        <f>C99</f>
        <v>46</v>
      </c>
      <c r="F99" s="148" t="s">
        <v>39</v>
      </c>
      <c r="G99" s="339">
        <f>'0664'!G99</f>
        <v>558</v>
      </c>
      <c r="I99" s="104">
        <f>ROUND(G99*E99,2)</f>
        <v>25668</v>
      </c>
      <c r="N99" s="488" t="s">
        <v>65</v>
      </c>
      <c r="O99" s="488"/>
      <c r="P99" s="489">
        <f>IF(H120=1,E99,0)</f>
        <v>0</v>
      </c>
      <c r="Q99" s="489"/>
      <c r="R99" s="489"/>
      <c r="S99" s="86" t="s">
        <v>39</v>
      </c>
      <c r="T99" s="61">
        <f>G99</f>
        <v>558</v>
      </c>
      <c r="U99" s="99">
        <f>ROUND(T99*P99,0)</f>
        <v>0</v>
      </c>
    </row>
    <row r="100" spans="1:21" x14ac:dyDescent="0.25">
      <c r="A100" s="536" t="s">
        <v>471</v>
      </c>
      <c r="B100" s="461"/>
      <c r="C100" s="165">
        <v>0</v>
      </c>
      <c r="D100" s="165">
        <v>0</v>
      </c>
      <c r="E100" s="125">
        <f>C100</f>
        <v>0</v>
      </c>
      <c r="F100" s="148" t="s">
        <v>39</v>
      </c>
      <c r="G100" s="339">
        <f>'0664'!G100</f>
        <v>1707</v>
      </c>
      <c r="I100" s="104">
        <f>ROUND(G100*E100,2)</f>
        <v>0</v>
      </c>
      <c r="N100" s="488" t="s">
        <v>81</v>
      </c>
      <c r="O100" s="488"/>
      <c r="P100" s="483"/>
      <c r="Q100" s="483"/>
      <c r="R100" s="483"/>
      <c r="S100" s="86" t="s">
        <v>39</v>
      </c>
      <c r="T100" s="61">
        <f>G100</f>
        <v>1707</v>
      </c>
      <c r="U100" s="99">
        <f>ROUND(T100*P100,0)</f>
        <v>0</v>
      </c>
    </row>
    <row r="101" spans="1:21" x14ac:dyDescent="0.25">
      <c r="A101" s="149"/>
      <c r="B101" s="149"/>
      <c r="C101" s="68"/>
      <c r="D101" s="68"/>
      <c r="E101" s="68"/>
      <c r="F101" s="68"/>
      <c r="G101" s="150"/>
      <c r="H101" s="151"/>
      <c r="I101" s="104"/>
      <c r="N101" s="152"/>
      <c r="O101" s="152"/>
      <c r="P101" s="153"/>
      <c r="Q101" s="153"/>
      <c r="R101" s="153"/>
      <c r="S101" s="86"/>
      <c r="T101" s="61"/>
      <c r="U101" s="106"/>
    </row>
    <row r="102" spans="1:21" x14ac:dyDescent="0.25">
      <c r="A102" s="149"/>
      <c r="B102" s="149"/>
      <c r="C102" s="68"/>
      <c r="D102" s="68"/>
      <c r="E102" s="68"/>
      <c r="F102" s="68"/>
      <c r="G102" s="150"/>
      <c r="H102" s="151"/>
      <c r="I102" s="104"/>
      <c r="N102" s="152"/>
      <c r="O102" s="152"/>
      <c r="P102" s="153"/>
      <c r="Q102" s="153"/>
      <c r="R102" s="153"/>
      <c r="S102" s="86"/>
      <c r="T102" s="61"/>
      <c r="U102" s="106"/>
    </row>
    <row r="103" spans="1:21" hidden="1" x14ac:dyDescent="0.25">
      <c r="A103" s="463" t="s">
        <v>447</v>
      </c>
      <c r="B103" s="453"/>
      <c r="C103" s="453"/>
      <c r="D103" s="72"/>
      <c r="E103" s="41" t="s">
        <v>41</v>
      </c>
      <c r="F103" s="466"/>
      <c r="G103" s="466"/>
      <c r="H103" s="466"/>
      <c r="I103" s="466"/>
      <c r="N103" s="478" t="s">
        <v>362</v>
      </c>
      <c r="O103" s="479"/>
      <c r="P103" s="479"/>
      <c r="Q103" s="479"/>
      <c r="R103" s="479"/>
      <c r="S103" s="479"/>
      <c r="T103" s="479"/>
      <c r="U103" s="479"/>
    </row>
    <row r="104" spans="1:21" hidden="1" x14ac:dyDescent="0.25">
      <c r="B104" s="72"/>
      <c r="C104" s="462" t="s">
        <v>91</v>
      </c>
      <c r="D104" s="462"/>
      <c r="E104" s="462"/>
      <c r="F104" s="39"/>
      <c r="G104" s="39"/>
      <c r="H104" s="41" t="s">
        <v>152</v>
      </c>
      <c r="I104" s="39"/>
      <c r="N104" s="48"/>
      <c r="O104" s="48"/>
      <c r="P104" s="48"/>
      <c r="Q104" s="48"/>
      <c r="R104" s="48"/>
      <c r="S104" s="48"/>
      <c r="T104" s="48"/>
      <c r="U104" s="48"/>
    </row>
    <row r="105" spans="1:21" hidden="1" x14ac:dyDescent="0.25">
      <c r="B105" s="72"/>
      <c r="C105" s="91" t="s">
        <v>371</v>
      </c>
      <c r="D105" s="91" t="s">
        <v>351</v>
      </c>
      <c r="E105" s="159" t="s">
        <v>8</v>
      </c>
      <c r="F105" s="464" t="s">
        <v>153</v>
      </c>
      <c r="G105" s="466"/>
      <c r="H105" s="39" t="s">
        <v>38</v>
      </c>
      <c r="I105" s="39"/>
      <c r="N105" s="48"/>
      <c r="O105" s="48"/>
      <c r="P105" s="48"/>
      <c r="Q105" s="48"/>
      <c r="R105" s="48"/>
      <c r="S105" s="48"/>
      <c r="T105" s="48"/>
      <c r="U105" s="48"/>
    </row>
    <row r="106" spans="1:21" hidden="1" x14ac:dyDescent="0.25">
      <c r="A106" s="462" t="s">
        <v>94</v>
      </c>
      <c r="B106" s="462"/>
      <c r="C106" s="93" t="s">
        <v>2</v>
      </c>
      <c r="D106" s="93" t="s">
        <v>2</v>
      </c>
      <c r="E106" s="62" t="s">
        <v>2</v>
      </c>
      <c r="F106" s="462" t="s">
        <v>37</v>
      </c>
      <c r="G106" s="462"/>
      <c r="H106" s="62" t="s">
        <v>37</v>
      </c>
      <c r="I106" s="62" t="s">
        <v>8</v>
      </c>
      <c r="N106" s="484" t="s">
        <v>66</v>
      </c>
      <c r="O106" s="484"/>
      <c r="P106" s="489" t="s">
        <v>91</v>
      </c>
      <c r="Q106" s="489"/>
      <c r="R106" s="484" t="s">
        <v>67</v>
      </c>
      <c r="S106" s="484"/>
      <c r="T106" s="63" t="s">
        <v>68</v>
      </c>
      <c r="U106" s="63" t="s">
        <v>8</v>
      </c>
    </row>
    <row r="107" spans="1:21" hidden="1" x14ac:dyDescent="0.25">
      <c r="A107" s="473" t="s">
        <v>69</v>
      </c>
      <c r="B107" s="473"/>
      <c r="C107" s="163">
        <v>0</v>
      </c>
      <c r="D107" s="163">
        <v>0</v>
      </c>
      <c r="E107" s="210">
        <f>IF(D$59=0,C107*2,C107+D107)</f>
        <v>0</v>
      </c>
      <c r="F107" s="474">
        <v>0</v>
      </c>
      <c r="G107" s="474"/>
      <c r="H107" s="250">
        <f>IF(C107=0,0,125)</f>
        <v>0</v>
      </c>
      <c r="I107" s="104">
        <f>ROUND((H107+F107)*E107,2)</f>
        <v>0</v>
      </c>
      <c r="N107" s="479" t="s">
        <v>69</v>
      </c>
      <c r="O107" s="479"/>
      <c r="P107" s="483">
        <f>IF(H$120=1,C107,0)</f>
        <v>0</v>
      </c>
      <c r="Q107" s="483"/>
      <c r="R107" s="486">
        <f>F107</f>
        <v>0</v>
      </c>
      <c r="S107" s="486"/>
      <c r="T107" s="65">
        <f>H107</f>
        <v>0</v>
      </c>
      <c r="U107" s="99">
        <f>ROUND((T107+R107)*P107,0)</f>
        <v>0</v>
      </c>
    </row>
    <row r="108" spans="1:21" hidden="1" x14ac:dyDescent="0.25">
      <c r="A108" s="456" t="s">
        <v>70</v>
      </c>
      <c r="B108" s="456"/>
      <c r="C108" s="165">
        <v>0</v>
      </c>
      <c r="D108" s="165">
        <v>0</v>
      </c>
      <c r="E108" s="125">
        <f>IF(D$59=0,C108*2,C108+D108)</f>
        <v>0</v>
      </c>
      <c r="F108" s="468">
        <f>ROUND(F107/2,2)</f>
        <v>0</v>
      </c>
      <c r="G108" s="468"/>
      <c r="H108" s="250">
        <f>IF(C108=0,0,62.5)</f>
        <v>0</v>
      </c>
      <c r="I108" s="104">
        <f>ROUND((H108+F108)*E108,2)</f>
        <v>0</v>
      </c>
      <c r="N108" s="479" t="s">
        <v>70</v>
      </c>
      <c r="O108" s="479"/>
      <c r="P108" s="483">
        <f>IF(H$120=1,C108,0)</f>
        <v>0</v>
      </c>
      <c r="Q108" s="483"/>
      <c r="R108" s="487">
        <f>ROUND(R107/2,2)</f>
        <v>0</v>
      </c>
      <c r="S108" s="487"/>
      <c r="T108" s="65">
        <f>H108</f>
        <v>0</v>
      </c>
      <c r="U108" s="99">
        <f>ROUND((T108+R108)*P108,0)</f>
        <v>0</v>
      </c>
    </row>
    <row r="109" spans="1:21" ht="16.5" hidden="1" thickBot="1" x14ac:dyDescent="0.3">
      <c r="A109" s="456" t="s">
        <v>71</v>
      </c>
      <c r="B109" s="456"/>
      <c r="C109" s="165">
        <v>0</v>
      </c>
      <c r="D109" s="165">
        <v>0</v>
      </c>
      <c r="E109" s="125">
        <f>IF(D$59=0,C109*2,C109+D109)</f>
        <v>0</v>
      </c>
      <c r="F109" s="475"/>
      <c r="G109" s="475"/>
      <c r="H109" s="251">
        <f>IF(H107&gt;0,436,0)</f>
        <v>0</v>
      </c>
      <c r="I109" s="104">
        <f>ROUND(H109*E109,2)</f>
        <v>0</v>
      </c>
      <c r="N109" s="482" t="s">
        <v>71</v>
      </c>
      <c r="O109" s="482"/>
      <c r="P109" s="483">
        <f>IF(H$120=1,C109,0)</f>
        <v>0</v>
      </c>
      <c r="Q109" s="483"/>
      <c r="R109" s="484"/>
      <c r="S109" s="484"/>
      <c r="T109" s="67">
        <f>H109</f>
        <v>0</v>
      </c>
      <c r="U109" s="106">
        <f>ROUND(T109*P109,0)</f>
        <v>0</v>
      </c>
    </row>
    <row r="110" spans="1:21" ht="16.5" hidden="1" thickBot="1" x14ac:dyDescent="0.3">
      <c r="A110" s="466" t="s">
        <v>8</v>
      </c>
      <c r="B110" s="466"/>
      <c r="C110" s="68"/>
      <c r="D110" s="68"/>
      <c r="E110" s="68"/>
      <c r="F110" s="68"/>
      <c r="G110" s="68"/>
      <c r="H110" s="68"/>
      <c r="I110" s="100">
        <f>SUM(I107:I109)</f>
        <v>0</v>
      </c>
      <c r="N110" s="485" t="s">
        <v>8</v>
      </c>
      <c r="O110" s="485"/>
      <c r="P110" s="69"/>
      <c r="Q110" s="69"/>
      <c r="R110" s="69"/>
      <c r="S110" s="69"/>
      <c r="T110" s="69"/>
      <c r="U110" s="70">
        <f>SUM(U107:U109)</f>
        <v>0</v>
      </c>
    </row>
    <row r="111" spans="1:21" hidden="1" x14ac:dyDescent="0.25">
      <c r="A111" s="39"/>
      <c r="B111" s="39"/>
      <c r="C111" s="68"/>
      <c r="D111" s="68"/>
      <c r="E111" s="68"/>
      <c r="F111" s="68"/>
      <c r="G111" s="68"/>
      <c r="H111" s="68"/>
      <c r="I111" s="104"/>
      <c r="N111" s="40"/>
      <c r="O111" s="40"/>
      <c r="P111" s="69"/>
      <c r="Q111" s="69"/>
      <c r="R111" s="69"/>
      <c r="S111" s="69"/>
      <c r="T111" s="69"/>
      <c r="U111" s="160"/>
    </row>
    <row r="112" spans="1:21" x14ac:dyDescent="0.25">
      <c r="A112" s="463" t="s">
        <v>448</v>
      </c>
      <c r="B112" s="453"/>
      <c r="C112" s="453"/>
      <c r="D112" s="72"/>
      <c r="E112" s="71" t="s">
        <v>354</v>
      </c>
      <c r="F112" s="472"/>
      <c r="G112" s="472"/>
      <c r="H112" s="472"/>
      <c r="I112" s="125">
        <v>0</v>
      </c>
      <c r="N112" s="478" t="s">
        <v>427</v>
      </c>
      <c r="O112" s="479"/>
      <c r="P112" s="479"/>
      <c r="Q112" s="341"/>
      <c r="R112" s="341"/>
      <c r="S112" s="341"/>
      <c r="T112" s="341"/>
      <c r="U112" s="99">
        <f>IF($H$120=1,I112,0)</f>
        <v>0</v>
      </c>
    </row>
    <row r="113" spans="1:21" x14ac:dyDescent="0.25">
      <c r="A113" s="463" t="s">
        <v>449</v>
      </c>
      <c r="B113" s="453"/>
      <c r="C113" s="453"/>
      <c r="D113" s="72"/>
      <c r="E113" s="71" t="s">
        <v>45</v>
      </c>
      <c r="F113" s="472"/>
      <c r="G113" s="472"/>
      <c r="H113" s="472"/>
      <c r="I113" s="177">
        <v>0</v>
      </c>
      <c r="N113" s="478" t="s">
        <v>428</v>
      </c>
      <c r="O113" s="479"/>
      <c r="P113" s="479"/>
      <c r="Q113" s="341"/>
      <c r="R113" s="341"/>
      <c r="S113" s="341"/>
      <c r="T113" s="341"/>
      <c r="U113" s="99">
        <f>IF($H$120=1,I113,0)</f>
        <v>0</v>
      </c>
    </row>
    <row r="114" spans="1:21" ht="16.5" thickBot="1" x14ac:dyDescent="0.3">
      <c r="B114" s="72"/>
      <c r="C114" s="72"/>
      <c r="D114" s="72"/>
      <c r="E114" s="71"/>
      <c r="F114" s="71"/>
      <c r="G114" s="71"/>
      <c r="H114" s="71"/>
      <c r="I114" s="125"/>
      <c r="N114" s="480" t="s">
        <v>42</v>
      </c>
      <c r="O114" s="480"/>
      <c r="P114" s="480"/>
      <c r="Q114" s="480"/>
      <c r="R114" s="480"/>
      <c r="S114" s="480"/>
      <c r="T114" s="480"/>
      <c r="U114" s="154">
        <f>SUM(U112,U110,U100,U99,U93,U77,U76,U74,U73,U72,U71,U70,U68,U59,U45,U78,U79,U80,U85,U113)</f>
        <v>0</v>
      </c>
    </row>
    <row r="115" spans="1:21" ht="16.5" thickTop="1" x14ac:dyDescent="0.25">
      <c r="A115" s="461" t="s">
        <v>8</v>
      </c>
      <c r="B115" s="461"/>
      <c r="C115" s="461"/>
      <c r="D115" s="461"/>
      <c r="E115" s="461"/>
      <c r="F115" s="461"/>
      <c r="G115" s="461"/>
      <c r="H115" s="461"/>
      <c r="I115" s="97">
        <f>SUM(I113,I112,I110,I100,I99,I93,I85,I84,I80,I79,I78,I77,I76,I74,I73,I72,I71,I70,I68,I59,I45)</f>
        <v>8031289.7599999998</v>
      </c>
      <c r="N115" s="29"/>
      <c r="O115" s="29"/>
      <c r="P115" s="29"/>
      <c r="Q115" s="29"/>
      <c r="R115" s="29"/>
      <c r="S115" s="29"/>
      <c r="T115" s="29"/>
      <c r="U115" s="160"/>
    </row>
    <row r="116" spans="1:21" x14ac:dyDescent="0.25">
      <c r="A116" s="27"/>
      <c r="B116" s="27"/>
      <c r="C116" s="27"/>
      <c r="D116" s="27"/>
      <c r="E116" s="27"/>
      <c r="F116" s="27"/>
      <c r="G116" s="27"/>
      <c r="H116" s="27"/>
      <c r="I116" s="104"/>
      <c r="N116" s="29"/>
      <c r="O116" s="29"/>
      <c r="P116" s="29"/>
      <c r="Q116" s="29"/>
      <c r="R116" s="29"/>
      <c r="S116" s="29"/>
      <c r="T116" s="29"/>
      <c r="U116" s="160"/>
    </row>
    <row r="117" spans="1:21" x14ac:dyDescent="0.25">
      <c r="A117" s="432" t="s">
        <v>467</v>
      </c>
      <c r="B117" s="27"/>
      <c r="C117" s="27"/>
      <c r="D117" s="27"/>
      <c r="E117" s="27"/>
      <c r="F117" s="27"/>
      <c r="G117" s="27"/>
      <c r="H117" s="27"/>
      <c r="I117" s="104">
        <f>I115-I84</f>
        <v>7768341.2999999998</v>
      </c>
      <c r="N117" s="29"/>
      <c r="O117" s="29"/>
      <c r="P117" s="29"/>
      <c r="Q117" s="29"/>
      <c r="R117" s="29"/>
      <c r="S117" s="29"/>
      <c r="T117" s="29"/>
      <c r="U117" s="160"/>
    </row>
    <row r="118" spans="1:21" x14ac:dyDescent="0.25">
      <c r="A118" s="27"/>
      <c r="B118" s="27"/>
      <c r="C118" s="27"/>
      <c r="D118" s="27"/>
      <c r="E118" s="27"/>
      <c r="F118" s="27"/>
      <c r="G118" s="27"/>
      <c r="H118" s="27"/>
      <c r="I118" s="104"/>
      <c r="N118" s="29"/>
      <c r="O118" s="29"/>
      <c r="P118" s="29"/>
      <c r="Q118" s="29"/>
      <c r="R118" s="29"/>
      <c r="S118" s="29"/>
      <c r="T118" s="29"/>
      <c r="U118" s="160"/>
    </row>
    <row r="119" spans="1:21" x14ac:dyDescent="0.25">
      <c r="A119" s="463" t="s">
        <v>468</v>
      </c>
      <c r="B119" s="453"/>
      <c r="C119" s="453"/>
      <c r="D119" s="453"/>
      <c r="E119" s="453"/>
      <c r="F119" s="453"/>
      <c r="G119" s="453"/>
      <c r="H119" s="84" t="s">
        <v>394</v>
      </c>
      <c r="I119" s="156"/>
      <c r="N119" s="481"/>
      <c r="O119" s="481"/>
      <c r="P119" s="481"/>
      <c r="Q119" s="481"/>
      <c r="R119" s="481"/>
      <c r="S119" s="481"/>
      <c r="T119" s="481"/>
      <c r="U119" s="481"/>
    </row>
    <row r="120" spans="1:21" x14ac:dyDescent="0.25">
      <c r="A120" s="453" t="s">
        <v>95</v>
      </c>
      <c r="B120" s="453"/>
      <c r="C120" s="453"/>
      <c r="D120" s="453"/>
      <c r="E120" s="453"/>
      <c r="F120" s="453"/>
      <c r="G120" s="453"/>
      <c r="H120" s="73" t="str">
        <f>IF(E29=0,"",IF((E14+E16+SUM(E18:E24))/E29&gt;0.75,1,""))</f>
        <v/>
      </c>
      <c r="I120" s="125">
        <f>U114</f>
        <v>0</v>
      </c>
      <c r="N120" s="476" t="s">
        <v>7</v>
      </c>
      <c r="O120" s="476"/>
      <c r="P120" s="476"/>
      <c r="Q120" s="476"/>
      <c r="R120" s="476"/>
      <c r="S120" s="476"/>
      <c r="T120" s="476"/>
      <c r="U120" s="476"/>
    </row>
    <row r="121" spans="1:21" x14ac:dyDescent="0.25">
      <c r="B121" s="72"/>
      <c r="C121" s="72"/>
      <c r="D121" s="72"/>
      <c r="E121" s="72"/>
      <c r="F121" s="72"/>
      <c r="G121" s="72"/>
      <c r="H121" s="68"/>
      <c r="I121" s="104"/>
      <c r="N121" s="74" t="s">
        <v>106</v>
      </c>
      <c r="O121" s="74"/>
      <c r="P121" s="74"/>
      <c r="Q121" s="74"/>
      <c r="R121" s="74"/>
      <c r="S121" s="74"/>
      <c r="T121" s="74"/>
      <c r="U121" s="74"/>
    </row>
    <row r="122" spans="1:21" x14ac:dyDescent="0.25">
      <c r="A122" s="3" t="s">
        <v>102</v>
      </c>
      <c r="B122" s="72"/>
      <c r="C122" s="72"/>
      <c r="D122" s="72"/>
      <c r="E122" s="72"/>
      <c r="F122" s="72"/>
      <c r="G122" s="287" t="s">
        <v>290</v>
      </c>
      <c r="H122" s="161">
        <f>IF(H120=1,I120,I117)</f>
        <v>7768341.2999999998</v>
      </c>
      <c r="I122" s="97">
        <f>ROUND(IF(E29=0,0,IF(E29&gt;250,-(((250/E29)*H122)*IF(G122="H",0.02,0.05)),IF(G122="H",-0.02*H122,-0.05*H122))),2)</f>
        <v>-38934.76</v>
      </c>
      <c r="N122" s="75" t="s">
        <v>107</v>
      </c>
      <c r="O122" s="74"/>
      <c r="P122" s="74"/>
      <c r="Q122" s="74"/>
      <c r="R122" s="74"/>
      <c r="S122" s="74"/>
      <c r="T122" s="74"/>
      <c r="U122" s="74"/>
    </row>
    <row r="123" spans="1:21" x14ac:dyDescent="0.25">
      <c r="B123" s="72"/>
      <c r="C123" s="72"/>
      <c r="D123" s="72"/>
      <c r="E123" s="72"/>
      <c r="F123" s="72"/>
      <c r="G123" s="72"/>
      <c r="H123" s="68"/>
      <c r="I123" s="104"/>
      <c r="N123" s="76"/>
      <c r="O123" s="76"/>
      <c r="P123" s="76"/>
      <c r="Q123" s="76"/>
      <c r="R123" s="76"/>
      <c r="S123" s="76"/>
      <c r="T123" s="76"/>
      <c r="U123" s="76"/>
    </row>
    <row r="124" spans="1:21" x14ac:dyDescent="0.25">
      <c r="A124" s="345" t="s">
        <v>103</v>
      </c>
      <c r="B124" s="346"/>
      <c r="C124" s="346"/>
      <c r="D124" s="346"/>
      <c r="E124" s="346"/>
      <c r="F124" s="346"/>
      <c r="G124" s="346"/>
      <c r="H124" s="347"/>
      <c r="I124" s="348">
        <f>I115+I122</f>
        <v>7992355</v>
      </c>
      <c r="N124" s="76"/>
      <c r="O124" s="76"/>
      <c r="P124" s="76"/>
      <c r="Q124" s="76"/>
      <c r="R124" s="76"/>
      <c r="S124" s="76"/>
      <c r="T124" s="76"/>
      <c r="U124" s="76"/>
    </row>
    <row r="125" spans="1:21" x14ac:dyDescent="0.25">
      <c r="B125" s="72"/>
      <c r="C125" s="72"/>
      <c r="D125" s="72"/>
      <c r="E125" s="72"/>
      <c r="F125" s="72"/>
      <c r="G125" s="72"/>
      <c r="H125" s="68"/>
      <c r="I125" s="104"/>
      <c r="N125" s="76"/>
      <c r="O125" s="76"/>
      <c r="P125" s="76"/>
      <c r="Q125" s="76"/>
      <c r="R125" s="76"/>
      <c r="S125" s="76"/>
      <c r="T125" s="76"/>
      <c r="U125" s="76"/>
    </row>
    <row r="126" spans="1:21" x14ac:dyDescent="0.25">
      <c r="A126" s="3" t="s">
        <v>104</v>
      </c>
      <c r="B126" s="72"/>
      <c r="C126" s="162"/>
      <c r="D126" s="72"/>
      <c r="F126" s="72"/>
      <c r="G126" s="72"/>
      <c r="H126" s="68"/>
      <c r="I126" s="302">
        <v>-5978406.9100000001</v>
      </c>
      <c r="N126" s="76"/>
      <c r="O126" s="76"/>
      <c r="P126" s="76"/>
      <c r="Q126" s="76"/>
      <c r="R126" s="76"/>
      <c r="S126" s="76"/>
      <c r="T126" s="76"/>
      <c r="U126" s="76"/>
    </row>
    <row r="127" spans="1:21" x14ac:dyDescent="0.25">
      <c r="B127" s="72"/>
      <c r="C127" s="72"/>
      <c r="D127" s="72"/>
      <c r="E127" s="72"/>
      <c r="F127" s="72"/>
      <c r="G127" s="72"/>
      <c r="H127" s="68"/>
      <c r="I127" s="104"/>
      <c r="N127" s="76"/>
      <c r="O127" s="76"/>
      <c r="P127" s="76"/>
      <c r="Q127" s="76"/>
      <c r="R127" s="76"/>
      <c r="S127" s="76"/>
      <c r="T127" s="76"/>
      <c r="U127" s="76"/>
    </row>
    <row r="128" spans="1:21" x14ac:dyDescent="0.25">
      <c r="A128" s="84" t="s">
        <v>297</v>
      </c>
      <c r="B128" s="72"/>
      <c r="C128" s="72"/>
      <c r="D128" s="72"/>
      <c r="E128" s="72"/>
      <c r="F128" s="72"/>
      <c r="G128" s="72"/>
      <c r="H128" s="68"/>
      <c r="I128" s="104">
        <f>I124+I126</f>
        <v>2013948.0899999999</v>
      </c>
      <c r="N128" s="76"/>
      <c r="O128" s="76"/>
      <c r="P128" s="76"/>
      <c r="Q128" s="76"/>
      <c r="R128" s="76"/>
      <c r="S128" s="76"/>
      <c r="T128" s="76"/>
      <c r="U128" s="76"/>
    </row>
    <row r="129" spans="1:21" x14ac:dyDescent="0.25">
      <c r="A129" s="84"/>
      <c r="B129" s="72"/>
      <c r="C129" s="72"/>
      <c r="D129" s="72"/>
      <c r="E129" s="72"/>
      <c r="F129" s="72"/>
      <c r="G129" s="72"/>
      <c r="H129" s="68"/>
      <c r="I129" s="104"/>
      <c r="N129" s="76"/>
      <c r="O129" s="76"/>
      <c r="P129" s="76"/>
      <c r="Q129" s="76"/>
      <c r="R129" s="76"/>
      <c r="S129" s="76"/>
      <c r="T129" s="76"/>
      <c r="U129" s="76"/>
    </row>
    <row r="130" spans="1:21" x14ac:dyDescent="0.25">
      <c r="A130" s="84" t="s">
        <v>298</v>
      </c>
      <c r="B130" s="72"/>
      <c r="C130" s="72"/>
      <c r="D130" s="72"/>
      <c r="E130" s="72"/>
      <c r="F130" s="72"/>
      <c r="G130" s="72"/>
      <c r="H130" s="68"/>
      <c r="I130" s="303">
        <f>'0664'!I130</f>
        <v>3</v>
      </c>
      <c r="N130" s="76"/>
      <c r="O130" s="76"/>
      <c r="P130" s="76"/>
      <c r="Q130" s="76"/>
      <c r="R130" s="76"/>
      <c r="S130" s="76"/>
      <c r="T130" s="76"/>
      <c r="U130" s="76"/>
    </row>
    <row r="131" spans="1:21" x14ac:dyDescent="0.25">
      <c r="B131" s="72"/>
      <c r="C131" s="72"/>
      <c r="D131" s="72"/>
      <c r="E131" s="72"/>
      <c r="F131" s="72"/>
      <c r="G131" s="72"/>
      <c r="H131" s="68"/>
      <c r="I131" s="104"/>
      <c r="N131" s="76"/>
      <c r="O131" s="76"/>
      <c r="P131" s="76"/>
      <c r="Q131" s="76"/>
      <c r="R131" s="76"/>
      <c r="S131" s="76"/>
      <c r="T131" s="76"/>
      <c r="U131" s="76"/>
    </row>
    <row r="132" spans="1:21" ht="16.5" thickBot="1" x14ac:dyDescent="0.3">
      <c r="A132" s="3" t="s">
        <v>105</v>
      </c>
      <c r="B132" s="72"/>
      <c r="C132" s="72"/>
      <c r="D132" s="72"/>
      <c r="E132" s="72"/>
      <c r="F132" s="72"/>
      <c r="G132" s="72"/>
      <c r="H132" s="68"/>
      <c r="I132" s="178">
        <f>ROUND(I128/I130,2)</f>
        <v>671316.03</v>
      </c>
      <c r="N132" s="76"/>
      <c r="O132" s="76"/>
      <c r="P132" s="76"/>
      <c r="Q132" s="76"/>
      <c r="R132" s="76"/>
      <c r="S132" s="76"/>
      <c r="T132" s="76"/>
      <c r="U132" s="76"/>
    </row>
    <row r="133" spans="1:21" ht="16.5" thickTop="1" x14ac:dyDescent="0.25">
      <c r="B133" s="72"/>
      <c r="C133" s="72"/>
      <c r="D133" s="72"/>
      <c r="E133" s="72"/>
      <c r="F133" s="72"/>
      <c r="G133" s="72"/>
      <c r="H133" s="68"/>
      <c r="I133" s="104"/>
      <c r="N133" s="76"/>
      <c r="O133" s="76"/>
      <c r="P133" s="76"/>
      <c r="Q133" s="76"/>
      <c r="R133" s="76"/>
      <c r="S133" s="76"/>
      <c r="T133" s="76"/>
      <c r="U133" s="76"/>
    </row>
    <row r="134" spans="1:21" ht="16.5" thickBot="1" x14ac:dyDescent="0.3">
      <c r="A134" s="3" t="s">
        <v>121</v>
      </c>
      <c r="B134" s="72"/>
      <c r="C134" s="72"/>
      <c r="D134" s="72"/>
      <c r="E134" s="72"/>
      <c r="F134" s="72"/>
      <c r="G134" s="72"/>
      <c r="H134" s="68"/>
      <c r="I134" s="155">
        <f>ROUND(IF(G122="H",(H122*0.02)+I122,(H122*0.05)+I122),2)</f>
        <v>116432.07</v>
      </c>
      <c r="N134" s="76"/>
      <c r="O134" s="76"/>
      <c r="P134" s="76"/>
      <c r="Q134" s="76"/>
      <c r="R134" s="76"/>
      <c r="S134" s="76"/>
      <c r="T134" s="76"/>
      <c r="U134" s="76"/>
    </row>
    <row r="135" spans="1:21" ht="16.5" thickTop="1" x14ac:dyDescent="0.25">
      <c r="B135" s="72"/>
      <c r="C135" s="72"/>
      <c r="D135" s="72"/>
      <c r="E135" s="72"/>
      <c r="F135" s="72"/>
      <c r="G135" s="72"/>
      <c r="H135" s="68"/>
      <c r="I135" s="156"/>
      <c r="N135" s="76"/>
      <c r="O135" s="76"/>
      <c r="P135" s="76"/>
      <c r="Q135" s="76"/>
      <c r="R135" s="76"/>
      <c r="S135" s="76"/>
      <c r="T135" s="76"/>
      <c r="U135" s="76"/>
    </row>
    <row r="136" spans="1:21" x14ac:dyDescent="0.25">
      <c r="B136" s="72"/>
      <c r="C136" s="72"/>
      <c r="D136" s="72"/>
      <c r="E136" s="72"/>
      <c r="F136" s="72"/>
      <c r="G136" s="72"/>
      <c r="H136" s="68"/>
      <c r="I136" s="104"/>
      <c r="N136" s="76"/>
      <c r="O136" s="76"/>
      <c r="P136" s="76"/>
      <c r="Q136" s="76"/>
      <c r="R136" s="76"/>
      <c r="S136" s="76"/>
      <c r="T136" s="76"/>
      <c r="U136" s="76"/>
    </row>
    <row r="137" spans="1:21" x14ac:dyDescent="0.25">
      <c r="B137" s="72"/>
      <c r="C137" s="72"/>
      <c r="D137" s="72"/>
      <c r="E137" s="72"/>
      <c r="F137" s="72"/>
      <c r="G137" s="72"/>
      <c r="H137" s="68"/>
      <c r="I137" s="156"/>
      <c r="N137" s="76"/>
      <c r="O137" s="76"/>
      <c r="P137" s="76"/>
      <c r="Q137" s="76"/>
      <c r="R137" s="76"/>
      <c r="S137" s="76"/>
      <c r="T137" s="76"/>
      <c r="U137" s="76"/>
    </row>
    <row r="138" spans="1:21" x14ac:dyDescent="0.25">
      <c r="A138" s="281" t="s">
        <v>7</v>
      </c>
      <c r="B138" s="281"/>
      <c r="C138" s="281"/>
      <c r="D138" s="281"/>
      <c r="E138" s="281"/>
      <c r="F138" s="281"/>
      <c r="G138" s="281"/>
      <c r="H138" s="281"/>
      <c r="I138" s="281"/>
      <c r="J138" s="156"/>
      <c r="N138" s="76"/>
      <c r="O138" s="76"/>
      <c r="P138" s="76"/>
      <c r="Q138" s="76"/>
      <c r="R138" s="76"/>
      <c r="S138" s="76"/>
      <c r="T138" s="76"/>
      <c r="U138" s="76"/>
    </row>
    <row r="139" spans="1:21" ht="15.75" customHeight="1" x14ac:dyDescent="0.25">
      <c r="A139" s="356" t="str">
        <f>'0664'!A139</f>
        <v>(a) Additional FTE includes FTE earned through Advanced Placement, International Baccalaureate, Advanced International Certificate of Education, Industry Certified Career</v>
      </c>
      <c r="B139" s="357"/>
      <c r="C139" s="357"/>
      <c r="D139" s="357"/>
      <c r="E139" s="357"/>
      <c r="F139" s="357"/>
      <c r="G139" s="357"/>
      <c r="H139" s="357"/>
      <c r="I139" s="357"/>
      <c r="J139" s="80"/>
      <c r="K139" s="79"/>
      <c r="L139" s="79"/>
      <c r="M139" s="79"/>
      <c r="N139" s="477"/>
      <c r="O139" s="477"/>
      <c r="P139" s="477"/>
      <c r="Q139" s="477"/>
      <c r="R139" s="477"/>
      <c r="S139" s="477"/>
      <c r="T139" s="477"/>
      <c r="U139" s="477"/>
    </row>
    <row r="140" spans="1:21" ht="15.75" customHeight="1" x14ac:dyDescent="0.25">
      <c r="A140" s="390" t="str">
        <f>'0664'!A140</f>
        <v xml:space="preserve">Education (CAPE), Early High School Graduation and the small district ESE Supplement, pursuant to s. 1011.62(1)(l-p), F.S. </v>
      </c>
      <c r="B140" s="357"/>
      <c r="C140" s="357"/>
      <c r="D140" s="357"/>
      <c r="E140" s="357"/>
      <c r="F140" s="357"/>
      <c r="G140" s="357"/>
      <c r="H140" s="357"/>
      <c r="I140" s="357"/>
      <c r="J140" s="80"/>
      <c r="K140" s="79"/>
      <c r="L140" s="79"/>
      <c r="M140" s="79"/>
      <c r="N140" s="76"/>
      <c r="O140" s="76"/>
      <c r="P140" s="76"/>
      <c r="Q140" s="76"/>
      <c r="R140" s="76"/>
      <c r="S140" s="76"/>
      <c r="T140" s="76"/>
      <c r="U140" s="76"/>
    </row>
    <row r="141" spans="1:21" x14ac:dyDescent="0.25">
      <c r="A141" s="356" t="str">
        <f>'0664'!A141</f>
        <v>(b) District allocations multiplied by percentage from item 3A.</v>
      </c>
      <c r="B141" s="281"/>
      <c r="C141" s="281"/>
      <c r="D141" s="281"/>
      <c r="E141" s="281"/>
      <c r="F141" s="281"/>
      <c r="G141" s="281"/>
      <c r="H141" s="281"/>
      <c r="I141" s="281"/>
      <c r="J141" s="79"/>
      <c r="K141" s="79"/>
      <c r="L141" s="79"/>
      <c r="M141" s="79"/>
      <c r="N141" s="81"/>
      <c r="O141" s="82"/>
      <c r="P141" s="82"/>
      <c r="Q141" s="82"/>
      <c r="R141" s="82"/>
      <c r="S141" s="82"/>
      <c r="T141" s="82"/>
      <c r="U141" s="82"/>
    </row>
    <row r="142" spans="1:21" s="79" customFormat="1" x14ac:dyDescent="0.2">
      <c r="A142" s="356" t="str">
        <f>'0664'!A142</f>
        <v>(c) District allocations multiplied by percentage from item 3B.</v>
      </c>
      <c r="B142" s="281"/>
      <c r="C142" s="281"/>
      <c r="D142" s="281"/>
      <c r="E142" s="281"/>
      <c r="F142" s="281"/>
      <c r="G142" s="281"/>
      <c r="H142" s="281"/>
      <c r="I142" s="281"/>
      <c r="N142" s="81"/>
    </row>
    <row r="143" spans="1:21" s="79" customFormat="1" ht="15.75" customHeight="1" x14ac:dyDescent="0.2">
      <c r="A143" s="356" t="str">
        <f>'0664'!A143</f>
        <v>(d) The Digital Classroom Allocation is provided pursuant to s. 1011.62(12), F.S.</v>
      </c>
      <c r="B143" s="281"/>
      <c r="C143" s="281"/>
      <c r="D143" s="281"/>
      <c r="E143" s="281"/>
      <c r="F143" s="281"/>
      <c r="G143" s="281"/>
      <c r="H143" s="281"/>
      <c r="I143" s="281"/>
      <c r="N143" s="81"/>
    </row>
    <row r="144" spans="1:21" s="79" customFormat="1" ht="15.75" customHeight="1" x14ac:dyDescent="0.2">
      <c r="A144" s="356" t="str">
        <f>'0664'!A144</f>
        <v>(e) School districts are required to pay for instructional materials used for the instruction of public high school students who are earning credit toward high school</v>
      </c>
      <c r="B144" s="281"/>
      <c r="C144" s="281"/>
      <c r="D144" s="281"/>
      <c r="E144" s="281"/>
      <c r="F144" s="281"/>
      <c r="G144" s="281"/>
      <c r="H144" s="281"/>
      <c r="I144" s="281"/>
      <c r="N144" s="81"/>
    </row>
    <row r="145" spans="1:14" s="79" customFormat="1" ht="15.75" customHeight="1" x14ac:dyDescent="0.2">
      <c r="A145" s="390" t="str">
        <f>'0664'!A145</f>
        <v xml:space="preserve">graduation under the dual enrollment program as provided in s. 1011.62(l)(i), F.S.  </v>
      </c>
      <c r="B145" s="281"/>
      <c r="C145" s="281"/>
      <c r="D145" s="281"/>
      <c r="E145" s="281"/>
      <c r="F145" s="281"/>
      <c r="G145" s="281"/>
      <c r="H145" s="281"/>
      <c r="I145" s="281"/>
      <c r="N145" s="81"/>
    </row>
    <row r="146" spans="1:14" s="79" customFormat="1" x14ac:dyDescent="0.2">
      <c r="A146" s="356" t="str">
        <f>'0664'!A146</f>
        <v>(f) This allocation will be frozen as of the 2021-22 FEFP Second Calculation and will not be recalculated throughout the year. Charter school allocations should be</v>
      </c>
      <c r="B146" s="281"/>
      <c r="C146" s="281"/>
      <c r="D146" s="281"/>
      <c r="E146" s="281"/>
      <c r="F146" s="281"/>
      <c r="G146" s="281"/>
      <c r="H146" s="281"/>
      <c r="I146" s="281"/>
      <c r="N146" s="81"/>
    </row>
    <row r="147" spans="1:14" s="79" customFormat="1" x14ac:dyDescent="0.2">
      <c r="A147" s="358" t="str">
        <f>'0664'!A147</f>
        <v xml:space="preserve">distributed on weighted FTE (or base funding as is done in the FEFP) and should not be recalculated with fluctuations in student enrollment later in the year. </v>
      </c>
      <c r="B147" s="281"/>
      <c r="C147" s="281"/>
      <c r="D147" s="281"/>
      <c r="E147" s="281"/>
      <c r="F147" s="281"/>
      <c r="G147" s="281"/>
      <c r="H147" s="281"/>
      <c r="I147" s="281"/>
      <c r="N147" s="81"/>
    </row>
    <row r="148" spans="1:14" s="79" customFormat="1" x14ac:dyDescent="0.2">
      <c r="A148" s="356" t="str">
        <f>'0664'!A148</f>
        <v>(g) Numbers entered here will be multiplied by the district level transportation funding per rider. "All Adjusted Fundable Riders" should include both basic and ESE Riders.</v>
      </c>
      <c r="B148" s="281"/>
      <c r="C148" s="281"/>
      <c r="D148" s="281"/>
      <c r="E148" s="281"/>
      <c r="F148" s="281"/>
      <c r="G148" s="281"/>
      <c r="H148" s="281"/>
      <c r="I148" s="281"/>
      <c r="N148" s="81"/>
    </row>
    <row r="149" spans="1:14" s="79" customFormat="1" x14ac:dyDescent="0.2">
      <c r="A149" s="390" t="str">
        <f>'0664'!A149</f>
        <v>"All Adjusted ESE Riders" should include only ESE Riders.</v>
      </c>
      <c r="B149" s="281"/>
      <c r="C149" s="281"/>
      <c r="D149" s="281"/>
      <c r="E149" s="281"/>
      <c r="F149" s="281"/>
      <c r="G149" s="281"/>
      <c r="H149" s="281"/>
      <c r="I149" s="281"/>
      <c r="N149" s="81"/>
    </row>
    <row r="150" spans="1:14" s="79" customFormat="1" x14ac:dyDescent="0.2">
      <c r="A150" s="356" t="str">
        <f>'0664'!A150</f>
        <v xml:space="preserve">(h) The Federally Connected Student Supplement provides additional funding for students on federal lands that receive Section 8003 impact aide pursuant to s. 1011.62(13), F.S. </v>
      </c>
      <c r="B150" s="281"/>
      <c r="C150" s="281"/>
      <c r="D150" s="281"/>
      <c r="E150" s="281"/>
      <c r="F150" s="281"/>
      <c r="G150" s="281"/>
      <c r="H150" s="281"/>
      <c r="I150" s="281"/>
      <c r="N150" s="81"/>
    </row>
    <row r="151" spans="1:14" s="79" customFormat="1" x14ac:dyDescent="0.2">
      <c r="A151" s="356" t="str">
        <f>'0664'!A151</f>
        <v>(i) Teacher Classroom Supply Assistance Program allocation pursuant to s. 1012.71, F.S., for certified teachers employed by a public school district or public charter school</v>
      </c>
      <c r="B151" s="281"/>
      <c r="C151" s="281"/>
      <c r="D151" s="281"/>
      <c r="E151" s="281"/>
      <c r="F151" s="281"/>
      <c r="G151" s="281"/>
      <c r="H151" s="281"/>
      <c r="I151" s="281"/>
      <c r="N151" s="81"/>
    </row>
    <row r="152" spans="1:14" s="79" customFormat="1" x14ac:dyDescent="0.2">
      <c r="A152" s="358" t="str">
        <f>'0664'!A152</f>
        <v xml:space="preserve">before September 1 of each year whose full-time or job-share responsibility is the classroom instruction of students in prekindergarten through grade 12, including </v>
      </c>
      <c r="B152" s="281"/>
      <c r="C152" s="281"/>
      <c r="D152" s="281"/>
      <c r="E152" s="281"/>
      <c r="F152" s="281"/>
      <c r="G152" s="281"/>
      <c r="H152" s="281"/>
      <c r="I152" s="281"/>
      <c r="N152" s="81"/>
    </row>
    <row r="153" spans="1:14" s="79" customFormat="1" ht="15.75" customHeight="1" x14ac:dyDescent="0.2">
      <c r="A153" s="358" t="str">
        <f>'0664'!A153</f>
        <v>full-time media specialists and certified school counselors serving students in prekindergarten through grade 12, who are funded through the FEFP.</v>
      </c>
      <c r="B153" s="281"/>
      <c r="C153" s="281"/>
      <c r="D153" s="281"/>
      <c r="E153" s="281"/>
      <c r="F153" s="281"/>
      <c r="G153" s="281"/>
      <c r="H153" s="281"/>
      <c r="I153" s="281"/>
      <c r="N153" s="81"/>
    </row>
    <row r="154" spans="1:14" s="79" customFormat="1" ht="15.75" customHeight="1" x14ac:dyDescent="0.2">
      <c r="A154" s="356" t="str">
        <f>'0664'!A154</f>
        <v xml:space="preserve">(j) Funding based on student eligibility and meals provided, if participating in the National School Lunch Program. </v>
      </c>
      <c r="B154" s="328"/>
      <c r="C154" s="328"/>
      <c r="D154" s="328"/>
      <c r="E154" s="328"/>
      <c r="F154" s="328"/>
      <c r="G154" s="328"/>
      <c r="H154" s="328"/>
      <c r="I154" s="328"/>
      <c r="N154" s="81"/>
    </row>
    <row r="155" spans="1:14" s="79" customFormat="1" ht="15.75" customHeight="1" x14ac:dyDescent="0.2">
      <c r="A155" s="356" t="str">
        <f>'0664'!A155</f>
        <v>(k) Consistent with s. 1002.33(20)(a), F.S., for charter schools with a population of 75% or more ESE students, the administrative fee shall be calculated based on</v>
      </c>
      <c r="B155" s="381"/>
      <c r="C155" s="381"/>
      <c r="D155" s="381"/>
      <c r="E155" s="381"/>
      <c r="F155" s="381"/>
      <c r="G155" s="381"/>
      <c r="H155" s="381"/>
      <c r="I155" s="381"/>
      <c r="N155" s="81"/>
    </row>
    <row r="156" spans="1:14" s="79" customFormat="1" ht="15.75" customHeight="1" x14ac:dyDescent="0.2">
      <c r="A156" s="390" t="str">
        <f>'0664'!A156</f>
        <v xml:space="preserve">unweighted full-time equivalent students. </v>
      </c>
      <c r="B156" s="381"/>
      <c r="C156" s="381"/>
      <c r="D156" s="381"/>
      <c r="E156" s="381"/>
      <c r="F156" s="381"/>
      <c r="G156" s="381"/>
      <c r="H156" s="381"/>
      <c r="I156" s="381"/>
      <c r="N156" s="81"/>
    </row>
    <row r="157" spans="1:14" s="79" customFormat="1" ht="15.75" customHeight="1" x14ac:dyDescent="0.2">
      <c r="A157" s="356"/>
      <c r="B157" s="381"/>
      <c r="C157" s="381"/>
      <c r="D157" s="381"/>
      <c r="E157" s="381"/>
      <c r="F157" s="381"/>
      <c r="G157" s="381"/>
      <c r="H157" s="381"/>
      <c r="I157" s="381"/>
      <c r="N157" s="81"/>
    </row>
    <row r="158" spans="1:14" s="79" customFormat="1" ht="15.75" customHeight="1" x14ac:dyDescent="0.25">
      <c r="A158" s="398" t="str">
        <f>'0664'!A158</f>
        <v>Administrative fees:</v>
      </c>
      <c r="B158" s="328"/>
      <c r="C158" s="328"/>
      <c r="D158" s="328"/>
      <c r="E158" s="328"/>
      <c r="F158" s="328"/>
      <c r="G158" s="328"/>
      <c r="H158" s="328"/>
      <c r="I158" s="328"/>
      <c r="J158" s="3"/>
      <c r="K158" s="3"/>
      <c r="L158" s="3"/>
      <c r="M158" s="3"/>
      <c r="N158" s="81"/>
    </row>
    <row r="159" spans="1:14" s="79" customFormat="1" ht="15.75" customHeight="1" x14ac:dyDescent="0.25">
      <c r="A159" s="399" t="str">
        <f>'0664'!A159</f>
        <v xml:space="preserve">Administrative fees charged by the school district pursuant to s. 1002.33(20)(a), F.S., shall be calculated based upon 5% of available funds from the FEFP and categorical </v>
      </c>
      <c r="B159" s="328"/>
      <c r="C159" s="328"/>
      <c r="D159" s="328"/>
      <c r="E159" s="328"/>
      <c r="F159" s="328"/>
      <c r="G159" s="328"/>
      <c r="H159" s="328"/>
      <c r="I159" s="328"/>
      <c r="J159" s="3"/>
      <c r="K159" s="3"/>
      <c r="L159" s="3"/>
      <c r="M159" s="3"/>
      <c r="N159" s="81"/>
    </row>
    <row r="160" spans="1:14" s="79" customFormat="1" ht="15.75" customHeight="1" x14ac:dyDescent="0.25">
      <c r="A160" s="400" t="str">
        <f>'0664'!A160</f>
        <v>funding for which charter students may be eligible.  To calculate the administrative fee to be withheld for schools with more than 250 students, divide the school</v>
      </c>
      <c r="B160" s="328"/>
      <c r="C160" s="328"/>
      <c r="D160" s="328"/>
      <c r="E160" s="328"/>
      <c r="F160" s="328"/>
      <c r="G160" s="328"/>
      <c r="H160" s="328"/>
      <c r="I160" s="328"/>
      <c r="J160" s="3"/>
      <c r="K160" s="3"/>
      <c r="L160" s="3"/>
      <c r="M160" s="3"/>
      <c r="N160" s="81"/>
    </row>
    <row r="161" spans="1:21" s="79" customFormat="1" ht="15.75" customHeight="1" x14ac:dyDescent="0.25">
      <c r="A161" s="400" t="str">
        <f>'0664'!A161</f>
        <v xml:space="preserve">population into 250. Multiply that fraction times the funds available, then times 5%.  </v>
      </c>
      <c r="B161" s="328"/>
      <c r="C161" s="328"/>
      <c r="D161" s="328"/>
      <c r="E161" s="328"/>
      <c r="F161" s="328"/>
      <c r="G161" s="328"/>
      <c r="H161" s="328"/>
      <c r="I161" s="328"/>
      <c r="J161" s="3"/>
      <c r="K161" s="3"/>
      <c r="L161" s="3"/>
      <c r="M161" s="3"/>
      <c r="N161" s="81"/>
    </row>
    <row r="162" spans="1:21" s="79" customFormat="1" ht="15.75" customHeight="1" x14ac:dyDescent="0.25">
      <c r="A162" s="399"/>
      <c r="B162" s="394"/>
      <c r="C162" s="394"/>
      <c r="D162" s="394"/>
      <c r="E162" s="394"/>
      <c r="F162" s="394"/>
      <c r="G162" s="394"/>
      <c r="H162" s="394"/>
      <c r="I162" s="394"/>
      <c r="N162" s="77"/>
      <c r="O162" s="3"/>
      <c r="P162" s="3"/>
      <c r="Q162" s="3"/>
      <c r="R162" s="3"/>
      <c r="S162" s="3"/>
      <c r="T162" s="3"/>
      <c r="U162" s="3"/>
    </row>
    <row r="163" spans="1:21" ht="15.75" customHeight="1" x14ac:dyDescent="0.25">
      <c r="A163" s="399" t="str">
        <f>'0664'!A163</f>
        <v xml:space="preserve">For high performing charter schools, administrative fees charged by the school district shall be calculated based upon 2% of available funds from the FEFP and categorical </v>
      </c>
      <c r="B163" s="328"/>
      <c r="C163" s="328"/>
      <c r="D163" s="328"/>
      <c r="E163" s="328"/>
      <c r="F163" s="328"/>
      <c r="G163" s="328"/>
      <c r="H163" s="328"/>
      <c r="I163" s="328"/>
      <c r="J163" s="79"/>
      <c r="K163" s="79"/>
      <c r="L163" s="79"/>
      <c r="M163" s="79"/>
      <c r="N163" s="81"/>
      <c r="O163" s="79"/>
      <c r="P163" s="79"/>
      <c r="Q163" s="79"/>
      <c r="R163" s="79"/>
      <c r="S163" s="79"/>
      <c r="T163" s="79"/>
      <c r="U163" s="79"/>
    </row>
    <row r="164" spans="1:21" ht="15.75" customHeight="1" x14ac:dyDescent="0.25">
      <c r="A164" s="400" t="str">
        <f>'0664'!A164</f>
        <v>funding for which charter students may be eligible.  To calculate the administrative fee to be withheld for schools with more than 250 students, divide the school</v>
      </c>
      <c r="B164" s="381"/>
      <c r="C164" s="381"/>
      <c r="D164" s="381"/>
      <c r="E164" s="381"/>
      <c r="F164" s="381"/>
      <c r="G164" s="381"/>
      <c r="H164" s="381"/>
      <c r="I164" s="381"/>
      <c r="J164" s="79"/>
      <c r="K164" s="79"/>
      <c r="L164" s="79"/>
      <c r="M164" s="79"/>
      <c r="N164" s="81"/>
      <c r="O164" s="79"/>
      <c r="P164" s="79"/>
      <c r="Q164" s="79"/>
      <c r="R164" s="79"/>
      <c r="S164" s="79"/>
      <c r="T164" s="79"/>
      <c r="U164" s="79"/>
    </row>
    <row r="165" spans="1:21" s="79" customFormat="1" ht="15.75" customHeight="1" x14ac:dyDescent="0.2">
      <c r="A165" s="400" t="str">
        <f>'0664'!A165</f>
        <v xml:space="preserve">population into 250. Multiply that fraction times the funds available, then times 2%.  </v>
      </c>
      <c r="B165" s="328"/>
      <c r="C165" s="328"/>
      <c r="D165" s="328"/>
      <c r="E165" s="328"/>
      <c r="F165" s="328"/>
      <c r="G165" s="328"/>
      <c r="H165" s="328"/>
      <c r="I165" s="328"/>
      <c r="N165" s="81"/>
    </row>
    <row r="166" spans="1:21" x14ac:dyDescent="0.25">
      <c r="A166" s="356"/>
      <c r="N166" s="77"/>
    </row>
    <row r="167" spans="1:21" x14ac:dyDescent="0.25">
      <c r="A167" s="398" t="str">
        <f>'0664'!A167</f>
        <v>Other:</v>
      </c>
      <c r="N167" s="77"/>
    </row>
    <row r="168" spans="1:21" x14ac:dyDescent="0.25">
      <c r="A168" s="399" t="str">
        <f>'0664'!A168</f>
        <v>FEFP and categorical funding are recalculated during the year to reflect the revised number of full-time equivalent students reported during the survey periods designated</v>
      </c>
      <c r="N168" s="77"/>
    </row>
    <row r="169" spans="1:21" x14ac:dyDescent="0.25">
      <c r="A169" s="402" t="str">
        <f>'0664'!A169</f>
        <v>by the Commissioner of Education.</v>
      </c>
      <c r="N169" s="77"/>
    </row>
    <row r="170" spans="1:21" x14ac:dyDescent="0.25">
      <c r="A170" s="399" t="str">
        <f>'0664'!A170</f>
        <v>Revenues flow to districts from state sources and from county tax collectors on various distribution schedules.</v>
      </c>
      <c r="N170" s="77"/>
    </row>
    <row r="171" spans="1:21" x14ac:dyDescent="0.25">
      <c r="A171" s="77"/>
      <c r="N171" s="77"/>
    </row>
    <row r="172" spans="1:21" x14ac:dyDescent="0.25">
      <c r="A172" s="77"/>
      <c r="N172" s="77"/>
    </row>
    <row r="173" spans="1:21" x14ac:dyDescent="0.25">
      <c r="A173" s="77"/>
      <c r="N173" s="77"/>
    </row>
    <row r="174" spans="1:21" x14ac:dyDescent="0.25">
      <c r="A174" s="77"/>
      <c r="N174" s="77"/>
    </row>
    <row r="175" spans="1:21" x14ac:dyDescent="0.25">
      <c r="A175" s="77"/>
      <c r="N175" s="77"/>
    </row>
    <row r="176" spans="1:21" x14ac:dyDescent="0.25">
      <c r="A176" s="77"/>
      <c r="N176" s="77"/>
    </row>
    <row r="177" spans="1:14" x14ac:dyDescent="0.25">
      <c r="A177" s="77"/>
      <c r="N177" s="77"/>
    </row>
    <row r="178" spans="1:14" x14ac:dyDescent="0.25">
      <c r="A178" s="77"/>
      <c r="N178" s="77"/>
    </row>
    <row r="179" spans="1:14" x14ac:dyDescent="0.25">
      <c r="A179" s="77"/>
      <c r="N179" s="77"/>
    </row>
    <row r="180" spans="1:14" x14ac:dyDescent="0.25">
      <c r="A180" s="77"/>
      <c r="N180" s="77"/>
    </row>
    <row r="181" spans="1:14" x14ac:dyDescent="0.25">
      <c r="A181" s="77"/>
      <c r="N181" s="77"/>
    </row>
    <row r="182" spans="1:14" x14ac:dyDescent="0.25">
      <c r="A182" s="77"/>
      <c r="N182" s="77"/>
    </row>
    <row r="183" spans="1:14" x14ac:dyDescent="0.25">
      <c r="A183" s="77"/>
      <c r="N183" s="77"/>
    </row>
    <row r="184" spans="1:14" x14ac:dyDescent="0.25">
      <c r="A184" s="77"/>
      <c r="N184" s="77"/>
    </row>
    <row r="185" spans="1:14" x14ac:dyDescent="0.25">
      <c r="A185" s="77"/>
      <c r="N185" s="77"/>
    </row>
    <row r="186" spans="1:14" x14ac:dyDescent="0.25">
      <c r="A186" s="77"/>
      <c r="N186" s="77"/>
    </row>
    <row r="187" spans="1:14" x14ac:dyDescent="0.25">
      <c r="A187" s="77"/>
      <c r="N187" s="77"/>
    </row>
    <row r="188" spans="1:14" x14ac:dyDescent="0.25">
      <c r="A188" s="77"/>
    </row>
    <row r="189" spans="1:14" x14ac:dyDescent="0.25">
      <c r="A189" s="77"/>
    </row>
    <row r="190" spans="1:14" x14ac:dyDescent="0.25">
      <c r="A190" s="77"/>
    </row>
    <row r="191" spans="1:14" x14ac:dyDescent="0.25">
      <c r="A191" s="77"/>
    </row>
    <row r="192" spans="1:14" x14ac:dyDescent="0.25">
      <c r="A192" s="77"/>
    </row>
    <row r="193" spans="1:1" x14ac:dyDescent="0.25">
      <c r="A193" s="77"/>
    </row>
    <row r="194" spans="1:1" x14ac:dyDescent="0.25">
      <c r="A194" s="77"/>
    </row>
    <row r="195" spans="1:1" x14ac:dyDescent="0.25">
      <c r="A195" s="77"/>
    </row>
    <row r="196" spans="1:1" x14ac:dyDescent="0.25">
      <c r="A196" s="77"/>
    </row>
    <row r="197" spans="1:1" x14ac:dyDescent="0.25">
      <c r="A197" s="77"/>
    </row>
    <row r="198" spans="1:1" x14ac:dyDescent="0.25">
      <c r="A198" s="77"/>
    </row>
    <row r="199" spans="1:1" x14ac:dyDescent="0.25">
      <c r="A199" s="77"/>
    </row>
    <row r="200" spans="1:1" x14ac:dyDescent="0.25">
      <c r="A200" s="77"/>
    </row>
    <row r="201" spans="1:1" x14ac:dyDescent="0.25">
      <c r="A201" s="77"/>
    </row>
    <row r="202" spans="1:1" x14ac:dyDescent="0.25">
      <c r="A202" s="77"/>
    </row>
    <row r="203" spans="1:1" x14ac:dyDescent="0.25">
      <c r="A203" s="77"/>
    </row>
    <row r="204" spans="1:1" x14ac:dyDescent="0.25">
      <c r="A204" s="77"/>
    </row>
    <row r="205" spans="1:1" x14ac:dyDescent="0.25">
      <c r="A205" s="77"/>
    </row>
    <row r="206" spans="1:1" x14ac:dyDescent="0.25">
      <c r="A206" s="77"/>
    </row>
  </sheetData>
  <mergeCells count="266">
    <mergeCell ref="N139:U139"/>
    <mergeCell ref="N119:U119"/>
    <mergeCell ref="N113:P113"/>
    <mergeCell ref="A113:C113"/>
    <mergeCell ref="F113:H113"/>
    <mergeCell ref="N114:T114"/>
    <mergeCell ref="A115:H115"/>
    <mergeCell ref="A119:G119"/>
    <mergeCell ref="N120:U120"/>
    <mergeCell ref="A120:G120"/>
    <mergeCell ref="R106:S106"/>
    <mergeCell ref="A112:C112"/>
    <mergeCell ref="F112:H112"/>
    <mergeCell ref="N112:P112"/>
    <mergeCell ref="A109:B109"/>
    <mergeCell ref="F109:G109"/>
    <mergeCell ref="N109:O109"/>
    <mergeCell ref="P109:Q109"/>
    <mergeCell ref="P108:Q108"/>
    <mergeCell ref="R109:S109"/>
    <mergeCell ref="A110:B110"/>
    <mergeCell ref="N110:O110"/>
    <mergeCell ref="A99:B99"/>
    <mergeCell ref="N99:O99"/>
    <mergeCell ref="P99:R99"/>
    <mergeCell ref="A100:B100"/>
    <mergeCell ref="N100:O100"/>
    <mergeCell ref="P100:R100"/>
    <mergeCell ref="R108:S108"/>
    <mergeCell ref="A103:C103"/>
    <mergeCell ref="F103:I103"/>
    <mergeCell ref="N103:U103"/>
    <mergeCell ref="C104:E104"/>
    <mergeCell ref="F105:G105"/>
    <mergeCell ref="A106:B106"/>
    <mergeCell ref="F106:G106"/>
    <mergeCell ref="N106:O106"/>
    <mergeCell ref="P106:Q106"/>
    <mergeCell ref="A107:B107"/>
    <mergeCell ref="F107:G107"/>
    <mergeCell ref="N107:O107"/>
    <mergeCell ref="P107:Q107"/>
    <mergeCell ref="R107:S107"/>
    <mergeCell ref="A108:B108"/>
    <mergeCell ref="F108:G108"/>
    <mergeCell ref="N108:O108"/>
    <mergeCell ref="C91:D91"/>
    <mergeCell ref="P91:Q91"/>
    <mergeCell ref="C92:D92"/>
    <mergeCell ref="P92:Q92"/>
    <mergeCell ref="C93:D93"/>
    <mergeCell ref="P93:T93"/>
    <mergeCell ref="A94:I94"/>
    <mergeCell ref="N94:U94"/>
    <mergeCell ref="F96:I96"/>
    <mergeCell ref="N96:P96"/>
    <mergeCell ref="Q96:T96"/>
    <mergeCell ref="A87:I87"/>
    <mergeCell ref="N87:U87"/>
    <mergeCell ref="C88:D88"/>
    <mergeCell ref="C89:D89"/>
    <mergeCell ref="N89:O89"/>
    <mergeCell ref="P89:Q89"/>
    <mergeCell ref="R89:U89"/>
    <mergeCell ref="C90:D90"/>
    <mergeCell ref="P90:Q90"/>
    <mergeCell ref="A80:C80"/>
    <mergeCell ref="N80:P80"/>
    <mergeCell ref="A85:C85"/>
    <mergeCell ref="N85:P85"/>
    <mergeCell ref="F73:H73"/>
    <mergeCell ref="N73:T73"/>
    <mergeCell ref="N74:T74"/>
    <mergeCell ref="A78:C78"/>
    <mergeCell ref="N78:P78"/>
    <mergeCell ref="A79:C79"/>
    <mergeCell ref="A69:C69"/>
    <mergeCell ref="N69:P69"/>
    <mergeCell ref="N79:P79"/>
    <mergeCell ref="A76:C76"/>
    <mergeCell ref="N76:P76"/>
    <mergeCell ref="A77:C77"/>
    <mergeCell ref="A70:C70"/>
    <mergeCell ref="A71:C71"/>
    <mergeCell ref="N71:P71"/>
    <mergeCell ref="A72:C72"/>
    <mergeCell ref="N77:P77"/>
    <mergeCell ref="N72:P72"/>
    <mergeCell ref="A65:B65"/>
    <mergeCell ref="D65:G65"/>
    <mergeCell ref="N65:O65"/>
    <mergeCell ref="Q65:S65"/>
    <mergeCell ref="T65:U65"/>
    <mergeCell ref="N66:S66"/>
    <mergeCell ref="T66:U66"/>
    <mergeCell ref="A68:C68"/>
    <mergeCell ref="N68:P68"/>
    <mergeCell ref="A62:B62"/>
    <mergeCell ref="D62:G62"/>
    <mergeCell ref="N62:O62"/>
    <mergeCell ref="Q62:S62"/>
    <mergeCell ref="T62:U62"/>
    <mergeCell ref="N63:S63"/>
    <mergeCell ref="T63:U63"/>
    <mergeCell ref="A64:I64"/>
    <mergeCell ref="N64:U64"/>
    <mergeCell ref="A59:B59"/>
    <mergeCell ref="F59:H59"/>
    <mergeCell ref="N59:O59"/>
    <mergeCell ref="P59:Q59"/>
    <mergeCell ref="R59:T59"/>
    <mergeCell ref="A60:I60"/>
    <mergeCell ref="N60:U60"/>
    <mergeCell ref="A61:I61"/>
    <mergeCell ref="N61:U61"/>
    <mergeCell ref="A50:B58"/>
    <mergeCell ref="N50:O58"/>
    <mergeCell ref="P50:Q50"/>
    <mergeCell ref="P51:Q51"/>
    <mergeCell ref="P52:Q52"/>
    <mergeCell ref="P53:Q53"/>
    <mergeCell ref="P54:Q54"/>
    <mergeCell ref="P55:Q55"/>
    <mergeCell ref="P56:Q56"/>
    <mergeCell ref="P57:Q57"/>
    <mergeCell ref="P58:Q58"/>
    <mergeCell ref="A42:B42"/>
    <mergeCell ref="N42:O42"/>
    <mergeCell ref="P42:T42"/>
    <mergeCell ref="N43:Q43"/>
    <mergeCell ref="S43:T43"/>
    <mergeCell ref="N45:Q45"/>
    <mergeCell ref="S45:T45"/>
    <mergeCell ref="N49:O49"/>
    <mergeCell ref="P49:Q49"/>
    <mergeCell ref="A39:B39"/>
    <mergeCell ref="N39:O39"/>
    <mergeCell ref="P39:T39"/>
    <mergeCell ref="A40:B40"/>
    <mergeCell ref="N40:O40"/>
    <mergeCell ref="P40:T40"/>
    <mergeCell ref="A41:B41"/>
    <mergeCell ref="N41:O41"/>
    <mergeCell ref="P41:T41"/>
    <mergeCell ref="N34:T34"/>
    <mergeCell ref="A36:B36"/>
    <mergeCell ref="N36:O36"/>
    <mergeCell ref="P36:T36"/>
    <mergeCell ref="A37:B37"/>
    <mergeCell ref="N37:O37"/>
    <mergeCell ref="P37:T37"/>
    <mergeCell ref="F33:H36"/>
    <mergeCell ref="A38:B38"/>
    <mergeCell ref="N38:O38"/>
    <mergeCell ref="P38:T38"/>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A20:B20"/>
    <mergeCell ref="F20:G20"/>
    <mergeCell ref="N20:O20"/>
    <mergeCell ref="P20:Q20"/>
    <mergeCell ref="R20:S20"/>
    <mergeCell ref="A21:B21"/>
    <mergeCell ref="F21:G21"/>
    <mergeCell ref="N21:O21"/>
    <mergeCell ref="P21:Q21"/>
    <mergeCell ref="R21:S21"/>
    <mergeCell ref="A18:B18"/>
    <mergeCell ref="F18:G18"/>
    <mergeCell ref="N18:O18"/>
    <mergeCell ref="P18:Q18"/>
    <mergeCell ref="R18:S18"/>
    <mergeCell ref="A19:B19"/>
    <mergeCell ref="F19:G19"/>
    <mergeCell ref="N19:O19"/>
    <mergeCell ref="P19:Q19"/>
    <mergeCell ref="R19:S19"/>
    <mergeCell ref="A16:B16"/>
    <mergeCell ref="F16:G16"/>
    <mergeCell ref="N16:O16"/>
    <mergeCell ref="P16:Q16"/>
    <mergeCell ref="R16:S16"/>
    <mergeCell ref="A17:B17"/>
    <mergeCell ref="F17:G17"/>
    <mergeCell ref="N17:O17"/>
    <mergeCell ref="P17:Q17"/>
    <mergeCell ref="R17:S17"/>
    <mergeCell ref="A14:B14"/>
    <mergeCell ref="F14:G14"/>
    <mergeCell ref="N14:O14"/>
    <mergeCell ref="P14:Q14"/>
    <mergeCell ref="R14:S14"/>
    <mergeCell ref="P15:Q15"/>
    <mergeCell ref="R15:S15"/>
    <mergeCell ref="A15:B15"/>
    <mergeCell ref="F15:G15"/>
    <mergeCell ref="N15:O15"/>
    <mergeCell ref="B1:I1"/>
    <mergeCell ref="A7:I7"/>
    <mergeCell ref="A11:B11"/>
    <mergeCell ref="F11:G11"/>
    <mergeCell ref="O1:U1"/>
    <mergeCell ref="N2:U2"/>
    <mergeCell ref="N3:U3"/>
    <mergeCell ref="A4:B4"/>
    <mergeCell ref="C4:E4"/>
    <mergeCell ref="N4:O4"/>
    <mergeCell ref="P4:Q4"/>
    <mergeCell ref="P8:Q8"/>
    <mergeCell ref="R8:S8"/>
    <mergeCell ref="T8:U8"/>
    <mergeCell ref="F10:G10"/>
    <mergeCell ref="R10:S10"/>
    <mergeCell ref="N7:U7"/>
    <mergeCell ref="N8:O8"/>
    <mergeCell ref="R13:S13"/>
    <mergeCell ref="A13:B13"/>
    <mergeCell ref="F13:G13"/>
    <mergeCell ref="A12:B12"/>
    <mergeCell ref="F12:G12"/>
    <mergeCell ref="N13:O13"/>
    <mergeCell ref="P13:Q13"/>
    <mergeCell ref="N11:O11"/>
    <mergeCell ref="P11:Q11"/>
    <mergeCell ref="R11:S11"/>
    <mergeCell ref="N12:O12"/>
    <mergeCell ref="P12:Q12"/>
    <mergeCell ref="R12:S12"/>
  </mergeCells>
  <pageMargins left="0.1" right="0.1" top="0.5" bottom="0.5" header="0" footer="0.1"/>
  <pageSetup scale="70" fitToHeight="3" orientation="portrait" r:id="rId1"/>
  <headerFooter alignWithMargins="0">
    <oddFooter>&amp;R&amp;P of &amp;N</oddFooter>
  </headerFooter>
  <rowBreaks count="1" manualBreakCount="1">
    <brk id="138" max="16383" man="1"/>
  </rowBreaks>
  <colBreaks count="1" manualBreakCount="1">
    <brk id="9"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2">
    <tabColor rgb="FFCCFFCC"/>
  </sheetPr>
  <dimension ref="A1:U206"/>
  <sheetViews>
    <sheetView showGridLines="0" zoomScaleNormal="100" workbookViewId="0">
      <pane ySplit="1" topLeftCell="A11" activePane="bottomLeft" state="frozen"/>
      <selection activeCell="I9" sqref="I9"/>
      <selection pane="bottomLeft" activeCell="D53" sqref="D53:D54"/>
    </sheetView>
  </sheetViews>
  <sheetFormatPr defaultRowHeight="15.75" x14ac:dyDescent="0.25"/>
  <cols>
    <col min="1" max="1" width="10.28515625" style="72"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72"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5">
        <v>50</v>
      </c>
      <c r="B1" s="441" t="s">
        <v>17</v>
      </c>
      <c r="C1" s="442"/>
      <c r="D1" s="442"/>
      <c r="E1" s="442"/>
      <c r="F1" s="442"/>
      <c r="G1" s="442"/>
      <c r="H1" s="442"/>
      <c r="I1" s="442"/>
      <c r="J1" s="157"/>
      <c r="K1" s="157"/>
      <c r="L1" s="157"/>
      <c r="N1" s="85">
        <f>A1</f>
        <v>50</v>
      </c>
      <c r="O1" s="527" t="s">
        <v>17</v>
      </c>
      <c r="P1" s="528"/>
      <c r="Q1" s="528"/>
      <c r="R1" s="528"/>
      <c r="S1" s="528"/>
      <c r="T1" s="528"/>
      <c r="U1" s="528"/>
    </row>
    <row r="2" spans="1:21" ht="21" x14ac:dyDescent="0.35">
      <c r="A2" s="319" t="s">
        <v>171</v>
      </c>
      <c r="B2" s="2"/>
      <c r="C2" s="2"/>
      <c r="D2" s="2"/>
      <c r="E2" s="2"/>
      <c r="F2" s="2"/>
      <c r="G2" s="2"/>
      <c r="H2" s="2"/>
      <c r="I2" s="2"/>
      <c r="N2" s="529" t="s">
        <v>23</v>
      </c>
      <c r="O2" s="529"/>
      <c r="P2" s="529"/>
      <c r="Q2" s="529"/>
      <c r="R2" s="529"/>
      <c r="S2" s="529"/>
      <c r="T2" s="529"/>
      <c r="U2" s="529"/>
    </row>
    <row r="3" spans="1:21" x14ac:dyDescent="0.25">
      <c r="A3" s="84" t="str">
        <f>'0664'!A3</f>
        <v>Based on the FLDOE 2022-23 FEFP Third Calculation</v>
      </c>
      <c r="N3" s="485" t="str">
        <f>A3</f>
        <v>Based on the FLDOE 2022-23 FEFP Third Calculation</v>
      </c>
      <c r="O3" s="485"/>
      <c r="P3" s="485"/>
      <c r="Q3" s="485"/>
      <c r="R3" s="485"/>
      <c r="S3" s="485"/>
      <c r="T3" s="485"/>
      <c r="U3" s="485"/>
    </row>
    <row r="4" spans="1:21" x14ac:dyDescent="0.25">
      <c r="A4" s="443" t="s">
        <v>0</v>
      </c>
      <c r="B4" s="443"/>
      <c r="C4" s="444" t="s">
        <v>9</v>
      </c>
      <c r="D4" s="444"/>
      <c r="E4" s="444"/>
      <c r="F4" s="4" t="str">
        <f>'0664'!F4</f>
        <v>Apr 2023</v>
      </c>
      <c r="G4" s="4"/>
      <c r="H4" s="4"/>
      <c r="I4" s="4"/>
      <c r="N4" s="530" t="s">
        <v>0</v>
      </c>
      <c r="O4" s="530"/>
      <c r="P4" s="531" t="str">
        <f>C4</f>
        <v>Palm Beach</v>
      </c>
      <c r="Q4" s="531"/>
      <c r="R4" s="5"/>
      <c r="S4" s="5"/>
      <c r="T4" s="5"/>
      <c r="U4" s="5"/>
    </row>
    <row r="5" spans="1:21" ht="12" customHeight="1" thickBot="1" x14ac:dyDescent="0.3">
      <c r="A5" s="262"/>
      <c r="B5" s="262"/>
      <c r="C5" s="253"/>
      <c r="D5" s="253"/>
      <c r="E5" s="253"/>
      <c r="F5" s="254"/>
      <c r="G5" s="254"/>
      <c r="H5" s="254"/>
      <c r="I5" s="254"/>
      <c r="N5" s="86"/>
      <c r="O5" s="86"/>
      <c r="P5" s="6"/>
      <c r="Q5" s="6"/>
      <c r="R5" s="5"/>
      <c r="S5" s="5"/>
      <c r="T5" s="5"/>
      <c r="U5" s="5"/>
    </row>
    <row r="6" spans="1:21" ht="12" customHeight="1" x14ac:dyDescent="0.25">
      <c r="A6" s="150"/>
      <c r="B6" s="150"/>
      <c r="C6" s="261"/>
      <c r="D6" s="261"/>
      <c r="E6" s="261"/>
      <c r="F6" s="4"/>
      <c r="G6" s="4"/>
      <c r="H6" s="4"/>
      <c r="I6" s="4"/>
      <c r="N6" s="86"/>
      <c r="O6" s="86"/>
      <c r="P6" s="6"/>
      <c r="Q6" s="6"/>
      <c r="R6" s="5"/>
      <c r="S6" s="5"/>
      <c r="T6" s="5"/>
      <c r="U6" s="5"/>
    </row>
    <row r="7" spans="1:21" x14ac:dyDescent="0.25">
      <c r="A7" s="445" t="str">
        <f>'0664'!A7:I7</f>
        <v>1.   2022-23 FEFP State and Local Funding</v>
      </c>
      <c r="B7" s="533"/>
      <c r="C7" s="533"/>
      <c r="D7" s="533"/>
      <c r="E7" s="533"/>
      <c r="F7" s="533"/>
      <c r="G7" s="533"/>
      <c r="H7" s="533"/>
      <c r="I7" s="533"/>
      <c r="N7" s="530" t="s">
        <v>86</v>
      </c>
      <c r="O7" s="530"/>
      <c r="P7" s="530"/>
      <c r="Q7" s="530"/>
      <c r="R7" s="530"/>
      <c r="S7" s="530"/>
      <c r="T7" s="530"/>
      <c r="U7" s="530"/>
    </row>
    <row r="8" spans="1:21" x14ac:dyDescent="0.25">
      <c r="A8" s="87"/>
      <c r="B8" s="88" t="s">
        <v>123</v>
      </c>
      <c r="C8" s="334">
        <f>'0664'!C8</f>
        <v>4587.3999999999996</v>
      </c>
      <c r="D8" s="89"/>
      <c r="E8" s="90"/>
      <c r="F8" s="87"/>
      <c r="G8" s="88" t="s">
        <v>122</v>
      </c>
      <c r="H8" s="320">
        <f>'0664'!H8</f>
        <v>1.0438000000000001</v>
      </c>
      <c r="I8" s="78"/>
      <c r="N8" s="534" t="s">
        <v>10</v>
      </c>
      <c r="O8" s="534"/>
      <c r="P8" s="535">
        <v>4154.45</v>
      </c>
      <c r="Q8" s="535"/>
      <c r="R8" s="518" t="s">
        <v>11</v>
      </c>
      <c r="S8" s="518"/>
      <c r="T8" s="519">
        <f>H8</f>
        <v>1.0438000000000001</v>
      </c>
      <c r="U8" s="519"/>
    </row>
    <row r="9" spans="1:21" x14ac:dyDescent="0.25">
      <c r="A9" s="7"/>
      <c r="B9" s="44" t="s">
        <v>370</v>
      </c>
      <c r="C9" s="41" t="s">
        <v>370</v>
      </c>
      <c r="D9" s="91" t="s">
        <v>370</v>
      </c>
      <c r="E9" s="8"/>
      <c r="F9" s="9"/>
      <c r="G9" s="9"/>
      <c r="H9" s="10"/>
      <c r="I9" s="340" t="str">
        <f>'0664'!I9</f>
        <v>2022-23</v>
      </c>
      <c r="J9" s="283"/>
      <c r="K9" s="68"/>
      <c r="L9" s="68"/>
      <c r="N9" s="12"/>
      <c r="O9" s="12"/>
      <c r="P9" s="13"/>
      <c r="Q9" s="13"/>
      <c r="R9" s="14"/>
      <c r="S9" s="14"/>
      <c r="T9" s="15"/>
      <c r="U9" s="405" t="s">
        <v>405</v>
      </c>
    </row>
    <row r="10" spans="1:21" x14ac:dyDescent="0.25">
      <c r="A10" s="7"/>
      <c r="B10" s="7"/>
      <c r="C10" s="91" t="s">
        <v>463</v>
      </c>
      <c r="D10" s="371" t="s">
        <v>464</v>
      </c>
      <c r="E10" s="92" t="s">
        <v>8</v>
      </c>
      <c r="F10" s="446" t="s">
        <v>1</v>
      </c>
      <c r="G10" s="446"/>
      <c r="H10" s="10" t="s">
        <v>73</v>
      </c>
      <c r="I10" s="11" t="s">
        <v>36</v>
      </c>
      <c r="J10" s="285"/>
      <c r="K10" s="284"/>
      <c r="L10" s="284"/>
      <c r="N10" s="12"/>
      <c r="O10" s="12"/>
      <c r="P10" s="13"/>
      <c r="Q10" s="13"/>
      <c r="R10" s="520" t="s">
        <v>1</v>
      </c>
      <c r="S10" s="520"/>
      <c r="T10" s="15" t="s">
        <v>73</v>
      </c>
      <c r="U10" s="16" t="s">
        <v>36</v>
      </c>
    </row>
    <row r="11" spans="1:21" x14ac:dyDescent="0.25">
      <c r="A11" s="447" t="s">
        <v>1</v>
      </c>
      <c r="B11" s="447"/>
      <c r="C11" s="362" t="s">
        <v>2</v>
      </c>
      <c r="D11" s="362" t="s">
        <v>2</v>
      </c>
      <c r="E11" s="362" t="s">
        <v>2</v>
      </c>
      <c r="F11" s="448" t="s">
        <v>76</v>
      </c>
      <c r="G11" s="448"/>
      <c r="H11" s="17" t="s">
        <v>72</v>
      </c>
      <c r="I11" s="18" t="s">
        <v>75</v>
      </c>
      <c r="J11" s="283"/>
      <c r="K11" s="284"/>
      <c r="L11" s="284"/>
      <c r="N11" s="510" t="s">
        <v>1</v>
      </c>
      <c r="O11" s="510"/>
      <c r="P11" s="521" t="s">
        <v>24</v>
      </c>
      <c r="Q11" s="521"/>
      <c r="R11" s="522" t="s">
        <v>76</v>
      </c>
      <c r="S11" s="522"/>
      <c r="T11" s="19" t="s">
        <v>72</v>
      </c>
      <c r="U11" s="20" t="s">
        <v>75</v>
      </c>
    </row>
    <row r="12" spans="1:21" x14ac:dyDescent="0.25">
      <c r="A12" s="449" t="s">
        <v>47</v>
      </c>
      <c r="B12" s="449"/>
      <c r="C12" s="94"/>
      <c r="D12" s="94"/>
      <c r="E12" s="95" t="s">
        <v>48</v>
      </c>
      <c r="F12" s="450" t="s">
        <v>49</v>
      </c>
      <c r="G12" s="450"/>
      <c r="H12" s="21" t="s">
        <v>50</v>
      </c>
      <c r="I12" s="22" t="s">
        <v>51</v>
      </c>
      <c r="K12" s="284"/>
      <c r="L12" s="284"/>
      <c r="N12" s="523" t="s">
        <v>47</v>
      </c>
      <c r="O12" s="523"/>
      <c r="P12" s="524" t="s">
        <v>48</v>
      </c>
      <c r="Q12" s="524"/>
      <c r="R12" s="525" t="s">
        <v>49</v>
      </c>
      <c r="S12" s="525"/>
      <c r="T12" s="23" t="s">
        <v>50</v>
      </c>
      <c r="U12" s="24" t="s">
        <v>51</v>
      </c>
    </row>
    <row r="13" spans="1:21" x14ac:dyDescent="0.25">
      <c r="A13" s="451" t="s">
        <v>29</v>
      </c>
      <c r="B13" s="451"/>
      <c r="C13" s="165">
        <v>0</v>
      </c>
      <c r="D13" s="163">
        <v>0</v>
      </c>
      <c r="E13" s="210">
        <f>IF(D$29=0,C13*2,C13+D13)</f>
        <v>0</v>
      </c>
      <c r="F13" s="537">
        <f>'0664'!F13:G13</f>
        <v>1.1259999999999999</v>
      </c>
      <c r="G13" s="537"/>
      <c r="H13" s="167">
        <f>ROUND(E13*F13,4)</f>
        <v>0</v>
      </c>
      <c r="I13" s="119">
        <f t="shared" ref="I13:I28" si="0">ROUND(ROUND(H13*$C$8,4)*($H$8),2)</f>
        <v>0</v>
      </c>
      <c r="N13" s="512" t="s">
        <v>29</v>
      </c>
      <c r="O13" s="512"/>
      <c r="P13" s="513">
        <f t="shared" ref="P13:P28" si="1">IF($H$120=1,E13,0)</f>
        <v>0</v>
      </c>
      <c r="Q13" s="513"/>
      <c r="R13" s="526">
        <v>1</v>
      </c>
      <c r="S13" s="526"/>
      <c r="T13" s="98">
        <f>ROUND(P13*R13,4)</f>
        <v>0</v>
      </c>
      <c r="U13" s="99">
        <f t="shared" ref="U13:U28" si="2">ROUND(ROUND(T13*$C$8,4)*($H$8),0)</f>
        <v>0</v>
      </c>
    </row>
    <row r="14" spans="1:21" x14ac:dyDescent="0.25">
      <c r="A14" s="453" t="s">
        <v>30</v>
      </c>
      <c r="B14" s="453"/>
      <c r="C14" s="165">
        <v>0</v>
      </c>
      <c r="D14" s="165">
        <v>0</v>
      </c>
      <c r="E14" s="125">
        <f t="shared" ref="E14:E28" si="3">IF(D$29=0,C14*2,C14+D14)</f>
        <v>0</v>
      </c>
      <c r="F14" s="532">
        <f>'0664'!F14:G14</f>
        <v>1.1259999999999999</v>
      </c>
      <c r="G14" s="532"/>
      <c r="H14" s="83">
        <f t="shared" ref="H14:H28" si="4">ROUND(E14*F14,4)</f>
        <v>0</v>
      </c>
      <c r="I14" s="104">
        <f t="shared" si="0"/>
        <v>0</v>
      </c>
      <c r="J14" s="68" t="str">
        <f>IF(ROUND(E14,2)=ROUND(SUM(E50:E52),2)," ","CHECK PK-3 LINES BELOW")</f>
        <v xml:space="preserve"> </v>
      </c>
      <c r="N14" s="479" t="s">
        <v>30</v>
      </c>
      <c r="O14" s="479"/>
      <c r="P14" s="513">
        <f t="shared" si="1"/>
        <v>0</v>
      </c>
      <c r="Q14" s="513"/>
      <c r="R14" s="517">
        <v>1</v>
      </c>
      <c r="S14" s="517"/>
      <c r="T14" s="98">
        <f t="shared" ref="T14:T28" si="5">ROUND(P14*R14,4)</f>
        <v>0</v>
      </c>
      <c r="U14" s="99">
        <f t="shared" si="2"/>
        <v>0</v>
      </c>
    </row>
    <row r="15" spans="1:21" x14ac:dyDescent="0.25">
      <c r="A15" s="453" t="s">
        <v>31</v>
      </c>
      <c r="B15" s="453"/>
      <c r="C15" s="165">
        <v>223.83</v>
      </c>
      <c r="D15" s="165">
        <v>220.4</v>
      </c>
      <c r="E15" s="125">
        <f t="shared" si="3"/>
        <v>444.23</v>
      </c>
      <c r="F15" s="532">
        <f>'0664'!F15:G15</f>
        <v>1</v>
      </c>
      <c r="G15" s="532"/>
      <c r="H15" s="83">
        <f t="shared" si="4"/>
        <v>444.23</v>
      </c>
      <c r="I15" s="104">
        <f t="shared" si="0"/>
        <v>2127119</v>
      </c>
      <c r="N15" s="479" t="s">
        <v>31</v>
      </c>
      <c r="O15" s="479"/>
      <c r="P15" s="513">
        <f t="shared" si="1"/>
        <v>0</v>
      </c>
      <c r="Q15" s="513"/>
      <c r="R15" s="517">
        <v>1</v>
      </c>
      <c r="S15" s="517"/>
      <c r="T15" s="98">
        <f t="shared" si="5"/>
        <v>0</v>
      </c>
      <c r="U15" s="99">
        <f t="shared" si="2"/>
        <v>0</v>
      </c>
    </row>
    <row r="16" spans="1:21" x14ac:dyDescent="0.25">
      <c r="A16" s="453" t="s">
        <v>32</v>
      </c>
      <c r="B16" s="453"/>
      <c r="C16" s="165">
        <v>42.5</v>
      </c>
      <c r="D16" s="165">
        <v>41.46</v>
      </c>
      <c r="E16" s="125">
        <f t="shared" si="3"/>
        <v>83.960000000000008</v>
      </c>
      <c r="F16" s="532">
        <f>'0664'!F16:G16</f>
        <v>1</v>
      </c>
      <c r="G16" s="532"/>
      <c r="H16" s="83">
        <f t="shared" si="4"/>
        <v>83.96</v>
      </c>
      <c r="I16" s="104">
        <f t="shared" si="0"/>
        <v>402028.03</v>
      </c>
      <c r="J16" s="68" t="str">
        <f>IF(ROUND(E16,2)=ROUND(SUM(E53:E55),2)," ","CHECK 4-8 LINES BELOW")</f>
        <v xml:space="preserve"> </v>
      </c>
      <c r="N16" s="479" t="s">
        <v>32</v>
      </c>
      <c r="O16" s="479"/>
      <c r="P16" s="513">
        <f t="shared" si="1"/>
        <v>0</v>
      </c>
      <c r="Q16" s="513"/>
      <c r="R16" s="517">
        <v>1</v>
      </c>
      <c r="S16" s="517"/>
      <c r="T16" s="98">
        <f t="shared" si="5"/>
        <v>0</v>
      </c>
      <c r="U16" s="99">
        <f t="shared" si="2"/>
        <v>0</v>
      </c>
    </row>
    <row r="17" spans="1:21" x14ac:dyDescent="0.25">
      <c r="A17" s="453" t="s">
        <v>33</v>
      </c>
      <c r="B17" s="453"/>
      <c r="C17" s="165">
        <v>0</v>
      </c>
      <c r="D17" s="165">
        <v>0</v>
      </c>
      <c r="E17" s="125">
        <f t="shared" si="3"/>
        <v>0</v>
      </c>
      <c r="F17" s="532">
        <f>'0664'!F17:G17</f>
        <v>0.999</v>
      </c>
      <c r="G17" s="532"/>
      <c r="H17" s="83">
        <f t="shared" si="4"/>
        <v>0</v>
      </c>
      <c r="I17" s="104">
        <f t="shared" si="0"/>
        <v>0</v>
      </c>
      <c r="N17" s="479" t="s">
        <v>33</v>
      </c>
      <c r="O17" s="479"/>
      <c r="P17" s="513">
        <f t="shared" si="1"/>
        <v>0</v>
      </c>
      <c r="Q17" s="513"/>
      <c r="R17" s="517">
        <v>1</v>
      </c>
      <c r="S17" s="517"/>
      <c r="T17" s="98">
        <f t="shared" si="5"/>
        <v>0</v>
      </c>
      <c r="U17" s="99">
        <f t="shared" si="2"/>
        <v>0</v>
      </c>
    </row>
    <row r="18" spans="1:21" x14ac:dyDescent="0.25">
      <c r="A18" s="453" t="s">
        <v>34</v>
      </c>
      <c r="B18" s="453"/>
      <c r="C18" s="165">
        <v>0</v>
      </c>
      <c r="D18" s="165">
        <v>0</v>
      </c>
      <c r="E18" s="125">
        <f t="shared" si="3"/>
        <v>0</v>
      </c>
      <c r="F18" s="532">
        <f>'0664'!F18:G18</f>
        <v>0.999</v>
      </c>
      <c r="G18" s="532"/>
      <c r="H18" s="83">
        <f t="shared" si="4"/>
        <v>0</v>
      </c>
      <c r="I18" s="104">
        <f t="shared" si="0"/>
        <v>0</v>
      </c>
      <c r="J18" s="68" t="str">
        <f>IF(ROUND(E18,2)=ROUND(SUM(E56:E58),2)," ","CHECK 4-8 LINES BELOW")</f>
        <v xml:space="preserve"> </v>
      </c>
      <c r="N18" s="479" t="s">
        <v>34</v>
      </c>
      <c r="O18" s="479"/>
      <c r="P18" s="513">
        <f t="shared" si="1"/>
        <v>0</v>
      </c>
      <c r="Q18" s="513"/>
      <c r="R18" s="517">
        <v>1</v>
      </c>
      <c r="S18" s="517"/>
      <c r="T18" s="98">
        <f t="shared" si="5"/>
        <v>0</v>
      </c>
      <c r="U18" s="101">
        <f t="shared" si="2"/>
        <v>0</v>
      </c>
    </row>
    <row r="19" spans="1:21" x14ac:dyDescent="0.25">
      <c r="A19" s="453" t="s">
        <v>108</v>
      </c>
      <c r="B19" s="453"/>
      <c r="C19" s="165">
        <v>0</v>
      </c>
      <c r="D19" s="165">
        <v>0</v>
      </c>
      <c r="E19" s="125">
        <f t="shared" si="3"/>
        <v>0</v>
      </c>
      <c r="F19" s="532">
        <f>'0664'!F19:G19</f>
        <v>3.6739999999999999</v>
      </c>
      <c r="G19" s="532"/>
      <c r="H19" s="83">
        <f t="shared" si="4"/>
        <v>0</v>
      </c>
      <c r="I19" s="104">
        <f t="shared" si="0"/>
        <v>0</v>
      </c>
      <c r="N19" s="479" t="s">
        <v>108</v>
      </c>
      <c r="O19" s="479"/>
      <c r="P19" s="513">
        <f t="shared" si="1"/>
        <v>0</v>
      </c>
      <c r="Q19" s="513"/>
      <c r="R19" s="517">
        <v>1</v>
      </c>
      <c r="S19" s="517"/>
      <c r="T19" s="98">
        <f t="shared" si="5"/>
        <v>0</v>
      </c>
      <c r="U19" s="99">
        <f t="shared" si="2"/>
        <v>0</v>
      </c>
    </row>
    <row r="20" spans="1:21" x14ac:dyDescent="0.25">
      <c r="A20" s="453" t="s">
        <v>109</v>
      </c>
      <c r="B20" s="453"/>
      <c r="C20" s="165">
        <v>0</v>
      </c>
      <c r="D20" s="165">
        <v>0</v>
      </c>
      <c r="E20" s="125">
        <f t="shared" si="3"/>
        <v>0</v>
      </c>
      <c r="F20" s="532">
        <f>'0664'!F20:G20</f>
        <v>3.6739999999999999</v>
      </c>
      <c r="G20" s="532"/>
      <c r="H20" s="83">
        <f t="shared" si="4"/>
        <v>0</v>
      </c>
      <c r="I20" s="104">
        <f t="shared" si="0"/>
        <v>0</v>
      </c>
      <c r="N20" s="479" t="s">
        <v>109</v>
      </c>
      <c r="O20" s="479"/>
      <c r="P20" s="513">
        <f t="shared" si="1"/>
        <v>0</v>
      </c>
      <c r="Q20" s="513"/>
      <c r="R20" s="517">
        <v>1</v>
      </c>
      <c r="S20" s="517"/>
      <c r="T20" s="98">
        <f t="shared" si="5"/>
        <v>0</v>
      </c>
      <c r="U20" s="99">
        <f t="shared" si="2"/>
        <v>0</v>
      </c>
    </row>
    <row r="21" spans="1:21" x14ac:dyDescent="0.25">
      <c r="A21" s="453" t="s">
        <v>110</v>
      </c>
      <c r="B21" s="453"/>
      <c r="C21" s="165">
        <v>0</v>
      </c>
      <c r="D21" s="165">
        <v>0</v>
      </c>
      <c r="E21" s="125">
        <f t="shared" si="3"/>
        <v>0</v>
      </c>
      <c r="F21" s="532">
        <f>'0664'!F21:G21</f>
        <v>3.6739999999999999</v>
      </c>
      <c r="G21" s="532"/>
      <c r="H21" s="83">
        <f t="shared" si="4"/>
        <v>0</v>
      </c>
      <c r="I21" s="104">
        <f t="shared" si="0"/>
        <v>0</v>
      </c>
      <c r="N21" s="479" t="s">
        <v>110</v>
      </c>
      <c r="O21" s="479"/>
      <c r="P21" s="513">
        <f t="shared" si="1"/>
        <v>0</v>
      </c>
      <c r="Q21" s="513"/>
      <c r="R21" s="517">
        <v>1</v>
      </c>
      <c r="S21" s="517"/>
      <c r="T21" s="98">
        <f t="shared" si="5"/>
        <v>0</v>
      </c>
      <c r="U21" s="99">
        <f t="shared" si="2"/>
        <v>0</v>
      </c>
    </row>
    <row r="22" spans="1:21" x14ac:dyDescent="0.25">
      <c r="A22" s="453" t="s">
        <v>111</v>
      </c>
      <c r="B22" s="453"/>
      <c r="C22" s="165">
        <v>0</v>
      </c>
      <c r="D22" s="165">
        <v>0</v>
      </c>
      <c r="E22" s="125">
        <f t="shared" si="3"/>
        <v>0</v>
      </c>
      <c r="F22" s="532">
        <f>'0664'!F22:G22</f>
        <v>5.4009999999999998</v>
      </c>
      <c r="G22" s="532"/>
      <c r="H22" s="83">
        <f t="shared" si="4"/>
        <v>0</v>
      </c>
      <c r="I22" s="104">
        <f t="shared" si="0"/>
        <v>0</v>
      </c>
      <c r="N22" s="479" t="s">
        <v>111</v>
      </c>
      <c r="O22" s="479"/>
      <c r="P22" s="513">
        <f t="shared" si="1"/>
        <v>0</v>
      </c>
      <c r="Q22" s="513"/>
      <c r="R22" s="517">
        <v>1</v>
      </c>
      <c r="S22" s="517"/>
      <c r="T22" s="98">
        <f t="shared" si="5"/>
        <v>0</v>
      </c>
      <c r="U22" s="99">
        <f t="shared" si="2"/>
        <v>0</v>
      </c>
    </row>
    <row r="23" spans="1:21" x14ac:dyDescent="0.25">
      <c r="A23" s="453" t="s">
        <v>112</v>
      </c>
      <c r="B23" s="453"/>
      <c r="C23" s="165">
        <v>0</v>
      </c>
      <c r="D23" s="165">
        <v>0</v>
      </c>
      <c r="E23" s="125">
        <f t="shared" si="3"/>
        <v>0</v>
      </c>
      <c r="F23" s="532">
        <f>'0664'!F23:G23</f>
        <v>5.4009999999999998</v>
      </c>
      <c r="G23" s="532"/>
      <c r="H23" s="83">
        <f t="shared" si="4"/>
        <v>0</v>
      </c>
      <c r="I23" s="104">
        <f t="shared" si="0"/>
        <v>0</v>
      </c>
      <c r="N23" s="479" t="s">
        <v>112</v>
      </c>
      <c r="O23" s="479"/>
      <c r="P23" s="513">
        <f t="shared" si="1"/>
        <v>0</v>
      </c>
      <c r="Q23" s="513"/>
      <c r="R23" s="517">
        <v>1</v>
      </c>
      <c r="S23" s="517"/>
      <c r="T23" s="98">
        <f t="shared" si="5"/>
        <v>0</v>
      </c>
      <c r="U23" s="99">
        <f t="shared" si="2"/>
        <v>0</v>
      </c>
    </row>
    <row r="24" spans="1:21" x14ac:dyDescent="0.25">
      <c r="A24" s="453" t="s">
        <v>113</v>
      </c>
      <c r="B24" s="453"/>
      <c r="C24" s="165">
        <v>0</v>
      </c>
      <c r="D24" s="165">
        <v>0</v>
      </c>
      <c r="E24" s="125">
        <f t="shared" si="3"/>
        <v>0</v>
      </c>
      <c r="F24" s="532">
        <f>'0664'!F24:G24</f>
        <v>5.4009999999999998</v>
      </c>
      <c r="G24" s="532"/>
      <c r="H24" s="83">
        <f t="shared" si="4"/>
        <v>0</v>
      </c>
      <c r="I24" s="104">
        <f t="shared" si="0"/>
        <v>0</v>
      </c>
      <c r="N24" s="479" t="s">
        <v>113</v>
      </c>
      <c r="O24" s="479"/>
      <c r="P24" s="513">
        <f t="shared" si="1"/>
        <v>0</v>
      </c>
      <c r="Q24" s="513"/>
      <c r="R24" s="517">
        <v>1</v>
      </c>
      <c r="S24" s="517"/>
      <c r="T24" s="98">
        <f t="shared" si="5"/>
        <v>0</v>
      </c>
      <c r="U24" s="99">
        <f t="shared" si="2"/>
        <v>0</v>
      </c>
    </row>
    <row r="25" spans="1:21" x14ac:dyDescent="0.25">
      <c r="A25" s="453" t="s">
        <v>114</v>
      </c>
      <c r="B25" s="453"/>
      <c r="C25" s="165">
        <v>0</v>
      </c>
      <c r="D25" s="165">
        <v>0</v>
      </c>
      <c r="E25" s="125">
        <f t="shared" si="3"/>
        <v>0</v>
      </c>
      <c r="F25" s="532">
        <f>'0664'!F25:G25</f>
        <v>1.206</v>
      </c>
      <c r="G25" s="532"/>
      <c r="H25" s="83">
        <f t="shared" si="4"/>
        <v>0</v>
      </c>
      <c r="I25" s="104">
        <f t="shared" si="0"/>
        <v>0</v>
      </c>
      <c r="N25" s="479" t="s">
        <v>114</v>
      </c>
      <c r="O25" s="479"/>
      <c r="P25" s="513">
        <f t="shared" si="1"/>
        <v>0</v>
      </c>
      <c r="Q25" s="513"/>
      <c r="R25" s="517">
        <v>1</v>
      </c>
      <c r="S25" s="517"/>
      <c r="T25" s="98">
        <f t="shared" si="5"/>
        <v>0</v>
      </c>
      <c r="U25" s="99">
        <f t="shared" si="2"/>
        <v>0</v>
      </c>
    </row>
    <row r="26" spans="1:21" x14ac:dyDescent="0.25">
      <c r="A26" s="453" t="s">
        <v>115</v>
      </c>
      <c r="B26" s="453"/>
      <c r="C26" s="165">
        <v>2.94</v>
      </c>
      <c r="D26" s="165">
        <v>2.96</v>
      </c>
      <c r="E26" s="125">
        <f t="shared" si="3"/>
        <v>5.9</v>
      </c>
      <c r="F26" s="532">
        <f>'0664'!F26:G26</f>
        <v>1.206</v>
      </c>
      <c r="G26" s="532"/>
      <c r="H26" s="83">
        <f t="shared" si="4"/>
        <v>7.1154000000000002</v>
      </c>
      <c r="I26" s="104">
        <f t="shared" si="0"/>
        <v>34070.870000000003</v>
      </c>
      <c r="N26" s="479" t="s">
        <v>115</v>
      </c>
      <c r="O26" s="479"/>
      <c r="P26" s="513">
        <f t="shared" si="1"/>
        <v>0</v>
      </c>
      <c r="Q26" s="513"/>
      <c r="R26" s="517">
        <v>1</v>
      </c>
      <c r="S26" s="517"/>
      <c r="T26" s="98">
        <f t="shared" si="5"/>
        <v>0</v>
      </c>
      <c r="U26" s="99">
        <f t="shared" si="2"/>
        <v>0</v>
      </c>
    </row>
    <row r="27" spans="1:21" x14ac:dyDescent="0.25">
      <c r="A27" s="453" t="s">
        <v>116</v>
      </c>
      <c r="B27" s="453"/>
      <c r="C27" s="165">
        <v>0</v>
      </c>
      <c r="D27" s="165">
        <v>0</v>
      </c>
      <c r="E27" s="125">
        <f t="shared" si="3"/>
        <v>0</v>
      </c>
      <c r="F27" s="532">
        <f>'0664'!F27:G27</f>
        <v>1.206</v>
      </c>
      <c r="G27" s="532"/>
      <c r="H27" s="83">
        <f t="shared" si="4"/>
        <v>0</v>
      </c>
      <c r="I27" s="104">
        <f t="shared" si="0"/>
        <v>0</v>
      </c>
      <c r="N27" s="479" t="s">
        <v>116</v>
      </c>
      <c r="O27" s="479"/>
      <c r="P27" s="513">
        <f t="shared" si="1"/>
        <v>0</v>
      </c>
      <c r="Q27" s="513"/>
      <c r="R27" s="517">
        <v>1</v>
      </c>
      <c r="S27" s="517"/>
      <c r="T27" s="98">
        <f t="shared" si="5"/>
        <v>0</v>
      </c>
      <c r="U27" s="99">
        <f t="shared" si="2"/>
        <v>0</v>
      </c>
    </row>
    <row r="28" spans="1:21" x14ac:dyDescent="0.25">
      <c r="A28" s="453" t="s">
        <v>117</v>
      </c>
      <c r="B28" s="453"/>
      <c r="C28" s="116">
        <v>0</v>
      </c>
      <c r="D28" s="116">
        <v>0</v>
      </c>
      <c r="E28" s="177">
        <f t="shared" si="3"/>
        <v>0</v>
      </c>
      <c r="F28" s="532">
        <f>'0664'!F28:G28</f>
        <v>0.999</v>
      </c>
      <c r="G28" s="532"/>
      <c r="H28" s="96">
        <f t="shared" si="4"/>
        <v>0</v>
      </c>
      <c r="I28" s="97">
        <f t="shared" si="0"/>
        <v>0</v>
      </c>
      <c r="N28" s="482" t="s">
        <v>117</v>
      </c>
      <c r="O28" s="482"/>
      <c r="P28" s="513">
        <f t="shared" si="1"/>
        <v>0</v>
      </c>
      <c r="Q28" s="513"/>
      <c r="R28" s="514">
        <v>1</v>
      </c>
      <c r="S28" s="514"/>
      <c r="T28" s="98">
        <f t="shared" si="5"/>
        <v>0</v>
      </c>
      <c r="U28" s="99">
        <f t="shared" si="2"/>
        <v>0</v>
      </c>
    </row>
    <row r="29" spans="1:21" x14ac:dyDescent="0.25">
      <c r="A29" s="461" t="s">
        <v>5</v>
      </c>
      <c r="B29" s="461"/>
      <c r="C29" s="97">
        <f>SUM(C13:C28)</f>
        <v>269.27000000000004</v>
      </c>
      <c r="D29" s="97">
        <f>SUM(D13:D28)</f>
        <v>264.82</v>
      </c>
      <c r="E29" s="97">
        <f>SUM(E13:E28)</f>
        <v>534.09</v>
      </c>
      <c r="F29" s="457"/>
      <c r="G29" s="457"/>
      <c r="H29" s="102">
        <f>SUM(H13:H28)</f>
        <v>535.30540000000008</v>
      </c>
      <c r="I29" s="97">
        <f>SUM(I13:I28)</f>
        <v>2563217.9000000004</v>
      </c>
      <c r="N29" s="515" t="s">
        <v>5</v>
      </c>
      <c r="O29" s="515"/>
      <c r="P29" s="516">
        <f>SUM(P13:P28)</f>
        <v>0</v>
      </c>
      <c r="Q29" s="516"/>
      <c r="R29" s="508"/>
      <c r="S29" s="508"/>
      <c r="T29" s="103">
        <f>SUM(T13:T28)</f>
        <v>0</v>
      </c>
      <c r="U29" s="99">
        <f>SUM(U13:U28)</f>
        <v>0</v>
      </c>
    </row>
    <row r="30" spans="1:21" x14ac:dyDescent="0.25">
      <c r="A30" s="27"/>
      <c r="B30" s="27"/>
      <c r="C30" s="104"/>
      <c r="D30" s="104"/>
      <c r="E30" s="104"/>
      <c r="F30" s="28"/>
      <c r="G30" s="28"/>
      <c r="H30" s="83"/>
      <c r="I30" s="104"/>
      <c r="N30" s="29"/>
      <c r="O30" s="29"/>
      <c r="P30" s="30"/>
      <c r="Q30" s="30"/>
      <c r="R30" s="31"/>
      <c r="S30" s="31"/>
      <c r="T30" s="105"/>
      <c r="U30" s="106"/>
    </row>
    <row r="31" spans="1:21" x14ac:dyDescent="0.25">
      <c r="A31" s="168" t="s">
        <v>97</v>
      </c>
      <c r="B31" s="27"/>
      <c r="C31" s="104"/>
      <c r="D31" s="104"/>
      <c r="E31" s="104"/>
      <c r="F31" s="28"/>
      <c r="G31" s="28"/>
      <c r="H31" s="83"/>
      <c r="I31" s="104"/>
      <c r="N31" s="29"/>
      <c r="O31" s="29"/>
      <c r="P31" s="30"/>
      <c r="Q31" s="30"/>
      <c r="R31" s="31"/>
      <c r="S31" s="31"/>
      <c r="T31" s="105"/>
      <c r="U31" s="106"/>
    </row>
    <row r="32" spans="1:21" hidden="1" x14ac:dyDescent="0.25">
      <c r="A32" s="168"/>
      <c r="B32" s="27"/>
      <c r="C32" s="104"/>
      <c r="D32" s="104"/>
      <c r="E32" s="104"/>
      <c r="F32" s="28"/>
      <c r="G32" s="28"/>
      <c r="H32" s="83"/>
      <c r="I32" s="104"/>
      <c r="N32" s="29"/>
      <c r="O32" s="29"/>
      <c r="P32" s="30"/>
      <c r="Q32" s="30"/>
      <c r="R32" s="31"/>
      <c r="S32" s="31"/>
      <c r="T32" s="105"/>
      <c r="U32" s="106"/>
    </row>
    <row r="33" spans="1:21" hidden="1" x14ac:dyDescent="0.25">
      <c r="A33" s="168"/>
      <c r="B33" s="27"/>
      <c r="C33" s="104"/>
      <c r="D33" s="104"/>
      <c r="E33" s="104"/>
      <c r="F33" s="541" t="s">
        <v>282</v>
      </c>
      <c r="G33" s="541"/>
      <c r="H33" s="541"/>
      <c r="I33" s="104"/>
      <c r="N33" s="29"/>
      <c r="O33" s="29"/>
      <c r="P33" s="30"/>
      <c r="Q33" s="30"/>
      <c r="R33" s="31"/>
      <c r="S33" s="31"/>
      <c r="T33" s="105"/>
      <c r="U33" s="106"/>
    </row>
    <row r="34" spans="1:21" hidden="1" x14ac:dyDescent="0.25">
      <c r="A34" s="3"/>
      <c r="B34" s="72"/>
      <c r="C34" s="72"/>
      <c r="D34" s="72"/>
      <c r="E34" s="72"/>
      <c r="F34" s="541"/>
      <c r="G34" s="541"/>
      <c r="H34" s="541"/>
      <c r="I34" s="25" t="s">
        <v>74</v>
      </c>
      <c r="N34" s="485" t="s">
        <v>35</v>
      </c>
      <c r="O34" s="485"/>
      <c r="P34" s="485"/>
      <c r="Q34" s="485"/>
      <c r="R34" s="485"/>
      <c r="S34" s="485"/>
      <c r="T34" s="485"/>
      <c r="U34" s="26" t="s">
        <v>74</v>
      </c>
    </row>
    <row r="35" spans="1:21" hidden="1" x14ac:dyDescent="0.25">
      <c r="A35" s="27"/>
      <c r="B35" s="27"/>
      <c r="C35" s="91" t="s">
        <v>124</v>
      </c>
      <c r="D35" s="91" t="s">
        <v>125</v>
      </c>
      <c r="E35" s="92" t="s">
        <v>8</v>
      </c>
      <c r="F35" s="541"/>
      <c r="G35" s="541"/>
      <c r="H35" s="541"/>
      <c r="I35" s="25" t="s">
        <v>36</v>
      </c>
      <c r="N35" s="29"/>
      <c r="O35" s="29"/>
      <c r="P35" s="30"/>
      <c r="Q35" s="30"/>
      <c r="R35" s="31"/>
      <c r="S35" s="31"/>
      <c r="T35" s="105"/>
      <c r="U35" s="26" t="s">
        <v>36</v>
      </c>
    </row>
    <row r="36" spans="1:21" hidden="1" x14ac:dyDescent="0.25">
      <c r="A36" s="447" t="s">
        <v>63</v>
      </c>
      <c r="B36" s="447"/>
      <c r="C36" s="93" t="s">
        <v>2</v>
      </c>
      <c r="D36" s="93" t="s">
        <v>2</v>
      </c>
      <c r="E36" s="93" t="s">
        <v>2</v>
      </c>
      <c r="F36" s="542"/>
      <c r="G36" s="542"/>
      <c r="H36" s="542"/>
      <c r="I36" s="32" t="s">
        <v>75</v>
      </c>
      <c r="N36" s="510" t="s">
        <v>63</v>
      </c>
      <c r="O36" s="510"/>
      <c r="P36" s="511" t="s">
        <v>24</v>
      </c>
      <c r="Q36" s="511"/>
      <c r="R36" s="511"/>
      <c r="S36" s="511"/>
      <c r="T36" s="511"/>
      <c r="U36" s="20" t="s">
        <v>75</v>
      </c>
    </row>
    <row r="37" spans="1:21" hidden="1" x14ac:dyDescent="0.25">
      <c r="A37" s="451" t="s">
        <v>56</v>
      </c>
      <c r="B37" s="451"/>
      <c r="C37" s="169">
        <v>0</v>
      </c>
      <c r="D37" s="169">
        <v>0</v>
      </c>
      <c r="E37" s="210">
        <f t="shared" ref="E37:E42" si="6">IF(D$43=0,C37*2,C37+D37)</f>
        <v>0</v>
      </c>
      <c r="F37" s="170"/>
      <c r="G37" s="170"/>
      <c r="H37" s="170"/>
      <c r="I37" s="119">
        <f t="shared" ref="I37:I42" si="7">ROUND(ROUND(E37*$C$8,4)*($H$8),2)</f>
        <v>0</v>
      </c>
      <c r="N37" s="512" t="s">
        <v>56</v>
      </c>
      <c r="O37" s="512"/>
      <c r="P37" s="483">
        <f t="shared" ref="P37:P42" si="8">IF($H$120=1,E37,0)</f>
        <v>0</v>
      </c>
      <c r="Q37" s="483"/>
      <c r="R37" s="483"/>
      <c r="S37" s="483"/>
      <c r="T37" s="483"/>
      <c r="U37" s="101">
        <f t="shared" ref="U37:U42" si="9">ROUND(ROUND(P37*$C$8,4)*($H$8),0)</f>
        <v>0</v>
      </c>
    </row>
    <row r="38" spans="1:21" hidden="1" x14ac:dyDescent="0.25">
      <c r="A38" s="453" t="s">
        <v>57</v>
      </c>
      <c r="B38" s="453"/>
      <c r="C38" s="172">
        <v>0</v>
      </c>
      <c r="D38" s="172">
        <v>0</v>
      </c>
      <c r="E38" s="125">
        <f t="shared" si="6"/>
        <v>0</v>
      </c>
      <c r="F38" s="173"/>
      <c r="G38" s="173"/>
      <c r="H38" s="173"/>
      <c r="I38" s="104">
        <f t="shared" si="7"/>
        <v>0</v>
      </c>
      <c r="N38" s="479" t="s">
        <v>57</v>
      </c>
      <c r="O38" s="479"/>
      <c r="P38" s="483">
        <f t="shared" si="8"/>
        <v>0</v>
      </c>
      <c r="Q38" s="483"/>
      <c r="R38" s="483"/>
      <c r="S38" s="483"/>
      <c r="T38" s="483"/>
      <c r="U38" s="101">
        <f t="shared" si="9"/>
        <v>0</v>
      </c>
    </row>
    <row r="39" spans="1:21" hidden="1" x14ac:dyDescent="0.25">
      <c r="A39" s="458" t="s">
        <v>58</v>
      </c>
      <c r="B39" s="458"/>
      <c r="C39" s="172">
        <v>0</v>
      </c>
      <c r="D39" s="172">
        <v>0</v>
      </c>
      <c r="E39" s="125">
        <f t="shared" si="6"/>
        <v>0</v>
      </c>
      <c r="F39" s="173"/>
      <c r="G39" s="173"/>
      <c r="H39" s="173"/>
      <c r="I39" s="104">
        <f t="shared" si="7"/>
        <v>0</v>
      </c>
      <c r="N39" s="509" t="s">
        <v>58</v>
      </c>
      <c r="O39" s="509"/>
      <c r="P39" s="483">
        <f t="shared" si="8"/>
        <v>0</v>
      </c>
      <c r="Q39" s="483"/>
      <c r="R39" s="483"/>
      <c r="S39" s="483"/>
      <c r="T39" s="483"/>
      <c r="U39" s="101">
        <f t="shared" si="9"/>
        <v>0</v>
      </c>
    </row>
    <row r="40" spans="1:21" hidden="1" x14ac:dyDescent="0.25">
      <c r="A40" s="453" t="s">
        <v>59</v>
      </c>
      <c r="B40" s="453"/>
      <c r="C40" s="172">
        <v>0</v>
      </c>
      <c r="D40" s="172">
        <v>0</v>
      </c>
      <c r="E40" s="125">
        <f t="shared" si="6"/>
        <v>0</v>
      </c>
      <c r="F40" s="173"/>
      <c r="G40" s="173"/>
      <c r="H40" s="173"/>
      <c r="I40" s="104">
        <f t="shared" si="7"/>
        <v>0</v>
      </c>
      <c r="N40" s="479" t="s">
        <v>59</v>
      </c>
      <c r="O40" s="479"/>
      <c r="P40" s="483">
        <f t="shared" si="8"/>
        <v>0</v>
      </c>
      <c r="Q40" s="483"/>
      <c r="R40" s="483"/>
      <c r="S40" s="483"/>
      <c r="T40" s="483"/>
      <c r="U40" s="101">
        <f t="shared" si="9"/>
        <v>0</v>
      </c>
    </row>
    <row r="41" spans="1:21" hidden="1" x14ac:dyDescent="0.25">
      <c r="A41" s="453" t="s">
        <v>60</v>
      </c>
      <c r="B41" s="453"/>
      <c r="C41" s="172">
        <v>0</v>
      </c>
      <c r="D41" s="172">
        <v>0</v>
      </c>
      <c r="E41" s="125">
        <f t="shared" si="6"/>
        <v>0</v>
      </c>
      <c r="F41" s="173"/>
      <c r="G41" s="173"/>
      <c r="H41" s="173"/>
      <c r="I41" s="104">
        <f t="shared" si="7"/>
        <v>0</v>
      </c>
      <c r="N41" s="479" t="s">
        <v>60</v>
      </c>
      <c r="O41" s="479"/>
      <c r="P41" s="483">
        <f t="shared" si="8"/>
        <v>0</v>
      </c>
      <c r="Q41" s="483"/>
      <c r="R41" s="483"/>
      <c r="S41" s="483"/>
      <c r="T41" s="483"/>
      <c r="U41" s="101">
        <f t="shared" si="9"/>
        <v>0</v>
      </c>
    </row>
    <row r="42" spans="1:21" hidden="1" x14ac:dyDescent="0.25">
      <c r="A42" s="453" t="s">
        <v>52</v>
      </c>
      <c r="B42" s="453"/>
      <c r="C42" s="171">
        <v>0</v>
      </c>
      <c r="D42" s="171">
        <v>0</v>
      </c>
      <c r="E42" s="177">
        <f t="shared" si="6"/>
        <v>0</v>
      </c>
      <c r="F42" s="173"/>
      <c r="G42" s="173"/>
      <c r="H42" s="173"/>
      <c r="I42" s="97">
        <f t="shared" si="7"/>
        <v>0</v>
      </c>
      <c r="N42" s="482" t="s">
        <v>52</v>
      </c>
      <c r="O42" s="482"/>
      <c r="P42" s="483">
        <f t="shared" si="8"/>
        <v>0</v>
      </c>
      <c r="Q42" s="483"/>
      <c r="R42" s="483"/>
      <c r="S42" s="483"/>
      <c r="T42" s="483"/>
      <c r="U42" s="101">
        <f t="shared" si="9"/>
        <v>0</v>
      </c>
    </row>
    <row r="43" spans="1:21" hidden="1" x14ac:dyDescent="0.25">
      <c r="A43" s="3"/>
      <c r="B43" s="55" t="s">
        <v>126</v>
      </c>
      <c r="C43" s="100">
        <f>SUM(C37:C42)</f>
        <v>0</v>
      </c>
      <c r="D43" s="100">
        <f>SUM(D37:D42)</f>
        <v>0</v>
      </c>
      <c r="E43" s="100">
        <f>SUM(E37:E42)</f>
        <v>0</v>
      </c>
      <c r="F43" s="33"/>
      <c r="G43" s="109"/>
      <c r="H43" s="110" t="s">
        <v>128</v>
      </c>
      <c r="I43" s="100">
        <f>SUM(I37:I42)</f>
        <v>0</v>
      </c>
      <c r="N43" s="480" t="s">
        <v>54</v>
      </c>
      <c r="O43" s="480"/>
      <c r="P43" s="480"/>
      <c r="Q43" s="480"/>
      <c r="R43" s="34">
        <f>SUM(P37:R42)</f>
        <v>0</v>
      </c>
      <c r="S43" s="508" t="s">
        <v>64</v>
      </c>
      <c r="T43" s="508"/>
      <c r="U43" s="106">
        <f>SUM(U37:U42)</f>
        <v>0</v>
      </c>
    </row>
    <row r="44" spans="1:21" ht="16.5" hidden="1" thickBot="1" x14ac:dyDescent="0.3">
      <c r="A44" s="3"/>
      <c r="B44" s="55"/>
      <c r="C44" s="104"/>
      <c r="D44" s="104"/>
      <c r="E44" s="119"/>
      <c r="F44" s="33"/>
      <c r="G44" s="109"/>
      <c r="H44" s="110"/>
      <c r="I44" s="104"/>
      <c r="N44" s="29"/>
      <c r="O44" s="29"/>
      <c r="P44" s="29"/>
      <c r="Q44" s="29"/>
      <c r="R44" s="34"/>
      <c r="S44" s="31"/>
      <c r="T44" s="31"/>
      <c r="U44" s="106"/>
    </row>
    <row r="45" spans="1:21" ht="16.5" hidden="1" thickBot="1" x14ac:dyDescent="0.3">
      <c r="A45" s="3"/>
      <c r="B45" s="55" t="s">
        <v>127</v>
      </c>
      <c r="E45" s="174">
        <f>H29+E43</f>
        <v>535.30540000000008</v>
      </c>
      <c r="F45" s="35"/>
      <c r="G45" s="109"/>
      <c r="H45" s="110" t="s">
        <v>129</v>
      </c>
      <c r="I45" s="97">
        <f>SUM(I43,I29)</f>
        <v>2563217.9000000004</v>
      </c>
      <c r="N45" s="480" t="s">
        <v>55</v>
      </c>
      <c r="O45" s="480"/>
      <c r="P45" s="480"/>
      <c r="Q45" s="480"/>
      <c r="R45" s="36">
        <f>R43+T29</f>
        <v>0</v>
      </c>
      <c r="S45" s="508" t="s">
        <v>53</v>
      </c>
      <c r="T45" s="508"/>
      <c r="U45" s="111">
        <f>SUM(U43,U29)</f>
        <v>0</v>
      </c>
    </row>
    <row r="46" spans="1:21" hidden="1" x14ac:dyDescent="0.25">
      <c r="A46" s="27"/>
      <c r="B46" s="27"/>
      <c r="C46" s="27"/>
      <c r="D46" s="27"/>
      <c r="E46" s="27"/>
      <c r="F46" s="35"/>
      <c r="G46" s="28"/>
      <c r="H46" s="28"/>
      <c r="I46" s="104"/>
      <c r="N46" s="29"/>
      <c r="O46" s="29"/>
      <c r="P46" s="29"/>
      <c r="Q46" s="29"/>
      <c r="R46" s="36"/>
      <c r="S46" s="31"/>
      <c r="T46" s="31"/>
      <c r="U46" s="106"/>
    </row>
    <row r="47" spans="1:21" x14ac:dyDescent="0.25">
      <c r="A47" s="27"/>
      <c r="B47" s="55" t="s">
        <v>370</v>
      </c>
      <c r="C47" s="41" t="s">
        <v>370</v>
      </c>
      <c r="D47" s="91" t="s">
        <v>370</v>
      </c>
      <c r="E47" s="27"/>
      <c r="F47" s="35"/>
      <c r="G47" s="28"/>
      <c r="H47" s="28"/>
      <c r="I47" s="104"/>
      <c r="N47" s="29"/>
      <c r="O47" s="29"/>
      <c r="P47" s="29"/>
      <c r="Q47" s="29"/>
      <c r="R47" s="36"/>
      <c r="S47" s="31"/>
      <c r="T47" s="31"/>
      <c r="U47" s="106"/>
    </row>
    <row r="48" spans="1:21" x14ac:dyDescent="0.25">
      <c r="A48" s="27"/>
      <c r="B48" s="27"/>
      <c r="C48" s="91" t="s">
        <v>463</v>
      </c>
      <c r="D48" s="371" t="s">
        <v>464</v>
      </c>
      <c r="E48" s="92" t="s">
        <v>8</v>
      </c>
      <c r="F48" s="49" t="s">
        <v>130</v>
      </c>
      <c r="G48" s="112" t="s">
        <v>132</v>
      </c>
      <c r="H48" s="113" t="s">
        <v>133</v>
      </c>
      <c r="I48" s="104"/>
      <c r="N48" s="29"/>
      <c r="O48" s="29"/>
      <c r="P48" s="29"/>
      <c r="Q48" s="29"/>
      <c r="R48" s="36"/>
      <c r="S48" s="31"/>
      <c r="T48" s="31"/>
      <c r="U48" s="106"/>
    </row>
    <row r="49" spans="1:21" x14ac:dyDescent="0.25">
      <c r="A49" s="37" t="s">
        <v>87</v>
      </c>
      <c r="B49" s="37"/>
      <c r="C49" s="362" t="s">
        <v>2</v>
      </c>
      <c r="D49" s="362" t="s">
        <v>2</v>
      </c>
      <c r="E49" s="362" t="s">
        <v>2</v>
      </c>
      <c r="F49" s="95" t="s">
        <v>131</v>
      </c>
      <c r="G49" s="62" t="s">
        <v>131</v>
      </c>
      <c r="H49" s="114" t="s">
        <v>134</v>
      </c>
      <c r="I49" s="37"/>
      <c r="N49" s="482" t="s">
        <v>87</v>
      </c>
      <c r="O49" s="482"/>
      <c r="P49" s="503" t="s">
        <v>2</v>
      </c>
      <c r="Q49" s="503"/>
      <c r="R49" s="38" t="s">
        <v>25</v>
      </c>
      <c r="S49" s="63" t="s">
        <v>26</v>
      </c>
      <c r="T49" s="115" t="s">
        <v>27</v>
      </c>
      <c r="U49" s="38"/>
    </row>
    <row r="50" spans="1:21" x14ac:dyDescent="0.25">
      <c r="A50" s="459" t="s">
        <v>98</v>
      </c>
      <c r="B50" s="459"/>
      <c r="C50" s="165">
        <v>0</v>
      </c>
      <c r="D50" s="165">
        <v>0</v>
      </c>
      <c r="E50" s="125">
        <f>IF(D$59=0,C50*2,C50+D50)</f>
        <v>0</v>
      </c>
      <c r="F50" s="39" t="s">
        <v>21</v>
      </c>
      <c r="G50" s="39">
        <v>251</v>
      </c>
      <c r="H50" s="321">
        <f>'0664'!H50</f>
        <v>1047</v>
      </c>
      <c r="I50" s="104">
        <f>ROUND(E50*H50,2)</f>
        <v>0</v>
      </c>
      <c r="N50" s="504" t="s">
        <v>28</v>
      </c>
      <c r="O50" s="504"/>
      <c r="P50" s="505"/>
      <c r="Q50" s="505"/>
      <c r="R50" s="40" t="s">
        <v>21</v>
      </c>
      <c r="S50" s="40">
        <v>251</v>
      </c>
      <c r="T50" s="117">
        <f>H50</f>
        <v>1047</v>
      </c>
      <c r="U50" s="118">
        <f>ROUND(P50*T50,0)</f>
        <v>0</v>
      </c>
    </row>
    <row r="51" spans="1:21" x14ac:dyDescent="0.25">
      <c r="A51" s="460"/>
      <c r="B51" s="460"/>
      <c r="C51" s="165">
        <v>0</v>
      </c>
      <c r="D51" s="165">
        <v>0</v>
      </c>
      <c r="E51" s="125">
        <f t="shared" ref="E51:E58" si="10">IF(D$59=0,C51*2,C51+D51)</f>
        <v>0</v>
      </c>
      <c r="F51" s="39" t="s">
        <v>21</v>
      </c>
      <c r="G51" s="39">
        <v>252</v>
      </c>
      <c r="H51" s="321">
        <f>'0664'!H51</f>
        <v>3380</v>
      </c>
      <c r="I51" s="104">
        <f t="shared" ref="I51:I58" si="11">ROUND(E51*H51,2)</f>
        <v>0</v>
      </c>
      <c r="N51" s="504"/>
      <c r="O51" s="504"/>
      <c r="P51" s="506"/>
      <c r="Q51" s="506"/>
      <c r="R51" s="40" t="s">
        <v>21</v>
      </c>
      <c r="S51" s="40">
        <v>252</v>
      </c>
      <c r="T51" s="117">
        <f t="shared" ref="T51:T58" si="12">H51</f>
        <v>3380</v>
      </c>
      <c r="U51" s="118">
        <f t="shared" ref="U51:U58" si="13">ROUND(P51*T51,0)</f>
        <v>0</v>
      </c>
    </row>
    <row r="52" spans="1:21" x14ac:dyDescent="0.25">
      <c r="A52" s="460"/>
      <c r="B52" s="460"/>
      <c r="C52" s="165">
        <v>0</v>
      </c>
      <c r="D52" s="165">
        <v>0</v>
      </c>
      <c r="E52" s="125">
        <f t="shared" si="10"/>
        <v>0</v>
      </c>
      <c r="F52" s="39" t="s">
        <v>21</v>
      </c>
      <c r="G52" s="39">
        <v>253</v>
      </c>
      <c r="H52" s="321">
        <f>'0664'!H52</f>
        <v>6896</v>
      </c>
      <c r="I52" s="104">
        <f t="shared" si="11"/>
        <v>0</v>
      </c>
      <c r="N52" s="504"/>
      <c r="O52" s="504"/>
      <c r="P52" s="506"/>
      <c r="Q52" s="506"/>
      <c r="R52" s="40" t="s">
        <v>21</v>
      </c>
      <c r="S52" s="40">
        <v>253</v>
      </c>
      <c r="T52" s="117">
        <f t="shared" si="12"/>
        <v>6896</v>
      </c>
      <c r="U52" s="118">
        <f t="shared" si="13"/>
        <v>0</v>
      </c>
    </row>
    <row r="53" spans="1:21" x14ac:dyDescent="0.25">
      <c r="A53" s="460"/>
      <c r="B53" s="460"/>
      <c r="C53" s="165">
        <v>42</v>
      </c>
      <c r="D53" s="165">
        <v>40.97</v>
      </c>
      <c r="E53" s="125">
        <f t="shared" si="10"/>
        <v>82.97</v>
      </c>
      <c r="F53" s="41" t="s">
        <v>14</v>
      </c>
      <c r="G53" s="39">
        <v>251</v>
      </c>
      <c r="H53" s="321">
        <f>'0664'!H53</f>
        <v>1173</v>
      </c>
      <c r="I53" s="104">
        <f t="shared" si="11"/>
        <v>97323.81</v>
      </c>
      <c r="N53" s="504"/>
      <c r="O53" s="504"/>
      <c r="P53" s="506"/>
      <c r="Q53" s="506"/>
      <c r="R53" s="42" t="s">
        <v>14</v>
      </c>
      <c r="S53" s="40">
        <v>251</v>
      </c>
      <c r="T53" s="117">
        <f t="shared" si="12"/>
        <v>1173</v>
      </c>
      <c r="U53" s="118">
        <f t="shared" si="13"/>
        <v>0</v>
      </c>
    </row>
    <row r="54" spans="1:21" x14ac:dyDescent="0.25">
      <c r="A54" s="460"/>
      <c r="B54" s="460"/>
      <c r="C54" s="165">
        <v>0.5</v>
      </c>
      <c r="D54" s="165">
        <v>0.49</v>
      </c>
      <c r="E54" s="125">
        <f t="shared" si="10"/>
        <v>0.99</v>
      </c>
      <c r="F54" s="41" t="s">
        <v>14</v>
      </c>
      <c r="G54" s="39">
        <v>252</v>
      </c>
      <c r="H54" s="321">
        <f>'0664'!H54</f>
        <v>3506</v>
      </c>
      <c r="I54" s="104">
        <f t="shared" si="11"/>
        <v>3470.94</v>
      </c>
      <c r="N54" s="504"/>
      <c r="O54" s="504"/>
      <c r="P54" s="506"/>
      <c r="Q54" s="506"/>
      <c r="R54" s="42" t="s">
        <v>14</v>
      </c>
      <c r="S54" s="40">
        <v>252</v>
      </c>
      <c r="T54" s="117">
        <f t="shared" si="12"/>
        <v>3506</v>
      </c>
      <c r="U54" s="118">
        <f t="shared" si="13"/>
        <v>0</v>
      </c>
    </row>
    <row r="55" spans="1:21" x14ac:dyDescent="0.25">
      <c r="A55" s="460"/>
      <c r="B55" s="460"/>
      <c r="C55" s="165">
        <v>0</v>
      </c>
      <c r="D55" s="165">
        <v>0</v>
      </c>
      <c r="E55" s="125">
        <f t="shared" si="10"/>
        <v>0</v>
      </c>
      <c r="F55" s="41" t="s">
        <v>14</v>
      </c>
      <c r="G55" s="39">
        <v>253</v>
      </c>
      <c r="H55" s="321">
        <f>'0664'!H55</f>
        <v>7023</v>
      </c>
      <c r="I55" s="104">
        <f t="shared" si="11"/>
        <v>0</v>
      </c>
      <c r="N55" s="504"/>
      <c r="O55" s="504"/>
      <c r="P55" s="506"/>
      <c r="Q55" s="506"/>
      <c r="R55" s="42" t="s">
        <v>14</v>
      </c>
      <c r="S55" s="40">
        <v>253</v>
      </c>
      <c r="T55" s="117">
        <f t="shared" si="12"/>
        <v>7023</v>
      </c>
      <c r="U55" s="118">
        <f t="shared" si="13"/>
        <v>0</v>
      </c>
    </row>
    <row r="56" spans="1:21" x14ac:dyDescent="0.25">
      <c r="A56" s="460"/>
      <c r="B56" s="460"/>
      <c r="C56" s="165">
        <v>0</v>
      </c>
      <c r="D56" s="165">
        <v>0</v>
      </c>
      <c r="E56" s="125">
        <f t="shared" si="10"/>
        <v>0</v>
      </c>
      <c r="F56" s="41" t="s">
        <v>15</v>
      </c>
      <c r="G56" s="39">
        <v>251</v>
      </c>
      <c r="H56" s="321">
        <f>'0664'!H56</f>
        <v>835</v>
      </c>
      <c r="I56" s="104">
        <f t="shared" si="11"/>
        <v>0</v>
      </c>
      <c r="N56" s="504"/>
      <c r="O56" s="504"/>
      <c r="P56" s="506"/>
      <c r="Q56" s="506"/>
      <c r="R56" s="42" t="s">
        <v>15</v>
      </c>
      <c r="S56" s="40">
        <v>251</v>
      </c>
      <c r="T56" s="117">
        <f t="shared" si="12"/>
        <v>835</v>
      </c>
      <c r="U56" s="118">
        <f t="shared" si="13"/>
        <v>0</v>
      </c>
    </row>
    <row r="57" spans="1:21" x14ac:dyDescent="0.25">
      <c r="A57" s="460"/>
      <c r="B57" s="460"/>
      <c r="C57" s="165">
        <v>0</v>
      </c>
      <c r="D57" s="165">
        <v>0</v>
      </c>
      <c r="E57" s="125">
        <f t="shared" si="10"/>
        <v>0</v>
      </c>
      <c r="F57" s="41" t="s">
        <v>15</v>
      </c>
      <c r="G57" s="39">
        <v>252</v>
      </c>
      <c r="H57" s="321">
        <f>'0664'!H57</f>
        <v>3168</v>
      </c>
      <c r="I57" s="104">
        <f t="shared" si="11"/>
        <v>0</v>
      </c>
      <c r="N57" s="504"/>
      <c r="O57" s="504"/>
      <c r="P57" s="506"/>
      <c r="Q57" s="506"/>
      <c r="R57" s="42" t="s">
        <v>15</v>
      </c>
      <c r="S57" s="40">
        <v>252</v>
      </c>
      <c r="T57" s="117">
        <f t="shared" si="12"/>
        <v>3168</v>
      </c>
      <c r="U57" s="118">
        <f t="shared" si="13"/>
        <v>0</v>
      </c>
    </row>
    <row r="58" spans="1:21" ht="16.5" thickBot="1" x14ac:dyDescent="0.3">
      <c r="A58" s="460"/>
      <c r="B58" s="460"/>
      <c r="C58" s="165">
        <v>0</v>
      </c>
      <c r="D58" s="165">
        <v>0</v>
      </c>
      <c r="E58" s="125">
        <f t="shared" si="10"/>
        <v>0</v>
      </c>
      <c r="F58" s="41" t="s">
        <v>15</v>
      </c>
      <c r="G58" s="39">
        <v>253</v>
      </c>
      <c r="H58" s="321">
        <f>'0664'!H58</f>
        <v>6685</v>
      </c>
      <c r="I58" s="104">
        <f t="shared" si="11"/>
        <v>0</v>
      </c>
      <c r="N58" s="504"/>
      <c r="O58" s="504"/>
      <c r="P58" s="507"/>
      <c r="Q58" s="507"/>
      <c r="R58" s="42" t="s">
        <v>15</v>
      </c>
      <c r="S58" s="40">
        <v>253</v>
      </c>
      <c r="T58" s="117">
        <f t="shared" si="12"/>
        <v>6685</v>
      </c>
      <c r="U58" s="120">
        <f t="shared" si="13"/>
        <v>0</v>
      </c>
    </row>
    <row r="59" spans="1:21" ht="16.5" thickBot="1" x14ac:dyDescent="0.3">
      <c r="A59" s="461" t="s">
        <v>16</v>
      </c>
      <c r="B59" s="461"/>
      <c r="C59" s="100">
        <f>SUM(C50:C58)</f>
        <v>42.5</v>
      </c>
      <c r="D59" s="100">
        <f>SUM(D50:D58)</f>
        <v>41.46</v>
      </c>
      <c r="E59" s="100">
        <f>SUM(E50:E58)</f>
        <v>83.96</v>
      </c>
      <c r="F59" s="461" t="s">
        <v>77</v>
      </c>
      <c r="G59" s="461"/>
      <c r="H59" s="461"/>
      <c r="I59" s="100">
        <f>SUM(I50:I58)</f>
        <v>100794.75</v>
      </c>
      <c r="N59" s="480" t="s">
        <v>16</v>
      </c>
      <c r="O59" s="480"/>
      <c r="P59" s="502">
        <f>SUM(P50:P58)</f>
        <v>0</v>
      </c>
      <c r="Q59" s="502"/>
      <c r="R59" s="480" t="s">
        <v>77</v>
      </c>
      <c r="S59" s="480"/>
      <c r="T59" s="480"/>
      <c r="U59" s="111">
        <f>SUM(U50:U58)</f>
        <v>0</v>
      </c>
    </row>
    <row r="60" spans="1:21" x14ac:dyDescent="0.25">
      <c r="A60" s="462"/>
      <c r="B60" s="462"/>
      <c r="C60" s="462"/>
      <c r="D60" s="462"/>
      <c r="E60" s="462"/>
      <c r="F60" s="462"/>
      <c r="G60" s="462"/>
      <c r="H60" s="462"/>
      <c r="I60" s="462"/>
      <c r="N60" s="484"/>
      <c r="O60" s="484"/>
      <c r="P60" s="484"/>
      <c r="Q60" s="484"/>
      <c r="R60" s="484"/>
      <c r="S60" s="484"/>
      <c r="T60" s="484"/>
      <c r="U60" s="484"/>
    </row>
    <row r="61" spans="1:21" x14ac:dyDescent="0.25">
      <c r="A61" s="463" t="s">
        <v>136</v>
      </c>
      <c r="B61" s="453"/>
      <c r="C61" s="453"/>
      <c r="D61" s="453"/>
      <c r="E61" s="453"/>
      <c r="F61" s="453"/>
      <c r="G61" s="453"/>
      <c r="H61" s="453"/>
      <c r="I61" s="453"/>
      <c r="N61" s="479" t="s">
        <v>88</v>
      </c>
      <c r="O61" s="479"/>
      <c r="P61" s="479"/>
      <c r="Q61" s="479"/>
      <c r="R61" s="479"/>
      <c r="S61" s="479"/>
      <c r="T61" s="479"/>
      <c r="U61" s="479"/>
    </row>
    <row r="62" spans="1:21" x14ac:dyDescent="0.25">
      <c r="A62" s="463" t="s">
        <v>138</v>
      </c>
      <c r="B62" s="453"/>
      <c r="C62" s="121">
        <f>E29</f>
        <v>534.09</v>
      </c>
      <c r="D62" s="464" t="s">
        <v>135</v>
      </c>
      <c r="E62" s="464"/>
      <c r="F62" s="464"/>
      <c r="G62" s="464"/>
      <c r="H62" s="335">
        <f>'0664'!H62</f>
        <v>193340.76</v>
      </c>
      <c r="I62" s="122"/>
      <c r="N62" s="478" t="s">
        <v>312</v>
      </c>
      <c r="O62" s="479"/>
      <c r="P62" s="43">
        <f>P29</f>
        <v>0</v>
      </c>
      <c r="Q62" s="498" t="s">
        <v>78</v>
      </c>
      <c r="R62" s="498"/>
      <c r="S62" s="498"/>
      <c r="T62" s="497">
        <f>H62</f>
        <v>193340.76</v>
      </c>
      <c r="U62" s="497"/>
    </row>
    <row r="63" spans="1:21" x14ac:dyDescent="0.25">
      <c r="B63" s="72"/>
      <c r="G63" s="44" t="s">
        <v>13</v>
      </c>
      <c r="H63" s="123">
        <f>ROUND(C62/H62,6)</f>
        <v>2.7620000000000001E-3</v>
      </c>
      <c r="I63" s="124"/>
      <c r="N63" s="479" t="s">
        <v>19</v>
      </c>
      <c r="O63" s="479"/>
      <c r="P63" s="479"/>
      <c r="Q63" s="479"/>
      <c r="R63" s="479"/>
      <c r="S63" s="479"/>
      <c r="T63" s="501">
        <f>ROUND(P62/T62,6)</f>
        <v>0</v>
      </c>
      <c r="U63" s="501"/>
    </row>
    <row r="64" spans="1:21" x14ac:dyDescent="0.25">
      <c r="A64" s="463" t="s">
        <v>137</v>
      </c>
      <c r="B64" s="453"/>
      <c r="C64" s="453"/>
      <c r="D64" s="453"/>
      <c r="E64" s="453"/>
      <c r="F64" s="453"/>
      <c r="G64" s="453"/>
      <c r="H64" s="453"/>
      <c r="I64" s="453"/>
      <c r="N64" s="479" t="s">
        <v>89</v>
      </c>
      <c r="O64" s="479"/>
      <c r="P64" s="479"/>
      <c r="Q64" s="479"/>
      <c r="R64" s="479"/>
      <c r="S64" s="479"/>
      <c r="T64" s="479"/>
      <c r="U64" s="479"/>
    </row>
    <row r="65" spans="1:21" x14ac:dyDescent="0.25">
      <c r="A65" s="463" t="s">
        <v>139</v>
      </c>
      <c r="B65" s="453"/>
      <c r="C65" s="121">
        <f>E45</f>
        <v>535.30540000000008</v>
      </c>
      <c r="D65" s="464" t="s">
        <v>140</v>
      </c>
      <c r="E65" s="464"/>
      <c r="F65" s="464"/>
      <c r="G65" s="464"/>
      <c r="H65" s="336">
        <f>'0664'!H65</f>
        <v>216845.88</v>
      </c>
      <c r="I65" s="125"/>
      <c r="N65" s="479" t="s">
        <v>80</v>
      </c>
      <c r="O65" s="479"/>
      <c r="P65" s="43">
        <f>R45</f>
        <v>0</v>
      </c>
      <c r="Q65" s="498" t="s">
        <v>79</v>
      </c>
      <c r="R65" s="498"/>
      <c r="S65" s="498"/>
      <c r="T65" s="497">
        <f>H65</f>
        <v>216845.88</v>
      </c>
      <c r="U65" s="497"/>
    </row>
    <row r="66" spans="1:21" s="37" customFormat="1" x14ac:dyDescent="0.25">
      <c r="A66" s="126"/>
      <c r="G66" s="45" t="s">
        <v>13</v>
      </c>
      <c r="H66" s="127">
        <f>ROUND(C65/H65,6)</f>
        <v>2.4689999999999998E-3</v>
      </c>
      <c r="I66" s="127"/>
      <c r="N66" s="482" t="s">
        <v>20</v>
      </c>
      <c r="O66" s="482"/>
      <c r="P66" s="482"/>
      <c r="Q66" s="482"/>
      <c r="R66" s="482"/>
      <c r="S66" s="482"/>
      <c r="T66" s="500">
        <f>ROUND(P65/T65,6)</f>
        <v>0</v>
      </c>
      <c r="U66" s="500"/>
    </row>
    <row r="67" spans="1:21" x14ac:dyDescent="0.25">
      <c r="G67" s="44"/>
      <c r="H67" s="123"/>
      <c r="I67" s="123"/>
      <c r="N67" s="48"/>
      <c r="O67" s="48"/>
      <c r="P67" s="48"/>
      <c r="Q67" s="48"/>
      <c r="R67" s="128"/>
      <c r="S67" s="48"/>
      <c r="T67" s="129"/>
      <c r="U67" s="130"/>
    </row>
    <row r="68" spans="1:21" x14ac:dyDescent="0.25">
      <c r="A68" s="453" t="s">
        <v>85</v>
      </c>
      <c r="B68" s="453"/>
      <c r="C68" s="453"/>
      <c r="D68" s="72"/>
      <c r="E68" s="46" t="s">
        <v>3</v>
      </c>
      <c r="F68" s="337">
        <f>'0664'!F68</f>
        <v>42465042</v>
      </c>
      <c r="G68" s="39" t="s">
        <v>6</v>
      </c>
      <c r="H68" s="131">
        <f>H63</f>
        <v>2.7620000000000001E-3</v>
      </c>
      <c r="I68" s="104">
        <f>ROUND(F68*H68,2)</f>
        <v>117288.45</v>
      </c>
      <c r="N68" s="479" t="s">
        <v>85</v>
      </c>
      <c r="O68" s="479"/>
      <c r="P68" s="479"/>
      <c r="Q68" s="47"/>
      <c r="R68" s="132">
        <f>F68</f>
        <v>42465042</v>
      </c>
      <c r="S68" s="40" t="s">
        <v>6</v>
      </c>
      <c r="T68" s="133">
        <f>T63</f>
        <v>0</v>
      </c>
      <c r="U68" s="99">
        <f>ROUND(R68*T68,0)</f>
        <v>0</v>
      </c>
    </row>
    <row r="69" spans="1:21" x14ac:dyDescent="0.25">
      <c r="A69" s="458" t="s">
        <v>96</v>
      </c>
      <c r="B69" s="453"/>
      <c r="C69" s="453"/>
      <c r="D69" s="72"/>
      <c r="E69" s="46"/>
      <c r="F69" s="136"/>
      <c r="G69" s="39"/>
      <c r="H69" s="131"/>
      <c r="I69" s="104"/>
      <c r="N69" s="479" t="s">
        <v>84</v>
      </c>
      <c r="O69" s="479"/>
      <c r="P69" s="479"/>
      <c r="Q69" s="54"/>
      <c r="R69" s="54"/>
      <c r="S69" s="54"/>
      <c r="T69" s="54"/>
      <c r="U69" s="54"/>
    </row>
    <row r="70" spans="1:21" x14ac:dyDescent="0.25">
      <c r="A70" s="465" t="s">
        <v>141</v>
      </c>
      <c r="B70" s="453"/>
      <c r="C70" s="453"/>
      <c r="D70" s="72"/>
      <c r="E70" s="46" t="s">
        <v>3</v>
      </c>
      <c r="F70" s="337">
        <f>'0664'!F70</f>
        <v>0</v>
      </c>
      <c r="G70" s="39" t="s">
        <v>6</v>
      </c>
      <c r="H70" s="131">
        <f>H63</f>
        <v>2.7620000000000001E-3</v>
      </c>
      <c r="I70" s="104">
        <f>ROUND(F70*H70,2)</f>
        <v>0</v>
      </c>
      <c r="N70" s="48"/>
      <c r="O70" s="48"/>
      <c r="P70" s="48"/>
      <c r="Q70" s="47"/>
      <c r="R70" s="132">
        <f>F70</f>
        <v>0</v>
      </c>
      <c r="S70" s="40" t="s">
        <v>6</v>
      </c>
      <c r="T70" s="133">
        <f>T63</f>
        <v>0</v>
      </c>
      <c r="U70" s="99">
        <f>ROUND(R70*T70,0)</f>
        <v>0</v>
      </c>
    </row>
    <row r="71" spans="1:21" x14ac:dyDescent="0.25">
      <c r="A71" s="463" t="s">
        <v>433</v>
      </c>
      <c r="B71" s="453"/>
      <c r="C71" s="453"/>
      <c r="D71" s="72"/>
      <c r="E71" s="46" t="s">
        <v>3</v>
      </c>
      <c r="F71" s="337">
        <f>'0664'!F71</f>
        <v>13414654</v>
      </c>
      <c r="G71" s="39" t="s">
        <v>6</v>
      </c>
      <c r="H71" s="131">
        <f>H63</f>
        <v>2.7620000000000001E-3</v>
      </c>
      <c r="I71" s="104">
        <f>ROUND(F71*H71,2)</f>
        <v>37051.269999999997</v>
      </c>
      <c r="N71" s="479" t="s">
        <v>83</v>
      </c>
      <c r="O71" s="479"/>
      <c r="P71" s="479"/>
      <c r="Q71" s="47"/>
      <c r="R71" s="132">
        <f>F71</f>
        <v>13414654</v>
      </c>
      <c r="S71" s="40" t="s">
        <v>6</v>
      </c>
      <c r="T71" s="133">
        <f>T63</f>
        <v>0</v>
      </c>
      <c r="U71" s="99">
        <f>ROUND(R71*T71,0)</f>
        <v>0</v>
      </c>
    </row>
    <row r="72" spans="1:21" x14ac:dyDescent="0.25">
      <c r="A72" s="463" t="s">
        <v>434</v>
      </c>
      <c r="B72" s="453"/>
      <c r="C72" s="453"/>
      <c r="D72" s="72"/>
      <c r="E72" s="46" t="s">
        <v>3</v>
      </c>
      <c r="F72" s="337">
        <f>'0664'!F72</f>
        <v>14708421</v>
      </c>
      <c r="G72" s="39" t="s">
        <v>6</v>
      </c>
      <c r="H72" s="131">
        <f>H63</f>
        <v>2.7620000000000001E-3</v>
      </c>
      <c r="I72" s="104">
        <f>ROUND(F72*H72,2)</f>
        <v>40624.660000000003</v>
      </c>
      <c r="N72" s="479" t="s">
        <v>82</v>
      </c>
      <c r="O72" s="479"/>
      <c r="P72" s="479"/>
      <c r="Q72" s="47"/>
      <c r="R72" s="134">
        <f>F72</f>
        <v>14708421</v>
      </c>
      <c r="S72" s="40" t="s">
        <v>6</v>
      </c>
      <c r="T72" s="133">
        <f>T63</f>
        <v>0</v>
      </c>
      <c r="U72" s="99">
        <f>ROUND(R72*T72,0)</f>
        <v>0</v>
      </c>
    </row>
    <row r="73" spans="1:21" x14ac:dyDescent="0.25">
      <c r="A73" s="263" t="s">
        <v>99</v>
      </c>
      <c r="D73" s="72"/>
      <c r="E73" s="41" t="s">
        <v>353</v>
      </c>
      <c r="F73" s="466"/>
      <c r="G73" s="466"/>
      <c r="H73" s="466"/>
      <c r="I73" s="104">
        <v>0</v>
      </c>
      <c r="N73" s="499" t="s">
        <v>118</v>
      </c>
      <c r="O73" s="499"/>
      <c r="P73" s="499"/>
      <c r="Q73" s="499"/>
      <c r="R73" s="499"/>
      <c r="S73" s="499"/>
      <c r="T73" s="499"/>
      <c r="U73" s="99">
        <f>IF($H$120=1,I73,0)</f>
        <v>0</v>
      </c>
    </row>
    <row r="74" spans="1:21" x14ac:dyDescent="0.25">
      <c r="A74" s="264" t="s">
        <v>142</v>
      </c>
      <c r="I74" s="104"/>
      <c r="N74" s="499" t="s">
        <v>43</v>
      </c>
      <c r="O74" s="499"/>
      <c r="P74" s="499"/>
      <c r="Q74" s="499"/>
      <c r="R74" s="499"/>
      <c r="S74" s="499"/>
      <c r="T74" s="499"/>
      <c r="U74" s="99">
        <f>IF($H$120=1,I74,0)</f>
        <v>0</v>
      </c>
    </row>
    <row r="75" spans="1:21" x14ac:dyDescent="0.25">
      <c r="A75" s="324" t="s">
        <v>101</v>
      </c>
      <c r="B75" s="72"/>
      <c r="C75" s="72"/>
      <c r="D75" s="72"/>
      <c r="E75" s="72"/>
      <c r="F75" s="72"/>
      <c r="G75" s="72"/>
      <c r="H75" s="72"/>
      <c r="I75" s="135"/>
      <c r="N75" s="382" t="s">
        <v>44</v>
      </c>
      <c r="O75" s="48"/>
      <c r="P75" s="48"/>
      <c r="Q75" s="48"/>
      <c r="R75" s="48"/>
      <c r="S75" s="48"/>
      <c r="T75" s="48"/>
      <c r="U75" s="106"/>
    </row>
    <row r="76" spans="1:21" x14ac:dyDescent="0.25">
      <c r="A76" s="463" t="s">
        <v>435</v>
      </c>
      <c r="B76" s="453"/>
      <c r="C76" s="453"/>
      <c r="D76" s="72"/>
      <c r="E76" s="46" t="s">
        <v>3</v>
      </c>
      <c r="F76" s="337">
        <f>'0664'!F76</f>
        <v>8720092</v>
      </c>
      <c r="G76" s="39" t="s">
        <v>6</v>
      </c>
      <c r="H76" s="131">
        <f>H63</f>
        <v>2.7620000000000001E-3</v>
      </c>
      <c r="I76" s="104">
        <f t="shared" ref="I76:I85" si="14">ROUND(F76*H76,2)</f>
        <v>24084.89</v>
      </c>
      <c r="N76" s="478" t="s">
        <v>366</v>
      </c>
      <c r="O76" s="479"/>
      <c r="P76" s="479"/>
      <c r="Q76" s="47"/>
      <c r="R76" s="134">
        <f t="shared" ref="R76:R85" si="15">F76</f>
        <v>8720092</v>
      </c>
      <c r="S76" s="40" t="s">
        <v>6</v>
      </c>
      <c r="T76" s="133">
        <f>T63</f>
        <v>0</v>
      </c>
      <c r="U76" s="99">
        <f t="shared" ref="U76:U85" si="16">ROUND(R76*T76,0)</f>
        <v>0</v>
      </c>
    </row>
    <row r="77" spans="1:21" x14ac:dyDescent="0.25">
      <c r="A77" s="463" t="s">
        <v>436</v>
      </c>
      <c r="B77" s="453"/>
      <c r="C77" s="453"/>
      <c r="D77" s="72"/>
      <c r="E77" s="46" t="s">
        <v>3</v>
      </c>
      <c r="F77" s="337">
        <f>'0664'!F77</f>
        <v>0</v>
      </c>
      <c r="G77" s="39" t="s">
        <v>6</v>
      </c>
      <c r="H77" s="131">
        <f>H63</f>
        <v>2.7620000000000001E-3</v>
      </c>
      <c r="I77" s="104">
        <f t="shared" si="14"/>
        <v>0</v>
      </c>
      <c r="N77" s="479" t="s">
        <v>367</v>
      </c>
      <c r="O77" s="479"/>
      <c r="P77" s="479"/>
      <c r="Q77" s="47"/>
      <c r="R77" s="134">
        <f t="shared" si="15"/>
        <v>0</v>
      </c>
      <c r="S77" s="40" t="s">
        <v>6</v>
      </c>
      <c r="T77" s="133">
        <f>T63</f>
        <v>0</v>
      </c>
      <c r="U77" s="99">
        <f t="shared" si="16"/>
        <v>0</v>
      </c>
    </row>
    <row r="78" spans="1:21" x14ac:dyDescent="0.25">
      <c r="A78" s="463" t="s">
        <v>437</v>
      </c>
      <c r="B78" s="453"/>
      <c r="C78" s="453"/>
      <c r="D78" s="72"/>
      <c r="E78" s="46" t="s">
        <v>4</v>
      </c>
      <c r="F78" s="337">
        <f>'0664'!F78</f>
        <v>0</v>
      </c>
      <c r="G78" s="39" t="s">
        <v>6</v>
      </c>
      <c r="H78" s="131">
        <f>H66</f>
        <v>2.4689999999999998E-3</v>
      </c>
      <c r="I78" s="104">
        <f t="shared" si="14"/>
        <v>0</v>
      </c>
      <c r="N78" s="478" t="s">
        <v>392</v>
      </c>
      <c r="O78" s="479"/>
      <c r="P78" s="479"/>
      <c r="Q78" s="47"/>
      <c r="R78" s="134">
        <f t="shared" si="15"/>
        <v>0</v>
      </c>
      <c r="S78" s="40" t="s">
        <v>6</v>
      </c>
      <c r="T78" s="133">
        <f>T66</f>
        <v>0</v>
      </c>
      <c r="U78" s="99">
        <f t="shared" si="16"/>
        <v>0</v>
      </c>
    </row>
    <row r="79" spans="1:21" x14ac:dyDescent="0.25">
      <c r="A79" s="463" t="s">
        <v>438</v>
      </c>
      <c r="B79" s="453"/>
      <c r="C79" s="453"/>
      <c r="D79" s="72"/>
      <c r="E79" s="46" t="s">
        <v>4</v>
      </c>
      <c r="F79" s="337">
        <f>'0664'!F79</f>
        <v>11278687</v>
      </c>
      <c r="G79" s="39" t="s">
        <v>6</v>
      </c>
      <c r="H79" s="131">
        <f>H66</f>
        <v>2.4689999999999998E-3</v>
      </c>
      <c r="I79" s="104">
        <f t="shared" si="14"/>
        <v>27847.08</v>
      </c>
      <c r="N79" s="478" t="s">
        <v>393</v>
      </c>
      <c r="O79" s="479"/>
      <c r="P79" s="479"/>
      <c r="Q79" s="47"/>
      <c r="R79" s="134">
        <f t="shared" si="15"/>
        <v>11278687</v>
      </c>
      <c r="S79" s="40" t="s">
        <v>6</v>
      </c>
      <c r="T79" s="133">
        <f>T66</f>
        <v>0</v>
      </c>
      <c r="U79" s="99">
        <f t="shared" si="16"/>
        <v>0</v>
      </c>
    </row>
    <row r="80" spans="1:21" x14ac:dyDescent="0.25">
      <c r="A80" s="463" t="s">
        <v>439</v>
      </c>
      <c r="B80" s="453"/>
      <c r="C80" s="453"/>
      <c r="D80" s="72"/>
      <c r="E80" s="46" t="s">
        <v>4</v>
      </c>
      <c r="F80" s="337">
        <f>'0664'!F80</f>
        <v>206284749</v>
      </c>
      <c r="G80" s="39" t="s">
        <v>6</v>
      </c>
      <c r="H80" s="131">
        <f>H66</f>
        <v>2.4689999999999998E-3</v>
      </c>
      <c r="I80" s="104">
        <f t="shared" si="14"/>
        <v>509317.05</v>
      </c>
      <c r="N80" s="478" t="s">
        <v>397</v>
      </c>
      <c r="O80" s="479"/>
      <c r="P80" s="479"/>
      <c r="Q80" s="47"/>
      <c r="R80" s="134">
        <f t="shared" si="15"/>
        <v>206284749</v>
      </c>
      <c r="S80" s="40" t="s">
        <v>6</v>
      </c>
      <c r="T80" s="133">
        <f>T66</f>
        <v>0</v>
      </c>
      <c r="U80" s="99">
        <f t="shared" si="16"/>
        <v>0</v>
      </c>
    </row>
    <row r="81" spans="1:21" x14ac:dyDescent="0.25">
      <c r="A81" s="84" t="s">
        <v>440</v>
      </c>
      <c r="B81" s="72"/>
      <c r="C81" s="72"/>
      <c r="D81" s="72"/>
      <c r="E81" s="46"/>
      <c r="F81" s="337"/>
      <c r="G81" s="39"/>
      <c r="H81" s="131"/>
      <c r="I81" s="104"/>
      <c r="N81" s="419" t="s">
        <v>440</v>
      </c>
      <c r="O81" s="48"/>
      <c r="P81" s="48"/>
      <c r="Q81" s="47"/>
      <c r="R81" s="423"/>
      <c r="S81" s="40"/>
      <c r="T81" s="133"/>
      <c r="U81" s="120"/>
    </row>
    <row r="82" spans="1:21" x14ac:dyDescent="0.25">
      <c r="A82" s="264" t="s">
        <v>441</v>
      </c>
      <c r="B82" s="72"/>
      <c r="C82" s="72"/>
      <c r="D82" s="72"/>
      <c r="E82" s="46" t="s">
        <v>442</v>
      </c>
      <c r="F82" s="337">
        <f>'0664'!F82</f>
        <v>0</v>
      </c>
      <c r="G82" s="39" t="s">
        <v>6</v>
      </c>
      <c r="H82" s="131">
        <f>H66</f>
        <v>2.4689999999999998E-3</v>
      </c>
      <c r="I82" s="104">
        <v>92579.04</v>
      </c>
      <c r="N82" s="422" t="s">
        <v>441</v>
      </c>
      <c r="O82" s="48"/>
      <c r="P82" s="48"/>
      <c r="Q82" s="47"/>
      <c r="R82" s="134">
        <f t="shared" si="15"/>
        <v>0</v>
      </c>
      <c r="S82" s="40"/>
      <c r="T82" s="133"/>
      <c r="U82" s="99">
        <f t="shared" si="16"/>
        <v>0</v>
      </c>
    </row>
    <row r="83" spans="1:21" x14ac:dyDescent="0.25">
      <c r="A83" s="264" t="s">
        <v>443</v>
      </c>
      <c r="B83" s="72"/>
      <c r="C83" s="72"/>
      <c r="D83" s="72"/>
      <c r="E83" s="46" t="s">
        <v>442</v>
      </c>
      <c r="F83" s="337">
        <f>'0664'!F83</f>
        <v>0</v>
      </c>
      <c r="G83" s="39" t="s">
        <v>6</v>
      </c>
      <c r="H83" s="131">
        <f>H66</f>
        <v>2.4689999999999998E-3</v>
      </c>
      <c r="I83" s="104">
        <v>42081.38</v>
      </c>
      <c r="N83" s="422" t="s">
        <v>443</v>
      </c>
      <c r="O83" s="48"/>
      <c r="P83" s="48"/>
      <c r="Q83" s="47"/>
      <c r="R83" s="134">
        <f t="shared" si="15"/>
        <v>0</v>
      </c>
      <c r="S83" s="40"/>
      <c r="T83" s="133"/>
      <c r="U83" s="99">
        <f t="shared" si="16"/>
        <v>0</v>
      </c>
    </row>
    <row r="84" spans="1:21" x14ac:dyDescent="0.25">
      <c r="A84" s="420" t="s">
        <v>444</v>
      </c>
      <c r="B84" s="72"/>
      <c r="C84" s="72"/>
      <c r="D84" s="72"/>
      <c r="E84" s="46"/>
      <c r="F84" s="337"/>
      <c r="G84" s="39"/>
      <c r="H84" s="131"/>
      <c r="I84" s="104">
        <f>I82+I83</f>
        <v>134660.41999999998</v>
      </c>
      <c r="N84" s="421" t="s">
        <v>444</v>
      </c>
      <c r="O84" s="48"/>
      <c r="P84" s="48"/>
      <c r="Q84" s="47"/>
      <c r="R84" s="423"/>
      <c r="S84" s="40"/>
      <c r="T84" s="133"/>
      <c r="U84" s="99">
        <f>U82+U83</f>
        <v>0</v>
      </c>
    </row>
    <row r="85" spans="1:21" x14ac:dyDescent="0.25">
      <c r="A85" s="463" t="s">
        <v>398</v>
      </c>
      <c r="B85" s="453"/>
      <c r="C85" s="453"/>
      <c r="D85" s="72"/>
      <c r="E85" s="46" t="s">
        <v>4</v>
      </c>
      <c r="F85" s="337">
        <f>'0664'!F85</f>
        <v>0</v>
      </c>
      <c r="G85" s="39" t="s">
        <v>6</v>
      </c>
      <c r="H85" s="131">
        <f>H66</f>
        <v>2.4689999999999998E-3</v>
      </c>
      <c r="I85" s="104">
        <f t="shared" si="14"/>
        <v>0</v>
      </c>
      <c r="N85" s="478" t="s">
        <v>398</v>
      </c>
      <c r="O85" s="479"/>
      <c r="P85" s="479"/>
      <c r="Q85" s="47"/>
      <c r="R85" s="132">
        <f t="shared" si="15"/>
        <v>0</v>
      </c>
      <c r="S85" s="40" t="s">
        <v>6</v>
      </c>
      <c r="T85" s="133">
        <f>T66</f>
        <v>0</v>
      </c>
      <c r="U85" s="99">
        <f t="shared" si="16"/>
        <v>0</v>
      </c>
    </row>
    <row r="86" spans="1:21" x14ac:dyDescent="0.25">
      <c r="B86" s="72"/>
      <c r="C86" s="72"/>
      <c r="D86" s="72"/>
      <c r="E86" s="46"/>
      <c r="F86" s="136"/>
      <c r="G86" s="39"/>
      <c r="H86" s="131"/>
      <c r="I86" s="104"/>
      <c r="N86" s="48"/>
      <c r="O86" s="48"/>
      <c r="P86" s="48"/>
      <c r="Q86" s="47"/>
      <c r="R86" s="137"/>
      <c r="S86" s="40"/>
      <c r="T86" s="133"/>
      <c r="U86" s="106"/>
    </row>
    <row r="87" spans="1:21" x14ac:dyDescent="0.25">
      <c r="A87" s="463" t="s">
        <v>445</v>
      </c>
      <c r="B87" s="453"/>
      <c r="C87" s="453"/>
      <c r="D87" s="453"/>
      <c r="E87" s="453"/>
      <c r="F87" s="453"/>
      <c r="G87" s="453"/>
      <c r="H87" s="453"/>
      <c r="I87" s="453"/>
      <c r="N87" s="478" t="s">
        <v>429</v>
      </c>
      <c r="O87" s="479"/>
      <c r="P87" s="479"/>
      <c r="Q87" s="479"/>
      <c r="R87" s="479"/>
      <c r="S87" s="479"/>
      <c r="T87" s="479"/>
      <c r="U87" s="479"/>
    </row>
    <row r="88" spans="1:21" x14ac:dyDescent="0.25">
      <c r="B88" s="72"/>
      <c r="C88" s="466" t="s">
        <v>73</v>
      </c>
      <c r="D88" s="466"/>
      <c r="E88" s="72"/>
      <c r="F88" s="41" t="s">
        <v>37</v>
      </c>
      <c r="G88" s="72"/>
      <c r="H88" s="72"/>
      <c r="I88" s="72"/>
      <c r="N88" s="48"/>
      <c r="O88" s="48"/>
      <c r="P88" s="48"/>
      <c r="Q88" s="48"/>
      <c r="R88" s="48"/>
      <c r="S88" s="48"/>
      <c r="T88" s="48"/>
      <c r="U88" s="48"/>
    </row>
    <row r="89" spans="1:21" x14ac:dyDescent="0.25">
      <c r="A89" s="3"/>
      <c r="B89" s="138"/>
      <c r="C89" s="462" t="s">
        <v>144</v>
      </c>
      <c r="D89" s="462"/>
      <c r="E89" s="139" t="s">
        <v>150</v>
      </c>
      <c r="F89" s="140" t="s">
        <v>149</v>
      </c>
      <c r="G89" s="141"/>
      <c r="H89" s="141"/>
      <c r="I89" s="141"/>
      <c r="N89" s="495" t="s">
        <v>46</v>
      </c>
      <c r="O89" s="495"/>
      <c r="P89" s="496" t="s">
        <v>119</v>
      </c>
      <c r="Q89" s="496"/>
      <c r="R89" s="497" t="s">
        <v>40</v>
      </c>
      <c r="S89" s="497"/>
      <c r="T89" s="497"/>
      <c r="U89" s="497"/>
    </row>
    <row r="90" spans="1:21" x14ac:dyDescent="0.25">
      <c r="A90" s="27"/>
      <c r="B90" s="55" t="s">
        <v>148</v>
      </c>
      <c r="C90" s="467">
        <f>H13+H14+H19+H22+H25</f>
        <v>0</v>
      </c>
      <c r="D90" s="467"/>
      <c r="E90" s="49">
        <f>H8</f>
        <v>1.0438000000000001</v>
      </c>
      <c r="F90" s="338">
        <f>'0664'!F90</f>
        <v>957.94</v>
      </c>
      <c r="G90" s="41" t="s">
        <v>13</v>
      </c>
      <c r="H90" s="104">
        <f>ROUND(C90*E90*F90,2)</f>
        <v>0</v>
      </c>
      <c r="I90" s="107"/>
      <c r="N90" s="29" t="s">
        <v>22</v>
      </c>
      <c r="O90" s="50">
        <f>T13+T14+T19+T22+T25</f>
        <v>0</v>
      </c>
      <c r="P90" s="490">
        <f>T8</f>
        <v>1.0438000000000001</v>
      </c>
      <c r="Q90" s="490"/>
      <c r="R90" s="51">
        <f>F90</f>
        <v>957.94</v>
      </c>
      <c r="S90" s="42" t="s">
        <v>13</v>
      </c>
      <c r="T90" s="134">
        <f>ROUND(O90*P90*R90,0)</f>
        <v>0</v>
      </c>
      <c r="U90" s="105"/>
    </row>
    <row r="91" spans="1:21" x14ac:dyDescent="0.25">
      <c r="A91" s="52"/>
      <c r="B91" s="52" t="s">
        <v>147</v>
      </c>
      <c r="C91" s="467">
        <f>H15+H16+H20+H23+H26</f>
        <v>535.30540000000008</v>
      </c>
      <c r="D91" s="467"/>
      <c r="E91" s="49">
        <f>H8</f>
        <v>1.0438000000000001</v>
      </c>
      <c r="F91" s="338">
        <f>'0664'!F91</f>
        <v>914.63</v>
      </c>
      <c r="G91" s="41" t="s">
        <v>13</v>
      </c>
      <c r="H91" s="104">
        <f>ROUND(C91*E91*F91,2)</f>
        <v>511051.14</v>
      </c>
      <c r="N91" s="53" t="s">
        <v>14</v>
      </c>
      <c r="O91" s="50">
        <f>T15+T16+T20+T23+T26</f>
        <v>0</v>
      </c>
      <c r="P91" s="490">
        <f>T8</f>
        <v>1.0438000000000001</v>
      </c>
      <c r="Q91" s="490"/>
      <c r="R91" s="51">
        <f>F91</f>
        <v>914.63</v>
      </c>
      <c r="S91" s="42" t="s">
        <v>13</v>
      </c>
      <c r="T91" s="134">
        <f>ROUND(O91*P91*R91,0)</f>
        <v>0</v>
      </c>
      <c r="U91" s="54"/>
    </row>
    <row r="92" spans="1:21" ht="16.5" thickBot="1" x14ac:dyDescent="0.3">
      <c r="A92" s="55"/>
      <c r="B92" s="55" t="s">
        <v>146</v>
      </c>
      <c r="C92" s="467">
        <f>H17+H18+H21+H24+H27+H28</f>
        <v>0</v>
      </c>
      <c r="D92" s="467"/>
      <c r="E92" s="49">
        <f>H8</f>
        <v>1.0438000000000001</v>
      </c>
      <c r="F92" s="338">
        <f>'0664'!F92</f>
        <v>916.84</v>
      </c>
      <c r="G92" s="41" t="s">
        <v>13</v>
      </c>
      <c r="H92" s="97">
        <f>ROUND(C92*E92*F92,2)</f>
        <v>0</v>
      </c>
      <c r="N92" s="56" t="s">
        <v>15</v>
      </c>
      <c r="O92" s="57">
        <f>T17+T18+T21+T24+T27+T28</f>
        <v>0</v>
      </c>
      <c r="P92" s="490">
        <f>T8</f>
        <v>1.0438000000000001</v>
      </c>
      <c r="Q92" s="490"/>
      <c r="R92" s="51">
        <f>F92</f>
        <v>916.84</v>
      </c>
      <c r="S92" s="42" t="s">
        <v>13</v>
      </c>
      <c r="T92" s="134">
        <f>ROUND(O92*P92*R92,0)</f>
        <v>0</v>
      </c>
      <c r="U92" s="54"/>
    </row>
    <row r="93" spans="1:21" ht="16.5" thickBot="1" x14ac:dyDescent="0.3">
      <c r="A93" s="58"/>
      <c r="B93" s="142" t="s">
        <v>145</v>
      </c>
      <c r="C93" s="469">
        <f>SUM(C90:C92)</f>
        <v>535.30540000000008</v>
      </c>
      <c r="D93" s="469"/>
      <c r="E93" s="143"/>
      <c r="F93" s="143"/>
      <c r="G93" s="143"/>
      <c r="H93" s="144" t="s">
        <v>143</v>
      </c>
      <c r="I93" s="104">
        <f>IF(A1=75,0,H92+H91+H90)</f>
        <v>511051.14</v>
      </c>
      <c r="N93" s="59" t="s">
        <v>120</v>
      </c>
      <c r="O93" s="60">
        <f>SUM(O90:O92)</f>
        <v>0</v>
      </c>
      <c r="P93" s="491" t="s">
        <v>18</v>
      </c>
      <c r="Q93" s="492"/>
      <c r="R93" s="492"/>
      <c r="S93" s="492"/>
      <c r="T93" s="492"/>
      <c r="U93" s="99">
        <f>IF(N1=75,0,T92+T91+T90)</f>
        <v>0</v>
      </c>
    </row>
    <row r="94" spans="1:21" ht="16.5" thickTop="1" x14ac:dyDescent="0.25">
      <c r="A94" s="540" t="s">
        <v>90</v>
      </c>
      <c r="B94" s="540"/>
      <c r="C94" s="540"/>
      <c r="D94" s="540"/>
      <c r="E94" s="540"/>
      <c r="F94" s="540"/>
      <c r="G94" s="540"/>
      <c r="H94" s="540"/>
      <c r="I94" s="540"/>
      <c r="N94" s="493" t="s">
        <v>90</v>
      </c>
      <c r="O94" s="493"/>
      <c r="P94" s="493"/>
      <c r="Q94" s="493"/>
      <c r="R94" s="493"/>
      <c r="S94" s="493"/>
      <c r="T94" s="493"/>
      <c r="U94" s="493"/>
    </row>
    <row r="95" spans="1:21" x14ac:dyDescent="0.25">
      <c r="A95" s="145"/>
      <c r="B95" s="145"/>
      <c r="C95" s="145"/>
      <c r="D95" s="145"/>
      <c r="E95" s="145"/>
      <c r="F95" s="145"/>
      <c r="G95" s="145"/>
      <c r="H95" s="145"/>
      <c r="I95" s="145"/>
      <c r="N95" s="146"/>
      <c r="O95" s="146"/>
      <c r="P95" s="146"/>
      <c r="Q95" s="146"/>
      <c r="R95" s="146"/>
      <c r="S95" s="146"/>
      <c r="T95" s="146"/>
      <c r="U95" s="146"/>
    </row>
    <row r="96" spans="1:21" x14ac:dyDescent="0.25">
      <c r="A96" s="84" t="s">
        <v>446</v>
      </c>
      <c r="C96" s="46"/>
      <c r="D96" s="72"/>
      <c r="E96" s="46" t="s">
        <v>100</v>
      </c>
      <c r="F96" s="471"/>
      <c r="G96" s="471"/>
      <c r="H96" s="471"/>
      <c r="I96" s="471"/>
      <c r="N96" s="478" t="s">
        <v>426</v>
      </c>
      <c r="O96" s="479"/>
      <c r="P96" s="479"/>
      <c r="Q96" s="494"/>
      <c r="R96" s="494"/>
      <c r="S96" s="494"/>
      <c r="T96" s="494"/>
      <c r="U96" s="106"/>
    </row>
    <row r="97" spans="1:21" x14ac:dyDescent="0.25">
      <c r="B97" s="72"/>
      <c r="C97" s="91" t="s">
        <v>409</v>
      </c>
      <c r="D97" s="371" t="s">
        <v>410</v>
      </c>
      <c r="E97" s="92" t="s">
        <v>151</v>
      </c>
      <c r="F97" s="46"/>
      <c r="G97" s="46"/>
      <c r="H97" s="46"/>
      <c r="I97" s="46"/>
      <c r="N97" s="48"/>
      <c r="O97" s="48"/>
      <c r="P97" s="48"/>
      <c r="Q97" s="147"/>
      <c r="R97" s="147"/>
      <c r="S97" s="147"/>
      <c r="T97" s="147"/>
      <c r="U97" s="106"/>
    </row>
    <row r="98" spans="1:21" x14ac:dyDescent="0.25">
      <c r="B98" s="72"/>
      <c r="C98" s="362" t="s">
        <v>2</v>
      </c>
      <c r="D98" s="362" t="s">
        <v>2</v>
      </c>
      <c r="E98" s="362" t="s">
        <v>2</v>
      </c>
      <c r="F98" s="46"/>
      <c r="G98" s="46"/>
      <c r="H98" s="46"/>
      <c r="I98" s="46"/>
      <c r="N98" s="48"/>
      <c r="O98" s="48"/>
      <c r="P98" s="48"/>
      <c r="Q98" s="147"/>
      <c r="R98" s="147"/>
      <c r="S98" s="147"/>
      <c r="T98" s="147"/>
      <c r="U98" s="106"/>
    </row>
    <row r="99" spans="1:21" x14ac:dyDescent="0.25">
      <c r="A99" s="536" t="s">
        <v>470</v>
      </c>
      <c r="B99" s="461"/>
      <c r="C99" s="165">
        <v>336</v>
      </c>
      <c r="D99" s="165">
        <v>0</v>
      </c>
      <c r="E99" s="125">
        <f>C99</f>
        <v>336</v>
      </c>
      <c r="F99" s="148" t="s">
        <v>39</v>
      </c>
      <c r="G99" s="339">
        <f>'0664'!G99</f>
        <v>558</v>
      </c>
      <c r="I99" s="104">
        <f>ROUND(G99*E99,2)</f>
        <v>187488</v>
      </c>
      <c r="N99" s="488" t="s">
        <v>65</v>
      </c>
      <c r="O99" s="488"/>
      <c r="P99" s="489">
        <f>IF(H120=1,E99,0)</f>
        <v>0</v>
      </c>
      <c r="Q99" s="489"/>
      <c r="R99" s="489"/>
      <c r="S99" s="86" t="s">
        <v>39</v>
      </c>
      <c r="T99" s="61">
        <f>G99</f>
        <v>558</v>
      </c>
      <c r="U99" s="99">
        <f>ROUND(T99*P99,0)</f>
        <v>0</v>
      </c>
    </row>
    <row r="100" spans="1:21" x14ac:dyDescent="0.25">
      <c r="A100" s="536" t="s">
        <v>471</v>
      </c>
      <c r="B100" s="461"/>
      <c r="C100" s="165">
        <v>0</v>
      </c>
      <c r="D100" s="165">
        <v>0</v>
      </c>
      <c r="E100" s="125">
        <f>C100</f>
        <v>0</v>
      </c>
      <c r="F100" s="148" t="s">
        <v>39</v>
      </c>
      <c r="G100" s="339">
        <f>'0664'!G100</f>
        <v>1707</v>
      </c>
      <c r="I100" s="104">
        <f>ROUND(G100*E100,2)</f>
        <v>0</v>
      </c>
      <c r="N100" s="488" t="s">
        <v>81</v>
      </c>
      <c r="O100" s="488"/>
      <c r="P100" s="483"/>
      <c r="Q100" s="483"/>
      <c r="R100" s="483"/>
      <c r="S100" s="86" t="s">
        <v>39</v>
      </c>
      <c r="T100" s="61">
        <f>G100</f>
        <v>1707</v>
      </c>
      <c r="U100" s="99">
        <f>ROUND(T100*P100,0)</f>
        <v>0</v>
      </c>
    </row>
    <row r="101" spans="1:21" x14ac:dyDescent="0.25">
      <c r="A101" s="149"/>
      <c r="B101" s="149"/>
      <c r="C101" s="68"/>
      <c r="D101" s="68"/>
      <c r="E101" s="68"/>
      <c r="F101" s="68"/>
      <c r="G101" s="150"/>
      <c r="H101" s="151"/>
      <c r="I101" s="104"/>
      <c r="N101" s="152"/>
      <c r="O101" s="152"/>
      <c r="P101" s="153"/>
      <c r="Q101" s="153"/>
      <c r="R101" s="153"/>
      <c r="S101" s="86"/>
      <c r="T101" s="61"/>
      <c r="U101" s="106"/>
    </row>
    <row r="102" spans="1:21" x14ac:dyDescent="0.25">
      <c r="A102" s="149"/>
      <c r="B102" s="149"/>
      <c r="C102" s="68"/>
      <c r="D102" s="68"/>
      <c r="E102" s="68"/>
      <c r="F102" s="68"/>
      <c r="G102" s="150"/>
      <c r="H102" s="151"/>
      <c r="I102" s="104"/>
      <c r="N102" s="152"/>
      <c r="O102" s="152"/>
      <c r="P102" s="153"/>
      <c r="Q102" s="153"/>
      <c r="R102" s="153"/>
      <c r="S102" s="86"/>
      <c r="T102" s="61"/>
      <c r="U102" s="106"/>
    </row>
    <row r="103" spans="1:21" hidden="1" x14ac:dyDescent="0.25">
      <c r="A103" s="463" t="s">
        <v>447</v>
      </c>
      <c r="B103" s="453"/>
      <c r="C103" s="453"/>
      <c r="D103" s="72"/>
      <c r="E103" s="41" t="s">
        <v>41</v>
      </c>
      <c r="F103" s="466"/>
      <c r="G103" s="466"/>
      <c r="H103" s="466"/>
      <c r="I103" s="466"/>
      <c r="N103" s="478" t="s">
        <v>362</v>
      </c>
      <c r="O103" s="479"/>
      <c r="P103" s="479"/>
      <c r="Q103" s="479"/>
      <c r="R103" s="479"/>
      <c r="S103" s="479"/>
      <c r="T103" s="479"/>
      <c r="U103" s="479"/>
    </row>
    <row r="104" spans="1:21" hidden="1" x14ac:dyDescent="0.25">
      <c r="B104" s="72"/>
      <c r="C104" s="462" t="s">
        <v>91</v>
      </c>
      <c r="D104" s="462"/>
      <c r="E104" s="462"/>
      <c r="F104" s="39"/>
      <c r="G104" s="39"/>
      <c r="H104" s="41" t="s">
        <v>152</v>
      </c>
      <c r="I104" s="39"/>
      <c r="N104" s="48"/>
      <c r="O104" s="48"/>
      <c r="P104" s="48"/>
      <c r="Q104" s="48"/>
      <c r="R104" s="48"/>
      <c r="S104" s="48"/>
      <c r="T104" s="48"/>
      <c r="U104" s="48"/>
    </row>
    <row r="105" spans="1:21" hidden="1" x14ac:dyDescent="0.25">
      <c r="B105" s="72"/>
      <c r="C105" s="91" t="s">
        <v>371</v>
      </c>
      <c r="D105" s="91" t="s">
        <v>351</v>
      </c>
      <c r="E105" s="159" t="s">
        <v>8</v>
      </c>
      <c r="F105" s="464" t="s">
        <v>153</v>
      </c>
      <c r="G105" s="466"/>
      <c r="H105" s="39" t="s">
        <v>38</v>
      </c>
      <c r="I105" s="39"/>
      <c r="N105" s="48"/>
      <c r="O105" s="48"/>
      <c r="P105" s="48"/>
      <c r="Q105" s="48"/>
      <c r="R105" s="48"/>
      <c r="S105" s="48"/>
      <c r="T105" s="48"/>
      <c r="U105" s="48"/>
    </row>
    <row r="106" spans="1:21" hidden="1" x14ac:dyDescent="0.25">
      <c r="A106" s="462" t="s">
        <v>94</v>
      </c>
      <c r="B106" s="462"/>
      <c r="C106" s="93" t="s">
        <v>2</v>
      </c>
      <c r="D106" s="93" t="s">
        <v>2</v>
      </c>
      <c r="E106" s="62" t="s">
        <v>2</v>
      </c>
      <c r="F106" s="462" t="s">
        <v>37</v>
      </c>
      <c r="G106" s="462"/>
      <c r="H106" s="62" t="s">
        <v>37</v>
      </c>
      <c r="I106" s="62" t="s">
        <v>8</v>
      </c>
      <c r="N106" s="484" t="s">
        <v>66</v>
      </c>
      <c r="O106" s="484"/>
      <c r="P106" s="489" t="s">
        <v>91</v>
      </c>
      <c r="Q106" s="489"/>
      <c r="R106" s="484" t="s">
        <v>67</v>
      </c>
      <c r="S106" s="484"/>
      <c r="T106" s="63" t="s">
        <v>68</v>
      </c>
      <c r="U106" s="63" t="s">
        <v>8</v>
      </c>
    </row>
    <row r="107" spans="1:21" hidden="1" x14ac:dyDescent="0.25">
      <c r="A107" s="473" t="s">
        <v>69</v>
      </c>
      <c r="B107" s="473"/>
      <c r="C107" s="163">
        <v>0</v>
      </c>
      <c r="D107" s="163">
        <v>0</v>
      </c>
      <c r="E107" s="210">
        <f>IF(D$59=0,C107*2,C107+D107)</f>
        <v>0</v>
      </c>
      <c r="F107" s="474">
        <v>0</v>
      </c>
      <c r="G107" s="474"/>
      <c r="H107" s="250">
        <f>IF(C107=0,0,125)</f>
        <v>0</v>
      </c>
      <c r="I107" s="104">
        <f>ROUND((H107+F107)*E107,2)</f>
        <v>0</v>
      </c>
      <c r="N107" s="479" t="s">
        <v>69</v>
      </c>
      <c r="O107" s="479"/>
      <c r="P107" s="483">
        <f>IF(H$120=1,C107,0)</f>
        <v>0</v>
      </c>
      <c r="Q107" s="483"/>
      <c r="R107" s="486">
        <f>F107</f>
        <v>0</v>
      </c>
      <c r="S107" s="486"/>
      <c r="T107" s="65">
        <f>H107</f>
        <v>0</v>
      </c>
      <c r="U107" s="99">
        <f>ROUND((T107+R107)*P107,0)</f>
        <v>0</v>
      </c>
    </row>
    <row r="108" spans="1:21" hidden="1" x14ac:dyDescent="0.25">
      <c r="A108" s="456" t="s">
        <v>70</v>
      </c>
      <c r="B108" s="456"/>
      <c r="C108" s="165">
        <v>0</v>
      </c>
      <c r="D108" s="165">
        <v>0</v>
      </c>
      <c r="E108" s="125">
        <f>IF(D$59=0,C108*2,C108+D108)</f>
        <v>0</v>
      </c>
      <c r="F108" s="468">
        <f>ROUND(F107/2,2)</f>
        <v>0</v>
      </c>
      <c r="G108" s="468"/>
      <c r="H108" s="250">
        <f>IF(C108=0,0,62.5)</f>
        <v>0</v>
      </c>
      <c r="I108" s="104">
        <f>ROUND((H108+F108)*E108,2)</f>
        <v>0</v>
      </c>
      <c r="N108" s="479" t="s">
        <v>70</v>
      </c>
      <c r="O108" s="479"/>
      <c r="P108" s="483">
        <f>IF(H$120=1,C108,0)</f>
        <v>0</v>
      </c>
      <c r="Q108" s="483"/>
      <c r="R108" s="487">
        <f>ROUND(R107/2,2)</f>
        <v>0</v>
      </c>
      <c r="S108" s="487"/>
      <c r="T108" s="65">
        <f>H108</f>
        <v>0</v>
      </c>
      <c r="U108" s="99">
        <f>ROUND((T108+R108)*P108,0)</f>
        <v>0</v>
      </c>
    </row>
    <row r="109" spans="1:21" ht="16.5" hidden="1" thickBot="1" x14ac:dyDescent="0.3">
      <c r="A109" s="456" t="s">
        <v>71</v>
      </c>
      <c r="B109" s="456"/>
      <c r="C109" s="165">
        <v>0</v>
      </c>
      <c r="D109" s="165">
        <v>0</v>
      </c>
      <c r="E109" s="125">
        <f>IF(D$59=0,C109*2,C109+D109)</f>
        <v>0</v>
      </c>
      <c r="F109" s="475"/>
      <c r="G109" s="475"/>
      <c r="H109" s="251">
        <f>IF(H107&gt;0,436,0)</f>
        <v>0</v>
      </c>
      <c r="I109" s="104">
        <f>ROUND(H109*E109,2)</f>
        <v>0</v>
      </c>
      <c r="N109" s="482" t="s">
        <v>71</v>
      </c>
      <c r="O109" s="482"/>
      <c r="P109" s="483">
        <f>IF(H$120=1,C109,0)</f>
        <v>0</v>
      </c>
      <c r="Q109" s="483"/>
      <c r="R109" s="484"/>
      <c r="S109" s="484"/>
      <c r="T109" s="67">
        <f>H109</f>
        <v>0</v>
      </c>
      <c r="U109" s="106">
        <f>ROUND(T109*P109,0)</f>
        <v>0</v>
      </c>
    </row>
    <row r="110" spans="1:21" ht="16.5" hidden="1" thickBot="1" x14ac:dyDescent="0.3">
      <c r="A110" s="466" t="s">
        <v>8</v>
      </c>
      <c r="B110" s="466"/>
      <c r="C110" s="68"/>
      <c r="D110" s="68"/>
      <c r="E110" s="68"/>
      <c r="F110" s="68"/>
      <c r="G110" s="68"/>
      <c r="H110" s="68"/>
      <c r="I110" s="100">
        <f>SUM(I107:I109)</f>
        <v>0</v>
      </c>
      <c r="N110" s="485" t="s">
        <v>8</v>
      </c>
      <c r="O110" s="485"/>
      <c r="P110" s="69"/>
      <c r="Q110" s="69"/>
      <c r="R110" s="69"/>
      <c r="S110" s="69"/>
      <c r="T110" s="69"/>
      <c r="U110" s="70">
        <f>SUM(U107:U109)</f>
        <v>0</v>
      </c>
    </row>
    <row r="111" spans="1:21" hidden="1" x14ac:dyDescent="0.25">
      <c r="A111" s="39"/>
      <c r="B111" s="39"/>
      <c r="C111" s="68"/>
      <c r="D111" s="68"/>
      <c r="E111" s="68"/>
      <c r="F111" s="68"/>
      <c r="G111" s="68"/>
      <c r="H111" s="68"/>
      <c r="I111" s="104"/>
      <c r="N111" s="40"/>
      <c r="O111" s="40"/>
      <c r="P111" s="69"/>
      <c r="Q111" s="69"/>
      <c r="R111" s="69"/>
      <c r="S111" s="69"/>
      <c r="T111" s="69"/>
      <c r="U111" s="160"/>
    </row>
    <row r="112" spans="1:21" x14ac:dyDescent="0.25">
      <c r="A112" s="463" t="s">
        <v>448</v>
      </c>
      <c r="B112" s="453"/>
      <c r="C112" s="453"/>
      <c r="D112" s="72"/>
      <c r="E112" s="71" t="s">
        <v>354</v>
      </c>
      <c r="F112" s="472"/>
      <c r="G112" s="472"/>
      <c r="H112" s="472"/>
      <c r="I112" s="125">
        <v>0</v>
      </c>
      <c r="N112" s="478" t="s">
        <v>427</v>
      </c>
      <c r="O112" s="479"/>
      <c r="P112" s="479"/>
      <c r="Q112" s="341"/>
      <c r="R112" s="341"/>
      <c r="S112" s="341"/>
      <c r="T112" s="341"/>
      <c r="U112" s="99">
        <f>IF($H$120=1,I112,0)</f>
        <v>0</v>
      </c>
    </row>
    <row r="113" spans="1:21" x14ac:dyDescent="0.25">
      <c r="A113" s="463" t="s">
        <v>449</v>
      </c>
      <c r="B113" s="453"/>
      <c r="C113" s="453"/>
      <c r="D113" s="72"/>
      <c r="E113" s="71" t="s">
        <v>45</v>
      </c>
      <c r="F113" s="472"/>
      <c r="G113" s="472"/>
      <c r="H113" s="472"/>
      <c r="I113" s="177">
        <v>0</v>
      </c>
      <c r="N113" s="478" t="s">
        <v>428</v>
      </c>
      <c r="O113" s="479"/>
      <c r="P113" s="479"/>
      <c r="Q113" s="341"/>
      <c r="R113" s="341"/>
      <c r="S113" s="341"/>
      <c r="T113" s="341"/>
      <c r="U113" s="99">
        <f>IF($H$120=1,I113,0)</f>
        <v>0</v>
      </c>
    </row>
    <row r="114" spans="1:21" ht="16.5" thickBot="1" x14ac:dyDescent="0.3">
      <c r="B114" s="72"/>
      <c r="C114" s="72"/>
      <c r="D114" s="72"/>
      <c r="E114" s="71"/>
      <c r="F114" s="71"/>
      <c r="G114" s="71"/>
      <c r="H114" s="71"/>
      <c r="I114" s="125"/>
      <c r="N114" s="480" t="s">
        <v>42</v>
      </c>
      <c r="O114" s="480"/>
      <c r="P114" s="480"/>
      <c r="Q114" s="480"/>
      <c r="R114" s="480"/>
      <c r="S114" s="480"/>
      <c r="T114" s="480"/>
      <c r="U114" s="154">
        <f>SUM(U112,U110,U100,U99,U93,U77,U76,U74,U73,U72,U71,U70,U68,U59,U45,U78,U79,U80,U85,U113)</f>
        <v>0</v>
      </c>
    </row>
    <row r="115" spans="1:21" ht="16.5" thickTop="1" x14ac:dyDescent="0.25">
      <c r="A115" s="461" t="s">
        <v>8</v>
      </c>
      <c r="B115" s="461"/>
      <c r="C115" s="461"/>
      <c r="D115" s="461"/>
      <c r="E115" s="461"/>
      <c r="F115" s="461"/>
      <c r="G115" s="461"/>
      <c r="H115" s="461"/>
      <c r="I115" s="97">
        <f>SUM(I113,I112,I110,I100,I99,I93,I85,I84,I80,I79,I78,I77,I76,I74,I73,I72,I71,I70,I68,I59,I45)</f>
        <v>4253425.6100000003</v>
      </c>
      <c r="N115" s="29"/>
      <c r="O115" s="29"/>
      <c r="P115" s="29"/>
      <c r="Q115" s="29"/>
      <c r="R115" s="29"/>
      <c r="S115" s="29"/>
      <c r="T115" s="29"/>
      <c r="U115" s="160"/>
    </row>
    <row r="116" spans="1:21" x14ac:dyDescent="0.25">
      <c r="A116" s="27"/>
      <c r="B116" s="27"/>
      <c r="C116" s="27"/>
      <c r="D116" s="27"/>
      <c r="E116" s="27"/>
      <c r="F116" s="27"/>
      <c r="G116" s="27"/>
      <c r="H116" s="27"/>
      <c r="I116" s="104"/>
      <c r="N116" s="29"/>
      <c r="O116" s="29"/>
      <c r="P116" s="29"/>
      <c r="Q116" s="29"/>
      <c r="R116" s="29"/>
      <c r="S116" s="29"/>
      <c r="T116" s="29"/>
      <c r="U116" s="160"/>
    </row>
    <row r="117" spans="1:21" x14ac:dyDescent="0.25">
      <c r="A117" s="432" t="s">
        <v>467</v>
      </c>
      <c r="B117" s="27"/>
      <c r="C117" s="27"/>
      <c r="D117" s="27"/>
      <c r="E117" s="27"/>
      <c r="F117" s="27"/>
      <c r="G117" s="27"/>
      <c r="H117" s="27"/>
      <c r="I117" s="104">
        <f>I115-I84</f>
        <v>4118765.1900000004</v>
      </c>
      <c r="N117" s="29"/>
      <c r="O117" s="29"/>
      <c r="P117" s="29"/>
      <c r="Q117" s="29"/>
      <c r="R117" s="29"/>
      <c r="S117" s="29"/>
      <c r="T117" s="29"/>
      <c r="U117" s="160"/>
    </row>
    <row r="118" spans="1:21" x14ac:dyDescent="0.25">
      <c r="A118" s="27"/>
      <c r="B118" s="27"/>
      <c r="C118" s="27"/>
      <c r="D118" s="27"/>
      <c r="E118" s="27"/>
      <c r="F118" s="27"/>
      <c r="G118" s="27"/>
      <c r="H118" s="27"/>
      <c r="I118" s="104"/>
      <c r="N118" s="29"/>
      <c r="O118" s="29"/>
      <c r="P118" s="29"/>
      <c r="Q118" s="29"/>
      <c r="R118" s="29"/>
      <c r="S118" s="29"/>
      <c r="T118" s="29"/>
      <c r="U118" s="160"/>
    </row>
    <row r="119" spans="1:21" x14ac:dyDescent="0.25">
      <c r="A119" s="463" t="s">
        <v>468</v>
      </c>
      <c r="B119" s="453"/>
      <c r="C119" s="453"/>
      <c r="D119" s="453"/>
      <c r="E119" s="453"/>
      <c r="F119" s="453"/>
      <c r="G119" s="453"/>
      <c r="H119" s="84" t="s">
        <v>394</v>
      </c>
      <c r="I119" s="156"/>
      <c r="N119" s="481"/>
      <c r="O119" s="481"/>
      <c r="P119" s="481"/>
      <c r="Q119" s="481"/>
      <c r="R119" s="481"/>
      <c r="S119" s="481"/>
      <c r="T119" s="481"/>
      <c r="U119" s="481"/>
    </row>
    <row r="120" spans="1:21" x14ac:dyDescent="0.25">
      <c r="A120" s="453" t="s">
        <v>95</v>
      </c>
      <c r="B120" s="453"/>
      <c r="C120" s="453"/>
      <c r="D120" s="453"/>
      <c r="E120" s="453"/>
      <c r="F120" s="453"/>
      <c r="G120" s="453"/>
      <c r="H120" s="73" t="str">
        <f>IF(E29=0,"",IF((E14+E16+SUM(E18:E24))/E29&gt;0.75,1,""))</f>
        <v/>
      </c>
      <c r="I120" s="125">
        <f>U114</f>
        <v>0</v>
      </c>
      <c r="N120" s="476" t="s">
        <v>7</v>
      </c>
      <c r="O120" s="476"/>
      <c r="P120" s="476"/>
      <c r="Q120" s="476"/>
      <c r="R120" s="476"/>
      <c r="S120" s="476"/>
      <c r="T120" s="476"/>
      <c r="U120" s="476"/>
    </row>
    <row r="121" spans="1:21" x14ac:dyDescent="0.25">
      <c r="B121" s="72"/>
      <c r="C121" s="72"/>
      <c r="D121" s="72"/>
      <c r="E121" s="72"/>
      <c r="F121" s="72"/>
      <c r="G121" s="72"/>
      <c r="H121" s="68"/>
      <c r="I121" s="104"/>
      <c r="N121" s="74" t="s">
        <v>106</v>
      </c>
      <c r="O121" s="74"/>
      <c r="P121" s="74"/>
      <c r="Q121" s="74"/>
      <c r="R121" s="74"/>
      <c r="S121" s="74"/>
      <c r="T121" s="74"/>
      <c r="U121" s="74"/>
    </row>
    <row r="122" spans="1:21" x14ac:dyDescent="0.25">
      <c r="A122" s="3" t="s">
        <v>102</v>
      </c>
      <c r="B122" s="72"/>
      <c r="C122" s="72"/>
      <c r="D122" s="72"/>
      <c r="E122" s="72"/>
      <c r="F122" s="72"/>
      <c r="G122" s="286"/>
      <c r="H122" s="161">
        <f>IF(H120=1,I120,I117)</f>
        <v>4118765.1900000004</v>
      </c>
      <c r="I122" s="97">
        <f>ROUND(IF(E29=0,0,IF(E29&gt;250,-(((250/E29)*H122)*IF(G122="H",0.02,0.05)),IF(G122="H",-0.02*H122,-0.05*H122))),2)</f>
        <v>-96396.800000000003</v>
      </c>
      <c r="N122" s="75" t="s">
        <v>107</v>
      </c>
      <c r="O122" s="74"/>
      <c r="P122" s="74"/>
      <c r="Q122" s="74"/>
      <c r="R122" s="74"/>
      <c r="S122" s="74"/>
      <c r="T122" s="74"/>
      <c r="U122" s="74"/>
    </row>
    <row r="123" spans="1:21" x14ac:dyDescent="0.25">
      <c r="B123" s="72"/>
      <c r="C123" s="72"/>
      <c r="D123" s="72"/>
      <c r="E123" s="72"/>
      <c r="F123" s="72"/>
      <c r="G123" s="72"/>
      <c r="H123" s="68"/>
      <c r="I123" s="104"/>
      <c r="N123" s="76"/>
      <c r="O123" s="76"/>
      <c r="P123" s="76"/>
      <c r="Q123" s="76"/>
      <c r="R123" s="76"/>
      <c r="S123" s="76"/>
      <c r="T123" s="76"/>
      <c r="U123" s="76"/>
    </row>
    <row r="124" spans="1:21" x14ac:dyDescent="0.25">
      <c r="A124" s="345" t="s">
        <v>103</v>
      </c>
      <c r="B124" s="346"/>
      <c r="C124" s="346"/>
      <c r="D124" s="346"/>
      <c r="E124" s="346"/>
      <c r="F124" s="346"/>
      <c r="G124" s="346"/>
      <c r="H124" s="347"/>
      <c r="I124" s="348">
        <f>I115+I122</f>
        <v>4157028.8100000005</v>
      </c>
      <c r="N124" s="76"/>
      <c r="O124" s="76"/>
      <c r="P124" s="76"/>
      <c r="Q124" s="76"/>
      <c r="R124" s="76"/>
      <c r="S124" s="76"/>
      <c r="T124" s="76"/>
      <c r="U124" s="76"/>
    </row>
    <row r="125" spans="1:21" x14ac:dyDescent="0.25">
      <c r="B125" s="72"/>
      <c r="C125" s="72"/>
      <c r="D125" s="72"/>
      <c r="E125" s="72"/>
      <c r="F125" s="72"/>
      <c r="G125" s="72"/>
      <c r="H125" s="68"/>
      <c r="I125" s="104"/>
      <c r="N125" s="76"/>
      <c r="O125" s="76"/>
      <c r="P125" s="76"/>
      <c r="Q125" s="76"/>
      <c r="R125" s="76"/>
      <c r="S125" s="76"/>
      <c r="T125" s="76"/>
      <c r="U125" s="76"/>
    </row>
    <row r="126" spans="1:21" x14ac:dyDescent="0.25">
      <c r="A126" s="84" t="s">
        <v>292</v>
      </c>
      <c r="B126" s="72"/>
      <c r="C126" s="162"/>
      <c r="D126" s="72"/>
      <c r="F126" s="72"/>
      <c r="G126" s="72"/>
      <c r="H126" s="68"/>
      <c r="I126" s="302">
        <v>-3075081.06</v>
      </c>
      <c r="N126" s="76"/>
      <c r="O126" s="76"/>
      <c r="P126" s="76"/>
      <c r="Q126" s="76"/>
      <c r="R126" s="76"/>
      <c r="S126" s="76"/>
      <c r="T126" s="76"/>
      <c r="U126" s="76"/>
    </row>
    <row r="127" spans="1:21" x14ac:dyDescent="0.25">
      <c r="B127" s="72"/>
      <c r="C127" s="72"/>
      <c r="D127" s="72"/>
      <c r="E127" s="72"/>
      <c r="F127" s="72"/>
      <c r="G127" s="72"/>
      <c r="H127" s="68"/>
      <c r="I127" s="104"/>
      <c r="N127" s="76"/>
      <c r="O127" s="76"/>
      <c r="P127" s="76"/>
      <c r="Q127" s="76"/>
      <c r="R127" s="76"/>
      <c r="S127" s="76"/>
      <c r="T127" s="76"/>
      <c r="U127" s="76"/>
    </row>
    <row r="128" spans="1:21" x14ac:dyDescent="0.25">
      <c r="A128" s="84" t="s">
        <v>297</v>
      </c>
      <c r="B128" s="72"/>
      <c r="C128" s="72"/>
      <c r="D128" s="72"/>
      <c r="E128" s="72"/>
      <c r="F128" s="72"/>
      <c r="G128" s="72"/>
      <c r="H128" s="68"/>
      <c r="I128" s="104">
        <f>I124+I126</f>
        <v>1081947.7500000005</v>
      </c>
      <c r="N128" s="76"/>
      <c r="O128" s="76"/>
      <c r="P128" s="76"/>
      <c r="Q128" s="76"/>
      <c r="R128" s="76"/>
      <c r="S128" s="76"/>
      <c r="T128" s="76"/>
      <c r="U128" s="76"/>
    </row>
    <row r="129" spans="1:21" x14ac:dyDescent="0.25">
      <c r="A129" s="84"/>
      <c r="B129" s="72"/>
      <c r="C129" s="72"/>
      <c r="D129" s="72"/>
      <c r="E129" s="72"/>
      <c r="F129" s="72"/>
      <c r="G129" s="72"/>
      <c r="H129" s="68"/>
      <c r="I129" s="104"/>
      <c r="N129" s="76"/>
      <c r="O129" s="76"/>
      <c r="P129" s="76"/>
      <c r="Q129" s="76"/>
      <c r="R129" s="76"/>
      <c r="S129" s="76"/>
      <c r="T129" s="76"/>
      <c r="U129" s="76"/>
    </row>
    <row r="130" spans="1:21" x14ac:dyDescent="0.25">
      <c r="A130" s="84" t="s">
        <v>298</v>
      </c>
      <c r="B130" s="72"/>
      <c r="C130" s="72"/>
      <c r="D130" s="72"/>
      <c r="E130" s="72"/>
      <c r="F130" s="72"/>
      <c r="G130" s="72"/>
      <c r="H130" s="68"/>
      <c r="I130" s="303">
        <f>'0664'!I130</f>
        <v>3</v>
      </c>
      <c r="N130" s="76"/>
      <c r="O130" s="76"/>
      <c r="P130" s="76"/>
      <c r="Q130" s="76"/>
      <c r="R130" s="76"/>
      <c r="S130" s="76"/>
      <c r="T130" s="76"/>
      <c r="U130" s="76"/>
    </row>
    <row r="131" spans="1:21" x14ac:dyDescent="0.25">
      <c r="B131" s="72"/>
      <c r="C131" s="72"/>
      <c r="D131" s="72"/>
      <c r="E131" s="72"/>
      <c r="F131" s="72"/>
      <c r="G131" s="72"/>
      <c r="H131" s="68"/>
      <c r="I131" s="104"/>
      <c r="N131" s="76"/>
      <c r="O131" s="76"/>
      <c r="P131" s="76"/>
      <c r="Q131" s="76"/>
      <c r="R131" s="76"/>
      <c r="S131" s="76"/>
      <c r="T131" s="76"/>
      <c r="U131" s="76"/>
    </row>
    <row r="132" spans="1:21" ht="16.5" thickBot="1" x14ac:dyDescent="0.3">
      <c r="A132" s="84" t="s">
        <v>291</v>
      </c>
      <c r="B132" s="72"/>
      <c r="C132" s="72"/>
      <c r="D132" s="72"/>
      <c r="E132" s="72"/>
      <c r="F132" s="72"/>
      <c r="G132" s="72"/>
      <c r="H132" s="68"/>
      <c r="I132" s="178">
        <f>ROUND(I128/I130,2)</f>
        <v>360649.25</v>
      </c>
      <c r="N132" s="76"/>
      <c r="O132" s="76"/>
      <c r="P132" s="76"/>
      <c r="Q132" s="76"/>
      <c r="R132" s="76"/>
      <c r="S132" s="76"/>
      <c r="T132" s="76"/>
      <c r="U132" s="76"/>
    </row>
    <row r="133" spans="1:21" ht="16.5" thickTop="1" x14ac:dyDescent="0.25">
      <c r="B133" s="72"/>
      <c r="C133" s="72"/>
      <c r="D133" s="72"/>
      <c r="E133" s="72"/>
      <c r="F133" s="72"/>
      <c r="G133" s="72"/>
      <c r="H133" s="68"/>
      <c r="I133" s="104"/>
      <c r="N133" s="76"/>
      <c r="O133" s="76"/>
      <c r="P133" s="76"/>
      <c r="Q133" s="76"/>
      <c r="R133" s="76"/>
      <c r="S133" s="76"/>
      <c r="T133" s="76"/>
      <c r="U133" s="76"/>
    </row>
    <row r="134" spans="1:21" ht="16.5" thickBot="1" x14ac:dyDescent="0.3">
      <c r="A134" s="3" t="s">
        <v>121</v>
      </c>
      <c r="B134" s="72"/>
      <c r="C134" s="72"/>
      <c r="D134" s="72"/>
      <c r="E134" s="72"/>
      <c r="F134" s="72"/>
      <c r="G134" s="72"/>
      <c r="H134" s="68"/>
      <c r="I134" s="155">
        <f>ROUND(IF(G122="H",(H122*0.02)+I122,(H122*0.05)+I122),2)</f>
        <v>109541.46</v>
      </c>
      <c r="N134" s="76"/>
      <c r="O134" s="76"/>
      <c r="P134" s="76"/>
      <c r="Q134" s="76"/>
      <c r="R134" s="76"/>
      <c r="S134" s="76"/>
      <c r="T134" s="76"/>
      <c r="U134" s="76"/>
    </row>
    <row r="135" spans="1:21" ht="16.5" thickTop="1" x14ac:dyDescent="0.25">
      <c r="B135" s="72"/>
      <c r="C135" s="72"/>
      <c r="D135" s="72"/>
      <c r="E135" s="72"/>
      <c r="F135" s="72"/>
      <c r="G135" s="72"/>
      <c r="H135" s="68"/>
      <c r="I135" s="156"/>
      <c r="N135" s="76"/>
      <c r="O135" s="76"/>
      <c r="P135" s="76"/>
      <c r="Q135" s="76"/>
      <c r="R135" s="76"/>
      <c r="S135" s="76"/>
      <c r="T135" s="76"/>
      <c r="U135" s="76"/>
    </row>
    <row r="136" spans="1:21" x14ac:dyDescent="0.25">
      <c r="B136" s="72"/>
      <c r="C136" s="72"/>
      <c r="D136" s="72"/>
      <c r="E136" s="72"/>
      <c r="F136" s="72"/>
      <c r="G136" s="72"/>
      <c r="H136" s="68"/>
      <c r="I136" s="104"/>
      <c r="N136" s="76"/>
      <c r="O136" s="76"/>
      <c r="P136" s="76"/>
      <c r="Q136" s="76"/>
      <c r="R136" s="76"/>
      <c r="S136" s="76"/>
      <c r="T136" s="76"/>
      <c r="U136" s="76"/>
    </row>
    <row r="137" spans="1:21" x14ac:dyDescent="0.25">
      <c r="B137" s="72"/>
      <c r="C137" s="72"/>
      <c r="D137" s="72"/>
      <c r="E137" s="72"/>
      <c r="F137" s="72"/>
      <c r="G137" s="72"/>
      <c r="H137" s="68"/>
      <c r="I137" s="156"/>
      <c r="N137" s="76"/>
      <c r="O137" s="76"/>
      <c r="P137" s="76"/>
      <c r="Q137" s="76"/>
      <c r="R137" s="76"/>
      <c r="S137" s="76"/>
      <c r="T137" s="76"/>
      <c r="U137" s="76"/>
    </row>
    <row r="138" spans="1:21" x14ac:dyDescent="0.25">
      <c r="A138" s="281" t="s">
        <v>7</v>
      </c>
      <c r="B138" s="281"/>
      <c r="C138" s="281"/>
      <c r="D138" s="281"/>
      <c r="E138" s="281"/>
      <c r="F138" s="281"/>
      <c r="G138" s="281"/>
      <c r="H138" s="281"/>
      <c r="I138" s="281"/>
      <c r="J138" s="156"/>
      <c r="N138" s="76"/>
      <c r="O138" s="76"/>
      <c r="P138" s="76"/>
      <c r="Q138" s="76"/>
      <c r="R138" s="76"/>
      <c r="S138" s="76"/>
      <c r="T138" s="76"/>
      <c r="U138" s="76"/>
    </row>
    <row r="139" spans="1:21" ht="15.75" customHeight="1" x14ac:dyDescent="0.25">
      <c r="A139" s="356" t="str">
        <f>'0664'!A139</f>
        <v>(a) Additional FTE includes FTE earned through Advanced Placement, International Baccalaureate, Advanced International Certificate of Education, Industry Certified Career</v>
      </c>
      <c r="B139" s="357"/>
      <c r="C139" s="357"/>
      <c r="D139" s="357"/>
      <c r="E139" s="357"/>
      <c r="F139" s="357"/>
      <c r="G139" s="357"/>
      <c r="H139" s="357"/>
      <c r="I139" s="357"/>
      <c r="J139" s="80"/>
      <c r="K139" s="79"/>
      <c r="L139" s="79"/>
      <c r="M139" s="79"/>
      <c r="N139" s="477"/>
      <c r="O139" s="477"/>
      <c r="P139" s="477"/>
      <c r="Q139" s="477"/>
      <c r="R139" s="477"/>
      <c r="S139" s="477"/>
      <c r="T139" s="477"/>
      <c r="U139" s="477"/>
    </row>
    <row r="140" spans="1:21" ht="15.75" customHeight="1" x14ac:dyDescent="0.25">
      <c r="A140" s="390" t="str">
        <f>'0664'!A140</f>
        <v xml:space="preserve">Education (CAPE), Early High School Graduation and the small district ESE Supplement, pursuant to s. 1011.62(1)(l-p), F.S. </v>
      </c>
      <c r="B140" s="357"/>
      <c r="C140" s="357"/>
      <c r="D140" s="357"/>
      <c r="E140" s="357"/>
      <c r="F140" s="357"/>
      <c r="G140" s="357"/>
      <c r="H140" s="357"/>
      <c r="I140" s="357"/>
      <c r="J140" s="80"/>
      <c r="K140" s="79"/>
      <c r="L140" s="79"/>
      <c r="M140" s="79"/>
      <c r="N140" s="76"/>
      <c r="O140" s="76"/>
      <c r="P140" s="76"/>
      <c r="Q140" s="76"/>
      <c r="R140" s="76"/>
      <c r="S140" s="76"/>
      <c r="T140" s="76"/>
      <c r="U140" s="76"/>
    </row>
    <row r="141" spans="1:21" x14ac:dyDescent="0.25">
      <c r="A141" s="356" t="str">
        <f>'0664'!A141</f>
        <v>(b) District allocations multiplied by percentage from item 3A.</v>
      </c>
      <c r="B141" s="281"/>
      <c r="C141" s="281"/>
      <c r="D141" s="281"/>
      <c r="E141" s="281"/>
      <c r="F141" s="281"/>
      <c r="G141" s="281"/>
      <c r="H141" s="281"/>
      <c r="I141" s="281"/>
      <c r="J141" s="79"/>
      <c r="K141" s="79"/>
      <c r="L141" s="79"/>
      <c r="M141" s="79"/>
      <c r="N141" s="81"/>
      <c r="O141" s="82"/>
      <c r="P141" s="82"/>
      <c r="Q141" s="82"/>
      <c r="R141" s="82"/>
      <c r="S141" s="82"/>
      <c r="T141" s="82"/>
      <c r="U141" s="82"/>
    </row>
    <row r="142" spans="1:21" s="79" customFormat="1" x14ac:dyDescent="0.2">
      <c r="A142" s="356" t="str">
        <f>'0664'!A142</f>
        <v>(c) District allocations multiplied by percentage from item 3B.</v>
      </c>
      <c r="B142" s="281"/>
      <c r="C142" s="281"/>
      <c r="D142" s="281"/>
      <c r="E142" s="281"/>
      <c r="F142" s="281"/>
      <c r="G142" s="281"/>
      <c r="H142" s="281"/>
      <c r="I142" s="281"/>
      <c r="N142" s="81"/>
    </row>
    <row r="143" spans="1:21" s="79" customFormat="1" ht="15.75" customHeight="1" x14ac:dyDescent="0.2">
      <c r="A143" s="356" t="str">
        <f>'0664'!A143</f>
        <v>(d) The Digital Classroom Allocation is provided pursuant to s. 1011.62(12), F.S.</v>
      </c>
      <c r="B143" s="281"/>
      <c r="C143" s="281"/>
      <c r="D143" s="281"/>
      <c r="E143" s="281"/>
      <c r="F143" s="281"/>
      <c r="G143" s="281"/>
      <c r="H143" s="281"/>
      <c r="I143" s="281"/>
      <c r="N143" s="81"/>
    </row>
    <row r="144" spans="1:21" s="79" customFormat="1" ht="15.75" customHeight="1" x14ac:dyDescent="0.2">
      <c r="A144" s="356" t="str">
        <f>'0664'!A144</f>
        <v>(e) School districts are required to pay for instructional materials used for the instruction of public high school students who are earning credit toward high school</v>
      </c>
      <c r="B144" s="281"/>
      <c r="C144" s="281"/>
      <c r="D144" s="281"/>
      <c r="E144" s="281"/>
      <c r="F144" s="281"/>
      <c r="G144" s="281"/>
      <c r="H144" s="281"/>
      <c r="I144" s="281"/>
      <c r="N144" s="81"/>
    </row>
    <row r="145" spans="1:14" s="79" customFormat="1" ht="15.75" customHeight="1" x14ac:dyDescent="0.2">
      <c r="A145" s="390" t="str">
        <f>'0664'!A145</f>
        <v xml:space="preserve">graduation under the dual enrollment program as provided in s. 1011.62(l)(i), F.S.  </v>
      </c>
      <c r="B145" s="281"/>
      <c r="C145" s="281"/>
      <c r="D145" s="281"/>
      <c r="E145" s="281"/>
      <c r="F145" s="281"/>
      <c r="G145" s="281"/>
      <c r="H145" s="281"/>
      <c r="I145" s="281"/>
      <c r="N145" s="81"/>
    </row>
    <row r="146" spans="1:14" s="79" customFormat="1" x14ac:dyDescent="0.2">
      <c r="A146" s="356" t="str">
        <f>'0664'!A146</f>
        <v>(f) This allocation will be frozen as of the 2021-22 FEFP Second Calculation and will not be recalculated throughout the year. Charter school allocations should be</v>
      </c>
      <c r="B146" s="281"/>
      <c r="C146" s="281"/>
      <c r="D146" s="281"/>
      <c r="E146" s="281"/>
      <c r="F146" s="281"/>
      <c r="G146" s="281"/>
      <c r="H146" s="281"/>
      <c r="I146" s="281"/>
      <c r="N146" s="81"/>
    </row>
    <row r="147" spans="1:14" s="79" customFormat="1" x14ac:dyDescent="0.2">
      <c r="A147" s="358" t="str">
        <f>'0664'!A147</f>
        <v xml:space="preserve">distributed on weighted FTE (or base funding as is done in the FEFP) and should not be recalculated with fluctuations in student enrollment later in the year. </v>
      </c>
      <c r="B147" s="281"/>
      <c r="C147" s="281"/>
      <c r="D147" s="281"/>
      <c r="E147" s="281"/>
      <c r="F147" s="281"/>
      <c r="G147" s="281"/>
      <c r="H147" s="281"/>
      <c r="I147" s="281"/>
      <c r="N147" s="81"/>
    </row>
    <row r="148" spans="1:14" s="79" customFormat="1" x14ac:dyDescent="0.2">
      <c r="A148" s="356" t="str">
        <f>'0664'!A148</f>
        <v>(g) Numbers entered here will be multiplied by the district level transportation funding per rider. "All Adjusted Fundable Riders" should include both basic and ESE Riders.</v>
      </c>
      <c r="B148" s="281"/>
      <c r="C148" s="281"/>
      <c r="D148" s="281"/>
      <c r="E148" s="281"/>
      <c r="F148" s="281"/>
      <c r="G148" s="281"/>
      <c r="H148" s="281"/>
      <c r="I148" s="281"/>
      <c r="N148" s="81"/>
    </row>
    <row r="149" spans="1:14" s="79" customFormat="1" x14ac:dyDescent="0.2">
      <c r="A149" s="390" t="str">
        <f>'0664'!A149</f>
        <v>"All Adjusted ESE Riders" should include only ESE Riders.</v>
      </c>
      <c r="B149" s="281"/>
      <c r="C149" s="281"/>
      <c r="D149" s="281"/>
      <c r="E149" s="281"/>
      <c r="F149" s="281"/>
      <c r="G149" s="281"/>
      <c r="H149" s="281"/>
      <c r="I149" s="281"/>
      <c r="N149" s="81"/>
    </row>
    <row r="150" spans="1:14" s="79" customFormat="1" x14ac:dyDescent="0.2">
      <c r="A150" s="356" t="str">
        <f>'0664'!A150</f>
        <v xml:space="preserve">(h) The Federally Connected Student Supplement provides additional funding for students on federal lands that receive Section 8003 impact aide pursuant to s. 1011.62(13), F.S. </v>
      </c>
      <c r="B150" s="281"/>
      <c r="C150" s="281"/>
      <c r="D150" s="281"/>
      <c r="E150" s="281"/>
      <c r="F150" s="281"/>
      <c r="G150" s="281"/>
      <c r="H150" s="281"/>
      <c r="I150" s="281"/>
      <c r="N150" s="81"/>
    </row>
    <row r="151" spans="1:14" s="79" customFormat="1" x14ac:dyDescent="0.2">
      <c r="A151" s="356" t="str">
        <f>'0664'!A151</f>
        <v>(i) Teacher Classroom Supply Assistance Program allocation pursuant to s. 1012.71, F.S., for certified teachers employed by a public school district or public charter school</v>
      </c>
      <c r="B151" s="281"/>
      <c r="C151" s="281"/>
      <c r="D151" s="281"/>
      <c r="E151" s="281"/>
      <c r="F151" s="281"/>
      <c r="G151" s="281"/>
      <c r="H151" s="281"/>
      <c r="I151" s="281"/>
      <c r="N151" s="81"/>
    </row>
    <row r="152" spans="1:14" s="79" customFormat="1" x14ac:dyDescent="0.2">
      <c r="A152" s="358" t="str">
        <f>'0664'!A152</f>
        <v xml:space="preserve">before September 1 of each year whose full-time or job-share responsibility is the classroom instruction of students in prekindergarten through grade 12, including </v>
      </c>
      <c r="B152" s="281"/>
      <c r="C152" s="281"/>
      <c r="D152" s="281"/>
      <c r="E152" s="281"/>
      <c r="F152" s="281"/>
      <c r="G152" s="281"/>
      <c r="H152" s="281"/>
      <c r="I152" s="281"/>
      <c r="N152" s="81"/>
    </row>
    <row r="153" spans="1:14" s="79" customFormat="1" ht="15.75" customHeight="1" x14ac:dyDescent="0.2">
      <c r="A153" s="358" t="str">
        <f>'0664'!A153</f>
        <v>full-time media specialists and certified school counselors serving students in prekindergarten through grade 12, who are funded through the FEFP.</v>
      </c>
      <c r="B153" s="281"/>
      <c r="C153" s="281"/>
      <c r="D153" s="281"/>
      <c r="E153" s="281"/>
      <c r="F153" s="281"/>
      <c r="G153" s="281"/>
      <c r="H153" s="281"/>
      <c r="I153" s="281"/>
      <c r="N153" s="81"/>
    </row>
    <row r="154" spans="1:14" s="79" customFormat="1" ht="15.75" customHeight="1" x14ac:dyDescent="0.2">
      <c r="A154" s="356" t="str">
        <f>'0664'!A154</f>
        <v xml:space="preserve">(j) Funding based on student eligibility and meals provided, if participating in the National School Lunch Program. </v>
      </c>
      <c r="B154" s="328"/>
      <c r="C154" s="328"/>
      <c r="D154" s="328"/>
      <c r="E154" s="328"/>
      <c r="F154" s="328"/>
      <c r="G154" s="328"/>
      <c r="H154" s="328"/>
      <c r="I154" s="328"/>
      <c r="N154" s="81"/>
    </row>
    <row r="155" spans="1:14" s="79" customFormat="1" ht="15.75" customHeight="1" x14ac:dyDescent="0.2">
      <c r="A155" s="356" t="str">
        <f>'0664'!A155</f>
        <v>(k) Consistent with s. 1002.33(20)(a), F.S., for charter schools with a population of 75% or more ESE students, the administrative fee shall be calculated based on</v>
      </c>
      <c r="B155" s="381"/>
      <c r="C155" s="381"/>
      <c r="D155" s="381"/>
      <c r="E155" s="381"/>
      <c r="F155" s="381"/>
      <c r="G155" s="381"/>
      <c r="H155" s="381"/>
      <c r="I155" s="381"/>
      <c r="N155" s="81"/>
    </row>
    <row r="156" spans="1:14" s="79" customFormat="1" ht="15.75" customHeight="1" x14ac:dyDescent="0.2">
      <c r="A156" s="390" t="str">
        <f>'0664'!A156</f>
        <v xml:space="preserve">unweighted full-time equivalent students. </v>
      </c>
      <c r="B156" s="381"/>
      <c r="C156" s="381"/>
      <c r="D156" s="381"/>
      <c r="E156" s="381"/>
      <c r="F156" s="381"/>
      <c r="G156" s="381"/>
      <c r="H156" s="381"/>
      <c r="I156" s="381"/>
      <c r="N156" s="81"/>
    </row>
    <row r="157" spans="1:14" s="79" customFormat="1" ht="15.75" customHeight="1" x14ac:dyDescent="0.2">
      <c r="A157" s="356"/>
      <c r="B157" s="381"/>
      <c r="C157" s="381"/>
      <c r="D157" s="381"/>
      <c r="E157" s="381"/>
      <c r="F157" s="381"/>
      <c r="G157" s="381"/>
      <c r="H157" s="381"/>
      <c r="I157" s="381"/>
      <c r="N157" s="81"/>
    </row>
    <row r="158" spans="1:14" s="79" customFormat="1" ht="15.75" customHeight="1" x14ac:dyDescent="0.25">
      <c r="A158" s="398" t="str">
        <f>'0664'!A158</f>
        <v>Administrative fees:</v>
      </c>
      <c r="B158" s="328"/>
      <c r="C158" s="328"/>
      <c r="D158" s="328"/>
      <c r="E158" s="328"/>
      <c r="F158" s="328"/>
      <c r="G158" s="328"/>
      <c r="H158" s="328"/>
      <c r="I158" s="328"/>
      <c r="J158" s="3"/>
      <c r="K158" s="3"/>
      <c r="L158" s="3"/>
      <c r="M158" s="3"/>
      <c r="N158" s="81"/>
    </row>
    <row r="159" spans="1:14" s="79" customFormat="1" ht="15.75" customHeight="1" x14ac:dyDescent="0.25">
      <c r="A159" s="399" t="str">
        <f>'0664'!A159</f>
        <v xml:space="preserve">Administrative fees charged by the school district pursuant to s. 1002.33(20)(a), F.S., shall be calculated based upon 5% of available funds from the FEFP and categorical </v>
      </c>
      <c r="B159" s="328"/>
      <c r="C159" s="328"/>
      <c r="D159" s="328"/>
      <c r="E159" s="328"/>
      <c r="F159" s="328"/>
      <c r="G159" s="328"/>
      <c r="H159" s="328"/>
      <c r="I159" s="328"/>
      <c r="J159" s="3"/>
      <c r="K159" s="3"/>
      <c r="L159" s="3"/>
      <c r="M159" s="3"/>
      <c r="N159" s="81"/>
    </row>
    <row r="160" spans="1:14" s="79" customFormat="1" ht="15.75" customHeight="1" x14ac:dyDescent="0.25">
      <c r="A160" s="400" t="str">
        <f>'0664'!A160</f>
        <v>funding for which charter students may be eligible.  To calculate the administrative fee to be withheld for schools with more than 250 students, divide the school</v>
      </c>
      <c r="B160" s="328"/>
      <c r="C160" s="328"/>
      <c r="D160" s="328"/>
      <c r="E160" s="328"/>
      <c r="F160" s="328"/>
      <c r="G160" s="328"/>
      <c r="H160" s="328"/>
      <c r="I160" s="328"/>
      <c r="J160" s="3"/>
      <c r="K160" s="3"/>
      <c r="L160" s="3"/>
      <c r="M160" s="3"/>
      <c r="N160" s="81"/>
    </row>
    <row r="161" spans="1:21" s="79" customFormat="1" ht="15.75" customHeight="1" x14ac:dyDescent="0.25">
      <c r="A161" s="400" t="str">
        <f>'0664'!A161</f>
        <v xml:space="preserve">population into 250. Multiply that fraction times the funds available, then times 5%.  </v>
      </c>
      <c r="B161" s="328"/>
      <c r="C161" s="328"/>
      <c r="D161" s="328"/>
      <c r="E161" s="328"/>
      <c r="F161" s="328"/>
      <c r="G161" s="328"/>
      <c r="H161" s="328"/>
      <c r="I161" s="328"/>
      <c r="J161" s="3"/>
      <c r="K161" s="3"/>
      <c r="L161" s="3"/>
      <c r="M161" s="3"/>
      <c r="N161" s="81"/>
    </row>
    <row r="162" spans="1:21" s="79" customFormat="1" ht="15.75" customHeight="1" x14ac:dyDescent="0.25">
      <c r="A162" s="399"/>
      <c r="B162" s="394"/>
      <c r="C162" s="394"/>
      <c r="D162" s="394"/>
      <c r="E162" s="394"/>
      <c r="F162" s="394"/>
      <c r="G162" s="394"/>
      <c r="H162" s="394"/>
      <c r="I162" s="394"/>
      <c r="N162" s="77"/>
      <c r="O162" s="3"/>
      <c r="P162" s="3"/>
      <c r="Q162" s="3"/>
      <c r="R162" s="3"/>
      <c r="S162" s="3"/>
      <c r="T162" s="3"/>
      <c r="U162" s="3"/>
    </row>
    <row r="163" spans="1:21" ht="15.75" customHeight="1" x14ac:dyDescent="0.25">
      <c r="A163" s="399" t="str">
        <f>'0664'!A163</f>
        <v xml:space="preserve">For high performing charter schools, administrative fees charged by the school district shall be calculated based upon 2% of available funds from the FEFP and categorical </v>
      </c>
      <c r="B163" s="328"/>
      <c r="C163" s="328"/>
      <c r="D163" s="328"/>
      <c r="E163" s="328"/>
      <c r="F163" s="328"/>
      <c r="G163" s="328"/>
      <c r="H163" s="328"/>
      <c r="I163" s="328"/>
      <c r="J163" s="79"/>
      <c r="K163" s="79"/>
      <c r="L163" s="79"/>
      <c r="M163" s="79"/>
      <c r="N163" s="81"/>
      <c r="O163" s="79"/>
      <c r="P163" s="79"/>
      <c r="Q163" s="79"/>
      <c r="R163" s="79"/>
      <c r="S163" s="79"/>
      <c r="T163" s="79"/>
      <c r="U163" s="79"/>
    </row>
    <row r="164" spans="1:21" ht="15.75" customHeight="1" x14ac:dyDescent="0.25">
      <c r="A164" s="400" t="str">
        <f>'0664'!A164</f>
        <v>funding for which charter students may be eligible.  To calculate the administrative fee to be withheld for schools with more than 250 students, divide the school</v>
      </c>
      <c r="B164" s="381"/>
      <c r="C164" s="381"/>
      <c r="D164" s="381"/>
      <c r="E164" s="381"/>
      <c r="F164" s="381"/>
      <c r="G164" s="381"/>
      <c r="H164" s="381"/>
      <c r="I164" s="381"/>
      <c r="J164" s="79"/>
      <c r="K164" s="79"/>
      <c r="L164" s="79"/>
      <c r="M164" s="79"/>
      <c r="N164" s="81"/>
      <c r="O164" s="79"/>
      <c r="P164" s="79"/>
      <c r="Q164" s="79"/>
      <c r="R164" s="79"/>
      <c r="S164" s="79"/>
      <c r="T164" s="79"/>
      <c r="U164" s="79"/>
    </row>
    <row r="165" spans="1:21" s="79" customFormat="1" ht="15.75" customHeight="1" x14ac:dyDescent="0.2">
      <c r="A165" s="400" t="str">
        <f>'0664'!A165</f>
        <v xml:space="preserve">population into 250. Multiply that fraction times the funds available, then times 2%.  </v>
      </c>
      <c r="B165" s="328"/>
      <c r="C165" s="328"/>
      <c r="D165" s="328"/>
      <c r="E165" s="328"/>
      <c r="F165" s="328"/>
      <c r="G165" s="328"/>
      <c r="H165" s="328"/>
      <c r="I165" s="328"/>
      <c r="N165" s="81"/>
    </row>
    <row r="166" spans="1:21" x14ac:dyDescent="0.25">
      <c r="A166" s="356"/>
      <c r="N166" s="77"/>
    </row>
    <row r="167" spans="1:21" x14ac:dyDescent="0.25">
      <c r="A167" s="398" t="str">
        <f>'0664'!A167</f>
        <v>Other:</v>
      </c>
      <c r="N167" s="77"/>
    </row>
    <row r="168" spans="1:21" x14ac:dyDescent="0.25">
      <c r="A168" s="399" t="str">
        <f>'0664'!A168</f>
        <v>FEFP and categorical funding are recalculated during the year to reflect the revised number of full-time equivalent students reported during the survey periods designated</v>
      </c>
      <c r="N168" s="77"/>
    </row>
    <row r="169" spans="1:21" x14ac:dyDescent="0.25">
      <c r="A169" s="402" t="str">
        <f>'0664'!A169</f>
        <v>by the Commissioner of Education.</v>
      </c>
      <c r="N169" s="77"/>
    </row>
    <row r="170" spans="1:21" x14ac:dyDescent="0.25">
      <c r="A170" s="399" t="str">
        <f>'0664'!A170</f>
        <v>Revenues flow to districts from state sources and from county tax collectors on various distribution schedules.</v>
      </c>
      <c r="N170" s="77"/>
    </row>
    <row r="171" spans="1:21" x14ac:dyDescent="0.25">
      <c r="A171" s="77"/>
      <c r="N171" s="77"/>
    </row>
    <row r="172" spans="1:21" x14ac:dyDescent="0.25">
      <c r="A172" s="77"/>
      <c r="N172" s="77"/>
    </row>
    <row r="173" spans="1:21" x14ac:dyDescent="0.25">
      <c r="A173" s="77"/>
      <c r="N173" s="77"/>
    </row>
    <row r="174" spans="1:21" x14ac:dyDescent="0.25">
      <c r="A174" s="77"/>
      <c r="N174" s="77"/>
    </row>
    <row r="175" spans="1:21" x14ac:dyDescent="0.25">
      <c r="A175" s="77"/>
      <c r="N175" s="77"/>
    </row>
    <row r="176" spans="1:21" x14ac:dyDescent="0.25">
      <c r="A176" s="77"/>
      <c r="N176" s="77"/>
    </row>
    <row r="177" spans="1:14" x14ac:dyDescent="0.25">
      <c r="A177" s="77"/>
      <c r="N177" s="77"/>
    </row>
    <row r="178" spans="1:14" x14ac:dyDescent="0.25">
      <c r="A178" s="77"/>
      <c r="N178" s="77"/>
    </row>
    <row r="179" spans="1:14" x14ac:dyDescent="0.25">
      <c r="A179" s="77"/>
      <c r="N179" s="77"/>
    </row>
    <row r="180" spans="1:14" x14ac:dyDescent="0.25">
      <c r="A180" s="77"/>
      <c r="N180" s="77"/>
    </row>
    <row r="181" spans="1:14" x14ac:dyDescent="0.25">
      <c r="A181" s="77"/>
      <c r="N181" s="77"/>
    </row>
    <row r="182" spans="1:14" x14ac:dyDescent="0.25">
      <c r="A182" s="77"/>
      <c r="N182" s="77"/>
    </row>
    <row r="183" spans="1:14" x14ac:dyDescent="0.25">
      <c r="A183" s="77"/>
      <c r="N183" s="77"/>
    </row>
    <row r="184" spans="1:14" x14ac:dyDescent="0.25">
      <c r="A184" s="77"/>
      <c r="N184" s="77"/>
    </row>
    <row r="185" spans="1:14" x14ac:dyDescent="0.25">
      <c r="A185" s="77"/>
      <c r="N185" s="77"/>
    </row>
    <row r="186" spans="1:14" x14ac:dyDescent="0.25">
      <c r="A186" s="77"/>
      <c r="N186" s="77"/>
    </row>
    <row r="187" spans="1:14" x14ac:dyDescent="0.25">
      <c r="A187" s="77"/>
      <c r="N187" s="77"/>
    </row>
    <row r="188" spans="1:14" x14ac:dyDescent="0.25">
      <c r="A188" s="77"/>
    </row>
    <row r="189" spans="1:14" x14ac:dyDescent="0.25">
      <c r="A189" s="77"/>
    </row>
    <row r="190" spans="1:14" x14ac:dyDescent="0.25">
      <c r="A190" s="77"/>
    </row>
    <row r="191" spans="1:14" x14ac:dyDescent="0.25">
      <c r="A191" s="77"/>
    </row>
    <row r="192" spans="1:14" x14ac:dyDescent="0.25">
      <c r="A192" s="77"/>
    </row>
    <row r="193" spans="1:1" x14ac:dyDescent="0.25">
      <c r="A193" s="77"/>
    </row>
    <row r="194" spans="1:1" x14ac:dyDescent="0.25">
      <c r="A194" s="77"/>
    </row>
    <row r="195" spans="1:1" x14ac:dyDescent="0.25">
      <c r="A195" s="77"/>
    </row>
    <row r="196" spans="1:1" x14ac:dyDescent="0.25">
      <c r="A196" s="77"/>
    </row>
    <row r="197" spans="1:1" x14ac:dyDescent="0.25">
      <c r="A197" s="77"/>
    </row>
    <row r="198" spans="1:1" x14ac:dyDescent="0.25">
      <c r="A198" s="77"/>
    </row>
    <row r="199" spans="1:1" x14ac:dyDescent="0.25">
      <c r="A199" s="77"/>
    </row>
    <row r="200" spans="1:1" x14ac:dyDescent="0.25">
      <c r="A200" s="77"/>
    </row>
    <row r="201" spans="1:1" x14ac:dyDescent="0.25">
      <c r="A201" s="77"/>
    </row>
    <row r="202" spans="1:1" x14ac:dyDescent="0.25">
      <c r="A202" s="77"/>
    </row>
    <row r="203" spans="1:1" x14ac:dyDescent="0.25">
      <c r="A203" s="77"/>
    </row>
    <row r="204" spans="1:1" x14ac:dyDescent="0.25">
      <c r="A204" s="77"/>
    </row>
    <row r="205" spans="1:1" x14ac:dyDescent="0.25">
      <c r="A205" s="77"/>
    </row>
    <row r="206" spans="1:1" x14ac:dyDescent="0.25">
      <c r="A206" s="77"/>
    </row>
  </sheetData>
  <mergeCells count="266">
    <mergeCell ref="A112:C112"/>
    <mergeCell ref="F112:H112"/>
    <mergeCell ref="N112:P112"/>
    <mergeCell ref="A109:B109"/>
    <mergeCell ref="F109:G109"/>
    <mergeCell ref="N109:O109"/>
    <mergeCell ref="P109:Q109"/>
    <mergeCell ref="N139:U139"/>
    <mergeCell ref="N119:U119"/>
    <mergeCell ref="N113:P113"/>
    <mergeCell ref="A113:C113"/>
    <mergeCell ref="F113:H113"/>
    <mergeCell ref="N114:T114"/>
    <mergeCell ref="A115:H115"/>
    <mergeCell ref="A119:G119"/>
    <mergeCell ref="N120:U120"/>
    <mergeCell ref="A120:G120"/>
    <mergeCell ref="R109:S109"/>
    <mergeCell ref="A110:B110"/>
    <mergeCell ref="N110:O110"/>
    <mergeCell ref="A107:B107"/>
    <mergeCell ref="F107:G107"/>
    <mergeCell ref="N107:O107"/>
    <mergeCell ref="P107:Q107"/>
    <mergeCell ref="R107:S107"/>
    <mergeCell ref="A108:B108"/>
    <mergeCell ref="F108:G108"/>
    <mergeCell ref="N108:O108"/>
    <mergeCell ref="P108:Q108"/>
    <mergeCell ref="R108:S108"/>
    <mergeCell ref="A103:C103"/>
    <mergeCell ref="F103:I103"/>
    <mergeCell ref="N103:U103"/>
    <mergeCell ref="C104:E104"/>
    <mergeCell ref="F105:G105"/>
    <mergeCell ref="A106:B106"/>
    <mergeCell ref="F106:G106"/>
    <mergeCell ref="N106:O106"/>
    <mergeCell ref="P106:Q106"/>
    <mergeCell ref="R106:S106"/>
    <mergeCell ref="A99:B99"/>
    <mergeCell ref="N99:O99"/>
    <mergeCell ref="P99:R99"/>
    <mergeCell ref="A100:B100"/>
    <mergeCell ref="N100:O100"/>
    <mergeCell ref="P100:R100"/>
    <mergeCell ref="C91:D91"/>
    <mergeCell ref="P91:Q91"/>
    <mergeCell ref="C92:D92"/>
    <mergeCell ref="P92:Q92"/>
    <mergeCell ref="C93:D93"/>
    <mergeCell ref="P93:T93"/>
    <mergeCell ref="A94:I94"/>
    <mergeCell ref="N94:U94"/>
    <mergeCell ref="F96:I96"/>
    <mergeCell ref="N96:P96"/>
    <mergeCell ref="Q96:T96"/>
    <mergeCell ref="A87:I87"/>
    <mergeCell ref="N87:U87"/>
    <mergeCell ref="C88:D88"/>
    <mergeCell ref="C89:D89"/>
    <mergeCell ref="N89:O89"/>
    <mergeCell ref="P89:Q89"/>
    <mergeCell ref="R89:U89"/>
    <mergeCell ref="C90:D90"/>
    <mergeCell ref="P90:Q90"/>
    <mergeCell ref="A80:C80"/>
    <mergeCell ref="N80:P80"/>
    <mergeCell ref="A85:C85"/>
    <mergeCell ref="N85:P85"/>
    <mergeCell ref="F73:H73"/>
    <mergeCell ref="N73:T73"/>
    <mergeCell ref="N74:T74"/>
    <mergeCell ref="A78:C78"/>
    <mergeCell ref="N78:P78"/>
    <mergeCell ref="A79:C79"/>
    <mergeCell ref="A69:C69"/>
    <mergeCell ref="N69:P69"/>
    <mergeCell ref="N79:P79"/>
    <mergeCell ref="A76:C76"/>
    <mergeCell ref="N76:P76"/>
    <mergeCell ref="A77:C77"/>
    <mergeCell ref="A70:C70"/>
    <mergeCell ref="A71:C71"/>
    <mergeCell ref="N71:P71"/>
    <mergeCell ref="A72:C72"/>
    <mergeCell ref="N77:P77"/>
    <mergeCell ref="N72:P72"/>
    <mergeCell ref="A65:B65"/>
    <mergeCell ref="D65:G65"/>
    <mergeCell ref="N65:O65"/>
    <mergeCell ref="Q65:S65"/>
    <mergeCell ref="T65:U65"/>
    <mergeCell ref="N66:S66"/>
    <mergeCell ref="T66:U66"/>
    <mergeCell ref="A68:C68"/>
    <mergeCell ref="N68:P68"/>
    <mergeCell ref="A62:B62"/>
    <mergeCell ref="D62:G62"/>
    <mergeCell ref="N62:O62"/>
    <mergeCell ref="Q62:S62"/>
    <mergeCell ref="T62:U62"/>
    <mergeCell ref="N63:S63"/>
    <mergeCell ref="T63:U63"/>
    <mergeCell ref="A64:I64"/>
    <mergeCell ref="N64:U64"/>
    <mergeCell ref="A59:B59"/>
    <mergeCell ref="F59:H59"/>
    <mergeCell ref="N59:O59"/>
    <mergeCell ref="P59:Q59"/>
    <mergeCell ref="R59:T59"/>
    <mergeCell ref="A60:I60"/>
    <mergeCell ref="N60:U60"/>
    <mergeCell ref="A61:I61"/>
    <mergeCell ref="N61:U61"/>
    <mergeCell ref="A50:B58"/>
    <mergeCell ref="N50:O58"/>
    <mergeCell ref="P50:Q50"/>
    <mergeCell ref="P51:Q51"/>
    <mergeCell ref="P52:Q52"/>
    <mergeCell ref="P53:Q53"/>
    <mergeCell ref="P54:Q54"/>
    <mergeCell ref="P55:Q55"/>
    <mergeCell ref="P56:Q56"/>
    <mergeCell ref="P57:Q57"/>
    <mergeCell ref="P58:Q58"/>
    <mergeCell ref="A42:B42"/>
    <mergeCell ref="N42:O42"/>
    <mergeCell ref="P42:T42"/>
    <mergeCell ref="N43:Q43"/>
    <mergeCell ref="S43:T43"/>
    <mergeCell ref="N45:Q45"/>
    <mergeCell ref="S45:T45"/>
    <mergeCell ref="N49:O49"/>
    <mergeCell ref="P49:Q49"/>
    <mergeCell ref="A39:B39"/>
    <mergeCell ref="N39:O39"/>
    <mergeCell ref="P39:T39"/>
    <mergeCell ref="A40:B40"/>
    <mergeCell ref="N40:O40"/>
    <mergeCell ref="P40:T40"/>
    <mergeCell ref="A41:B41"/>
    <mergeCell ref="N41:O41"/>
    <mergeCell ref="P41:T41"/>
    <mergeCell ref="N34:T34"/>
    <mergeCell ref="A36:B36"/>
    <mergeCell ref="N36:O36"/>
    <mergeCell ref="P36:T36"/>
    <mergeCell ref="A37:B37"/>
    <mergeCell ref="N37:O37"/>
    <mergeCell ref="P37:T37"/>
    <mergeCell ref="F33:H36"/>
    <mergeCell ref="A38:B38"/>
    <mergeCell ref="N38:O38"/>
    <mergeCell ref="P38:T38"/>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A20:B20"/>
    <mergeCell ref="F20:G20"/>
    <mergeCell ref="N20:O20"/>
    <mergeCell ref="P20:Q20"/>
    <mergeCell ref="R20:S20"/>
    <mergeCell ref="A21:B21"/>
    <mergeCell ref="F21:G21"/>
    <mergeCell ref="N21:O21"/>
    <mergeCell ref="P21:Q21"/>
    <mergeCell ref="R21:S21"/>
    <mergeCell ref="A18:B18"/>
    <mergeCell ref="F18:G18"/>
    <mergeCell ref="N18:O18"/>
    <mergeCell ref="P18:Q18"/>
    <mergeCell ref="R18:S18"/>
    <mergeCell ref="A19:B19"/>
    <mergeCell ref="F19:G19"/>
    <mergeCell ref="N19:O19"/>
    <mergeCell ref="P19:Q19"/>
    <mergeCell ref="R19:S19"/>
    <mergeCell ref="A16:B16"/>
    <mergeCell ref="F16:G16"/>
    <mergeCell ref="N16:O16"/>
    <mergeCell ref="P16:Q16"/>
    <mergeCell ref="R16:S16"/>
    <mergeCell ref="A15:B15"/>
    <mergeCell ref="F15:G15"/>
    <mergeCell ref="A17:B17"/>
    <mergeCell ref="F17:G17"/>
    <mergeCell ref="N17:O17"/>
    <mergeCell ref="P17:Q17"/>
    <mergeCell ref="R17:S17"/>
    <mergeCell ref="A14:B14"/>
    <mergeCell ref="F14:G14"/>
    <mergeCell ref="N14:O14"/>
    <mergeCell ref="P14:Q14"/>
    <mergeCell ref="R14:S14"/>
    <mergeCell ref="A13:B13"/>
    <mergeCell ref="F13:G13"/>
    <mergeCell ref="N15:O15"/>
    <mergeCell ref="P15:Q15"/>
    <mergeCell ref="R15:S15"/>
    <mergeCell ref="A12:B12"/>
    <mergeCell ref="F12:G12"/>
    <mergeCell ref="N12:O12"/>
    <mergeCell ref="P12:Q12"/>
    <mergeCell ref="R12:S12"/>
    <mergeCell ref="A11:B11"/>
    <mergeCell ref="F11:G11"/>
    <mergeCell ref="N13:O13"/>
    <mergeCell ref="P13:Q13"/>
    <mergeCell ref="R13:S13"/>
    <mergeCell ref="N8:O8"/>
    <mergeCell ref="P8:Q8"/>
    <mergeCell ref="R8:S8"/>
    <mergeCell ref="T8:U8"/>
    <mergeCell ref="F10:G10"/>
    <mergeCell ref="R10:S10"/>
    <mergeCell ref="A7:I7"/>
    <mergeCell ref="N11:O11"/>
    <mergeCell ref="P11:Q11"/>
    <mergeCell ref="R11:S11"/>
    <mergeCell ref="O1:U1"/>
    <mergeCell ref="N2:U2"/>
    <mergeCell ref="N3:U3"/>
    <mergeCell ref="A4:B4"/>
    <mergeCell ref="C4:E4"/>
    <mergeCell ref="N4:O4"/>
    <mergeCell ref="P4:Q4"/>
    <mergeCell ref="B1:I1"/>
    <mergeCell ref="N7:U7"/>
  </mergeCells>
  <pageMargins left="0.1" right="0.1" top="0.5" bottom="0.5" header="0" footer="0.1"/>
  <pageSetup scale="70" fitToHeight="3" orientation="portrait" r:id="rId1"/>
  <headerFooter alignWithMargins="0">
    <oddFooter>&amp;R&amp;P of &amp;N</oddFooter>
  </headerFooter>
  <rowBreaks count="1" manualBreakCount="1">
    <brk id="138" max="16383" man="1"/>
  </rowBreaks>
  <colBreaks count="1" manualBreakCount="1">
    <brk id="9"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4">
    <tabColor rgb="FFCCFFCC"/>
  </sheetPr>
  <dimension ref="A1:U206"/>
  <sheetViews>
    <sheetView showGridLines="0" zoomScaleNormal="100" workbookViewId="0">
      <pane ySplit="1" topLeftCell="A11" activePane="bottomLeft" state="frozen"/>
      <selection activeCell="I9" sqref="I9"/>
      <selection pane="bottomLeft" activeCell="D50" sqref="D50:D58"/>
    </sheetView>
  </sheetViews>
  <sheetFormatPr defaultRowHeight="15.75" x14ac:dyDescent="0.25"/>
  <cols>
    <col min="1" max="1" width="10.28515625" style="72"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72"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5">
        <v>50</v>
      </c>
      <c r="B1" s="441" t="s">
        <v>17</v>
      </c>
      <c r="C1" s="442"/>
      <c r="D1" s="442"/>
      <c r="E1" s="442"/>
      <c r="F1" s="442"/>
      <c r="G1" s="442"/>
      <c r="H1" s="442"/>
      <c r="I1" s="442"/>
      <c r="J1" s="157"/>
      <c r="K1" s="157"/>
      <c r="L1" s="157"/>
      <c r="N1" s="85">
        <f>A1</f>
        <v>50</v>
      </c>
      <c r="O1" s="527" t="s">
        <v>17</v>
      </c>
      <c r="P1" s="528"/>
      <c r="Q1" s="528"/>
      <c r="R1" s="528"/>
      <c r="S1" s="528"/>
      <c r="T1" s="528"/>
      <c r="U1" s="528"/>
    </row>
    <row r="2" spans="1:21" ht="21" x14ac:dyDescent="0.35">
      <c r="A2" s="1" t="s">
        <v>473</v>
      </c>
      <c r="B2" s="2"/>
      <c r="C2" s="2"/>
      <c r="D2" s="2"/>
      <c r="E2" s="2"/>
      <c r="F2" s="2"/>
      <c r="G2" s="2"/>
      <c r="H2" s="2"/>
      <c r="I2" s="2"/>
      <c r="N2" s="529" t="s">
        <v>23</v>
      </c>
      <c r="O2" s="529"/>
      <c r="P2" s="529"/>
      <c r="Q2" s="529"/>
      <c r="R2" s="529"/>
      <c r="S2" s="529"/>
      <c r="T2" s="529"/>
      <c r="U2" s="529"/>
    </row>
    <row r="3" spans="1:21" x14ac:dyDescent="0.25">
      <c r="A3" s="84" t="str">
        <f>'0664'!A3</f>
        <v>Based on the FLDOE 2022-23 FEFP Third Calculation</v>
      </c>
      <c r="N3" s="485" t="str">
        <f>A3</f>
        <v>Based on the FLDOE 2022-23 FEFP Third Calculation</v>
      </c>
      <c r="O3" s="485"/>
      <c r="P3" s="485"/>
      <c r="Q3" s="485"/>
      <c r="R3" s="485"/>
      <c r="S3" s="485"/>
      <c r="T3" s="485"/>
      <c r="U3" s="485"/>
    </row>
    <row r="4" spans="1:21" x14ac:dyDescent="0.25">
      <c r="A4" s="443" t="s">
        <v>0</v>
      </c>
      <c r="B4" s="443"/>
      <c r="C4" s="444" t="s">
        <v>9</v>
      </c>
      <c r="D4" s="444"/>
      <c r="E4" s="444"/>
      <c r="F4" s="4" t="str">
        <f>'0664'!F4</f>
        <v>Apr 2023</v>
      </c>
      <c r="G4" s="4"/>
      <c r="H4" s="4"/>
      <c r="I4" s="4"/>
      <c r="N4" s="530" t="s">
        <v>0</v>
      </c>
      <c r="O4" s="530"/>
      <c r="P4" s="531" t="str">
        <f>C4</f>
        <v>Palm Beach</v>
      </c>
      <c r="Q4" s="531"/>
      <c r="R4" s="5"/>
      <c r="S4" s="5"/>
      <c r="T4" s="5"/>
      <c r="U4" s="5"/>
    </row>
    <row r="5" spans="1:21" ht="12" customHeight="1" thickBot="1" x14ac:dyDescent="0.3">
      <c r="A5" s="262"/>
      <c r="B5" s="262"/>
      <c r="C5" s="253"/>
      <c r="D5" s="253"/>
      <c r="E5" s="253"/>
      <c r="F5" s="254"/>
      <c r="G5" s="254"/>
      <c r="H5" s="254"/>
      <c r="I5" s="254"/>
      <c r="N5" s="86"/>
      <c r="O5" s="86"/>
      <c r="P5" s="6"/>
      <c r="Q5" s="6"/>
      <c r="R5" s="5"/>
      <c r="S5" s="5"/>
      <c r="T5" s="5"/>
      <c r="U5" s="5"/>
    </row>
    <row r="6" spans="1:21" ht="12" customHeight="1" x14ac:dyDescent="0.25">
      <c r="A6" s="150"/>
      <c r="B6" s="150"/>
      <c r="C6" s="261"/>
      <c r="D6" s="261"/>
      <c r="E6" s="261"/>
      <c r="F6" s="4"/>
      <c r="G6" s="4"/>
      <c r="H6" s="4"/>
      <c r="I6" s="4"/>
      <c r="N6" s="86"/>
      <c r="O6" s="86"/>
      <c r="P6" s="6"/>
      <c r="Q6" s="6"/>
      <c r="R6" s="5"/>
      <c r="S6" s="5"/>
      <c r="T6" s="5"/>
      <c r="U6" s="5"/>
    </row>
    <row r="7" spans="1:21" x14ac:dyDescent="0.25">
      <c r="A7" s="445" t="str">
        <f>'0664'!A7:I7</f>
        <v>1.   2022-23 FEFP State and Local Funding</v>
      </c>
      <c r="B7" s="533"/>
      <c r="C7" s="533"/>
      <c r="D7" s="533"/>
      <c r="E7" s="533"/>
      <c r="F7" s="533"/>
      <c r="G7" s="533"/>
      <c r="H7" s="533"/>
      <c r="I7" s="533"/>
      <c r="N7" s="530" t="s">
        <v>86</v>
      </c>
      <c r="O7" s="530"/>
      <c r="P7" s="530"/>
      <c r="Q7" s="530"/>
      <c r="R7" s="530"/>
      <c r="S7" s="530"/>
      <c r="T7" s="530"/>
      <c r="U7" s="530"/>
    </row>
    <row r="8" spans="1:21" x14ac:dyDescent="0.25">
      <c r="A8" s="87"/>
      <c r="B8" s="88" t="s">
        <v>123</v>
      </c>
      <c r="C8" s="334">
        <f>'0664'!C8</f>
        <v>4587.3999999999996</v>
      </c>
      <c r="D8" s="89"/>
      <c r="E8" s="90"/>
      <c r="F8" s="87"/>
      <c r="G8" s="88" t="s">
        <v>122</v>
      </c>
      <c r="H8" s="320">
        <f>'0664'!H8</f>
        <v>1.0438000000000001</v>
      </c>
      <c r="I8" s="78"/>
      <c r="N8" s="534" t="s">
        <v>10</v>
      </c>
      <c r="O8" s="534"/>
      <c r="P8" s="535">
        <v>4154.45</v>
      </c>
      <c r="Q8" s="535"/>
      <c r="R8" s="518" t="s">
        <v>11</v>
      </c>
      <c r="S8" s="518"/>
      <c r="T8" s="519">
        <f>H8</f>
        <v>1.0438000000000001</v>
      </c>
      <c r="U8" s="519"/>
    </row>
    <row r="9" spans="1:21" x14ac:dyDescent="0.25">
      <c r="A9" s="7"/>
      <c r="B9" s="44" t="s">
        <v>370</v>
      </c>
      <c r="C9" s="372" t="s">
        <v>370</v>
      </c>
      <c r="D9" s="372" t="s">
        <v>370</v>
      </c>
      <c r="E9" s="8"/>
      <c r="F9" s="9"/>
      <c r="G9" s="9"/>
      <c r="H9" s="10"/>
      <c r="I9" s="340" t="str">
        <f>'0664'!I9</f>
        <v>2022-23</v>
      </c>
      <c r="N9" s="12"/>
      <c r="O9" s="12"/>
      <c r="P9" s="13"/>
      <c r="Q9" s="13"/>
      <c r="R9" s="14"/>
      <c r="S9" s="14"/>
      <c r="T9" s="15"/>
      <c r="U9" s="405" t="s">
        <v>405</v>
      </c>
    </row>
    <row r="10" spans="1:21" x14ac:dyDescent="0.25">
      <c r="A10" s="7"/>
      <c r="B10" s="7"/>
      <c r="C10" s="91" t="s">
        <v>463</v>
      </c>
      <c r="D10" s="371" t="s">
        <v>464</v>
      </c>
      <c r="E10" s="92" t="s">
        <v>8</v>
      </c>
      <c r="F10" s="446" t="s">
        <v>1</v>
      </c>
      <c r="G10" s="446"/>
      <c r="H10" s="10" t="s">
        <v>73</v>
      </c>
      <c r="I10" s="11" t="s">
        <v>36</v>
      </c>
      <c r="N10" s="12"/>
      <c r="O10" s="12"/>
      <c r="P10" s="13"/>
      <c r="Q10" s="13"/>
      <c r="R10" s="520" t="s">
        <v>1</v>
      </c>
      <c r="S10" s="520"/>
      <c r="T10" s="15" t="s">
        <v>73</v>
      </c>
      <c r="U10" s="16" t="s">
        <v>36</v>
      </c>
    </row>
    <row r="11" spans="1:21" x14ac:dyDescent="0.25">
      <c r="A11" s="447" t="s">
        <v>1</v>
      </c>
      <c r="B11" s="447"/>
      <c r="C11" s="362" t="s">
        <v>2</v>
      </c>
      <c r="D11" s="362" t="s">
        <v>2</v>
      </c>
      <c r="E11" s="362" t="s">
        <v>2</v>
      </c>
      <c r="F11" s="448" t="s">
        <v>76</v>
      </c>
      <c r="G11" s="448"/>
      <c r="H11" s="17" t="s">
        <v>72</v>
      </c>
      <c r="I11" s="18" t="s">
        <v>75</v>
      </c>
      <c r="N11" s="510" t="s">
        <v>1</v>
      </c>
      <c r="O11" s="510"/>
      <c r="P11" s="521" t="s">
        <v>24</v>
      </c>
      <c r="Q11" s="521"/>
      <c r="R11" s="522" t="s">
        <v>76</v>
      </c>
      <c r="S11" s="522"/>
      <c r="T11" s="19" t="s">
        <v>72</v>
      </c>
      <c r="U11" s="20" t="s">
        <v>75</v>
      </c>
    </row>
    <row r="12" spans="1:21" x14ac:dyDescent="0.25">
      <c r="A12" s="449" t="s">
        <v>47</v>
      </c>
      <c r="B12" s="449"/>
      <c r="C12" s="94"/>
      <c r="D12" s="94"/>
      <c r="E12" s="95" t="s">
        <v>48</v>
      </c>
      <c r="F12" s="450" t="s">
        <v>49</v>
      </c>
      <c r="G12" s="450"/>
      <c r="H12" s="21" t="s">
        <v>50</v>
      </c>
      <c r="I12" s="22" t="s">
        <v>51</v>
      </c>
      <c r="N12" s="523" t="s">
        <v>47</v>
      </c>
      <c r="O12" s="523"/>
      <c r="P12" s="524" t="s">
        <v>48</v>
      </c>
      <c r="Q12" s="524"/>
      <c r="R12" s="525" t="s">
        <v>49</v>
      </c>
      <c r="S12" s="525"/>
      <c r="T12" s="23" t="s">
        <v>50</v>
      </c>
      <c r="U12" s="24" t="s">
        <v>51</v>
      </c>
    </row>
    <row r="13" spans="1:21" x14ac:dyDescent="0.25">
      <c r="A13" s="451" t="s">
        <v>29</v>
      </c>
      <c r="B13" s="451"/>
      <c r="C13" s="165">
        <v>0</v>
      </c>
      <c r="D13" s="163">
        <v>0</v>
      </c>
      <c r="E13" s="210">
        <f>IF(D$29=0,C13*2,C13+D13)</f>
        <v>0</v>
      </c>
      <c r="F13" s="537">
        <f>'0664'!F13:G13</f>
        <v>1.1259999999999999</v>
      </c>
      <c r="G13" s="537"/>
      <c r="H13" s="167">
        <f>ROUND(E13*F13,4)</f>
        <v>0</v>
      </c>
      <c r="I13" s="119">
        <f t="shared" ref="I13:I28" si="0">ROUND(ROUND(H13*$C$8,4)*($H$8),2)</f>
        <v>0</v>
      </c>
      <c r="N13" s="512" t="s">
        <v>29</v>
      </c>
      <c r="O13" s="512"/>
      <c r="P13" s="513">
        <f t="shared" ref="P13:P28" si="1">IF($H$120=1,E13,0)</f>
        <v>0</v>
      </c>
      <c r="Q13" s="513"/>
      <c r="R13" s="526">
        <v>1</v>
      </c>
      <c r="S13" s="526"/>
      <c r="T13" s="98">
        <f>ROUND(P13*R13,4)</f>
        <v>0</v>
      </c>
      <c r="U13" s="99">
        <f t="shared" ref="U13:U28" si="2">ROUND(ROUND(T13*$C$8,4)*($H$8),0)</f>
        <v>0</v>
      </c>
    </row>
    <row r="14" spans="1:21" x14ac:dyDescent="0.25">
      <c r="A14" s="453" t="s">
        <v>30</v>
      </c>
      <c r="B14" s="453"/>
      <c r="C14" s="165">
        <v>0</v>
      </c>
      <c r="D14" s="165">
        <v>0</v>
      </c>
      <c r="E14" s="125">
        <f t="shared" ref="E14:E28" si="3">IF(D$29=0,C14*2,C14+D14)</f>
        <v>0</v>
      </c>
      <c r="F14" s="532">
        <f>'0664'!F14:G14</f>
        <v>1.1259999999999999</v>
      </c>
      <c r="G14" s="532"/>
      <c r="H14" s="83">
        <f t="shared" ref="H14:H28" si="4">ROUND(E14*F14,4)</f>
        <v>0</v>
      </c>
      <c r="I14" s="104">
        <f t="shared" si="0"/>
        <v>0</v>
      </c>
      <c r="J14" s="68" t="str">
        <f>IF(ROUND(E14,2)=ROUND(SUM(E50:E52),2)," ","CHECK PK-3 LINES BELOW")</f>
        <v xml:space="preserve"> </v>
      </c>
      <c r="N14" s="479" t="s">
        <v>30</v>
      </c>
      <c r="O14" s="479"/>
      <c r="P14" s="513">
        <f t="shared" si="1"/>
        <v>0</v>
      </c>
      <c r="Q14" s="513"/>
      <c r="R14" s="517">
        <v>1</v>
      </c>
      <c r="S14" s="517"/>
      <c r="T14" s="98">
        <f t="shared" ref="T14:T28" si="5">ROUND(P14*R14,4)</f>
        <v>0</v>
      </c>
      <c r="U14" s="99">
        <f t="shared" si="2"/>
        <v>0</v>
      </c>
    </row>
    <row r="15" spans="1:21" x14ac:dyDescent="0.25">
      <c r="A15" s="453" t="s">
        <v>31</v>
      </c>
      <c r="B15" s="453"/>
      <c r="C15" s="165">
        <v>115.65</v>
      </c>
      <c r="D15" s="165">
        <v>110.08</v>
      </c>
      <c r="E15" s="125">
        <f t="shared" si="3"/>
        <v>225.73000000000002</v>
      </c>
      <c r="F15" s="532">
        <f>'0664'!F15:G15</f>
        <v>1</v>
      </c>
      <c r="G15" s="532"/>
      <c r="H15" s="83">
        <f t="shared" si="4"/>
        <v>225.73</v>
      </c>
      <c r="I15" s="104">
        <f t="shared" si="0"/>
        <v>1080869.31</v>
      </c>
      <c r="N15" s="479" t="s">
        <v>31</v>
      </c>
      <c r="O15" s="479"/>
      <c r="P15" s="513">
        <f t="shared" si="1"/>
        <v>0</v>
      </c>
      <c r="Q15" s="513"/>
      <c r="R15" s="517">
        <v>1</v>
      </c>
      <c r="S15" s="517"/>
      <c r="T15" s="98">
        <f t="shared" si="5"/>
        <v>0</v>
      </c>
      <c r="U15" s="99">
        <f t="shared" si="2"/>
        <v>0</v>
      </c>
    </row>
    <row r="16" spans="1:21" x14ac:dyDescent="0.25">
      <c r="A16" s="453" t="s">
        <v>32</v>
      </c>
      <c r="B16" s="453"/>
      <c r="C16" s="165">
        <v>24.5</v>
      </c>
      <c r="D16" s="165">
        <v>21</v>
      </c>
      <c r="E16" s="125">
        <f t="shared" si="3"/>
        <v>45.5</v>
      </c>
      <c r="F16" s="532">
        <f>'0664'!F16:G16</f>
        <v>1</v>
      </c>
      <c r="G16" s="532"/>
      <c r="H16" s="83">
        <f t="shared" si="4"/>
        <v>45.5</v>
      </c>
      <c r="I16" s="104">
        <f t="shared" si="0"/>
        <v>217868.93</v>
      </c>
      <c r="J16" s="68" t="str">
        <f>IF(ROUND(E16,2)=ROUND(SUM(E53:E55),2)," ","CHECK 4-8 LINES BELOW")</f>
        <v xml:space="preserve"> </v>
      </c>
      <c r="N16" s="479" t="s">
        <v>32</v>
      </c>
      <c r="O16" s="479"/>
      <c r="P16" s="513">
        <f t="shared" si="1"/>
        <v>0</v>
      </c>
      <c r="Q16" s="513"/>
      <c r="R16" s="517">
        <v>1</v>
      </c>
      <c r="S16" s="517"/>
      <c r="T16" s="98">
        <f t="shared" si="5"/>
        <v>0</v>
      </c>
      <c r="U16" s="99">
        <f t="shared" si="2"/>
        <v>0</v>
      </c>
    </row>
    <row r="17" spans="1:21" x14ac:dyDescent="0.25">
      <c r="A17" s="453" t="s">
        <v>33</v>
      </c>
      <c r="B17" s="453"/>
      <c r="C17" s="165">
        <v>77.760000000000005</v>
      </c>
      <c r="D17" s="165">
        <v>73.150000000000006</v>
      </c>
      <c r="E17" s="125">
        <f t="shared" si="3"/>
        <v>150.91000000000003</v>
      </c>
      <c r="F17" s="532">
        <f>'0664'!F17:G17</f>
        <v>0.999</v>
      </c>
      <c r="G17" s="532"/>
      <c r="H17" s="83">
        <f t="shared" si="4"/>
        <v>150.75909999999999</v>
      </c>
      <c r="I17" s="104">
        <f t="shared" si="0"/>
        <v>721884.04</v>
      </c>
      <c r="N17" s="479" t="s">
        <v>33</v>
      </c>
      <c r="O17" s="479"/>
      <c r="P17" s="513">
        <f t="shared" si="1"/>
        <v>0</v>
      </c>
      <c r="Q17" s="513"/>
      <c r="R17" s="517">
        <v>1</v>
      </c>
      <c r="S17" s="517"/>
      <c r="T17" s="98">
        <f t="shared" si="5"/>
        <v>0</v>
      </c>
      <c r="U17" s="99">
        <f t="shared" si="2"/>
        <v>0</v>
      </c>
    </row>
    <row r="18" spans="1:21" x14ac:dyDescent="0.25">
      <c r="A18" s="453" t="s">
        <v>34</v>
      </c>
      <c r="B18" s="453"/>
      <c r="C18" s="165">
        <v>17.5</v>
      </c>
      <c r="D18" s="165">
        <v>16.440000000000001</v>
      </c>
      <c r="E18" s="125">
        <f t="shared" si="3"/>
        <v>33.94</v>
      </c>
      <c r="F18" s="532">
        <f>'0664'!F18:G18</f>
        <v>0.999</v>
      </c>
      <c r="G18" s="532"/>
      <c r="H18" s="83">
        <f t="shared" si="4"/>
        <v>33.906100000000002</v>
      </c>
      <c r="I18" s="104">
        <f t="shared" si="0"/>
        <v>162353.53</v>
      </c>
      <c r="J18" s="68" t="str">
        <f>IF(ROUND(E18,2)=ROUND(SUM(E56:E58),2)," ","CHECK 4-8 LINES BELOW")</f>
        <v xml:space="preserve"> </v>
      </c>
      <c r="N18" s="479" t="s">
        <v>34</v>
      </c>
      <c r="O18" s="479"/>
      <c r="P18" s="513">
        <f t="shared" si="1"/>
        <v>0</v>
      </c>
      <c r="Q18" s="513"/>
      <c r="R18" s="517">
        <v>1</v>
      </c>
      <c r="S18" s="517"/>
      <c r="T18" s="98">
        <f t="shared" si="5"/>
        <v>0</v>
      </c>
      <c r="U18" s="101">
        <f t="shared" si="2"/>
        <v>0</v>
      </c>
    </row>
    <row r="19" spans="1:21" x14ac:dyDescent="0.25">
      <c r="A19" s="453" t="s">
        <v>108</v>
      </c>
      <c r="B19" s="453"/>
      <c r="C19" s="165">
        <v>0</v>
      </c>
      <c r="D19" s="165">
        <v>0</v>
      </c>
      <c r="E19" s="125">
        <f t="shared" si="3"/>
        <v>0</v>
      </c>
      <c r="F19" s="532">
        <f>'0664'!F19:G19</f>
        <v>3.6739999999999999</v>
      </c>
      <c r="G19" s="532"/>
      <c r="H19" s="83">
        <f t="shared" si="4"/>
        <v>0</v>
      </c>
      <c r="I19" s="104">
        <f t="shared" si="0"/>
        <v>0</v>
      </c>
      <c r="N19" s="479" t="s">
        <v>108</v>
      </c>
      <c r="O19" s="479"/>
      <c r="P19" s="513">
        <f t="shared" si="1"/>
        <v>0</v>
      </c>
      <c r="Q19" s="513"/>
      <c r="R19" s="517">
        <v>1</v>
      </c>
      <c r="S19" s="517"/>
      <c r="T19" s="98">
        <f t="shared" si="5"/>
        <v>0</v>
      </c>
      <c r="U19" s="99">
        <f t="shared" si="2"/>
        <v>0</v>
      </c>
    </row>
    <row r="20" spans="1:21" x14ac:dyDescent="0.25">
      <c r="A20" s="453" t="s">
        <v>109</v>
      </c>
      <c r="B20" s="453"/>
      <c r="C20" s="165">
        <v>0</v>
      </c>
      <c r="D20" s="165">
        <v>0</v>
      </c>
      <c r="E20" s="125">
        <f t="shared" si="3"/>
        <v>0</v>
      </c>
      <c r="F20" s="532">
        <f>'0664'!F20:G20</f>
        <v>3.6739999999999999</v>
      </c>
      <c r="G20" s="532"/>
      <c r="H20" s="83">
        <f t="shared" si="4"/>
        <v>0</v>
      </c>
      <c r="I20" s="104">
        <f t="shared" si="0"/>
        <v>0</v>
      </c>
      <c r="N20" s="479" t="s">
        <v>109</v>
      </c>
      <c r="O20" s="479"/>
      <c r="P20" s="513">
        <f t="shared" si="1"/>
        <v>0</v>
      </c>
      <c r="Q20" s="513"/>
      <c r="R20" s="517">
        <v>1</v>
      </c>
      <c r="S20" s="517"/>
      <c r="T20" s="98">
        <f t="shared" si="5"/>
        <v>0</v>
      </c>
      <c r="U20" s="99">
        <f t="shared" si="2"/>
        <v>0</v>
      </c>
    </row>
    <row r="21" spans="1:21" x14ac:dyDescent="0.25">
      <c r="A21" s="453" t="s">
        <v>110</v>
      </c>
      <c r="B21" s="453"/>
      <c r="C21" s="165">
        <v>0</v>
      </c>
      <c r="D21" s="165">
        <v>0</v>
      </c>
      <c r="E21" s="125">
        <f t="shared" si="3"/>
        <v>0</v>
      </c>
      <c r="F21" s="532">
        <f>'0664'!F21:G21</f>
        <v>3.6739999999999999</v>
      </c>
      <c r="G21" s="532"/>
      <c r="H21" s="83">
        <f t="shared" si="4"/>
        <v>0</v>
      </c>
      <c r="I21" s="104">
        <f t="shared" si="0"/>
        <v>0</v>
      </c>
      <c r="N21" s="479" t="s">
        <v>110</v>
      </c>
      <c r="O21" s="479"/>
      <c r="P21" s="513">
        <f t="shared" si="1"/>
        <v>0</v>
      </c>
      <c r="Q21" s="513"/>
      <c r="R21" s="517">
        <v>1</v>
      </c>
      <c r="S21" s="517"/>
      <c r="T21" s="98">
        <f t="shared" si="5"/>
        <v>0</v>
      </c>
      <c r="U21" s="99">
        <f t="shared" si="2"/>
        <v>0</v>
      </c>
    </row>
    <row r="22" spans="1:21" x14ac:dyDescent="0.25">
      <c r="A22" s="453" t="s">
        <v>111</v>
      </c>
      <c r="B22" s="453"/>
      <c r="C22" s="165">
        <v>0</v>
      </c>
      <c r="D22" s="165">
        <v>0</v>
      </c>
      <c r="E22" s="125">
        <f t="shared" si="3"/>
        <v>0</v>
      </c>
      <c r="F22" s="532">
        <f>'0664'!F22:G22</f>
        <v>5.4009999999999998</v>
      </c>
      <c r="G22" s="532"/>
      <c r="H22" s="83">
        <f t="shared" si="4"/>
        <v>0</v>
      </c>
      <c r="I22" s="104">
        <f t="shared" si="0"/>
        <v>0</v>
      </c>
      <c r="N22" s="479" t="s">
        <v>111</v>
      </c>
      <c r="O22" s="479"/>
      <c r="P22" s="513">
        <f t="shared" si="1"/>
        <v>0</v>
      </c>
      <c r="Q22" s="513"/>
      <c r="R22" s="517">
        <v>1</v>
      </c>
      <c r="S22" s="517"/>
      <c r="T22" s="98">
        <f t="shared" si="5"/>
        <v>0</v>
      </c>
      <c r="U22" s="99">
        <f t="shared" si="2"/>
        <v>0</v>
      </c>
    </row>
    <row r="23" spans="1:21" x14ac:dyDescent="0.25">
      <c r="A23" s="453" t="s">
        <v>112</v>
      </c>
      <c r="B23" s="453"/>
      <c r="C23" s="165">
        <v>0</v>
      </c>
      <c r="D23" s="165">
        <v>0</v>
      </c>
      <c r="E23" s="125">
        <f t="shared" si="3"/>
        <v>0</v>
      </c>
      <c r="F23" s="532">
        <f>'0664'!F23:G23</f>
        <v>5.4009999999999998</v>
      </c>
      <c r="G23" s="532"/>
      <c r="H23" s="83">
        <f t="shared" si="4"/>
        <v>0</v>
      </c>
      <c r="I23" s="104">
        <f t="shared" si="0"/>
        <v>0</v>
      </c>
      <c r="N23" s="479" t="s">
        <v>112</v>
      </c>
      <c r="O23" s="479"/>
      <c r="P23" s="513">
        <f t="shared" si="1"/>
        <v>0</v>
      </c>
      <c r="Q23" s="513"/>
      <c r="R23" s="517">
        <v>1</v>
      </c>
      <c r="S23" s="517"/>
      <c r="T23" s="98">
        <f t="shared" si="5"/>
        <v>0</v>
      </c>
      <c r="U23" s="99">
        <f t="shared" si="2"/>
        <v>0</v>
      </c>
    </row>
    <row r="24" spans="1:21" x14ac:dyDescent="0.25">
      <c r="A24" s="453" t="s">
        <v>113</v>
      </c>
      <c r="B24" s="453"/>
      <c r="C24" s="165">
        <v>0</v>
      </c>
      <c r="D24" s="165">
        <v>0</v>
      </c>
      <c r="E24" s="125">
        <f t="shared" si="3"/>
        <v>0</v>
      </c>
      <c r="F24" s="532">
        <f>'0664'!F24:G24</f>
        <v>5.4009999999999998</v>
      </c>
      <c r="G24" s="532"/>
      <c r="H24" s="83">
        <f t="shared" si="4"/>
        <v>0</v>
      </c>
      <c r="I24" s="104">
        <f t="shared" si="0"/>
        <v>0</v>
      </c>
      <c r="N24" s="479" t="s">
        <v>113</v>
      </c>
      <c r="O24" s="479"/>
      <c r="P24" s="513">
        <f t="shared" si="1"/>
        <v>0</v>
      </c>
      <c r="Q24" s="513"/>
      <c r="R24" s="517">
        <v>1</v>
      </c>
      <c r="S24" s="517"/>
      <c r="T24" s="98">
        <f t="shared" si="5"/>
        <v>0</v>
      </c>
      <c r="U24" s="99">
        <f t="shared" si="2"/>
        <v>0</v>
      </c>
    </row>
    <row r="25" spans="1:21" x14ac:dyDescent="0.25">
      <c r="A25" s="453" t="s">
        <v>114</v>
      </c>
      <c r="B25" s="453"/>
      <c r="C25" s="165">
        <v>0</v>
      </c>
      <c r="D25" s="165">
        <v>0</v>
      </c>
      <c r="E25" s="125">
        <f t="shared" si="3"/>
        <v>0</v>
      </c>
      <c r="F25" s="532">
        <f>'0664'!F25:G25</f>
        <v>1.206</v>
      </c>
      <c r="G25" s="532"/>
      <c r="H25" s="83">
        <f t="shared" si="4"/>
        <v>0</v>
      </c>
      <c r="I25" s="104">
        <f t="shared" si="0"/>
        <v>0</v>
      </c>
      <c r="N25" s="479" t="s">
        <v>114</v>
      </c>
      <c r="O25" s="479"/>
      <c r="P25" s="513">
        <f t="shared" si="1"/>
        <v>0</v>
      </c>
      <c r="Q25" s="513"/>
      <c r="R25" s="517">
        <v>1</v>
      </c>
      <c r="S25" s="517"/>
      <c r="T25" s="98">
        <f t="shared" si="5"/>
        <v>0</v>
      </c>
      <c r="U25" s="99">
        <f t="shared" si="2"/>
        <v>0</v>
      </c>
    </row>
    <row r="26" spans="1:21" x14ac:dyDescent="0.25">
      <c r="A26" s="453" t="s">
        <v>115</v>
      </c>
      <c r="B26" s="453"/>
      <c r="C26" s="165">
        <v>19.350000000000001</v>
      </c>
      <c r="D26" s="165">
        <v>17.940000000000001</v>
      </c>
      <c r="E26" s="125">
        <f t="shared" si="3"/>
        <v>37.290000000000006</v>
      </c>
      <c r="F26" s="532">
        <f>'0664'!F26:G26</f>
        <v>1.206</v>
      </c>
      <c r="G26" s="532"/>
      <c r="H26" s="83">
        <f t="shared" si="4"/>
        <v>44.971699999999998</v>
      </c>
      <c r="I26" s="104">
        <f t="shared" si="0"/>
        <v>215339.26</v>
      </c>
      <c r="N26" s="479" t="s">
        <v>115</v>
      </c>
      <c r="O26" s="479"/>
      <c r="P26" s="513">
        <f t="shared" si="1"/>
        <v>0</v>
      </c>
      <c r="Q26" s="513"/>
      <c r="R26" s="517">
        <v>1</v>
      </c>
      <c r="S26" s="517"/>
      <c r="T26" s="98">
        <f t="shared" si="5"/>
        <v>0</v>
      </c>
      <c r="U26" s="99">
        <f t="shared" si="2"/>
        <v>0</v>
      </c>
    </row>
    <row r="27" spans="1:21" x14ac:dyDescent="0.25">
      <c r="A27" s="453" t="s">
        <v>116</v>
      </c>
      <c r="B27" s="453"/>
      <c r="C27" s="165">
        <v>4.66</v>
      </c>
      <c r="D27" s="165">
        <v>3.42</v>
      </c>
      <c r="E27" s="125">
        <f t="shared" si="3"/>
        <v>8.08</v>
      </c>
      <c r="F27" s="532">
        <f>'0664'!F27:G27</f>
        <v>1.206</v>
      </c>
      <c r="G27" s="532"/>
      <c r="H27" s="83">
        <f t="shared" si="4"/>
        <v>9.7445000000000004</v>
      </c>
      <c r="I27" s="104">
        <f t="shared" si="0"/>
        <v>46659.86</v>
      </c>
      <c r="N27" s="479" t="s">
        <v>116</v>
      </c>
      <c r="O27" s="479"/>
      <c r="P27" s="513">
        <f t="shared" si="1"/>
        <v>0</v>
      </c>
      <c r="Q27" s="513"/>
      <c r="R27" s="517">
        <v>1</v>
      </c>
      <c r="S27" s="517"/>
      <c r="T27" s="98">
        <f t="shared" si="5"/>
        <v>0</v>
      </c>
      <c r="U27" s="99">
        <f t="shared" si="2"/>
        <v>0</v>
      </c>
    </row>
    <row r="28" spans="1:21" x14ac:dyDescent="0.25">
      <c r="A28" s="453" t="s">
        <v>117</v>
      </c>
      <c r="B28" s="453"/>
      <c r="C28" s="116">
        <v>3.46</v>
      </c>
      <c r="D28" s="116">
        <v>2.75</v>
      </c>
      <c r="E28" s="177">
        <f t="shared" si="3"/>
        <v>6.21</v>
      </c>
      <c r="F28" s="532">
        <f>'0664'!F28:G28</f>
        <v>0.999</v>
      </c>
      <c r="G28" s="532"/>
      <c r="H28" s="96">
        <f t="shared" si="4"/>
        <v>6.2038000000000002</v>
      </c>
      <c r="I28" s="97">
        <f t="shared" si="0"/>
        <v>29705.83</v>
      </c>
      <c r="N28" s="482" t="s">
        <v>117</v>
      </c>
      <c r="O28" s="482"/>
      <c r="P28" s="513">
        <f t="shared" si="1"/>
        <v>0</v>
      </c>
      <c r="Q28" s="513"/>
      <c r="R28" s="514">
        <v>1</v>
      </c>
      <c r="S28" s="514"/>
      <c r="T28" s="98">
        <f t="shared" si="5"/>
        <v>0</v>
      </c>
      <c r="U28" s="99">
        <f t="shared" si="2"/>
        <v>0</v>
      </c>
    </row>
    <row r="29" spans="1:21" x14ac:dyDescent="0.25">
      <c r="A29" s="461" t="s">
        <v>5</v>
      </c>
      <c r="B29" s="461"/>
      <c r="C29" s="97">
        <f>SUM(C13:C28)</f>
        <v>262.88</v>
      </c>
      <c r="D29" s="97">
        <f>SUM(D13:D28)</f>
        <v>244.77999999999997</v>
      </c>
      <c r="E29" s="97">
        <f>SUM(E13:E28)</f>
        <v>507.66</v>
      </c>
      <c r="F29" s="457"/>
      <c r="G29" s="457"/>
      <c r="H29" s="102">
        <f>SUM(H13:H28)</f>
        <v>516.8152</v>
      </c>
      <c r="I29" s="97">
        <f>SUM(I13:I28)</f>
        <v>2474680.7600000002</v>
      </c>
      <c r="N29" s="515" t="s">
        <v>5</v>
      </c>
      <c r="O29" s="515"/>
      <c r="P29" s="516">
        <f>SUM(P13:P28)</f>
        <v>0</v>
      </c>
      <c r="Q29" s="516"/>
      <c r="R29" s="508"/>
      <c r="S29" s="508"/>
      <c r="T29" s="103">
        <f>SUM(T13:T28)</f>
        <v>0</v>
      </c>
      <c r="U29" s="99">
        <f>SUM(U13:U28)</f>
        <v>0</v>
      </c>
    </row>
    <row r="30" spans="1:21" x14ac:dyDescent="0.25">
      <c r="A30" s="27"/>
      <c r="B30" s="27"/>
      <c r="C30" s="104"/>
      <c r="D30" s="104"/>
      <c r="E30" s="104"/>
      <c r="F30" s="28"/>
      <c r="G30" s="28"/>
      <c r="H30" s="83"/>
      <c r="I30" s="104"/>
      <c r="N30" s="29"/>
      <c r="O30" s="29"/>
      <c r="P30" s="30"/>
      <c r="Q30" s="30"/>
      <c r="R30" s="31"/>
      <c r="S30" s="31"/>
      <c r="T30" s="105"/>
      <c r="U30" s="106"/>
    </row>
    <row r="31" spans="1:21" x14ac:dyDescent="0.25">
      <c r="A31" s="168" t="s">
        <v>97</v>
      </c>
      <c r="B31" s="27"/>
      <c r="C31" s="104"/>
      <c r="D31" s="104"/>
      <c r="E31" s="104"/>
      <c r="F31" s="28"/>
      <c r="G31" s="28"/>
      <c r="H31" s="83"/>
      <c r="I31" s="104"/>
      <c r="N31" s="29"/>
      <c r="O31" s="29"/>
      <c r="P31" s="30"/>
      <c r="Q31" s="30"/>
      <c r="R31" s="31"/>
      <c r="S31" s="31"/>
      <c r="T31" s="105"/>
      <c r="U31" s="106"/>
    </row>
    <row r="32" spans="1:21" hidden="1" x14ac:dyDescent="0.25">
      <c r="A32" s="168"/>
      <c r="B32" s="27"/>
      <c r="C32" s="104"/>
      <c r="D32" s="104"/>
      <c r="E32" s="104"/>
      <c r="F32" s="28"/>
      <c r="G32" s="28"/>
      <c r="H32" s="83"/>
      <c r="I32" s="104"/>
      <c r="N32" s="29"/>
      <c r="O32" s="29"/>
      <c r="P32" s="30"/>
      <c r="Q32" s="30"/>
      <c r="R32" s="31"/>
      <c r="S32" s="31"/>
      <c r="T32" s="105"/>
      <c r="U32" s="106"/>
    </row>
    <row r="33" spans="1:21" hidden="1" x14ac:dyDescent="0.25">
      <c r="A33" s="168"/>
      <c r="B33" s="27"/>
      <c r="C33" s="104"/>
      <c r="D33" s="104"/>
      <c r="E33" s="104"/>
      <c r="F33" s="541" t="s">
        <v>282</v>
      </c>
      <c r="G33" s="541"/>
      <c r="H33" s="541"/>
      <c r="I33" s="104"/>
      <c r="N33" s="29"/>
      <c r="O33" s="29"/>
      <c r="P33" s="30"/>
      <c r="Q33" s="30"/>
      <c r="R33" s="31"/>
      <c r="S33" s="31"/>
      <c r="T33" s="105"/>
      <c r="U33" s="106"/>
    </row>
    <row r="34" spans="1:21" hidden="1" x14ac:dyDescent="0.25">
      <c r="A34" s="3"/>
      <c r="B34" s="72"/>
      <c r="C34" s="72"/>
      <c r="D34" s="72"/>
      <c r="E34" s="72"/>
      <c r="F34" s="541"/>
      <c r="G34" s="541"/>
      <c r="H34" s="541"/>
      <c r="I34" s="25" t="s">
        <v>74</v>
      </c>
      <c r="N34" s="485" t="s">
        <v>35</v>
      </c>
      <c r="O34" s="485"/>
      <c r="P34" s="485"/>
      <c r="Q34" s="485"/>
      <c r="R34" s="485"/>
      <c r="S34" s="485"/>
      <c r="T34" s="485"/>
      <c r="U34" s="26" t="s">
        <v>74</v>
      </c>
    </row>
    <row r="35" spans="1:21" hidden="1" x14ac:dyDescent="0.25">
      <c r="A35" s="27"/>
      <c r="B35" s="27"/>
      <c r="C35" s="91" t="s">
        <v>124</v>
      </c>
      <c r="D35" s="91" t="s">
        <v>125</v>
      </c>
      <c r="E35" s="92" t="s">
        <v>8</v>
      </c>
      <c r="F35" s="541"/>
      <c r="G35" s="541"/>
      <c r="H35" s="541"/>
      <c r="I35" s="25" t="s">
        <v>36</v>
      </c>
      <c r="N35" s="29"/>
      <c r="O35" s="29"/>
      <c r="P35" s="30"/>
      <c r="Q35" s="30"/>
      <c r="R35" s="31"/>
      <c r="S35" s="31"/>
      <c r="T35" s="105"/>
      <c r="U35" s="26" t="s">
        <v>36</v>
      </c>
    </row>
    <row r="36" spans="1:21" hidden="1" x14ac:dyDescent="0.25">
      <c r="A36" s="447" t="s">
        <v>63</v>
      </c>
      <c r="B36" s="447"/>
      <c r="C36" s="93" t="s">
        <v>2</v>
      </c>
      <c r="D36" s="93" t="s">
        <v>2</v>
      </c>
      <c r="E36" s="93" t="s">
        <v>2</v>
      </c>
      <c r="F36" s="542"/>
      <c r="G36" s="542"/>
      <c r="H36" s="542"/>
      <c r="I36" s="32" t="s">
        <v>75</v>
      </c>
      <c r="N36" s="510" t="s">
        <v>63</v>
      </c>
      <c r="O36" s="510"/>
      <c r="P36" s="511" t="s">
        <v>24</v>
      </c>
      <c r="Q36" s="511"/>
      <c r="R36" s="511"/>
      <c r="S36" s="511"/>
      <c r="T36" s="511"/>
      <c r="U36" s="20" t="s">
        <v>75</v>
      </c>
    </row>
    <row r="37" spans="1:21" hidden="1" x14ac:dyDescent="0.25">
      <c r="A37" s="451" t="s">
        <v>56</v>
      </c>
      <c r="B37" s="451"/>
      <c r="C37" s="169">
        <v>0</v>
      </c>
      <c r="D37" s="169">
        <v>0</v>
      </c>
      <c r="E37" s="210">
        <f t="shared" ref="E37:E42" si="6">IF(D$43=0,C37*2,C37+D37)</f>
        <v>0</v>
      </c>
      <c r="F37" s="170"/>
      <c r="G37" s="170"/>
      <c r="H37" s="170"/>
      <c r="I37" s="119">
        <f t="shared" ref="I37:I42" si="7">ROUND(ROUND(E37*$C$8,4)*($H$8),2)</f>
        <v>0</v>
      </c>
      <c r="N37" s="512" t="s">
        <v>56</v>
      </c>
      <c r="O37" s="512"/>
      <c r="P37" s="483">
        <f t="shared" ref="P37:P42" si="8">IF($H$120=1,E37,0)</f>
        <v>0</v>
      </c>
      <c r="Q37" s="483"/>
      <c r="R37" s="483"/>
      <c r="S37" s="483"/>
      <c r="T37" s="483"/>
      <c r="U37" s="101">
        <f t="shared" ref="U37:U42" si="9">ROUND(ROUND(P37*$C$8,4)*($H$8),0)</f>
        <v>0</v>
      </c>
    </row>
    <row r="38" spans="1:21" hidden="1" x14ac:dyDescent="0.25">
      <c r="A38" s="453" t="s">
        <v>57</v>
      </c>
      <c r="B38" s="453"/>
      <c r="C38" s="172">
        <v>0</v>
      </c>
      <c r="D38" s="172">
        <v>0</v>
      </c>
      <c r="E38" s="125">
        <f t="shared" si="6"/>
        <v>0</v>
      </c>
      <c r="F38" s="173"/>
      <c r="G38" s="173"/>
      <c r="H38" s="173"/>
      <c r="I38" s="104">
        <f t="shared" si="7"/>
        <v>0</v>
      </c>
      <c r="N38" s="479" t="s">
        <v>57</v>
      </c>
      <c r="O38" s="479"/>
      <c r="P38" s="483">
        <f t="shared" si="8"/>
        <v>0</v>
      </c>
      <c r="Q38" s="483"/>
      <c r="R38" s="483"/>
      <c r="S38" s="483"/>
      <c r="T38" s="483"/>
      <c r="U38" s="101">
        <f t="shared" si="9"/>
        <v>0</v>
      </c>
    </row>
    <row r="39" spans="1:21" hidden="1" x14ac:dyDescent="0.25">
      <c r="A39" s="458" t="s">
        <v>58</v>
      </c>
      <c r="B39" s="458"/>
      <c r="C39" s="172">
        <v>0</v>
      </c>
      <c r="D39" s="172">
        <v>0</v>
      </c>
      <c r="E39" s="125">
        <f t="shared" si="6"/>
        <v>0</v>
      </c>
      <c r="F39" s="173"/>
      <c r="G39" s="173"/>
      <c r="H39" s="173"/>
      <c r="I39" s="104">
        <f t="shared" si="7"/>
        <v>0</v>
      </c>
      <c r="N39" s="509" t="s">
        <v>58</v>
      </c>
      <c r="O39" s="509"/>
      <c r="P39" s="483">
        <f t="shared" si="8"/>
        <v>0</v>
      </c>
      <c r="Q39" s="483"/>
      <c r="R39" s="483"/>
      <c r="S39" s="483"/>
      <c r="T39" s="483"/>
      <c r="U39" s="101">
        <f t="shared" si="9"/>
        <v>0</v>
      </c>
    </row>
    <row r="40" spans="1:21" hidden="1" x14ac:dyDescent="0.25">
      <c r="A40" s="453" t="s">
        <v>59</v>
      </c>
      <c r="B40" s="453"/>
      <c r="C40" s="172">
        <v>0</v>
      </c>
      <c r="D40" s="172">
        <v>0</v>
      </c>
      <c r="E40" s="125">
        <f t="shared" si="6"/>
        <v>0</v>
      </c>
      <c r="F40" s="173"/>
      <c r="G40" s="173"/>
      <c r="H40" s="173"/>
      <c r="I40" s="104">
        <f t="shared" si="7"/>
        <v>0</v>
      </c>
      <c r="N40" s="479" t="s">
        <v>59</v>
      </c>
      <c r="O40" s="479"/>
      <c r="P40" s="483">
        <f t="shared" si="8"/>
        <v>0</v>
      </c>
      <c r="Q40" s="483"/>
      <c r="R40" s="483"/>
      <c r="S40" s="483"/>
      <c r="T40" s="483"/>
      <c r="U40" s="101">
        <f t="shared" si="9"/>
        <v>0</v>
      </c>
    </row>
    <row r="41" spans="1:21" hidden="1" x14ac:dyDescent="0.25">
      <c r="A41" s="453" t="s">
        <v>60</v>
      </c>
      <c r="B41" s="453"/>
      <c r="C41" s="172">
        <v>0</v>
      </c>
      <c r="D41" s="172">
        <v>0</v>
      </c>
      <c r="E41" s="125">
        <f t="shared" si="6"/>
        <v>0</v>
      </c>
      <c r="F41" s="173"/>
      <c r="G41" s="173"/>
      <c r="H41" s="173"/>
      <c r="I41" s="104">
        <f t="shared" si="7"/>
        <v>0</v>
      </c>
      <c r="N41" s="479" t="s">
        <v>60</v>
      </c>
      <c r="O41" s="479"/>
      <c r="P41" s="483">
        <f t="shared" si="8"/>
        <v>0</v>
      </c>
      <c r="Q41" s="483"/>
      <c r="R41" s="483"/>
      <c r="S41" s="483"/>
      <c r="T41" s="483"/>
      <c r="U41" s="101">
        <f t="shared" si="9"/>
        <v>0</v>
      </c>
    </row>
    <row r="42" spans="1:21" hidden="1" x14ac:dyDescent="0.25">
      <c r="A42" s="453" t="s">
        <v>52</v>
      </c>
      <c r="B42" s="453"/>
      <c r="C42" s="171">
        <v>0</v>
      </c>
      <c r="D42" s="171">
        <v>0</v>
      </c>
      <c r="E42" s="177">
        <f t="shared" si="6"/>
        <v>0</v>
      </c>
      <c r="F42" s="173"/>
      <c r="G42" s="173"/>
      <c r="H42" s="173"/>
      <c r="I42" s="97">
        <f t="shared" si="7"/>
        <v>0</v>
      </c>
      <c r="N42" s="482" t="s">
        <v>52</v>
      </c>
      <c r="O42" s="482"/>
      <c r="P42" s="483">
        <f t="shared" si="8"/>
        <v>0</v>
      </c>
      <c r="Q42" s="483"/>
      <c r="R42" s="483"/>
      <c r="S42" s="483"/>
      <c r="T42" s="483"/>
      <c r="U42" s="101">
        <f t="shared" si="9"/>
        <v>0</v>
      </c>
    </row>
    <row r="43" spans="1:21" hidden="1" x14ac:dyDescent="0.25">
      <c r="A43" s="3"/>
      <c r="B43" s="55" t="s">
        <v>126</v>
      </c>
      <c r="C43" s="100">
        <f>SUM(C37:C42)</f>
        <v>0</v>
      </c>
      <c r="D43" s="100">
        <f>SUM(D37:D42)</f>
        <v>0</v>
      </c>
      <c r="E43" s="100">
        <f>SUM(E37:E42)</f>
        <v>0</v>
      </c>
      <c r="F43" s="33"/>
      <c r="G43" s="109"/>
      <c r="H43" s="110" t="s">
        <v>128</v>
      </c>
      <c r="I43" s="100">
        <f>SUM(I37:I42)</f>
        <v>0</v>
      </c>
      <c r="N43" s="480" t="s">
        <v>54</v>
      </c>
      <c r="O43" s="480"/>
      <c r="P43" s="480"/>
      <c r="Q43" s="480"/>
      <c r="R43" s="34">
        <f>SUM(P37:R42)</f>
        <v>0</v>
      </c>
      <c r="S43" s="508" t="s">
        <v>64</v>
      </c>
      <c r="T43" s="508"/>
      <c r="U43" s="106">
        <f>SUM(U37:U42)</f>
        <v>0</v>
      </c>
    </row>
    <row r="44" spans="1:21" ht="16.5" hidden="1" thickBot="1" x14ac:dyDescent="0.3">
      <c r="A44" s="3"/>
      <c r="B44" s="55"/>
      <c r="C44" s="104"/>
      <c r="D44" s="104"/>
      <c r="E44" s="119"/>
      <c r="F44" s="33"/>
      <c r="G44" s="109"/>
      <c r="H44" s="110"/>
      <c r="I44" s="104"/>
      <c r="N44" s="29"/>
      <c r="O44" s="29"/>
      <c r="P44" s="29"/>
      <c r="Q44" s="29"/>
      <c r="R44" s="34"/>
      <c r="S44" s="31"/>
      <c r="T44" s="31"/>
      <c r="U44" s="106"/>
    </row>
    <row r="45" spans="1:21" ht="16.5" hidden="1" thickBot="1" x14ac:dyDescent="0.3">
      <c r="A45" s="3"/>
      <c r="B45" s="55" t="s">
        <v>127</v>
      </c>
      <c r="E45" s="174">
        <f>H29+E43</f>
        <v>516.8152</v>
      </c>
      <c r="F45" s="35"/>
      <c r="G45" s="109"/>
      <c r="H45" s="110" t="s">
        <v>129</v>
      </c>
      <c r="I45" s="97">
        <f>SUM(I43,I29)</f>
        <v>2474680.7600000002</v>
      </c>
      <c r="N45" s="480" t="s">
        <v>55</v>
      </c>
      <c r="O45" s="480"/>
      <c r="P45" s="480"/>
      <c r="Q45" s="480"/>
      <c r="R45" s="36">
        <f>R43+T29</f>
        <v>0</v>
      </c>
      <c r="S45" s="508" t="s">
        <v>53</v>
      </c>
      <c r="T45" s="508"/>
      <c r="U45" s="111">
        <f>SUM(U43,U29)</f>
        <v>0</v>
      </c>
    </row>
    <row r="46" spans="1:21" hidden="1" x14ac:dyDescent="0.25">
      <c r="A46" s="27"/>
      <c r="B46" s="27"/>
      <c r="C46" s="27"/>
      <c r="D46" s="27"/>
      <c r="E46" s="27"/>
      <c r="F46" s="35"/>
      <c r="G46" s="28"/>
      <c r="H46" s="28"/>
      <c r="I46" s="104"/>
      <c r="N46" s="29"/>
      <c r="O46" s="29"/>
      <c r="P46" s="29"/>
      <c r="Q46" s="29"/>
      <c r="R46" s="36"/>
      <c r="S46" s="31"/>
      <c r="T46" s="31"/>
      <c r="U46" s="106"/>
    </row>
    <row r="47" spans="1:21" x14ac:dyDescent="0.25">
      <c r="A47" s="27"/>
      <c r="B47" s="55" t="s">
        <v>370</v>
      </c>
      <c r="C47" s="372" t="s">
        <v>370</v>
      </c>
      <c r="D47" s="372" t="s">
        <v>370</v>
      </c>
      <c r="E47" s="27"/>
      <c r="F47" s="35"/>
      <c r="G47" s="28"/>
      <c r="H47" s="28"/>
      <c r="I47" s="104"/>
      <c r="N47" s="29"/>
      <c r="O47" s="29"/>
      <c r="P47" s="29"/>
      <c r="Q47" s="29"/>
      <c r="R47" s="36"/>
      <c r="S47" s="31"/>
      <c r="T47" s="31"/>
      <c r="U47" s="106"/>
    </row>
    <row r="48" spans="1:21" x14ac:dyDescent="0.25">
      <c r="A48" s="27"/>
      <c r="B48" s="27"/>
      <c r="C48" s="91" t="s">
        <v>463</v>
      </c>
      <c r="D48" s="371" t="s">
        <v>464</v>
      </c>
      <c r="E48" s="92" t="s">
        <v>8</v>
      </c>
      <c r="F48" s="49" t="s">
        <v>130</v>
      </c>
      <c r="G48" s="112" t="s">
        <v>132</v>
      </c>
      <c r="H48" s="113" t="s">
        <v>133</v>
      </c>
      <c r="I48" s="104"/>
      <c r="N48" s="29"/>
      <c r="O48" s="29"/>
      <c r="P48" s="29"/>
      <c r="Q48" s="29"/>
      <c r="R48" s="36"/>
      <c r="S48" s="31"/>
      <c r="T48" s="31"/>
      <c r="U48" s="106"/>
    </row>
    <row r="49" spans="1:21" x14ac:dyDescent="0.25">
      <c r="A49" s="37" t="s">
        <v>87</v>
      </c>
      <c r="B49" s="37"/>
      <c r="C49" s="362" t="s">
        <v>2</v>
      </c>
      <c r="D49" s="362" t="s">
        <v>2</v>
      </c>
      <c r="E49" s="362" t="s">
        <v>2</v>
      </c>
      <c r="F49" s="95" t="s">
        <v>131</v>
      </c>
      <c r="G49" s="62" t="s">
        <v>131</v>
      </c>
      <c r="H49" s="114" t="s">
        <v>134</v>
      </c>
      <c r="I49" s="37"/>
      <c r="N49" s="482" t="s">
        <v>87</v>
      </c>
      <c r="O49" s="482"/>
      <c r="P49" s="503" t="s">
        <v>2</v>
      </c>
      <c r="Q49" s="503"/>
      <c r="R49" s="38" t="s">
        <v>25</v>
      </c>
      <c r="S49" s="63" t="s">
        <v>26</v>
      </c>
      <c r="T49" s="115" t="s">
        <v>27</v>
      </c>
      <c r="U49" s="38"/>
    </row>
    <row r="50" spans="1:21" x14ac:dyDescent="0.25">
      <c r="A50" s="459" t="s">
        <v>98</v>
      </c>
      <c r="B50" s="459"/>
      <c r="C50" s="165">
        <v>0</v>
      </c>
      <c r="D50" s="165">
        <v>0</v>
      </c>
      <c r="E50" s="125">
        <f>IF(D$59=0,C50*2,C50+D50)</f>
        <v>0</v>
      </c>
      <c r="F50" s="39" t="s">
        <v>21</v>
      </c>
      <c r="G50" s="39">
        <v>251</v>
      </c>
      <c r="H50" s="321">
        <f>'0664'!H50</f>
        <v>1047</v>
      </c>
      <c r="I50" s="104">
        <f>ROUND(E50*H50,2)</f>
        <v>0</v>
      </c>
      <c r="N50" s="504" t="s">
        <v>28</v>
      </c>
      <c r="O50" s="504"/>
      <c r="P50" s="505"/>
      <c r="Q50" s="505"/>
      <c r="R50" s="40" t="s">
        <v>21</v>
      </c>
      <c r="S50" s="40">
        <v>251</v>
      </c>
      <c r="T50" s="117">
        <f>H50</f>
        <v>1047</v>
      </c>
      <c r="U50" s="118">
        <f>ROUND(P50*T50,0)</f>
        <v>0</v>
      </c>
    </row>
    <row r="51" spans="1:21" x14ac:dyDescent="0.25">
      <c r="A51" s="460"/>
      <c r="B51" s="460"/>
      <c r="C51" s="165">
        <v>0</v>
      </c>
      <c r="D51" s="165">
        <v>0</v>
      </c>
      <c r="E51" s="125">
        <f t="shared" ref="E51:E58" si="10">IF(D$59=0,C51*2,C51+D51)</f>
        <v>0</v>
      </c>
      <c r="F51" s="39" t="s">
        <v>21</v>
      </c>
      <c r="G51" s="39">
        <v>252</v>
      </c>
      <c r="H51" s="321">
        <f>'0664'!H51</f>
        <v>3380</v>
      </c>
      <c r="I51" s="104">
        <f t="shared" ref="I51:I58" si="11">ROUND(E51*H51,2)</f>
        <v>0</v>
      </c>
      <c r="N51" s="504"/>
      <c r="O51" s="504"/>
      <c r="P51" s="506"/>
      <c r="Q51" s="506"/>
      <c r="R51" s="40" t="s">
        <v>21</v>
      </c>
      <c r="S51" s="40">
        <v>252</v>
      </c>
      <c r="T51" s="117">
        <f t="shared" ref="T51:T58" si="12">H51</f>
        <v>3380</v>
      </c>
      <c r="U51" s="118">
        <f t="shared" ref="U51:U58" si="13">ROUND(P51*T51,0)</f>
        <v>0</v>
      </c>
    </row>
    <row r="52" spans="1:21" x14ac:dyDescent="0.25">
      <c r="A52" s="460"/>
      <c r="B52" s="460"/>
      <c r="C52" s="165">
        <v>0</v>
      </c>
      <c r="D52" s="165">
        <v>0</v>
      </c>
      <c r="E52" s="125">
        <f t="shared" si="10"/>
        <v>0</v>
      </c>
      <c r="F52" s="39" t="s">
        <v>21</v>
      </c>
      <c r="G52" s="39">
        <v>253</v>
      </c>
      <c r="H52" s="321">
        <f>'0664'!H52</f>
        <v>6896</v>
      </c>
      <c r="I52" s="104">
        <f t="shared" si="11"/>
        <v>0</v>
      </c>
      <c r="N52" s="504"/>
      <c r="O52" s="504"/>
      <c r="P52" s="506"/>
      <c r="Q52" s="506"/>
      <c r="R52" s="40" t="s">
        <v>21</v>
      </c>
      <c r="S52" s="40">
        <v>253</v>
      </c>
      <c r="T52" s="117">
        <f t="shared" si="12"/>
        <v>6896</v>
      </c>
      <c r="U52" s="118">
        <f t="shared" si="13"/>
        <v>0</v>
      </c>
    </row>
    <row r="53" spans="1:21" x14ac:dyDescent="0.25">
      <c r="A53" s="460"/>
      <c r="B53" s="460"/>
      <c r="C53" s="165">
        <v>22.5</v>
      </c>
      <c r="D53" s="165">
        <v>19.279999999999998</v>
      </c>
      <c r="E53" s="125">
        <f t="shared" si="10"/>
        <v>41.78</v>
      </c>
      <c r="F53" s="41" t="s">
        <v>14</v>
      </c>
      <c r="G53" s="39">
        <v>251</v>
      </c>
      <c r="H53" s="321">
        <f>'0664'!H53</f>
        <v>1173</v>
      </c>
      <c r="I53" s="104">
        <f t="shared" si="11"/>
        <v>49007.94</v>
      </c>
      <c r="N53" s="504"/>
      <c r="O53" s="504"/>
      <c r="P53" s="506"/>
      <c r="Q53" s="506"/>
      <c r="R53" s="42" t="s">
        <v>14</v>
      </c>
      <c r="S53" s="40">
        <v>251</v>
      </c>
      <c r="T53" s="117">
        <f t="shared" si="12"/>
        <v>1173</v>
      </c>
      <c r="U53" s="118">
        <f t="shared" si="13"/>
        <v>0</v>
      </c>
    </row>
    <row r="54" spans="1:21" x14ac:dyDescent="0.25">
      <c r="A54" s="460"/>
      <c r="B54" s="460"/>
      <c r="C54" s="165">
        <v>1.5</v>
      </c>
      <c r="D54" s="165">
        <v>1.29</v>
      </c>
      <c r="E54" s="125">
        <f t="shared" si="10"/>
        <v>2.79</v>
      </c>
      <c r="F54" s="41" t="s">
        <v>14</v>
      </c>
      <c r="G54" s="39">
        <v>252</v>
      </c>
      <c r="H54" s="321">
        <f>'0664'!H54</f>
        <v>3506</v>
      </c>
      <c r="I54" s="104">
        <f t="shared" si="11"/>
        <v>9781.74</v>
      </c>
      <c r="N54" s="504"/>
      <c r="O54" s="504"/>
      <c r="P54" s="506"/>
      <c r="Q54" s="506"/>
      <c r="R54" s="42" t="s">
        <v>14</v>
      </c>
      <c r="S54" s="40">
        <v>252</v>
      </c>
      <c r="T54" s="117">
        <f t="shared" si="12"/>
        <v>3506</v>
      </c>
      <c r="U54" s="118">
        <f t="shared" si="13"/>
        <v>0</v>
      </c>
    </row>
    <row r="55" spans="1:21" x14ac:dyDescent="0.25">
      <c r="A55" s="460"/>
      <c r="B55" s="460"/>
      <c r="C55" s="165">
        <v>0.5</v>
      </c>
      <c r="D55" s="165">
        <v>0.43</v>
      </c>
      <c r="E55" s="125">
        <f t="shared" si="10"/>
        <v>0.92999999999999994</v>
      </c>
      <c r="F55" s="41" t="s">
        <v>14</v>
      </c>
      <c r="G55" s="39">
        <v>253</v>
      </c>
      <c r="H55" s="321">
        <f>'0664'!H55</f>
        <v>7023</v>
      </c>
      <c r="I55" s="104">
        <f t="shared" si="11"/>
        <v>6531.39</v>
      </c>
      <c r="N55" s="504"/>
      <c r="O55" s="504"/>
      <c r="P55" s="506"/>
      <c r="Q55" s="506"/>
      <c r="R55" s="42" t="s">
        <v>14</v>
      </c>
      <c r="S55" s="40">
        <v>253</v>
      </c>
      <c r="T55" s="117">
        <f t="shared" si="12"/>
        <v>7023</v>
      </c>
      <c r="U55" s="118">
        <f t="shared" si="13"/>
        <v>0</v>
      </c>
    </row>
    <row r="56" spans="1:21" x14ac:dyDescent="0.25">
      <c r="A56" s="460"/>
      <c r="B56" s="460"/>
      <c r="C56" s="165">
        <v>16.5</v>
      </c>
      <c r="D56" s="165">
        <v>15.5</v>
      </c>
      <c r="E56" s="125">
        <f t="shared" si="10"/>
        <v>32</v>
      </c>
      <c r="F56" s="41" t="s">
        <v>15</v>
      </c>
      <c r="G56" s="39">
        <v>251</v>
      </c>
      <c r="H56" s="321">
        <f>'0664'!H56</f>
        <v>835</v>
      </c>
      <c r="I56" s="104">
        <f t="shared" si="11"/>
        <v>26720</v>
      </c>
      <c r="N56" s="504"/>
      <c r="O56" s="504"/>
      <c r="P56" s="506"/>
      <c r="Q56" s="506"/>
      <c r="R56" s="42" t="s">
        <v>15</v>
      </c>
      <c r="S56" s="40">
        <v>251</v>
      </c>
      <c r="T56" s="117">
        <f t="shared" si="12"/>
        <v>835</v>
      </c>
      <c r="U56" s="118">
        <f t="shared" si="13"/>
        <v>0</v>
      </c>
    </row>
    <row r="57" spans="1:21" x14ac:dyDescent="0.25">
      <c r="A57" s="460"/>
      <c r="B57" s="460"/>
      <c r="C57" s="165">
        <v>1</v>
      </c>
      <c r="D57" s="165">
        <v>0.94</v>
      </c>
      <c r="E57" s="125">
        <f t="shared" si="10"/>
        <v>1.94</v>
      </c>
      <c r="F57" s="41" t="s">
        <v>15</v>
      </c>
      <c r="G57" s="39">
        <v>252</v>
      </c>
      <c r="H57" s="321">
        <f>'0664'!H57</f>
        <v>3168</v>
      </c>
      <c r="I57" s="104">
        <f t="shared" si="11"/>
        <v>6145.92</v>
      </c>
      <c r="N57" s="504"/>
      <c r="O57" s="504"/>
      <c r="P57" s="506"/>
      <c r="Q57" s="506"/>
      <c r="R57" s="42" t="s">
        <v>15</v>
      </c>
      <c r="S57" s="40">
        <v>252</v>
      </c>
      <c r="T57" s="117">
        <f t="shared" si="12"/>
        <v>3168</v>
      </c>
      <c r="U57" s="118">
        <f t="shared" si="13"/>
        <v>0</v>
      </c>
    </row>
    <row r="58" spans="1:21" ht="16.5" thickBot="1" x14ac:dyDescent="0.3">
      <c r="A58" s="460"/>
      <c r="B58" s="460"/>
      <c r="C58" s="165">
        <v>0</v>
      </c>
      <c r="D58" s="165">
        <v>0</v>
      </c>
      <c r="E58" s="125">
        <f t="shared" si="10"/>
        <v>0</v>
      </c>
      <c r="F58" s="41" t="s">
        <v>15</v>
      </c>
      <c r="G58" s="39">
        <v>253</v>
      </c>
      <c r="H58" s="321">
        <f>'0664'!H58</f>
        <v>6685</v>
      </c>
      <c r="I58" s="104">
        <f t="shared" si="11"/>
        <v>0</v>
      </c>
      <c r="N58" s="504"/>
      <c r="O58" s="504"/>
      <c r="P58" s="507"/>
      <c r="Q58" s="507"/>
      <c r="R58" s="42" t="s">
        <v>15</v>
      </c>
      <c r="S58" s="40">
        <v>253</v>
      </c>
      <c r="T58" s="117">
        <f t="shared" si="12"/>
        <v>6685</v>
      </c>
      <c r="U58" s="120">
        <f t="shared" si="13"/>
        <v>0</v>
      </c>
    </row>
    <row r="59" spans="1:21" ht="16.5" thickBot="1" x14ac:dyDescent="0.3">
      <c r="A59" s="461" t="s">
        <v>16</v>
      </c>
      <c r="B59" s="461"/>
      <c r="C59" s="100">
        <f>SUM(C50:C58)</f>
        <v>42</v>
      </c>
      <c r="D59" s="100">
        <f>SUM(D50:D58)</f>
        <v>37.44</v>
      </c>
      <c r="E59" s="100">
        <f>SUM(E50:E58)</f>
        <v>79.44</v>
      </c>
      <c r="F59" s="461" t="s">
        <v>77</v>
      </c>
      <c r="G59" s="461"/>
      <c r="H59" s="461"/>
      <c r="I59" s="100">
        <f>SUM(I50:I58)</f>
        <v>98186.99</v>
      </c>
      <c r="N59" s="480" t="s">
        <v>16</v>
      </c>
      <c r="O59" s="480"/>
      <c r="P59" s="502">
        <f>SUM(P50:P58)</f>
        <v>0</v>
      </c>
      <c r="Q59" s="502"/>
      <c r="R59" s="480" t="s">
        <v>77</v>
      </c>
      <c r="S59" s="480"/>
      <c r="T59" s="480"/>
      <c r="U59" s="111">
        <f>SUM(U50:U58)</f>
        <v>0</v>
      </c>
    </row>
    <row r="60" spans="1:21" x14ac:dyDescent="0.25">
      <c r="A60" s="462"/>
      <c r="B60" s="462"/>
      <c r="C60" s="462"/>
      <c r="D60" s="462"/>
      <c r="E60" s="462"/>
      <c r="F60" s="462"/>
      <c r="G60" s="462"/>
      <c r="H60" s="462"/>
      <c r="I60" s="462"/>
      <c r="N60" s="484"/>
      <c r="O60" s="484"/>
      <c r="P60" s="484"/>
      <c r="Q60" s="484"/>
      <c r="R60" s="484"/>
      <c r="S60" s="484"/>
      <c r="T60" s="484"/>
      <c r="U60" s="484"/>
    </row>
    <row r="61" spans="1:21" x14ac:dyDescent="0.25">
      <c r="A61" s="463" t="s">
        <v>136</v>
      </c>
      <c r="B61" s="453"/>
      <c r="C61" s="453"/>
      <c r="D61" s="453"/>
      <c r="E61" s="453"/>
      <c r="F61" s="453"/>
      <c r="G61" s="453"/>
      <c r="H61" s="453"/>
      <c r="I61" s="453"/>
      <c r="N61" s="479" t="s">
        <v>88</v>
      </c>
      <c r="O61" s="479"/>
      <c r="P61" s="479"/>
      <c r="Q61" s="479"/>
      <c r="R61" s="479"/>
      <c r="S61" s="479"/>
      <c r="T61" s="479"/>
      <c r="U61" s="479"/>
    </row>
    <row r="62" spans="1:21" x14ac:dyDescent="0.25">
      <c r="A62" s="463" t="s">
        <v>138</v>
      </c>
      <c r="B62" s="453"/>
      <c r="C62" s="121">
        <f>E29</f>
        <v>507.66</v>
      </c>
      <c r="D62" s="464" t="s">
        <v>135</v>
      </c>
      <c r="E62" s="464"/>
      <c r="F62" s="464"/>
      <c r="G62" s="464"/>
      <c r="H62" s="335">
        <f>'0664'!H62</f>
        <v>193340.76</v>
      </c>
      <c r="I62" s="122"/>
      <c r="N62" s="478" t="s">
        <v>312</v>
      </c>
      <c r="O62" s="479"/>
      <c r="P62" s="43">
        <f>P29</f>
        <v>0</v>
      </c>
      <c r="Q62" s="498" t="s">
        <v>78</v>
      </c>
      <c r="R62" s="498"/>
      <c r="S62" s="498"/>
      <c r="T62" s="497">
        <f>H62</f>
        <v>193340.76</v>
      </c>
      <c r="U62" s="497"/>
    </row>
    <row r="63" spans="1:21" x14ac:dyDescent="0.25">
      <c r="B63" s="72"/>
      <c r="G63" s="44" t="s">
        <v>13</v>
      </c>
      <c r="H63" s="123">
        <f>ROUND(C62/H62,6)</f>
        <v>2.6259999999999999E-3</v>
      </c>
      <c r="I63" s="124"/>
      <c r="N63" s="479" t="s">
        <v>19</v>
      </c>
      <c r="O63" s="479"/>
      <c r="P63" s="479"/>
      <c r="Q63" s="479"/>
      <c r="R63" s="479"/>
      <c r="S63" s="479"/>
      <c r="T63" s="501">
        <f>ROUND(P62/T62,6)</f>
        <v>0</v>
      </c>
      <c r="U63" s="501"/>
    </row>
    <row r="64" spans="1:21" x14ac:dyDescent="0.25">
      <c r="A64" s="463" t="s">
        <v>137</v>
      </c>
      <c r="B64" s="453"/>
      <c r="C64" s="453"/>
      <c r="D64" s="453"/>
      <c r="E64" s="453"/>
      <c r="F64" s="453"/>
      <c r="G64" s="453"/>
      <c r="H64" s="453"/>
      <c r="I64" s="453"/>
      <c r="N64" s="479" t="s">
        <v>89</v>
      </c>
      <c r="O64" s="479"/>
      <c r="P64" s="479"/>
      <c r="Q64" s="479"/>
      <c r="R64" s="479"/>
      <c r="S64" s="479"/>
      <c r="T64" s="479"/>
      <c r="U64" s="479"/>
    </row>
    <row r="65" spans="1:21" x14ac:dyDescent="0.25">
      <c r="A65" s="463" t="s">
        <v>139</v>
      </c>
      <c r="B65" s="453"/>
      <c r="C65" s="121">
        <f>E45</f>
        <v>516.8152</v>
      </c>
      <c r="D65" s="464" t="s">
        <v>140</v>
      </c>
      <c r="E65" s="464"/>
      <c r="F65" s="464"/>
      <c r="G65" s="464"/>
      <c r="H65" s="336">
        <f>'0664'!H65</f>
        <v>216845.88</v>
      </c>
      <c r="I65" s="125"/>
      <c r="N65" s="479" t="s">
        <v>80</v>
      </c>
      <c r="O65" s="479"/>
      <c r="P65" s="43">
        <f>R45</f>
        <v>0</v>
      </c>
      <c r="Q65" s="498" t="s">
        <v>79</v>
      </c>
      <c r="R65" s="498"/>
      <c r="S65" s="498"/>
      <c r="T65" s="497">
        <f>H65</f>
        <v>216845.88</v>
      </c>
      <c r="U65" s="497"/>
    </row>
    <row r="66" spans="1:21" s="37" customFormat="1" x14ac:dyDescent="0.25">
      <c r="A66" s="126"/>
      <c r="G66" s="45" t="s">
        <v>13</v>
      </c>
      <c r="H66" s="127">
        <f>ROUND(C65/H65,6)</f>
        <v>2.3830000000000001E-3</v>
      </c>
      <c r="I66" s="127"/>
      <c r="N66" s="482" t="s">
        <v>20</v>
      </c>
      <c r="O66" s="482"/>
      <c r="P66" s="482"/>
      <c r="Q66" s="482"/>
      <c r="R66" s="482"/>
      <c r="S66" s="482"/>
      <c r="T66" s="500">
        <f>ROUND(P65/T65,6)</f>
        <v>0</v>
      </c>
      <c r="U66" s="500"/>
    </row>
    <row r="67" spans="1:21" x14ac:dyDescent="0.25">
      <c r="G67" s="44"/>
      <c r="H67" s="123"/>
      <c r="I67" s="123"/>
      <c r="N67" s="48"/>
      <c r="O67" s="48"/>
      <c r="P67" s="48"/>
      <c r="Q67" s="48"/>
      <c r="R67" s="128"/>
      <c r="S67" s="48"/>
      <c r="T67" s="129"/>
      <c r="U67" s="130"/>
    </row>
    <row r="68" spans="1:21" x14ac:dyDescent="0.25">
      <c r="A68" s="453" t="s">
        <v>85</v>
      </c>
      <c r="B68" s="453"/>
      <c r="C68" s="453"/>
      <c r="D68" s="72"/>
      <c r="E68" s="46" t="s">
        <v>3</v>
      </c>
      <c r="F68" s="337">
        <f>'0664'!F68</f>
        <v>42465042</v>
      </c>
      <c r="G68" s="39" t="s">
        <v>6</v>
      </c>
      <c r="H68" s="131">
        <f>H63</f>
        <v>2.6259999999999999E-3</v>
      </c>
      <c r="I68" s="104">
        <f>ROUND(F68*H68,2)</f>
        <v>111513.2</v>
      </c>
      <c r="N68" s="479" t="s">
        <v>85</v>
      </c>
      <c r="O68" s="479"/>
      <c r="P68" s="479"/>
      <c r="Q68" s="47"/>
      <c r="R68" s="132">
        <f>F68</f>
        <v>42465042</v>
      </c>
      <c r="S68" s="40" t="s">
        <v>6</v>
      </c>
      <c r="T68" s="133">
        <f>T63</f>
        <v>0</v>
      </c>
      <c r="U68" s="99">
        <f>ROUND(R68*T68,0)</f>
        <v>0</v>
      </c>
    </row>
    <row r="69" spans="1:21" x14ac:dyDescent="0.25">
      <c r="A69" s="458" t="s">
        <v>96</v>
      </c>
      <c r="B69" s="453"/>
      <c r="C69" s="453"/>
      <c r="D69" s="72"/>
      <c r="E69" s="46"/>
      <c r="F69" s="136"/>
      <c r="G69" s="39"/>
      <c r="H69" s="131"/>
      <c r="I69" s="104"/>
      <c r="N69" s="479" t="s">
        <v>84</v>
      </c>
      <c r="O69" s="479"/>
      <c r="P69" s="479"/>
      <c r="Q69" s="54"/>
      <c r="R69" s="54"/>
      <c r="S69" s="54"/>
      <c r="T69" s="54"/>
      <c r="U69" s="54"/>
    </row>
    <row r="70" spans="1:21" x14ac:dyDescent="0.25">
      <c r="A70" s="465" t="s">
        <v>141</v>
      </c>
      <c r="B70" s="453"/>
      <c r="C70" s="453"/>
      <c r="D70" s="72"/>
      <c r="E70" s="46" t="s">
        <v>3</v>
      </c>
      <c r="F70" s="337">
        <f>'0664'!F70</f>
        <v>0</v>
      </c>
      <c r="G70" s="39" t="s">
        <v>6</v>
      </c>
      <c r="H70" s="131">
        <f>H63</f>
        <v>2.6259999999999999E-3</v>
      </c>
      <c r="I70" s="104">
        <f>ROUND(F70*H70,2)</f>
        <v>0</v>
      </c>
      <c r="N70" s="48"/>
      <c r="O70" s="48"/>
      <c r="P70" s="48"/>
      <c r="Q70" s="47"/>
      <c r="R70" s="132">
        <f>F70</f>
        <v>0</v>
      </c>
      <c r="S70" s="40" t="s">
        <v>6</v>
      </c>
      <c r="T70" s="133">
        <f>T63</f>
        <v>0</v>
      </c>
      <c r="U70" s="99">
        <f>ROUND(R70*T70,0)</f>
        <v>0</v>
      </c>
    </row>
    <row r="71" spans="1:21" x14ac:dyDescent="0.25">
      <c r="A71" s="463" t="s">
        <v>433</v>
      </c>
      <c r="B71" s="453"/>
      <c r="C71" s="453"/>
      <c r="D71" s="72"/>
      <c r="E71" s="46" t="s">
        <v>3</v>
      </c>
      <c r="F71" s="337">
        <f>'0664'!F71</f>
        <v>13414654</v>
      </c>
      <c r="G71" s="39" t="s">
        <v>6</v>
      </c>
      <c r="H71" s="131">
        <f>H63</f>
        <v>2.6259999999999999E-3</v>
      </c>
      <c r="I71" s="104">
        <f>ROUND(F71*H71,2)</f>
        <v>35226.879999999997</v>
      </c>
      <c r="N71" s="479" t="s">
        <v>83</v>
      </c>
      <c r="O71" s="479"/>
      <c r="P71" s="479"/>
      <c r="Q71" s="47"/>
      <c r="R71" s="132">
        <f>F71</f>
        <v>13414654</v>
      </c>
      <c r="S71" s="40" t="s">
        <v>6</v>
      </c>
      <c r="T71" s="133">
        <f>T63</f>
        <v>0</v>
      </c>
      <c r="U71" s="99">
        <f>ROUND(R71*T71,0)</f>
        <v>0</v>
      </c>
    </row>
    <row r="72" spans="1:21" x14ac:dyDescent="0.25">
      <c r="A72" s="463" t="s">
        <v>434</v>
      </c>
      <c r="B72" s="453"/>
      <c r="C72" s="453"/>
      <c r="D72" s="72"/>
      <c r="E72" s="46" t="s">
        <v>3</v>
      </c>
      <c r="F72" s="337">
        <f>'0664'!F72</f>
        <v>14708421</v>
      </c>
      <c r="G72" s="39" t="s">
        <v>6</v>
      </c>
      <c r="H72" s="131">
        <f>H63</f>
        <v>2.6259999999999999E-3</v>
      </c>
      <c r="I72" s="104">
        <f>ROUND(F72*H72,2)</f>
        <v>38624.31</v>
      </c>
      <c r="N72" s="479" t="s">
        <v>82</v>
      </c>
      <c r="O72" s="479"/>
      <c r="P72" s="479"/>
      <c r="Q72" s="47"/>
      <c r="R72" s="134">
        <f>F72</f>
        <v>14708421</v>
      </c>
      <c r="S72" s="40" t="s">
        <v>6</v>
      </c>
      <c r="T72" s="133">
        <f>T63</f>
        <v>0</v>
      </c>
      <c r="U72" s="99">
        <f>ROUND(R72*T72,0)</f>
        <v>0</v>
      </c>
    </row>
    <row r="73" spans="1:21" x14ac:dyDescent="0.25">
      <c r="A73" s="263" t="s">
        <v>99</v>
      </c>
      <c r="D73" s="72"/>
      <c r="E73" s="41" t="s">
        <v>353</v>
      </c>
      <c r="F73" s="466"/>
      <c r="G73" s="466"/>
      <c r="H73" s="466"/>
      <c r="I73" s="104">
        <v>0</v>
      </c>
      <c r="N73" s="499" t="s">
        <v>118</v>
      </c>
      <c r="O73" s="499"/>
      <c r="P73" s="499"/>
      <c r="Q73" s="499"/>
      <c r="R73" s="499"/>
      <c r="S73" s="499"/>
      <c r="T73" s="499"/>
      <c r="U73" s="99">
        <f>IF($H$120=1,I73,0)</f>
        <v>0</v>
      </c>
    </row>
    <row r="74" spans="1:21" x14ac:dyDescent="0.25">
      <c r="A74" s="264" t="s">
        <v>142</v>
      </c>
      <c r="I74" s="104"/>
      <c r="N74" s="499" t="s">
        <v>43</v>
      </c>
      <c r="O74" s="499"/>
      <c r="P74" s="499"/>
      <c r="Q74" s="499"/>
      <c r="R74" s="499"/>
      <c r="S74" s="499"/>
      <c r="T74" s="499"/>
      <c r="U74" s="99">
        <f>IF($H$120=1,I74,0)</f>
        <v>0</v>
      </c>
    </row>
    <row r="75" spans="1:21" x14ac:dyDescent="0.25">
      <c r="A75" s="324" t="s">
        <v>101</v>
      </c>
      <c r="B75" s="72"/>
      <c r="C75" s="72"/>
      <c r="D75" s="72"/>
      <c r="E75" s="72"/>
      <c r="F75" s="72"/>
      <c r="G75" s="72"/>
      <c r="H75" s="72"/>
      <c r="I75" s="135"/>
      <c r="N75" s="382" t="s">
        <v>44</v>
      </c>
      <c r="O75" s="48"/>
      <c r="P75" s="48"/>
      <c r="Q75" s="48"/>
      <c r="R75" s="48"/>
      <c r="S75" s="48"/>
      <c r="T75" s="48"/>
      <c r="U75" s="106"/>
    </row>
    <row r="76" spans="1:21" x14ac:dyDescent="0.25">
      <c r="A76" s="463" t="s">
        <v>435</v>
      </c>
      <c r="B76" s="453"/>
      <c r="C76" s="453"/>
      <c r="D76" s="72"/>
      <c r="E76" s="46" t="s">
        <v>3</v>
      </c>
      <c r="F76" s="337">
        <f>'0664'!F76</f>
        <v>8720092</v>
      </c>
      <c r="G76" s="39" t="s">
        <v>6</v>
      </c>
      <c r="H76" s="131">
        <f>H63</f>
        <v>2.6259999999999999E-3</v>
      </c>
      <c r="I76" s="104">
        <f t="shared" ref="I76:I85" si="14">ROUND(F76*H76,2)</f>
        <v>22898.959999999999</v>
      </c>
      <c r="N76" s="478" t="s">
        <v>366</v>
      </c>
      <c r="O76" s="479"/>
      <c r="P76" s="479"/>
      <c r="Q76" s="47"/>
      <c r="R76" s="134">
        <f t="shared" ref="R76:R85" si="15">F76</f>
        <v>8720092</v>
      </c>
      <c r="S76" s="40" t="s">
        <v>6</v>
      </c>
      <c r="T76" s="133">
        <f>T63</f>
        <v>0</v>
      </c>
      <c r="U76" s="99">
        <f t="shared" ref="U76:U85" si="16">ROUND(R76*T76,0)</f>
        <v>0</v>
      </c>
    </row>
    <row r="77" spans="1:21" x14ac:dyDescent="0.25">
      <c r="A77" s="463" t="s">
        <v>436</v>
      </c>
      <c r="B77" s="453"/>
      <c r="C77" s="453"/>
      <c r="D77" s="72"/>
      <c r="E77" s="46" t="s">
        <v>3</v>
      </c>
      <c r="F77" s="337">
        <f>'0664'!F77</f>
        <v>0</v>
      </c>
      <c r="G77" s="39" t="s">
        <v>6</v>
      </c>
      <c r="H77" s="131">
        <f>H63</f>
        <v>2.6259999999999999E-3</v>
      </c>
      <c r="I77" s="104">
        <f t="shared" si="14"/>
        <v>0</v>
      </c>
      <c r="N77" s="479" t="s">
        <v>367</v>
      </c>
      <c r="O77" s="479"/>
      <c r="P77" s="479"/>
      <c r="Q77" s="47"/>
      <c r="R77" s="134">
        <f t="shared" si="15"/>
        <v>0</v>
      </c>
      <c r="S77" s="40" t="s">
        <v>6</v>
      </c>
      <c r="T77" s="133">
        <f>T63</f>
        <v>0</v>
      </c>
      <c r="U77" s="99">
        <f t="shared" si="16"/>
        <v>0</v>
      </c>
    </row>
    <row r="78" spans="1:21" x14ac:dyDescent="0.25">
      <c r="A78" s="463" t="s">
        <v>437</v>
      </c>
      <c r="B78" s="453"/>
      <c r="C78" s="453"/>
      <c r="D78" s="72"/>
      <c r="E78" s="46" t="s">
        <v>4</v>
      </c>
      <c r="F78" s="337">
        <f>'0664'!F78</f>
        <v>0</v>
      </c>
      <c r="G78" s="39" t="s">
        <v>6</v>
      </c>
      <c r="H78" s="131">
        <f>H66</f>
        <v>2.3830000000000001E-3</v>
      </c>
      <c r="I78" s="104">
        <f t="shared" si="14"/>
        <v>0</v>
      </c>
      <c r="N78" s="478" t="s">
        <v>392</v>
      </c>
      <c r="O78" s="479"/>
      <c r="P78" s="479"/>
      <c r="Q78" s="47"/>
      <c r="R78" s="134">
        <f t="shared" si="15"/>
        <v>0</v>
      </c>
      <c r="S78" s="40" t="s">
        <v>6</v>
      </c>
      <c r="T78" s="133">
        <f>T66</f>
        <v>0</v>
      </c>
      <c r="U78" s="99">
        <f t="shared" si="16"/>
        <v>0</v>
      </c>
    </row>
    <row r="79" spans="1:21" x14ac:dyDescent="0.25">
      <c r="A79" s="463" t="s">
        <v>438</v>
      </c>
      <c r="B79" s="453"/>
      <c r="C79" s="453"/>
      <c r="D79" s="72"/>
      <c r="E79" s="46" t="s">
        <v>4</v>
      </c>
      <c r="F79" s="337">
        <f>'0664'!F79</f>
        <v>11278687</v>
      </c>
      <c r="G79" s="39" t="s">
        <v>6</v>
      </c>
      <c r="H79" s="131">
        <f>H66</f>
        <v>2.3830000000000001E-3</v>
      </c>
      <c r="I79" s="104">
        <f t="shared" si="14"/>
        <v>26877.11</v>
      </c>
      <c r="N79" s="478" t="s">
        <v>393</v>
      </c>
      <c r="O79" s="479"/>
      <c r="P79" s="479"/>
      <c r="Q79" s="47"/>
      <c r="R79" s="134">
        <f t="shared" si="15"/>
        <v>11278687</v>
      </c>
      <c r="S79" s="40" t="s">
        <v>6</v>
      </c>
      <c r="T79" s="133">
        <f>T66</f>
        <v>0</v>
      </c>
      <c r="U79" s="99">
        <f t="shared" si="16"/>
        <v>0</v>
      </c>
    </row>
    <row r="80" spans="1:21" x14ac:dyDescent="0.25">
      <c r="A80" s="463" t="s">
        <v>439</v>
      </c>
      <c r="B80" s="453"/>
      <c r="C80" s="453"/>
      <c r="D80" s="72"/>
      <c r="E80" s="46" t="s">
        <v>4</v>
      </c>
      <c r="F80" s="337">
        <f>'0664'!F80</f>
        <v>206284749</v>
      </c>
      <c r="G80" s="39" t="s">
        <v>6</v>
      </c>
      <c r="H80" s="131">
        <f>H66</f>
        <v>2.3830000000000001E-3</v>
      </c>
      <c r="I80" s="104">
        <f t="shared" si="14"/>
        <v>491576.56</v>
      </c>
      <c r="N80" s="478" t="s">
        <v>397</v>
      </c>
      <c r="O80" s="479"/>
      <c r="P80" s="479"/>
      <c r="Q80" s="47"/>
      <c r="R80" s="134">
        <f t="shared" si="15"/>
        <v>206284749</v>
      </c>
      <c r="S80" s="40" t="s">
        <v>6</v>
      </c>
      <c r="T80" s="133">
        <f>T66</f>
        <v>0</v>
      </c>
      <c r="U80" s="99">
        <f t="shared" si="16"/>
        <v>0</v>
      </c>
    </row>
    <row r="81" spans="1:21" x14ac:dyDescent="0.25">
      <c r="A81" s="84" t="s">
        <v>440</v>
      </c>
      <c r="B81" s="72"/>
      <c r="C81" s="72"/>
      <c r="D81" s="72"/>
      <c r="E81" s="46"/>
      <c r="F81" s="337"/>
      <c r="G81" s="39"/>
      <c r="H81" s="131"/>
      <c r="I81" s="104"/>
      <c r="N81" s="419" t="s">
        <v>440</v>
      </c>
      <c r="O81" s="48"/>
      <c r="P81" s="48"/>
      <c r="Q81" s="47"/>
      <c r="R81" s="423"/>
      <c r="S81" s="40"/>
      <c r="T81" s="133"/>
      <c r="U81" s="120"/>
    </row>
    <row r="82" spans="1:21" x14ac:dyDescent="0.25">
      <c r="A82" s="264" t="s">
        <v>441</v>
      </c>
      <c r="B82" s="72"/>
      <c r="C82" s="72"/>
      <c r="D82" s="72"/>
      <c r="E82" s="46" t="s">
        <v>442</v>
      </c>
      <c r="F82" s="337">
        <f>'0664'!F82</f>
        <v>0</v>
      </c>
      <c r="G82" s="39" t="s">
        <v>6</v>
      </c>
      <c r="H82" s="131">
        <f>H66</f>
        <v>2.3830000000000001E-3</v>
      </c>
      <c r="I82" s="104">
        <v>93202.4</v>
      </c>
      <c r="N82" s="422" t="s">
        <v>441</v>
      </c>
      <c r="O82" s="48"/>
      <c r="P82" s="48"/>
      <c r="Q82" s="47"/>
      <c r="R82" s="134">
        <f t="shared" si="15"/>
        <v>0</v>
      </c>
      <c r="S82" s="40"/>
      <c r="T82" s="133"/>
      <c r="U82" s="99">
        <f t="shared" si="16"/>
        <v>0</v>
      </c>
    </row>
    <row r="83" spans="1:21" x14ac:dyDescent="0.25">
      <c r="A83" s="264" t="s">
        <v>443</v>
      </c>
      <c r="B83" s="72"/>
      <c r="C83" s="72"/>
      <c r="D83" s="72"/>
      <c r="E83" s="46" t="s">
        <v>442</v>
      </c>
      <c r="F83" s="337">
        <f>'0664'!F83</f>
        <v>0</v>
      </c>
      <c r="G83" s="39" t="s">
        <v>6</v>
      </c>
      <c r="H83" s="131">
        <f>H66</f>
        <v>2.3830000000000001E-3</v>
      </c>
      <c r="I83" s="104">
        <v>42364.72</v>
      </c>
      <c r="N83" s="422" t="s">
        <v>443</v>
      </c>
      <c r="O83" s="48"/>
      <c r="P83" s="48"/>
      <c r="Q83" s="47"/>
      <c r="R83" s="134">
        <f t="shared" si="15"/>
        <v>0</v>
      </c>
      <c r="S83" s="40"/>
      <c r="T83" s="133"/>
      <c r="U83" s="99">
        <f t="shared" si="16"/>
        <v>0</v>
      </c>
    </row>
    <row r="84" spans="1:21" x14ac:dyDescent="0.25">
      <c r="A84" s="420" t="s">
        <v>444</v>
      </c>
      <c r="B84" s="72"/>
      <c r="C84" s="72"/>
      <c r="D84" s="72"/>
      <c r="E84" s="46"/>
      <c r="F84" s="337"/>
      <c r="G84" s="39"/>
      <c r="H84" s="131"/>
      <c r="I84" s="104">
        <f>I82+I83</f>
        <v>135567.12</v>
      </c>
      <c r="N84" s="421" t="s">
        <v>444</v>
      </c>
      <c r="O84" s="48"/>
      <c r="P84" s="48"/>
      <c r="Q84" s="47"/>
      <c r="R84" s="423"/>
      <c r="S84" s="40"/>
      <c r="T84" s="133"/>
      <c r="U84" s="99">
        <f>U82+U83</f>
        <v>0</v>
      </c>
    </row>
    <row r="85" spans="1:21" x14ac:dyDescent="0.25">
      <c r="A85" s="463" t="s">
        <v>398</v>
      </c>
      <c r="B85" s="453"/>
      <c r="C85" s="453"/>
      <c r="D85" s="72"/>
      <c r="E85" s="46" t="s">
        <v>4</v>
      </c>
      <c r="F85" s="337">
        <f>'0664'!F85</f>
        <v>0</v>
      </c>
      <c r="G85" s="39" t="s">
        <v>6</v>
      </c>
      <c r="H85" s="131">
        <f>H66</f>
        <v>2.3830000000000001E-3</v>
      </c>
      <c r="I85" s="104">
        <f t="shared" si="14"/>
        <v>0</v>
      </c>
      <c r="N85" s="478" t="s">
        <v>398</v>
      </c>
      <c r="O85" s="479"/>
      <c r="P85" s="479"/>
      <c r="Q85" s="47"/>
      <c r="R85" s="132">
        <f t="shared" si="15"/>
        <v>0</v>
      </c>
      <c r="S85" s="40" t="s">
        <v>6</v>
      </c>
      <c r="T85" s="133">
        <f>T66</f>
        <v>0</v>
      </c>
      <c r="U85" s="99">
        <f t="shared" si="16"/>
        <v>0</v>
      </c>
    </row>
    <row r="86" spans="1:21" x14ac:dyDescent="0.25">
      <c r="B86" s="72"/>
      <c r="C86" s="72"/>
      <c r="D86" s="72"/>
      <c r="E86" s="46"/>
      <c r="F86" s="136"/>
      <c r="G86" s="39"/>
      <c r="H86" s="131"/>
      <c r="I86" s="104"/>
      <c r="N86" s="48"/>
      <c r="O86" s="48"/>
      <c r="P86" s="48"/>
      <c r="Q86" s="47"/>
      <c r="R86" s="137"/>
      <c r="S86" s="40"/>
      <c r="T86" s="133"/>
      <c r="U86" s="106"/>
    </row>
    <row r="87" spans="1:21" x14ac:dyDescent="0.25">
      <c r="A87" s="463" t="s">
        <v>445</v>
      </c>
      <c r="B87" s="453"/>
      <c r="C87" s="453"/>
      <c r="D87" s="453"/>
      <c r="E87" s="453"/>
      <c r="F87" s="453"/>
      <c r="G87" s="453"/>
      <c r="H87" s="453"/>
      <c r="I87" s="453"/>
      <c r="N87" s="478" t="s">
        <v>429</v>
      </c>
      <c r="O87" s="479"/>
      <c r="P87" s="479"/>
      <c r="Q87" s="479"/>
      <c r="R87" s="479"/>
      <c r="S87" s="479"/>
      <c r="T87" s="479"/>
      <c r="U87" s="479"/>
    </row>
    <row r="88" spans="1:21" x14ac:dyDescent="0.25">
      <c r="B88" s="72"/>
      <c r="C88" s="466" t="s">
        <v>73</v>
      </c>
      <c r="D88" s="466"/>
      <c r="E88" s="72"/>
      <c r="F88" s="41" t="s">
        <v>37</v>
      </c>
      <c r="G88" s="72"/>
      <c r="H88" s="72"/>
      <c r="I88" s="72"/>
      <c r="N88" s="48"/>
      <c r="O88" s="48"/>
      <c r="P88" s="48"/>
      <c r="Q88" s="48"/>
      <c r="R88" s="48"/>
      <c r="S88" s="48"/>
      <c r="T88" s="48"/>
      <c r="U88" s="48"/>
    </row>
    <row r="89" spans="1:21" x14ac:dyDescent="0.25">
      <c r="A89" s="3"/>
      <c r="B89" s="138"/>
      <c r="C89" s="462" t="s">
        <v>144</v>
      </c>
      <c r="D89" s="462"/>
      <c r="E89" s="139" t="s">
        <v>150</v>
      </c>
      <c r="F89" s="140" t="s">
        <v>149</v>
      </c>
      <c r="G89" s="141"/>
      <c r="H89" s="141"/>
      <c r="I89" s="141"/>
      <c r="N89" s="495" t="s">
        <v>46</v>
      </c>
      <c r="O89" s="495"/>
      <c r="P89" s="496" t="s">
        <v>119</v>
      </c>
      <c r="Q89" s="496"/>
      <c r="R89" s="497" t="s">
        <v>40</v>
      </c>
      <c r="S89" s="497"/>
      <c r="T89" s="497"/>
      <c r="U89" s="497"/>
    </row>
    <row r="90" spans="1:21" x14ac:dyDescent="0.25">
      <c r="A90" s="27"/>
      <c r="B90" s="55" t="s">
        <v>148</v>
      </c>
      <c r="C90" s="467">
        <f>H13+H14+H19+H22+H25</f>
        <v>0</v>
      </c>
      <c r="D90" s="467"/>
      <c r="E90" s="49">
        <f>H8</f>
        <v>1.0438000000000001</v>
      </c>
      <c r="F90" s="338">
        <f>'0664'!F90</f>
        <v>957.94</v>
      </c>
      <c r="G90" s="41" t="s">
        <v>13</v>
      </c>
      <c r="H90" s="104">
        <f>ROUND(C90*E90*F90,2)</f>
        <v>0</v>
      </c>
      <c r="I90" s="107"/>
      <c r="N90" s="29" t="s">
        <v>22</v>
      </c>
      <c r="O90" s="50">
        <f>T13+T14+T19+T22+T25</f>
        <v>0</v>
      </c>
      <c r="P90" s="490">
        <f>T8</f>
        <v>1.0438000000000001</v>
      </c>
      <c r="Q90" s="490"/>
      <c r="R90" s="51">
        <f>F90</f>
        <v>957.94</v>
      </c>
      <c r="S90" s="42" t="s">
        <v>13</v>
      </c>
      <c r="T90" s="134">
        <f>ROUND(O90*P90*R90,0)</f>
        <v>0</v>
      </c>
      <c r="U90" s="105"/>
    </row>
    <row r="91" spans="1:21" x14ac:dyDescent="0.25">
      <c r="A91" s="52"/>
      <c r="B91" s="52" t="s">
        <v>147</v>
      </c>
      <c r="C91" s="467">
        <f>H15+H16+H20+H23+H26</f>
        <v>316.20170000000002</v>
      </c>
      <c r="D91" s="467"/>
      <c r="E91" s="49">
        <f>H8</f>
        <v>1.0438000000000001</v>
      </c>
      <c r="F91" s="338">
        <f>'0664'!F91</f>
        <v>914.63</v>
      </c>
      <c r="G91" s="41" t="s">
        <v>13</v>
      </c>
      <c r="H91" s="104">
        <f>ROUND(C91*E91*F91,2)</f>
        <v>301874.84999999998</v>
      </c>
      <c r="N91" s="53" t="s">
        <v>14</v>
      </c>
      <c r="O91" s="50">
        <f>T15+T16+T20+T23+T26</f>
        <v>0</v>
      </c>
      <c r="P91" s="490">
        <f>T8</f>
        <v>1.0438000000000001</v>
      </c>
      <c r="Q91" s="490"/>
      <c r="R91" s="51">
        <f>F91</f>
        <v>914.63</v>
      </c>
      <c r="S91" s="42" t="s">
        <v>13</v>
      </c>
      <c r="T91" s="134">
        <f>ROUND(O91*P91*R91,0)</f>
        <v>0</v>
      </c>
      <c r="U91" s="54"/>
    </row>
    <row r="92" spans="1:21" ht="16.5" thickBot="1" x14ac:dyDescent="0.3">
      <c r="A92" s="55"/>
      <c r="B92" s="55" t="s">
        <v>146</v>
      </c>
      <c r="C92" s="467">
        <f>H17+H18+H21+H24+H27+H28</f>
        <v>200.61349999999999</v>
      </c>
      <c r="D92" s="467"/>
      <c r="E92" s="49">
        <f>H8</f>
        <v>1.0438000000000001</v>
      </c>
      <c r="F92" s="338">
        <f>'0664'!F92</f>
        <v>916.84</v>
      </c>
      <c r="G92" s="41" t="s">
        <v>13</v>
      </c>
      <c r="H92" s="97">
        <f>ROUND(C92*E92*F92,2)</f>
        <v>191986.64</v>
      </c>
      <c r="N92" s="56" t="s">
        <v>15</v>
      </c>
      <c r="O92" s="57">
        <f>T17+T18+T21+T24+T27+T28</f>
        <v>0</v>
      </c>
      <c r="P92" s="490">
        <f>T8</f>
        <v>1.0438000000000001</v>
      </c>
      <c r="Q92" s="490"/>
      <c r="R92" s="51">
        <f>F92</f>
        <v>916.84</v>
      </c>
      <c r="S92" s="42" t="s">
        <v>13</v>
      </c>
      <c r="T92" s="134">
        <f>ROUND(O92*P92*R92,0)</f>
        <v>0</v>
      </c>
      <c r="U92" s="54"/>
    </row>
    <row r="93" spans="1:21" ht="16.5" thickBot="1" x14ac:dyDescent="0.3">
      <c r="A93" s="58"/>
      <c r="B93" s="142" t="s">
        <v>145</v>
      </c>
      <c r="C93" s="469">
        <f>SUM(C90:C92)</f>
        <v>516.8152</v>
      </c>
      <c r="D93" s="469"/>
      <c r="E93" s="143"/>
      <c r="F93" s="143"/>
      <c r="G93" s="143"/>
      <c r="H93" s="144" t="s">
        <v>143</v>
      </c>
      <c r="I93" s="104">
        <f>IF(A1=75,0,H92+H91+H90)</f>
        <v>493861.49</v>
      </c>
      <c r="N93" s="59" t="s">
        <v>120</v>
      </c>
      <c r="O93" s="60">
        <f>SUM(O90:O92)</f>
        <v>0</v>
      </c>
      <c r="P93" s="491" t="s">
        <v>18</v>
      </c>
      <c r="Q93" s="492"/>
      <c r="R93" s="492"/>
      <c r="S93" s="492"/>
      <c r="T93" s="492"/>
      <c r="U93" s="99">
        <f>IF(N1=75,0,T92+T91+T90)</f>
        <v>0</v>
      </c>
    </row>
    <row r="94" spans="1:21" ht="16.5" thickTop="1" x14ac:dyDescent="0.25">
      <c r="A94" s="540" t="s">
        <v>90</v>
      </c>
      <c r="B94" s="540"/>
      <c r="C94" s="540"/>
      <c r="D94" s="540"/>
      <c r="E94" s="540"/>
      <c r="F94" s="540"/>
      <c r="G94" s="540"/>
      <c r="H94" s="540"/>
      <c r="I94" s="540"/>
      <c r="N94" s="493" t="s">
        <v>90</v>
      </c>
      <c r="O94" s="493"/>
      <c r="P94" s="493"/>
      <c r="Q94" s="493"/>
      <c r="R94" s="493"/>
      <c r="S94" s="493"/>
      <c r="T94" s="493"/>
      <c r="U94" s="493"/>
    </row>
    <row r="95" spans="1:21" x14ac:dyDescent="0.25">
      <c r="A95" s="145"/>
      <c r="B95" s="145"/>
      <c r="C95" s="145"/>
      <c r="D95" s="145"/>
      <c r="E95" s="145"/>
      <c r="F95" s="145"/>
      <c r="G95" s="145"/>
      <c r="H95" s="145"/>
      <c r="I95" s="145"/>
      <c r="N95" s="146"/>
      <c r="O95" s="146"/>
      <c r="P95" s="146"/>
      <c r="Q95" s="146"/>
      <c r="R95" s="146"/>
      <c r="S95" s="146"/>
      <c r="T95" s="146"/>
      <c r="U95" s="146"/>
    </row>
    <row r="96" spans="1:21" x14ac:dyDescent="0.25">
      <c r="A96" s="84" t="s">
        <v>446</v>
      </c>
      <c r="C96" s="46"/>
      <c r="D96" s="72"/>
      <c r="E96" s="46" t="s">
        <v>100</v>
      </c>
      <c r="F96" s="471"/>
      <c r="G96" s="471"/>
      <c r="H96" s="471"/>
      <c r="I96" s="471"/>
      <c r="N96" s="478" t="s">
        <v>426</v>
      </c>
      <c r="O96" s="479"/>
      <c r="P96" s="479"/>
      <c r="Q96" s="494"/>
      <c r="R96" s="494"/>
      <c r="S96" s="494"/>
      <c r="T96" s="494"/>
      <c r="U96" s="106"/>
    </row>
    <row r="97" spans="1:21" x14ac:dyDescent="0.25">
      <c r="B97" s="72"/>
      <c r="C97" s="91" t="s">
        <v>409</v>
      </c>
      <c r="D97" s="371" t="s">
        <v>410</v>
      </c>
      <c r="E97" s="92" t="s">
        <v>151</v>
      </c>
      <c r="F97" s="46"/>
      <c r="G97" s="46"/>
      <c r="H97" s="46"/>
      <c r="I97" s="46"/>
      <c r="N97" s="48"/>
      <c r="O97" s="48"/>
      <c r="P97" s="48"/>
      <c r="Q97" s="147"/>
      <c r="R97" s="147"/>
      <c r="S97" s="147"/>
      <c r="T97" s="147"/>
      <c r="U97" s="106"/>
    </row>
    <row r="98" spans="1:21" x14ac:dyDescent="0.25">
      <c r="B98" s="72"/>
      <c r="C98" s="362" t="s">
        <v>2</v>
      </c>
      <c r="D98" s="362" t="s">
        <v>2</v>
      </c>
      <c r="E98" s="362" t="s">
        <v>2</v>
      </c>
      <c r="F98" s="46"/>
      <c r="G98" s="46"/>
      <c r="H98" s="46"/>
      <c r="I98" s="46"/>
      <c r="N98" s="48"/>
      <c r="O98" s="48"/>
      <c r="P98" s="48"/>
      <c r="Q98" s="147"/>
      <c r="R98" s="147"/>
      <c r="S98" s="147"/>
      <c r="T98" s="147"/>
      <c r="U98" s="106"/>
    </row>
    <row r="99" spans="1:21" x14ac:dyDescent="0.25">
      <c r="A99" s="536" t="s">
        <v>470</v>
      </c>
      <c r="B99" s="461"/>
      <c r="C99" s="165">
        <v>289</v>
      </c>
      <c r="D99" s="165">
        <v>0</v>
      </c>
      <c r="E99" s="125">
        <f>C99</f>
        <v>289</v>
      </c>
      <c r="F99" s="148" t="s">
        <v>39</v>
      </c>
      <c r="G99" s="339">
        <f>'0664'!G99</f>
        <v>558</v>
      </c>
      <c r="I99" s="104">
        <f>ROUND(G99*E99,2)</f>
        <v>161262</v>
      </c>
      <c r="N99" s="488" t="s">
        <v>65</v>
      </c>
      <c r="O99" s="488"/>
      <c r="P99" s="489">
        <f>IF(H120=1,E99,0)</f>
        <v>0</v>
      </c>
      <c r="Q99" s="489"/>
      <c r="R99" s="489"/>
      <c r="S99" s="86" t="s">
        <v>39</v>
      </c>
      <c r="T99" s="61">
        <f>G99</f>
        <v>558</v>
      </c>
      <c r="U99" s="99">
        <f>ROUND(T99*P99,0)</f>
        <v>0</v>
      </c>
    </row>
    <row r="100" spans="1:21" x14ac:dyDescent="0.25">
      <c r="A100" s="536" t="s">
        <v>471</v>
      </c>
      <c r="B100" s="461"/>
      <c r="C100" s="165">
        <v>0</v>
      </c>
      <c r="D100" s="165">
        <v>0</v>
      </c>
      <c r="E100" s="125">
        <f>C100</f>
        <v>0</v>
      </c>
      <c r="F100" s="148" t="s">
        <v>39</v>
      </c>
      <c r="G100" s="339">
        <f>'0664'!G100</f>
        <v>1707</v>
      </c>
      <c r="I100" s="104">
        <f>ROUND(G100*E100,2)</f>
        <v>0</v>
      </c>
      <c r="N100" s="488" t="s">
        <v>81</v>
      </c>
      <c r="O100" s="488"/>
      <c r="P100" s="483"/>
      <c r="Q100" s="483"/>
      <c r="R100" s="483"/>
      <c r="S100" s="86" t="s">
        <v>39</v>
      </c>
      <c r="T100" s="61">
        <f>G100</f>
        <v>1707</v>
      </c>
      <c r="U100" s="99">
        <f>ROUND(T100*P100,0)</f>
        <v>0</v>
      </c>
    </row>
    <row r="101" spans="1:21" x14ac:dyDescent="0.25">
      <c r="A101" s="149"/>
      <c r="B101" s="149"/>
      <c r="C101" s="68"/>
      <c r="D101" s="68"/>
      <c r="E101" s="68"/>
      <c r="F101" s="68"/>
      <c r="G101" s="150"/>
      <c r="H101" s="151"/>
      <c r="I101" s="104"/>
      <c r="N101" s="152"/>
      <c r="O101" s="152"/>
      <c r="P101" s="153"/>
      <c r="Q101" s="153"/>
      <c r="R101" s="153"/>
      <c r="S101" s="86"/>
      <c r="T101" s="61"/>
      <c r="U101" s="106"/>
    </row>
    <row r="102" spans="1:21" x14ac:dyDescent="0.25">
      <c r="A102" s="149"/>
      <c r="B102" s="149"/>
      <c r="C102" s="68"/>
      <c r="D102" s="68"/>
      <c r="E102" s="68"/>
      <c r="F102" s="68"/>
      <c r="G102" s="150"/>
      <c r="H102" s="151"/>
      <c r="I102" s="104"/>
      <c r="N102" s="152"/>
      <c r="O102" s="152"/>
      <c r="P102" s="153"/>
      <c r="Q102" s="153"/>
      <c r="R102" s="153"/>
      <c r="S102" s="86"/>
      <c r="T102" s="61"/>
      <c r="U102" s="106"/>
    </row>
    <row r="103" spans="1:21" hidden="1" x14ac:dyDescent="0.25">
      <c r="A103" s="463" t="s">
        <v>447</v>
      </c>
      <c r="B103" s="453"/>
      <c r="C103" s="453"/>
      <c r="D103" s="72"/>
      <c r="E103" s="41" t="s">
        <v>41</v>
      </c>
      <c r="F103" s="466"/>
      <c r="G103" s="466"/>
      <c r="H103" s="466"/>
      <c r="I103" s="466"/>
      <c r="N103" s="478" t="s">
        <v>362</v>
      </c>
      <c r="O103" s="479"/>
      <c r="P103" s="479"/>
      <c r="Q103" s="479"/>
      <c r="R103" s="479"/>
      <c r="S103" s="479"/>
      <c r="T103" s="479"/>
      <c r="U103" s="479"/>
    </row>
    <row r="104" spans="1:21" hidden="1" x14ac:dyDescent="0.25">
      <c r="B104" s="72"/>
      <c r="C104" s="462" t="s">
        <v>91</v>
      </c>
      <c r="D104" s="462"/>
      <c r="E104" s="462"/>
      <c r="F104" s="39"/>
      <c r="G104" s="39"/>
      <c r="H104" s="41" t="s">
        <v>152</v>
      </c>
      <c r="I104" s="39"/>
      <c r="N104" s="48"/>
      <c r="O104" s="48"/>
      <c r="P104" s="48"/>
      <c r="Q104" s="48"/>
      <c r="R104" s="48"/>
      <c r="S104" s="48"/>
      <c r="T104" s="48"/>
      <c r="U104" s="48"/>
    </row>
    <row r="105" spans="1:21" hidden="1" x14ac:dyDescent="0.25">
      <c r="B105" s="72"/>
      <c r="C105" s="91" t="s">
        <v>371</v>
      </c>
      <c r="D105" s="91" t="s">
        <v>351</v>
      </c>
      <c r="E105" s="159" t="s">
        <v>8</v>
      </c>
      <c r="F105" s="464" t="s">
        <v>153</v>
      </c>
      <c r="G105" s="466"/>
      <c r="H105" s="39" t="s">
        <v>38</v>
      </c>
      <c r="I105" s="39"/>
      <c r="N105" s="48"/>
      <c r="O105" s="48"/>
      <c r="P105" s="48"/>
      <c r="Q105" s="48"/>
      <c r="R105" s="48"/>
      <c r="S105" s="48"/>
      <c r="T105" s="48"/>
      <c r="U105" s="48"/>
    </row>
    <row r="106" spans="1:21" hidden="1" x14ac:dyDescent="0.25">
      <c r="A106" s="462" t="s">
        <v>94</v>
      </c>
      <c r="B106" s="462"/>
      <c r="C106" s="93" t="s">
        <v>2</v>
      </c>
      <c r="D106" s="93" t="s">
        <v>2</v>
      </c>
      <c r="E106" s="62" t="s">
        <v>2</v>
      </c>
      <c r="F106" s="462" t="s">
        <v>37</v>
      </c>
      <c r="G106" s="462"/>
      <c r="H106" s="62" t="s">
        <v>37</v>
      </c>
      <c r="I106" s="62" t="s">
        <v>8</v>
      </c>
      <c r="N106" s="484" t="s">
        <v>66</v>
      </c>
      <c r="O106" s="484"/>
      <c r="P106" s="489" t="s">
        <v>91</v>
      </c>
      <c r="Q106" s="489"/>
      <c r="R106" s="484" t="s">
        <v>67</v>
      </c>
      <c r="S106" s="484"/>
      <c r="T106" s="63" t="s">
        <v>68</v>
      </c>
      <c r="U106" s="63" t="s">
        <v>8</v>
      </c>
    </row>
    <row r="107" spans="1:21" hidden="1" x14ac:dyDescent="0.25">
      <c r="A107" s="473" t="s">
        <v>69</v>
      </c>
      <c r="B107" s="473"/>
      <c r="C107" s="163">
        <v>0</v>
      </c>
      <c r="D107" s="163">
        <v>0</v>
      </c>
      <c r="E107" s="210">
        <f>IF(D$59=0,C107*2,C107+D107)</f>
        <v>0</v>
      </c>
      <c r="F107" s="474">
        <v>0</v>
      </c>
      <c r="G107" s="474"/>
      <c r="H107" s="250">
        <f>IF(C107=0,0,125)</f>
        <v>0</v>
      </c>
      <c r="I107" s="104">
        <f>ROUND((H107+F107)*E107,2)</f>
        <v>0</v>
      </c>
      <c r="N107" s="479" t="s">
        <v>69</v>
      </c>
      <c r="O107" s="479"/>
      <c r="P107" s="483">
        <f>IF(H$120=1,C107,0)</f>
        <v>0</v>
      </c>
      <c r="Q107" s="483"/>
      <c r="R107" s="486">
        <f>F107</f>
        <v>0</v>
      </c>
      <c r="S107" s="486"/>
      <c r="T107" s="65">
        <f>H107</f>
        <v>0</v>
      </c>
      <c r="U107" s="99">
        <f>ROUND((T107+R107)*P107,0)</f>
        <v>0</v>
      </c>
    </row>
    <row r="108" spans="1:21" hidden="1" x14ac:dyDescent="0.25">
      <c r="A108" s="456" t="s">
        <v>70</v>
      </c>
      <c r="B108" s="456"/>
      <c r="C108" s="165">
        <v>0</v>
      </c>
      <c r="D108" s="165">
        <v>0</v>
      </c>
      <c r="E108" s="125">
        <f>IF(D$59=0,C108*2,C108+D108)</f>
        <v>0</v>
      </c>
      <c r="F108" s="468">
        <f>ROUND(F107/2,2)</f>
        <v>0</v>
      </c>
      <c r="G108" s="468"/>
      <c r="H108" s="250">
        <f>IF(C108=0,0,62.5)</f>
        <v>0</v>
      </c>
      <c r="I108" s="104">
        <f>ROUND((H108+F108)*E108,2)</f>
        <v>0</v>
      </c>
      <c r="N108" s="479" t="s">
        <v>70</v>
      </c>
      <c r="O108" s="479"/>
      <c r="P108" s="483">
        <f>IF(H$120=1,C108,0)</f>
        <v>0</v>
      </c>
      <c r="Q108" s="483"/>
      <c r="R108" s="487">
        <f>ROUND(R107/2,2)</f>
        <v>0</v>
      </c>
      <c r="S108" s="487"/>
      <c r="T108" s="65">
        <f>H108</f>
        <v>0</v>
      </c>
      <c r="U108" s="99">
        <f>ROUND((T108+R108)*P108,0)</f>
        <v>0</v>
      </c>
    </row>
    <row r="109" spans="1:21" ht="16.5" hidden="1" thickBot="1" x14ac:dyDescent="0.3">
      <c r="A109" s="456" t="s">
        <v>71</v>
      </c>
      <c r="B109" s="456"/>
      <c r="C109" s="165">
        <v>0</v>
      </c>
      <c r="D109" s="165">
        <v>0</v>
      </c>
      <c r="E109" s="125">
        <f>IF(D$59=0,C109*2,C109+D109)</f>
        <v>0</v>
      </c>
      <c r="F109" s="475"/>
      <c r="G109" s="475"/>
      <c r="H109" s="251">
        <f>IF(H107&gt;0,436,0)</f>
        <v>0</v>
      </c>
      <c r="I109" s="104">
        <f>ROUND(H109*E109,2)</f>
        <v>0</v>
      </c>
      <c r="N109" s="482" t="s">
        <v>71</v>
      </c>
      <c r="O109" s="482"/>
      <c r="P109" s="483">
        <f>IF(H$120=1,C109,0)</f>
        <v>0</v>
      </c>
      <c r="Q109" s="483"/>
      <c r="R109" s="484"/>
      <c r="S109" s="484"/>
      <c r="T109" s="67">
        <f>H109</f>
        <v>0</v>
      </c>
      <c r="U109" s="106">
        <f>ROUND(T109*P109,0)</f>
        <v>0</v>
      </c>
    </row>
    <row r="110" spans="1:21" ht="16.5" hidden="1" thickBot="1" x14ac:dyDescent="0.3">
      <c r="A110" s="466" t="s">
        <v>8</v>
      </c>
      <c r="B110" s="466"/>
      <c r="C110" s="68"/>
      <c r="D110" s="68"/>
      <c r="E110" s="68"/>
      <c r="F110" s="68"/>
      <c r="G110" s="68"/>
      <c r="H110" s="68"/>
      <c r="I110" s="100">
        <f>SUM(I107:I109)</f>
        <v>0</v>
      </c>
      <c r="N110" s="485" t="s">
        <v>8</v>
      </c>
      <c r="O110" s="485"/>
      <c r="P110" s="69"/>
      <c r="Q110" s="69"/>
      <c r="R110" s="69"/>
      <c r="S110" s="69"/>
      <c r="T110" s="69"/>
      <c r="U110" s="70">
        <f>SUM(U107:U109)</f>
        <v>0</v>
      </c>
    </row>
    <row r="111" spans="1:21" hidden="1" x14ac:dyDescent="0.25">
      <c r="A111" s="39"/>
      <c r="B111" s="39"/>
      <c r="C111" s="68"/>
      <c r="D111" s="68"/>
      <c r="E111" s="68"/>
      <c r="F111" s="68"/>
      <c r="G111" s="68"/>
      <c r="H111" s="68"/>
      <c r="I111" s="104"/>
      <c r="N111" s="40"/>
      <c r="O111" s="40"/>
      <c r="P111" s="69"/>
      <c r="Q111" s="69"/>
      <c r="R111" s="69"/>
      <c r="S111" s="69"/>
      <c r="T111" s="69"/>
      <c r="U111" s="160"/>
    </row>
    <row r="112" spans="1:21" x14ac:dyDescent="0.25">
      <c r="A112" s="463" t="s">
        <v>448</v>
      </c>
      <c r="B112" s="453"/>
      <c r="C112" s="453"/>
      <c r="D112" s="72"/>
      <c r="E112" s="71" t="s">
        <v>354</v>
      </c>
      <c r="F112" s="472"/>
      <c r="G112" s="472"/>
      <c r="H112" s="472"/>
      <c r="I112" s="125">
        <v>0</v>
      </c>
      <c r="N112" s="478" t="s">
        <v>427</v>
      </c>
      <c r="O112" s="479"/>
      <c r="P112" s="479"/>
      <c r="Q112" s="341"/>
      <c r="R112" s="341"/>
      <c r="S112" s="341"/>
      <c r="T112" s="341"/>
      <c r="U112" s="99">
        <f>IF($H$120=1,I112,0)</f>
        <v>0</v>
      </c>
    </row>
    <row r="113" spans="1:21" x14ac:dyDescent="0.25">
      <c r="A113" s="463" t="s">
        <v>449</v>
      </c>
      <c r="B113" s="453"/>
      <c r="C113" s="453"/>
      <c r="D113" s="72"/>
      <c r="E113" s="71" t="s">
        <v>45</v>
      </c>
      <c r="F113" s="472"/>
      <c r="G113" s="472"/>
      <c r="H113" s="472"/>
      <c r="I113" s="177">
        <v>0</v>
      </c>
      <c r="N113" s="478" t="s">
        <v>428</v>
      </c>
      <c r="O113" s="479"/>
      <c r="P113" s="479"/>
      <c r="Q113" s="341"/>
      <c r="R113" s="341"/>
      <c r="S113" s="341"/>
      <c r="T113" s="341"/>
      <c r="U113" s="99">
        <f>IF($H$120=1,I113,0)</f>
        <v>0</v>
      </c>
    </row>
    <row r="114" spans="1:21" ht="16.5" thickBot="1" x14ac:dyDescent="0.3">
      <c r="B114" s="72"/>
      <c r="C114" s="72"/>
      <c r="D114" s="72"/>
      <c r="E114" s="71"/>
      <c r="F114" s="71"/>
      <c r="G114" s="71"/>
      <c r="H114" s="71"/>
      <c r="I114" s="125"/>
      <c r="N114" s="480" t="s">
        <v>42</v>
      </c>
      <c r="O114" s="480"/>
      <c r="P114" s="480"/>
      <c r="Q114" s="480"/>
      <c r="R114" s="480"/>
      <c r="S114" s="480"/>
      <c r="T114" s="480"/>
      <c r="U114" s="154">
        <f>SUM(U112,U110,U100,U99,U93,U77,U76,U74,U73,U72,U71,U70,U68,U59,U45,U78,U79,U80,U85,U113)</f>
        <v>0</v>
      </c>
    </row>
    <row r="115" spans="1:21" ht="16.5" thickTop="1" x14ac:dyDescent="0.25">
      <c r="A115" s="461" t="s">
        <v>8</v>
      </c>
      <c r="B115" s="461"/>
      <c r="C115" s="461"/>
      <c r="D115" s="461"/>
      <c r="E115" s="461"/>
      <c r="F115" s="461"/>
      <c r="G115" s="461"/>
      <c r="H115" s="461"/>
      <c r="I115" s="97">
        <f>SUM(I113,I112,I110,I100,I99,I93,I85,I84,I80,I79,I78,I77,I76,I74,I73,I72,I71,I70,I68,I59,I45)</f>
        <v>4090275.38</v>
      </c>
      <c r="N115" s="29"/>
      <c r="O115" s="29"/>
      <c r="P115" s="29"/>
      <c r="Q115" s="29"/>
      <c r="R115" s="29"/>
      <c r="S115" s="29"/>
      <c r="T115" s="29"/>
      <c r="U115" s="160"/>
    </row>
    <row r="116" spans="1:21" x14ac:dyDescent="0.25">
      <c r="A116" s="27"/>
      <c r="B116" s="27"/>
      <c r="C116" s="27"/>
      <c r="D116" s="27"/>
      <c r="E116" s="27"/>
      <c r="F116" s="27"/>
      <c r="G116" s="27"/>
      <c r="H116" s="27"/>
      <c r="I116" s="104"/>
      <c r="N116" s="29"/>
      <c r="O116" s="29"/>
      <c r="P116" s="29"/>
      <c r="Q116" s="29"/>
      <c r="R116" s="29"/>
      <c r="S116" s="29"/>
      <c r="T116" s="29"/>
      <c r="U116" s="160"/>
    </row>
    <row r="117" spans="1:21" x14ac:dyDescent="0.25">
      <c r="A117" s="432" t="s">
        <v>467</v>
      </c>
      <c r="B117" s="27"/>
      <c r="C117" s="27"/>
      <c r="D117" s="27"/>
      <c r="E117" s="27"/>
      <c r="F117" s="27"/>
      <c r="G117" s="27"/>
      <c r="H117" s="27"/>
      <c r="I117" s="104">
        <f>I115-I84</f>
        <v>3954708.26</v>
      </c>
      <c r="N117" s="29"/>
      <c r="O117" s="29"/>
      <c r="P117" s="29"/>
      <c r="Q117" s="29"/>
      <c r="R117" s="29"/>
      <c r="S117" s="29"/>
      <c r="T117" s="29"/>
      <c r="U117" s="160"/>
    </row>
    <row r="118" spans="1:21" x14ac:dyDescent="0.25">
      <c r="A118" s="27"/>
      <c r="B118" s="27"/>
      <c r="C118" s="27"/>
      <c r="D118" s="27"/>
      <c r="E118" s="27"/>
      <c r="F118" s="27"/>
      <c r="G118" s="27"/>
      <c r="H118" s="27"/>
      <c r="I118" s="104"/>
      <c r="N118" s="29"/>
      <c r="O118" s="29"/>
      <c r="P118" s="29"/>
      <c r="Q118" s="29"/>
      <c r="R118" s="29"/>
      <c r="S118" s="29"/>
      <c r="T118" s="29"/>
      <c r="U118" s="160"/>
    </row>
    <row r="119" spans="1:21" x14ac:dyDescent="0.25">
      <c r="A119" s="463" t="s">
        <v>468</v>
      </c>
      <c r="B119" s="453"/>
      <c r="C119" s="453"/>
      <c r="D119" s="453"/>
      <c r="E119" s="453"/>
      <c r="F119" s="453"/>
      <c r="G119" s="453"/>
      <c r="H119" s="84" t="s">
        <v>394</v>
      </c>
      <c r="I119" s="156"/>
      <c r="N119" s="481"/>
      <c r="O119" s="481"/>
      <c r="P119" s="481"/>
      <c r="Q119" s="481"/>
      <c r="R119" s="481"/>
      <c r="S119" s="481"/>
      <c r="T119" s="481"/>
      <c r="U119" s="481"/>
    </row>
    <row r="120" spans="1:21" x14ac:dyDescent="0.25">
      <c r="A120" s="453" t="s">
        <v>95</v>
      </c>
      <c r="B120" s="453"/>
      <c r="C120" s="453"/>
      <c r="D120" s="453"/>
      <c r="E120" s="453"/>
      <c r="F120" s="453"/>
      <c r="G120" s="453"/>
      <c r="H120" s="73" t="str">
        <f>IF(E29=0,"",IF((E14+E16+SUM(E18:E24))/E29&gt;0.75,1,""))</f>
        <v/>
      </c>
      <c r="I120" s="125">
        <f>U114</f>
        <v>0</v>
      </c>
      <c r="N120" s="476" t="s">
        <v>7</v>
      </c>
      <c r="O120" s="476"/>
      <c r="P120" s="476"/>
      <c r="Q120" s="476"/>
      <c r="R120" s="476"/>
      <c r="S120" s="476"/>
      <c r="T120" s="476"/>
      <c r="U120" s="476"/>
    </row>
    <row r="121" spans="1:21" x14ac:dyDescent="0.25">
      <c r="B121" s="72"/>
      <c r="C121" s="72"/>
      <c r="D121" s="72"/>
      <c r="E121" s="72"/>
      <c r="F121" s="72"/>
      <c r="G121" s="72"/>
      <c r="H121" s="68"/>
      <c r="I121" s="104"/>
      <c r="N121" s="74" t="s">
        <v>106</v>
      </c>
      <c r="O121" s="74"/>
      <c r="P121" s="74"/>
      <c r="Q121" s="74"/>
      <c r="R121" s="74"/>
      <c r="S121" s="74"/>
      <c r="T121" s="74"/>
      <c r="U121" s="74"/>
    </row>
    <row r="122" spans="1:21" x14ac:dyDescent="0.25">
      <c r="A122" s="3" t="s">
        <v>102</v>
      </c>
      <c r="B122" s="72"/>
      <c r="C122" s="72"/>
      <c r="D122" s="72"/>
      <c r="E122" s="72"/>
      <c r="F122" s="72"/>
      <c r="G122" s="286"/>
      <c r="H122" s="161">
        <f>IF(H120=1,I120,I117)</f>
        <v>3954708.26</v>
      </c>
      <c r="I122" s="97">
        <f>ROUND(IF(E29=0,0,IF(E29&gt;250,-(((250/E29)*H122)*IF(G122="H",0.02,0.05)),IF(G122="H",-0.02*H122,-0.05*H122))),2)</f>
        <v>-97375.91</v>
      </c>
      <c r="N122" s="75" t="s">
        <v>107</v>
      </c>
      <c r="O122" s="74"/>
      <c r="P122" s="74"/>
      <c r="Q122" s="74"/>
      <c r="R122" s="74"/>
      <c r="S122" s="74"/>
      <c r="T122" s="74"/>
      <c r="U122" s="74"/>
    </row>
    <row r="123" spans="1:21" x14ac:dyDescent="0.25">
      <c r="B123" s="72"/>
      <c r="C123" s="72"/>
      <c r="D123" s="72"/>
      <c r="E123" s="72"/>
      <c r="F123" s="72"/>
      <c r="G123" s="72"/>
      <c r="H123" s="68"/>
      <c r="I123" s="104"/>
      <c r="N123" s="76"/>
      <c r="O123" s="76"/>
      <c r="P123" s="76"/>
      <c r="Q123" s="76"/>
      <c r="R123" s="76"/>
      <c r="S123" s="76"/>
      <c r="T123" s="76"/>
      <c r="U123" s="76"/>
    </row>
    <row r="124" spans="1:21" x14ac:dyDescent="0.25">
      <c r="A124" s="345" t="s">
        <v>103</v>
      </c>
      <c r="B124" s="346"/>
      <c r="C124" s="346"/>
      <c r="D124" s="346"/>
      <c r="E124" s="346"/>
      <c r="F124" s="346"/>
      <c r="G124" s="346"/>
      <c r="H124" s="347"/>
      <c r="I124" s="348">
        <f>I115+I122</f>
        <v>3992899.4699999997</v>
      </c>
      <c r="N124" s="76"/>
      <c r="O124" s="76"/>
      <c r="P124" s="76"/>
      <c r="Q124" s="76"/>
      <c r="R124" s="76"/>
      <c r="S124" s="76"/>
      <c r="T124" s="76"/>
      <c r="U124" s="76"/>
    </row>
    <row r="125" spans="1:21" x14ac:dyDescent="0.25">
      <c r="B125" s="72"/>
      <c r="C125" s="72"/>
      <c r="D125" s="72"/>
      <c r="E125" s="72"/>
      <c r="F125" s="72"/>
      <c r="G125" s="72"/>
      <c r="H125" s="68"/>
      <c r="I125" s="104"/>
      <c r="N125" s="76"/>
      <c r="O125" s="76"/>
      <c r="P125" s="76"/>
      <c r="Q125" s="76"/>
      <c r="R125" s="76"/>
      <c r="S125" s="76"/>
      <c r="T125" s="76"/>
      <c r="U125" s="76"/>
    </row>
    <row r="126" spans="1:21" x14ac:dyDescent="0.25">
      <c r="A126" s="3" t="s">
        <v>104</v>
      </c>
      <c r="B126" s="72"/>
      <c r="C126" s="162"/>
      <c r="D126" s="72"/>
      <c r="F126" s="72"/>
      <c r="G126" s="72"/>
      <c r="H126" s="68"/>
      <c r="I126" s="302">
        <v>-3044937.4</v>
      </c>
      <c r="N126" s="76"/>
      <c r="O126" s="76"/>
      <c r="P126" s="76"/>
      <c r="Q126" s="76"/>
      <c r="R126" s="76"/>
      <c r="S126" s="76"/>
      <c r="T126" s="76"/>
      <c r="U126" s="76"/>
    </row>
    <row r="127" spans="1:21" x14ac:dyDescent="0.25">
      <c r="B127" s="72"/>
      <c r="C127" s="72"/>
      <c r="D127" s="72"/>
      <c r="E127" s="72"/>
      <c r="F127" s="72"/>
      <c r="G127" s="72"/>
      <c r="H127" s="68"/>
      <c r="I127" s="104"/>
      <c r="N127" s="76"/>
      <c r="O127" s="76"/>
      <c r="P127" s="76"/>
      <c r="Q127" s="76"/>
      <c r="R127" s="76"/>
      <c r="S127" s="76"/>
      <c r="T127" s="76"/>
      <c r="U127" s="76"/>
    </row>
    <row r="128" spans="1:21" x14ac:dyDescent="0.25">
      <c r="A128" s="84" t="s">
        <v>297</v>
      </c>
      <c r="B128" s="72"/>
      <c r="C128" s="72"/>
      <c r="D128" s="72"/>
      <c r="E128" s="72"/>
      <c r="F128" s="72"/>
      <c r="G128" s="72"/>
      <c r="H128" s="68"/>
      <c r="I128" s="104">
        <f>I124+I126</f>
        <v>947962.06999999983</v>
      </c>
      <c r="N128" s="76"/>
      <c r="O128" s="76"/>
      <c r="P128" s="76"/>
      <c r="Q128" s="76"/>
      <c r="R128" s="76"/>
      <c r="S128" s="76"/>
      <c r="T128" s="76"/>
      <c r="U128" s="76"/>
    </row>
    <row r="129" spans="1:21" x14ac:dyDescent="0.25">
      <c r="A129" s="84"/>
      <c r="B129" s="72"/>
      <c r="C129" s="72"/>
      <c r="D129" s="72"/>
      <c r="E129" s="72"/>
      <c r="F129" s="72"/>
      <c r="G129" s="72"/>
      <c r="H129" s="68"/>
      <c r="I129" s="104"/>
      <c r="N129" s="76"/>
      <c r="O129" s="76"/>
      <c r="P129" s="76"/>
      <c r="Q129" s="76"/>
      <c r="R129" s="76"/>
      <c r="S129" s="76"/>
      <c r="T129" s="76"/>
      <c r="U129" s="76"/>
    </row>
    <row r="130" spans="1:21" x14ac:dyDescent="0.25">
      <c r="A130" s="84" t="s">
        <v>298</v>
      </c>
      <c r="B130" s="72"/>
      <c r="C130" s="72"/>
      <c r="D130" s="72"/>
      <c r="E130" s="72"/>
      <c r="F130" s="72"/>
      <c r="G130" s="72"/>
      <c r="H130" s="68"/>
      <c r="I130" s="303">
        <f>'0664'!I130</f>
        <v>3</v>
      </c>
      <c r="N130" s="76"/>
      <c r="O130" s="76"/>
      <c r="P130" s="76"/>
      <c r="Q130" s="76"/>
      <c r="R130" s="76"/>
      <c r="S130" s="76"/>
      <c r="T130" s="76"/>
      <c r="U130" s="76"/>
    </row>
    <row r="131" spans="1:21" x14ac:dyDescent="0.25">
      <c r="B131" s="72"/>
      <c r="C131" s="72"/>
      <c r="D131" s="72"/>
      <c r="E131" s="72"/>
      <c r="F131" s="72"/>
      <c r="G131" s="72"/>
      <c r="H131" s="68"/>
      <c r="I131" s="104"/>
      <c r="N131" s="76"/>
      <c r="O131" s="76"/>
      <c r="P131" s="76"/>
      <c r="Q131" s="76"/>
      <c r="R131" s="76"/>
      <c r="S131" s="76"/>
      <c r="T131" s="76"/>
      <c r="U131" s="76"/>
    </row>
    <row r="132" spans="1:21" ht="16.5" thickBot="1" x14ac:dyDescent="0.3">
      <c r="A132" s="3" t="s">
        <v>105</v>
      </c>
      <c r="B132" s="72"/>
      <c r="C132" s="72"/>
      <c r="D132" s="72"/>
      <c r="E132" s="72"/>
      <c r="F132" s="72"/>
      <c r="G132" s="72"/>
      <c r="H132" s="68"/>
      <c r="I132" s="178">
        <f>ROUND(I128/I130,2)</f>
        <v>315987.36</v>
      </c>
      <c r="N132" s="76"/>
      <c r="O132" s="76"/>
      <c r="P132" s="76"/>
      <c r="Q132" s="76"/>
      <c r="R132" s="76"/>
      <c r="S132" s="76"/>
      <c r="T132" s="76"/>
      <c r="U132" s="76"/>
    </row>
    <row r="133" spans="1:21" ht="16.5" thickTop="1" x14ac:dyDescent="0.25">
      <c r="B133" s="72"/>
      <c r="C133" s="72"/>
      <c r="D133" s="72"/>
      <c r="E133" s="72"/>
      <c r="F133" s="72"/>
      <c r="G133" s="72"/>
      <c r="H133" s="68"/>
      <c r="I133" s="104"/>
      <c r="N133" s="76"/>
      <c r="O133" s="76"/>
      <c r="P133" s="76"/>
      <c r="Q133" s="76"/>
      <c r="R133" s="76"/>
      <c r="S133" s="76"/>
      <c r="T133" s="76"/>
      <c r="U133" s="76"/>
    </row>
    <row r="134" spans="1:21" ht="16.5" thickBot="1" x14ac:dyDescent="0.3">
      <c r="A134" s="3" t="s">
        <v>121</v>
      </c>
      <c r="B134" s="72"/>
      <c r="C134" s="72"/>
      <c r="D134" s="72"/>
      <c r="E134" s="72"/>
      <c r="F134" s="72"/>
      <c r="G134" s="72"/>
      <c r="H134" s="68"/>
      <c r="I134" s="155">
        <f>ROUND(IF(G122="H",(H122*0.02)+I122,(H122*0.05)+I122),2)</f>
        <v>100359.5</v>
      </c>
      <c r="N134" s="76"/>
      <c r="O134" s="76"/>
      <c r="P134" s="76"/>
      <c r="Q134" s="76"/>
      <c r="R134" s="76"/>
      <c r="S134" s="76"/>
      <c r="T134" s="76"/>
      <c r="U134" s="76"/>
    </row>
    <row r="135" spans="1:21" ht="16.5" thickTop="1" x14ac:dyDescent="0.25">
      <c r="B135" s="72"/>
      <c r="C135" s="72"/>
      <c r="D135" s="72"/>
      <c r="E135" s="72"/>
      <c r="F135" s="72"/>
      <c r="G135" s="72"/>
      <c r="H135" s="68"/>
      <c r="I135" s="156"/>
      <c r="N135" s="76"/>
      <c r="O135" s="76"/>
      <c r="P135" s="76"/>
      <c r="Q135" s="76"/>
      <c r="R135" s="76"/>
      <c r="S135" s="76"/>
      <c r="T135" s="76"/>
      <c r="U135" s="76"/>
    </row>
    <row r="136" spans="1:21" x14ac:dyDescent="0.25">
      <c r="B136" s="72"/>
      <c r="C136" s="72"/>
      <c r="D136" s="72"/>
      <c r="E136" s="72"/>
      <c r="F136" s="72"/>
      <c r="G136" s="72"/>
      <c r="H136" s="68"/>
      <c r="I136" s="104"/>
      <c r="N136" s="76"/>
      <c r="O136" s="76"/>
      <c r="P136" s="76"/>
      <c r="Q136" s="76"/>
      <c r="R136" s="76"/>
      <c r="S136" s="76"/>
      <c r="T136" s="76"/>
      <c r="U136" s="76"/>
    </row>
    <row r="137" spans="1:21" x14ac:dyDescent="0.25">
      <c r="B137" s="72"/>
      <c r="C137" s="72"/>
      <c r="D137" s="72"/>
      <c r="E137" s="72"/>
      <c r="F137" s="72"/>
      <c r="G137" s="72"/>
      <c r="H137" s="68"/>
      <c r="I137" s="156"/>
      <c r="N137" s="76"/>
      <c r="O137" s="76"/>
      <c r="P137" s="76"/>
      <c r="Q137" s="76"/>
      <c r="R137" s="76"/>
      <c r="S137" s="76"/>
      <c r="T137" s="76"/>
      <c r="U137" s="76"/>
    </row>
    <row r="138" spans="1:21" x14ac:dyDescent="0.25">
      <c r="A138" s="281" t="s">
        <v>7</v>
      </c>
      <c r="B138" s="281"/>
      <c r="C138" s="281"/>
      <c r="D138" s="281"/>
      <c r="E138" s="281"/>
      <c r="F138" s="281"/>
      <c r="G138" s="281"/>
      <c r="H138" s="281"/>
      <c r="I138" s="281"/>
      <c r="J138" s="156"/>
      <c r="N138" s="76"/>
      <c r="O138" s="76"/>
      <c r="P138" s="76"/>
      <c r="Q138" s="76"/>
      <c r="R138" s="76"/>
      <c r="S138" s="76"/>
      <c r="T138" s="76"/>
      <c r="U138" s="76"/>
    </row>
    <row r="139" spans="1:21" ht="15.75" customHeight="1" x14ac:dyDescent="0.25">
      <c r="A139" s="356" t="str">
        <f>'0664'!A139</f>
        <v>(a) Additional FTE includes FTE earned through Advanced Placement, International Baccalaureate, Advanced International Certificate of Education, Industry Certified Career</v>
      </c>
      <c r="B139" s="357"/>
      <c r="C139" s="357"/>
      <c r="D139" s="357"/>
      <c r="E139" s="357"/>
      <c r="F139" s="357"/>
      <c r="G139" s="357"/>
      <c r="H139" s="357"/>
      <c r="I139" s="357"/>
      <c r="J139" s="80"/>
      <c r="K139" s="79"/>
      <c r="L139" s="79"/>
      <c r="M139" s="79"/>
      <c r="N139" s="477"/>
      <c r="O139" s="477"/>
      <c r="P139" s="477"/>
      <c r="Q139" s="477"/>
      <c r="R139" s="477"/>
      <c r="S139" s="477"/>
      <c r="T139" s="477"/>
      <c r="U139" s="477"/>
    </row>
    <row r="140" spans="1:21" ht="15.75" customHeight="1" x14ac:dyDescent="0.25">
      <c r="A140" s="390" t="str">
        <f>'0664'!A140</f>
        <v xml:space="preserve">Education (CAPE), Early High School Graduation and the small district ESE Supplement, pursuant to s. 1011.62(1)(l-p), F.S. </v>
      </c>
      <c r="B140" s="357"/>
      <c r="C140" s="357"/>
      <c r="D140" s="357"/>
      <c r="E140" s="357"/>
      <c r="F140" s="357"/>
      <c r="G140" s="357"/>
      <c r="H140" s="357"/>
      <c r="I140" s="357"/>
      <c r="J140" s="80"/>
      <c r="K140" s="79"/>
      <c r="L140" s="79"/>
      <c r="M140" s="79"/>
      <c r="N140" s="76"/>
      <c r="O140" s="76"/>
      <c r="P140" s="76"/>
      <c r="Q140" s="76"/>
      <c r="R140" s="76"/>
      <c r="S140" s="76"/>
      <c r="T140" s="76"/>
      <c r="U140" s="76"/>
    </row>
    <row r="141" spans="1:21" x14ac:dyDescent="0.25">
      <c r="A141" s="356" t="str">
        <f>'0664'!A141</f>
        <v>(b) District allocations multiplied by percentage from item 3A.</v>
      </c>
      <c r="B141" s="281"/>
      <c r="C141" s="281"/>
      <c r="D141" s="281"/>
      <c r="E141" s="281"/>
      <c r="F141" s="281"/>
      <c r="G141" s="281"/>
      <c r="H141" s="281"/>
      <c r="I141" s="281"/>
      <c r="J141" s="79"/>
      <c r="K141" s="79"/>
      <c r="L141" s="79"/>
      <c r="M141" s="79"/>
      <c r="N141" s="81"/>
      <c r="O141" s="82"/>
      <c r="P141" s="82"/>
      <c r="Q141" s="82"/>
      <c r="R141" s="82"/>
      <c r="S141" s="82"/>
      <c r="T141" s="82"/>
      <c r="U141" s="82"/>
    </row>
    <row r="142" spans="1:21" s="79" customFormat="1" x14ac:dyDescent="0.2">
      <c r="A142" s="356" t="str">
        <f>'0664'!A142</f>
        <v>(c) District allocations multiplied by percentage from item 3B.</v>
      </c>
      <c r="B142" s="281"/>
      <c r="C142" s="281"/>
      <c r="D142" s="281"/>
      <c r="E142" s="281"/>
      <c r="F142" s="281"/>
      <c r="G142" s="281"/>
      <c r="H142" s="281"/>
      <c r="I142" s="281"/>
      <c r="N142" s="81"/>
    </row>
    <row r="143" spans="1:21" s="79" customFormat="1" ht="15.75" customHeight="1" x14ac:dyDescent="0.2">
      <c r="A143" s="356" t="str">
        <f>'0664'!A143</f>
        <v>(d) The Digital Classroom Allocation is provided pursuant to s. 1011.62(12), F.S.</v>
      </c>
      <c r="B143" s="281"/>
      <c r="C143" s="281"/>
      <c r="D143" s="281"/>
      <c r="E143" s="281"/>
      <c r="F143" s="281"/>
      <c r="G143" s="281"/>
      <c r="H143" s="281"/>
      <c r="I143" s="281"/>
      <c r="N143" s="81"/>
    </row>
    <row r="144" spans="1:21" s="79" customFormat="1" ht="15.75" customHeight="1" x14ac:dyDescent="0.2">
      <c r="A144" s="356" t="str">
        <f>'0664'!A144</f>
        <v>(e) School districts are required to pay for instructional materials used for the instruction of public high school students who are earning credit toward high school</v>
      </c>
      <c r="B144" s="281"/>
      <c r="C144" s="281"/>
      <c r="D144" s="281"/>
      <c r="E144" s="281"/>
      <c r="F144" s="281"/>
      <c r="G144" s="281"/>
      <c r="H144" s="281"/>
      <c r="I144" s="281"/>
      <c r="N144" s="81"/>
    </row>
    <row r="145" spans="1:14" s="79" customFormat="1" ht="15.75" customHeight="1" x14ac:dyDescent="0.2">
      <c r="A145" s="390" t="str">
        <f>'0664'!A145</f>
        <v xml:space="preserve">graduation under the dual enrollment program as provided in s. 1011.62(l)(i), F.S.  </v>
      </c>
      <c r="B145" s="281"/>
      <c r="C145" s="281"/>
      <c r="D145" s="281"/>
      <c r="E145" s="281"/>
      <c r="F145" s="281"/>
      <c r="G145" s="281"/>
      <c r="H145" s="281"/>
      <c r="I145" s="281"/>
      <c r="N145" s="81"/>
    </row>
    <row r="146" spans="1:14" s="79" customFormat="1" x14ac:dyDescent="0.2">
      <c r="A146" s="356" t="str">
        <f>'0664'!A146</f>
        <v>(f) This allocation will be frozen as of the 2021-22 FEFP Second Calculation and will not be recalculated throughout the year. Charter school allocations should be</v>
      </c>
      <c r="B146" s="281"/>
      <c r="C146" s="281"/>
      <c r="D146" s="281"/>
      <c r="E146" s="281"/>
      <c r="F146" s="281"/>
      <c r="G146" s="281"/>
      <c r="H146" s="281"/>
      <c r="I146" s="281"/>
      <c r="N146" s="81"/>
    </row>
    <row r="147" spans="1:14" s="79" customFormat="1" x14ac:dyDescent="0.2">
      <c r="A147" s="358" t="str">
        <f>'0664'!A147</f>
        <v xml:space="preserve">distributed on weighted FTE (or base funding as is done in the FEFP) and should not be recalculated with fluctuations in student enrollment later in the year. </v>
      </c>
      <c r="B147" s="281">
        <v>637300</v>
      </c>
      <c r="C147" s="281"/>
      <c r="D147" s="281"/>
      <c r="E147" s="281"/>
      <c r="F147" s="281"/>
      <c r="G147" s="281"/>
      <c r="H147" s="281"/>
      <c r="I147" s="281"/>
      <c r="N147" s="81"/>
    </row>
    <row r="148" spans="1:14" s="79" customFormat="1" x14ac:dyDescent="0.2">
      <c r="A148" s="356" t="str">
        <f>'0664'!A148</f>
        <v>(g) Numbers entered here will be multiplied by the district level transportation funding per rider. "All Adjusted Fundable Riders" should include both basic and ESE Riders.</v>
      </c>
      <c r="B148" s="281"/>
      <c r="C148" s="281"/>
      <c r="D148" s="281"/>
      <c r="E148" s="281"/>
      <c r="F148" s="281"/>
      <c r="G148" s="281"/>
      <c r="H148" s="281"/>
      <c r="I148" s="281"/>
      <c r="N148" s="81"/>
    </row>
    <row r="149" spans="1:14" s="79" customFormat="1" x14ac:dyDescent="0.2">
      <c r="A149" s="390" t="str">
        <f>'0664'!A149</f>
        <v>"All Adjusted ESE Riders" should include only ESE Riders.</v>
      </c>
      <c r="B149" s="281"/>
      <c r="C149" s="281"/>
      <c r="D149" s="281"/>
      <c r="E149" s="281"/>
      <c r="F149" s="281"/>
      <c r="G149" s="281"/>
      <c r="H149" s="281"/>
      <c r="I149" s="281"/>
      <c r="N149" s="81"/>
    </row>
    <row r="150" spans="1:14" s="79" customFormat="1" x14ac:dyDescent="0.2">
      <c r="A150" s="356" t="str">
        <f>'0664'!A150</f>
        <v xml:space="preserve">(h) The Federally Connected Student Supplement provides additional funding for students on federal lands that receive Section 8003 impact aide pursuant to s. 1011.62(13), F.S. </v>
      </c>
      <c r="B150" s="281"/>
      <c r="C150" s="281"/>
      <c r="D150" s="281"/>
      <c r="E150" s="281"/>
      <c r="F150" s="281"/>
      <c r="G150" s="281"/>
      <c r="H150" s="281"/>
      <c r="I150" s="281"/>
      <c r="N150" s="81"/>
    </row>
    <row r="151" spans="1:14" s="79" customFormat="1" x14ac:dyDescent="0.2">
      <c r="A151" s="356" t="str">
        <f>'0664'!A151</f>
        <v>(i) Teacher Classroom Supply Assistance Program allocation pursuant to s. 1012.71, F.S., for certified teachers employed by a public school district or public charter school</v>
      </c>
      <c r="B151" s="281"/>
      <c r="C151" s="281"/>
      <c r="D151" s="281"/>
      <c r="E151" s="281"/>
      <c r="F151" s="281"/>
      <c r="G151" s="281"/>
      <c r="H151" s="281"/>
      <c r="I151" s="281"/>
      <c r="N151" s="81"/>
    </row>
    <row r="152" spans="1:14" s="79" customFormat="1" x14ac:dyDescent="0.2">
      <c r="A152" s="358" t="str">
        <f>'0664'!A152</f>
        <v xml:space="preserve">before September 1 of each year whose full-time or job-share responsibility is the classroom instruction of students in prekindergarten through grade 12, including </v>
      </c>
      <c r="B152" s="281"/>
      <c r="C152" s="281"/>
      <c r="D152" s="281"/>
      <c r="E152" s="281"/>
      <c r="F152" s="281"/>
      <c r="G152" s="281"/>
      <c r="H152" s="281"/>
      <c r="I152" s="281"/>
      <c r="N152" s="81"/>
    </row>
    <row r="153" spans="1:14" s="79" customFormat="1" ht="15.75" customHeight="1" x14ac:dyDescent="0.2">
      <c r="A153" s="358" t="str">
        <f>'0664'!A153</f>
        <v>full-time media specialists and certified school counselors serving students in prekindergarten through grade 12, who are funded through the FEFP.</v>
      </c>
      <c r="B153" s="281"/>
      <c r="C153" s="281"/>
      <c r="D153" s="281"/>
      <c r="E153" s="281"/>
      <c r="F153" s="281"/>
      <c r="G153" s="281"/>
      <c r="H153" s="281"/>
      <c r="I153" s="281"/>
      <c r="N153" s="81"/>
    </row>
    <row r="154" spans="1:14" s="79" customFormat="1" ht="15.75" customHeight="1" x14ac:dyDescent="0.2">
      <c r="A154" s="356" t="str">
        <f>'0664'!A154</f>
        <v xml:space="preserve">(j) Funding based on student eligibility and meals provided, if participating in the National School Lunch Program. </v>
      </c>
      <c r="B154" s="328"/>
      <c r="C154" s="328"/>
      <c r="D154" s="328"/>
      <c r="E154" s="328"/>
      <c r="F154" s="328"/>
      <c r="G154" s="328"/>
      <c r="H154" s="328"/>
      <c r="I154" s="328"/>
      <c r="N154" s="81"/>
    </row>
    <row r="155" spans="1:14" s="79" customFormat="1" ht="15.75" customHeight="1" x14ac:dyDescent="0.2">
      <c r="A155" s="356" t="str">
        <f>'0664'!A155</f>
        <v>(k) Consistent with s. 1002.33(20)(a), F.S., for charter schools with a population of 75% or more ESE students, the administrative fee shall be calculated based on</v>
      </c>
      <c r="B155" s="381"/>
      <c r="C155" s="381"/>
      <c r="D155" s="381"/>
      <c r="E155" s="381"/>
      <c r="F155" s="381"/>
      <c r="G155" s="381"/>
      <c r="H155" s="381"/>
      <c r="I155" s="381"/>
      <c r="N155" s="81"/>
    </row>
    <row r="156" spans="1:14" s="79" customFormat="1" ht="15.75" customHeight="1" x14ac:dyDescent="0.2">
      <c r="A156" s="390" t="str">
        <f>'0664'!A156</f>
        <v xml:space="preserve">unweighted full-time equivalent students. </v>
      </c>
      <c r="B156" s="381"/>
      <c r="C156" s="381"/>
      <c r="D156" s="381"/>
      <c r="E156" s="381"/>
      <c r="F156" s="381"/>
      <c r="G156" s="381"/>
      <c r="H156" s="381"/>
      <c r="I156" s="381"/>
      <c r="N156" s="81"/>
    </row>
    <row r="157" spans="1:14" s="79" customFormat="1" ht="15.75" customHeight="1" x14ac:dyDescent="0.2">
      <c r="A157" s="356"/>
      <c r="B157" s="381"/>
      <c r="C157" s="381"/>
      <c r="D157" s="381"/>
      <c r="E157" s="381"/>
      <c r="F157" s="381"/>
      <c r="G157" s="381"/>
      <c r="H157" s="381"/>
      <c r="I157" s="381"/>
      <c r="N157" s="81"/>
    </row>
    <row r="158" spans="1:14" s="79" customFormat="1" ht="15.75" customHeight="1" x14ac:dyDescent="0.25">
      <c r="A158" s="398" t="str">
        <f>'0664'!A158</f>
        <v>Administrative fees:</v>
      </c>
      <c r="B158" s="328"/>
      <c r="C158" s="328"/>
      <c r="D158" s="328"/>
      <c r="E158" s="328"/>
      <c r="F158" s="328"/>
      <c r="G158" s="328"/>
      <c r="H158" s="328"/>
      <c r="I158" s="328"/>
      <c r="J158" s="3"/>
      <c r="K158" s="3"/>
      <c r="L158" s="3"/>
      <c r="M158" s="3"/>
      <c r="N158" s="81"/>
    </row>
    <row r="159" spans="1:14" s="79" customFormat="1" ht="15.75" customHeight="1" x14ac:dyDescent="0.25">
      <c r="A159" s="399" t="str">
        <f>'0664'!A159</f>
        <v xml:space="preserve">Administrative fees charged by the school district pursuant to s. 1002.33(20)(a), F.S., shall be calculated based upon 5% of available funds from the FEFP and categorical </v>
      </c>
      <c r="B159" s="328"/>
      <c r="C159" s="328"/>
      <c r="D159" s="328"/>
      <c r="E159" s="328"/>
      <c r="F159" s="328"/>
      <c r="G159" s="328"/>
      <c r="H159" s="328"/>
      <c r="I159" s="328"/>
      <c r="J159" s="3"/>
      <c r="K159" s="3"/>
      <c r="L159" s="3"/>
      <c r="M159" s="3"/>
      <c r="N159" s="81"/>
    </row>
    <row r="160" spans="1:14" s="79" customFormat="1" ht="15.75" customHeight="1" x14ac:dyDescent="0.25">
      <c r="A160" s="400" t="str">
        <f>'0664'!A160</f>
        <v>funding for which charter students may be eligible.  To calculate the administrative fee to be withheld for schools with more than 250 students, divide the school</v>
      </c>
      <c r="B160" s="328"/>
      <c r="C160" s="328"/>
      <c r="D160" s="328"/>
      <c r="E160" s="328"/>
      <c r="F160" s="328"/>
      <c r="G160" s="328"/>
      <c r="H160" s="328"/>
      <c r="I160" s="328"/>
      <c r="J160" s="3"/>
      <c r="K160" s="3"/>
      <c r="L160" s="3"/>
      <c r="M160" s="3"/>
      <c r="N160" s="81"/>
    </row>
    <row r="161" spans="1:21" s="79" customFormat="1" ht="15.75" customHeight="1" x14ac:dyDescent="0.25">
      <c r="A161" s="400" t="str">
        <f>'0664'!A161</f>
        <v xml:space="preserve">population into 250. Multiply that fraction times the funds available, then times 5%.  </v>
      </c>
      <c r="B161" s="328"/>
      <c r="C161" s="328"/>
      <c r="D161" s="328"/>
      <c r="E161" s="328"/>
      <c r="F161" s="328"/>
      <c r="G161" s="328"/>
      <c r="H161" s="328"/>
      <c r="I161" s="328"/>
      <c r="J161" s="3"/>
      <c r="K161" s="3"/>
      <c r="L161" s="3"/>
      <c r="M161" s="3"/>
      <c r="N161" s="81"/>
    </row>
    <row r="162" spans="1:21" s="79" customFormat="1" ht="15.75" customHeight="1" x14ac:dyDescent="0.25">
      <c r="A162" s="399"/>
      <c r="B162" s="394"/>
      <c r="C162" s="394"/>
      <c r="D162" s="394"/>
      <c r="E162" s="394"/>
      <c r="F162" s="394"/>
      <c r="G162" s="394"/>
      <c r="H162" s="394"/>
      <c r="I162" s="394"/>
      <c r="N162" s="77"/>
      <c r="O162" s="3"/>
      <c r="P162" s="3"/>
      <c r="Q162" s="3"/>
      <c r="R162" s="3"/>
      <c r="S162" s="3"/>
      <c r="T162" s="3"/>
      <c r="U162" s="3"/>
    </row>
    <row r="163" spans="1:21" ht="15.75" customHeight="1" x14ac:dyDescent="0.25">
      <c r="A163" s="399" t="str">
        <f>'0664'!A163</f>
        <v xml:space="preserve">For high performing charter schools, administrative fees charged by the school district shall be calculated based upon 2% of available funds from the FEFP and categorical </v>
      </c>
      <c r="B163" s="328"/>
      <c r="C163" s="328"/>
      <c r="D163" s="328"/>
      <c r="E163" s="328"/>
      <c r="F163" s="328"/>
      <c r="G163" s="328"/>
      <c r="H163" s="328"/>
      <c r="I163" s="328"/>
      <c r="J163" s="79"/>
      <c r="K163" s="79"/>
      <c r="L163" s="79"/>
      <c r="M163" s="79"/>
      <c r="N163" s="81"/>
      <c r="O163" s="79"/>
      <c r="P163" s="79"/>
      <c r="Q163" s="79"/>
      <c r="R163" s="79"/>
      <c r="S163" s="79"/>
      <c r="T163" s="79"/>
      <c r="U163" s="79"/>
    </row>
    <row r="164" spans="1:21" ht="15.75" customHeight="1" x14ac:dyDescent="0.25">
      <c r="A164" s="400" t="str">
        <f>'0664'!A164</f>
        <v>funding for which charter students may be eligible.  To calculate the administrative fee to be withheld for schools with more than 250 students, divide the school</v>
      </c>
      <c r="B164" s="381"/>
      <c r="C164" s="381"/>
      <c r="D164" s="381"/>
      <c r="E164" s="381"/>
      <c r="F164" s="381"/>
      <c r="G164" s="381"/>
      <c r="H164" s="381"/>
      <c r="I164" s="381"/>
      <c r="J164" s="79"/>
      <c r="K164" s="79"/>
      <c r="L164" s="79"/>
      <c r="M164" s="79"/>
      <c r="N164" s="81"/>
      <c r="O164" s="79"/>
      <c r="P164" s="79"/>
      <c r="Q164" s="79"/>
      <c r="R164" s="79"/>
      <c r="S164" s="79"/>
      <c r="T164" s="79"/>
      <c r="U164" s="79"/>
    </row>
    <row r="165" spans="1:21" s="79" customFormat="1" ht="15.75" customHeight="1" x14ac:dyDescent="0.2">
      <c r="A165" s="400" t="str">
        <f>'0664'!A165</f>
        <v xml:space="preserve">population into 250. Multiply that fraction times the funds available, then times 2%.  </v>
      </c>
      <c r="B165" s="328"/>
      <c r="C165" s="328"/>
      <c r="D165" s="328"/>
      <c r="E165" s="328"/>
      <c r="F165" s="328"/>
      <c r="G165" s="328"/>
      <c r="H165" s="328"/>
      <c r="I165" s="328"/>
      <c r="N165" s="81"/>
    </row>
    <row r="166" spans="1:21" x14ac:dyDescent="0.25">
      <c r="A166" s="356"/>
      <c r="N166" s="77"/>
    </row>
    <row r="167" spans="1:21" x14ac:dyDescent="0.25">
      <c r="A167" s="398" t="str">
        <f>'0664'!A167</f>
        <v>Other:</v>
      </c>
      <c r="N167" s="77"/>
    </row>
    <row r="168" spans="1:21" x14ac:dyDescent="0.25">
      <c r="A168" s="399" t="str">
        <f>'0664'!A168</f>
        <v>FEFP and categorical funding are recalculated during the year to reflect the revised number of full-time equivalent students reported during the survey periods designated</v>
      </c>
      <c r="N168" s="77"/>
    </row>
    <row r="169" spans="1:21" x14ac:dyDescent="0.25">
      <c r="A169" s="402" t="str">
        <f>'0664'!A169</f>
        <v>by the Commissioner of Education.</v>
      </c>
      <c r="N169" s="77"/>
    </row>
    <row r="170" spans="1:21" x14ac:dyDescent="0.25">
      <c r="A170" s="399" t="str">
        <f>'0664'!A170</f>
        <v>Revenues flow to districts from state sources and from county tax collectors on various distribution schedules.</v>
      </c>
      <c r="N170" s="77"/>
    </row>
    <row r="171" spans="1:21" x14ac:dyDescent="0.25">
      <c r="A171" s="77"/>
      <c r="N171" s="77"/>
    </row>
    <row r="172" spans="1:21" x14ac:dyDescent="0.25">
      <c r="A172" s="77"/>
      <c r="N172" s="77"/>
    </row>
    <row r="173" spans="1:21" x14ac:dyDescent="0.25">
      <c r="A173" s="77"/>
      <c r="N173" s="77"/>
    </row>
    <row r="174" spans="1:21" x14ac:dyDescent="0.25">
      <c r="A174" s="77"/>
      <c r="N174" s="77"/>
    </row>
    <row r="175" spans="1:21" x14ac:dyDescent="0.25">
      <c r="A175" s="77"/>
      <c r="N175" s="77"/>
    </row>
    <row r="176" spans="1:21" x14ac:dyDescent="0.25">
      <c r="A176" s="77"/>
      <c r="N176" s="77"/>
    </row>
    <row r="177" spans="1:14" x14ac:dyDescent="0.25">
      <c r="A177" s="77"/>
      <c r="N177" s="77"/>
    </row>
    <row r="178" spans="1:14" x14ac:dyDescent="0.25">
      <c r="A178" s="77"/>
      <c r="N178" s="77"/>
    </row>
    <row r="179" spans="1:14" x14ac:dyDescent="0.25">
      <c r="A179" s="77"/>
      <c r="N179" s="77"/>
    </row>
    <row r="180" spans="1:14" x14ac:dyDescent="0.25">
      <c r="A180" s="77"/>
      <c r="N180" s="77"/>
    </row>
    <row r="181" spans="1:14" x14ac:dyDescent="0.25">
      <c r="A181" s="77"/>
      <c r="N181" s="77"/>
    </row>
    <row r="182" spans="1:14" x14ac:dyDescent="0.25">
      <c r="A182" s="77"/>
      <c r="N182" s="77"/>
    </row>
    <row r="183" spans="1:14" x14ac:dyDescent="0.25">
      <c r="A183" s="77"/>
      <c r="N183" s="77"/>
    </row>
    <row r="184" spans="1:14" x14ac:dyDescent="0.25">
      <c r="A184" s="77"/>
      <c r="N184" s="77"/>
    </row>
    <row r="185" spans="1:14" x14ac:dyDescent="0.25">
      <c r="A185" s="77"/>
      <c r="N185" s="77"/>
    </row>
    <row r="186" spans="1:14" x14ac:dyDescent="0.25">
      <c r="A186" s="77"/>
      <c r="N186" s="77"/>
    </row>
    <row r="187" spans="1:14" x14ac:dyDescent="0.25">
      <c r="A187" s="77"/>
      <c r="N187" s="77"/>
    </row>
    <row r="188" spans="1:14" x14ac:dyDescent="0.25">
      <c r="A188" s="77"/>
    </row>
    <row r="189" spans="1:14" x14ac:dyDescent="0.25">
      <c r="A189" s="77"/>
    </row>
    <row r="190" spans="1:14" x14ac:dyDescent="0.25">
      <c r="A190" s="77"/>
    </row>
    <row r="191" spans="1:14" x14ac:dyDescent="0.25">
      <c r="A191" s="77"/>
    </row>
    <row r="192" spans="1:14" x14ac:dyDescent="0.25">
      <c r="A192" s="77"/>
    </row>
    <row r="193" spans="1:1" x14ac:dyDescent="0.25">
      <c r="A193" s="77"/>
    </row>
    <row r="194" spans="1:1" x14ac:dyDescent="0.25">
      <c r="A194" s="77"/>
    </row>
    <row r="195" spans="1:1" x14ac:dyDescent="0.25">
      <c r="A195" s="77"/>
    </row>
    <row r="196" spans="1:1" x14ac:dyDescent="0.25">
      <c r="A196" s="77"/>
    </row>
    <row r="197" spans="1:1" x14ac:dyDescent="0.25">
      <c r="A197" s="77"/>
    </row>
    <row r="198" spans="1:1" x14ac:dyDescent="0.25">
      <c r="A198" s="77"/>
    </row>
    <row r="199" spans="1:1" x14ac:dyDescent="0.25">
      <c r="A199" s="77"/>
    </row>
    <row r="200" spans="1:1" x14ac:dyDescent="0.25">
      <c r="A200" s="77"/>
    </row>
    <row r="201" spans="1:1" x14ac:dyDescent="0.25">
      <c r="A201" s="77"/>
    </row>
    <row r="202" spans="1:1" x14ac:dyDescent="0.25">
      <c r="A202" s="77"/>
    </row>
    <row r="203" spans="1:1" x14ac:dyDescent="0.25">
      <c r="A203" s="77"/>
    </row>
    <row r="204" spans="1:1" x14ac:dyDescent="0.25">
      <c r="A204" s="77"/>
    </row>
    <row r="205" spans="1:1" x14ac:dyDescent="0.25">
      <c r="A205" s="77"/>
    </row>
    <row r="206" spans="1:1" x14ac:dyDescent="0.25">
      <c r="A206" s="77"/>
    </row>
  </sheetData>
  <mergeCells count="266">
    <mergeCell ref="A112:C112"/>
    <mergeCell ref="F112:H112"/>
    <mergeCell ref="N112:P112"/>
    <mergeCell ref="A109:B109"/>
    <mergeCell ref="F109:G109"/>
    <mergeCell ref="N109:O109"/>
    <mergeCell ref="P109:Q109"/>
    <mergeCell ref="N139:U139"/>
    <mergeCell ref="N119:U119"/>
    <mergeCell ref="N113:P113"/>
    <mergeCell ref="A113:C113"/>
    <mergeCell ref="F113:H113"/>
    <mergeCell ref="N114:T114"/>
    <mergeCell ref="A115:H115"/>
    <mergeCell ref="A119:G119"/>
    <mergeCell ref="N120:U120"/>
    <mergeCell ref="A120:G120"/>
    <mergeCell ref="R109:S109"/>
    <mergeCell ref="A110:B110"/>
    <mergeCell ref="N110:O110"/>
    <mergeCell ref="A107:B107"/>
    <mergeCell ref="F107:G107"/>
    <mergeCell ref="N107:O107"/>
    <mergeCell ref="P107:Q107"/>
    <mergeCell ref="R107:S107"/>
    <mergeCell ref="A108:B108"/>
    <mergeCell ref="F108:G108"/>
    <mergeCell ref="N108:O108"/>
    <mergeCell ref="P108:Q108"/>
    <mergeCell ref="R108:S108"/>
    <mergeCell ref="A103:C103"/>
    <mergeCell ref="F103:I103"/>
    <mergeCell ref="N103:U103"/>
    <mergeCell ref="C104:E104"/>
    <mergeCell ref="F105:G105"/>
    <mergeCell ref="A106:B106"/>
    <mergeCell ref="F106:G106"/>
    <mergeCell ref="N106:O106"/>
    <mergeCell ref="P106:Q106"/>
    <mergeCell ref="R106:S106"/>
    <mergeCell ref="A99:B99"/>
    <mergeCell ref="N99:O99"/>
    <mergeCell ref="P99:R99"/>
    <mergeCell ref="A100:B100"/>
    <mergeCell ref="N100:O100"/>
    <mergeCell ref="P100:R100"/>
    <mergeCell ref="C91:D91"/>
    <mergeCell ref="P91:Q91"/>
    <mergeCell ref="C92:D92"/>
    <mergeCell ref="P92:Q92"/>
    <mergeCell ref="C93:D93"/>
    <mergeCell ref="P93:T93"/>
    <mergeCell ref="A94:I94"/>
    <mergeCell ref="N94:U94"/>
    <mergeCell ref="F96:I96"/>
    <mergeCell ref="N96:P96"/>
    <mergeCell ref="Q96:T96"/>
    <mergeCell ref="A87:I87"/>
    <mergeCell ref="N87:U87"/>
    <mergeCell ref="C88:D88"/>
    <mergeCell ref="C89:D89"/>
    <mergeCell ref="N89:O89"/>
    <mergeCell ref="P89:Q89"/>
    <mergeCell ref="R89:U89"/>
    <mergeCell ref="C90:D90"/>
    <mergeCell ref="P90:Q90"/>
    <mergeCell ref="A80:C80"/>
    <mergeCell ref="N80:P80"/>
    <mergeCell ref="A85:C85"/>
    <mergeCell ref="N85:P85"/>
    <mergeCell ref="F73:H73"/>
    <mergeCell ref="N73:T73"/>
    <mergeCell ref="N74:T74"/>
    <mergeCell ref="A78:C78"/>
    <mergeCell ref="N78:P78"/>
    <mergeCell ref="A79:C79"/>
    <mergeCell ref="A69:C69"/>
    <mergeCell ref="N69:P69"/>
    <mergeCell ref="N79:P79"/>
    <mergeCell ref="A76:C76"/>
    <mergeCell ref="N76:P76"/>
    <mergeCell ref="A77:C77"/>
    <mergeCell ref="A70:C70"/>
    <mergeCell ref="A71:C71"/>
    <mergeCell ref="N71:P71"/>
    <mergeCell ref="A72:C72"/>
    <mergeCell ref="N77:P77"/>
    <mergeCell ref="N72:P72"/>
    <mergeCell ref="A65:B65"/>
    <mergeCell ref="D65:G65"/>
    <mergeCell ref="N65:O65"/>
    <mergeCell ref="Q65:S65"/>
    <mergeCell ref="T65:U65"/>
    <mergeCell ref="N66:S66"/>
    <mergeCell ref="T66:U66"/>
    <mergeCell ref="A68:C68"/>
    <mergeCell ref="N68:P68"/>
    <mergeCell ref="A62:B62"/>
    <mergeCell ref="D62:G62"/>
    <mergeCell ref="N62:O62"/>
    <mergeCell ref="Q62:S62"/>
    <mergeCell ref="T62:U62"/>
    <mergeCell ref="N63:S63"/>
    <mergeCell ref="T63:U63"/>
    <mergeCell ref="A64:I64"/>
    <mergeCell ref="N64:U64"/>
    <mergeCell ref="A59:B59"/>
    <mergeCell ref="F59:H59"/>
    <mergeCell ref="N59:O59"/>
    <mergeCell ref="P59:Q59"/>
    <mergeCell ref="R59:T59"/>
    <mergeCell ref="A60:I60"/>
    <mergeCell ref="N60:U60"/>
    <mergeCell ref="A61:I61"/>
    <mergeCell ref="N61:U61"/>
    <mergeCell ref="A50:B58"/>
    <mergeCell ref="N50:O58"/>
    <mergeCell ref="P50:Q50"/>
    <mergeCell ref="P51:Q51"/>
    <mergeCell ref="P52:Q52"/>
    <mergeCell ref="P53:Q53"/>
    <mergeCell ref="P54:Q54"/>
    <mergeCell ref="P55:Q55"/>
    <mergeCell ref="P56:Q56"/>
    <mergeCell ref="P57:Q57"/>
    <mergeCell ref="P58:Q58"/>
    <mergeCell ref="A42:B42"/>
    <mergeCell ref="N42:O42"/>
    <mergeCell ref="P42:T42"/>
    <mergeCell ref="N43:Q43"/>
    <mergeCell ref="S43:T43"/>
    <mergeCell ref="N45:Q45"/>
    <mergeCell ref="S45:T45"/>
    <mergeCell ref="N49:O49"/>
    <mergeCell ref="P49:Q49"/>
    <mergeCell ref="A39:B39"/>
    <mergeCell ref="N39:O39"/>
    <mergeCell ref="P39:T39"/>
    <mergeCell ref="A40:B40"/>
    <mergeCell ref="N40:O40"/>
    <mergeCell ref="P40:T40"/>
    <mergeCell ref="A41:B41"/>
    <mergeCell ref="N41:O41"/>
    <mergeCell ref="P41:T41"/>
    <mergeCell ref="N34:T34"/>
    <mergeCell ref="A36:B36"/>
    <mergeCell ref="N36:O36"/>
    <mergeCell ref="P36:T36"/>
    <mergeCell ref="A37:B37"/>
    <mergeCell ref="N37:O37"/>
    <mergeCell ref="P37:T37"/>
    <mergeCell ref="F33:H36"/>
    <mergeCell ref="A38:B38"/>
    <mergeCell ref="N38:O38"/>
    <mergeCell ref="P38:T38"/>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A20:B20"/>
    <mergeCell ref="F20:G20"/>
    <mergeCell ref="N20:O20"/>
    <mergeCell ref="P20:Q20"/>
    <mergeCell ref="R20:S20"/>
    <mergeCell ref="A21:B21"/>
    <mergeCell ref="F21:G21"/>
    <mergeCell ref="N21:O21"/>
    <mergeCell ref="P21:Q21"/>
    <mergeCell ref="R21:S21"/>
    <mergeCell ref="A18:B18"/>
    <mergeCell ref="F18:G18"/>
    <mergeCell ref="N18:O18"/>
    <mergeCell ref="P18:Q18"/>
    <mergeCell ref="R18:S18"/>
    <mergeCell ref="A19:B19"/>
    <mergeCell ref="F19:G19"/>
    <mergeCell ref="N19:O19"/>
    <mergeCell ref="P19:Q19"/>
    <mergeCell ref="R19:S19"/>
    <mergeCell ref="A16:B16"/>
    <mergeCell ref="F16:G16"/>
    <mergeCell ref="N16:O16"/>
    <mergeCell ref="P16:Q16"/>
    <mergeCell ref="R16:S16"/>
    <mergeCell ref="A17:B17"/>
    <mergeCell ref="F17:G17"/>
    <mergeCell ref="N17:O17"/>
    <mergeCell ref="P17:Q17"/>
    <mergeCell ref="R17:S17"/>
    <mergeCell ref="A14:B14"/>
    <mergeCell ref="F14:G14"/>
    <mergeCell ref="N14:O14"/>
    <mergeCell ref="P14:Q14"/>
    <mergeCell ref="R14:S14"/>
    <mergeCell ref="A15:B15"/>
    <mergeCell ref="F15:G15"/>
    <mergeCell ref="N15:O15"/>
    <mergeCell ref="P15:Q15"/>
    <mergeCell ref="R15:S15"/>
    <mergeCell ref="A12:B12"/>
    <mergeCell ref="F12:G12"/>
    <mergeCell ref="N12:O12"/>
    <mergeCell ref="P12:Q12"/>
    <mergeCell ref="R12:S12"/>
    <mergeCell ref="A13:B13"/>
    <mergeCell ref="F13:G13"/>
    <mergeCell ref="N13:O13"/>
    <mergeCell ref="P13:Q13"/>
    <mergeCell ref="R13:S13"/>
    <mergeCell ref="N8:O8"/>
    <mergeCell ref="P8:Q8"/>
    <mergeCell ref="R8:S8"/>
    <mergeCell ref="T8:U8"/>
    <mergeCell ref="F10:G10"/>
    <mergeCell ref="R10:S10"/>
    <mergeCell ref="A11:B11"/>
    <mergeCell ref="F11:G11"/>
    <mergeCell ref="N11:O11"/>
    <mergeCell ref="P11:Q11"/>
    <mergeCell ref="R11:S11"/>
    <mergeCell ref="B1:I1"/>
    <mergeCell ref="O1:U1"/>
    <mergeCell ref="N2:U2"/>
    <mergeCell ref="N3:U3"/>
    <mergeCell ref="A4:B4"/>
    <mergeCell ref="C4:E4"/>
    <mergeCell ref="N4:O4"/>
    <mergeCell ref="P4:Q4"/>
    <mergeCell ref="A7:I7"/>
    <mergeCell ref="N7:U7"/>
  </mergeCells>
  <pageMargins left="0.1" right="0.1" top="0.5" bottom="0.5" header="0" footer="0.1"/>
  <pageSetup scale="70" fitToHeight="3" orientation="portrait" r:id="rId1"/>
  <headerFooter alignWithMargins="0">
    <oddFooter>&amp;R&amp;P of &amp;N</oddFooter>
  </headerFooter>
  <rowBreaks count="1" manualBreakCount="1">
    <brk id="138" max="16383" man="1"/>
  </rowBreaks>
  <colBreaks count="1" manualBreakCount="1">
    <brk id="9"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5">
    <tabColor rgb="FFCCFFCC"/>
  </sheetPr>
  <dimension ref="A1:U206"/>
  <sheetViews>
    <sheetView showGridLines="0" zoomScaleNormal="100" workbookViewId="0">
      <pane ySplit="1" topLeftCell="A11" activePane="bottomLeft" state="frozen"/>
      <selection activeCell="I9" sqref="I9"/>
      <selection pane="bottomLeft" activeCell="D50" sqref="D50:D58"/>
    </sheetView>
  </sheetViews>
  <sheetFormatPr defaultRowHeight="15.75" x14ac:dyDescent="0.25"/>
  <cols>
    <col min="1" max="1" width="10.28515625" style="72"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72"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5">
        <v>50</v>
      </c>
      <c r="B1" s="441" t="s">
        <v>17</v>
      </c>
      <c r="C1" s="442"/>
      <c r="D1" s="442"/>
      <c r="E1" s="442"/>
      <c r="F1" s="442"/>
      <c r="G1" s="442"/>
      <c r="H1" s="442"/>
      <c r="I1" s="442"/>
      <c r="J1" s="157"/>
      <c r="K1" s="157"/>
      <c r="L1" s="157"/>
      <c r="N1" s="85">
        <f>A1</f>
        <v>50</v>
      </c>
      <c r="O1" s="527" t="s">
        <v>17</v>
      </c>
      <c r="P1" s="528"/>
      <c r="Q1" s="528"/>
      <c r="R1" s="528"/>
      <c r="S1" s="528"/>
      <c r="T1" s="528"/>
      <c r="U1" s="528"/>
    </row>
    <row r="2" spans="1:21" ht="21" x14ac:dyDescent="0.35">
      <c r="A2" s="1" t="s">
        <v>172</v>
      </c>
      <c r="B2" s="2"/>
      <c r="C2" s="2"/>
      <c r="D2" s="2"/>
      <c r="E2" s="2"/>
      <c r="F2" s="2"/>
      <c r="G2" s="2"/>
      <c r="H2" s="2"/>
      <c r="I2" s="2"/>
      <c r="N2" s="529" t="s">
        <v>23</v>
      </c>
      <c r="O2" s="529"/>
      <c r="P2" s="529"/>
      <c r="Q2" s="529"/>
      <c r="R2" s="529"/>
      <c r="S2" s="529"/>
      <c r="T2" s="529"/>
      <c r="U2" s="529"/>
    </row>
    <row r="3" spans="1:21" x14ac:dyDescent="0.25">
      <c r="A3" s="84" t="str">
        <f>'0664'!A3</f>
        <v>Based on the FLDOE 2022-23 FEFP Third Calculation</v>
      </c>
      <c r="N3" s="485" t="str">
        <f>A3</f>
        <v>Based on the FLDOE 2022-23 FEFP Third Calculation</v>
      </c>
      <c r="O3" s="485"/>
      <c r="P3" s="485"/>
      <c r="Q3" s="485"/>
      <c r="R3" s="485"/>
      <c r="S3" s="485"/>
      <c r="T3" s="485"/>
      <c r="U3" s="485"/>
    </row>
    <row r="4" spans="1:21" x14ac:dyDescent="0.25">
      <c r="A4" s="443" t="s">
        <v>0</v>
      </c>
      <c r="B4" s="443"/>
      <c r="C4" s="444" t="s">
        <v>9</v>
      </c>
      <c r="D4" s="444"/>
      <c r="E4" s="444"/>
      <c r="F4" s="4" t="str">
        <f>'0664'!F4</f>
        <v>Apr 2023</v>
      </c>
      <c r="G4" s="4"/>
      <c r="H4" s="4"/>
      <c r="I4" s="4"/>
      <c r="N4" s="530" t="s">
        <v>0</v>
      </c>
      <c r="O4" s="530"/>
      <c r="P4" s="531" t="str">
        <f>C4</f>
        <v>Palm Beach</v>
      </c>
      <c r="Q4" s="531"/>
      <c r="R4" s="5"/>
      <c r="S4" s="5"/>
      <c r="T4" s="5"/>
      <c r="U4" s="5"/>
    </row>
    <row r="5" spans="1:21" ht="12" customHeight="1" thickBot="1" x14ac:dyDescent="0.3">
      <c r="A5" s="262"/>
      <c r="B5" s="262"/>
      <c r="C5" s="253"/>
      <c r="D5" s="253"/>
      <c r="E5" s="253"/>
      <c r="F5" s="254"/>
      <c r="G5" s="254"/>
      <c r="H5" s="254"/>
      <c r="I5" s="254"/>
      <c r="N5" s="86"/>
      <c r="O5" s="86"/>
      <c r="P5" s="6"/>
      <c r="Q5" s="6"/>
      <c r="R5" s="5"/>
      <c r="S5" s="5"/>
      <c r="T5" s="5"/>
      <c r="U5" s="5"/>
    </row>
    <row r="6" spans="1:21" ht="12" customHeight="1" x14ac:dyDescent="0.25">
      <c r="A6" s="150"/>
      <c r="B6" s="150"/>
      <c r="C6" s="261"/>
      <c r="D6" s="261"/>
      <c r="E6" s="261"/>
      <c r="F6" s="4"/>
      <c r="G6" s="4"/>
      <c r="H6" s="4"/>
      <c r="I6" s="4"/>
      <c r="N6" s="86"/>
      <c r="O6" s="86"/>
      <c r="P6" s="6"/>
      <c r="Q6" s="6"/>
      <c r="R6" s="5"/>
      <c r="S6" s="5"/>
      <c r="T6" s="5"/>
      <c r="U6" s="5"/>
    </row>
    <row r="7" spans="1:21" x14ac:dyDescent="0.25">
      <c r="A7" s="445" t="str">
        <f>'0664'!A7:I7</f>
        <v>1.   2022-23 FEFP State and Local Funding</v>
      </c>
      <c r="B7" s="533"/>
      <c r="C7" s="533"/>
      <c r="D7" s="533"/>
      <c r="E7" s="533"/>
      <c r="F7" s="533"/>
      <c r="G7" s="533"/>
      <c r="H7" s="533"/>
      <c r="I7" s="533"/>
      <c r="N7" s="530" t="s">
        <v>86</v>
      </c>
      <c r="O7" s="530"/>
      <c r="P7" s="530"/>
      <c r="Q7" s="530"/>
      <c r="R7" s="530"/>
      <c r="S7" s="530"/>
      <c r="T7" s="530"/>
      <c r="U7" s="530"/>
    </row>
    <row r="8" spans="1:21" x14ac:dyDescent="0.25">
      <c r="A8" s="87"/>
      <c r="B8" s="88" t="s">
        <v>123</v>
      </c>
      <c r="C8" s="334">
        <f>'0664'!C8</f>
        <v>4587.3999999999996</v>
      </c>
      <c r="D8" s="89"/>
      <c r="E8" s="90"/>
      <c r="F8" s="87"/>
      <c r="G8" s="88" t="s">
        <v>122</v>
      </c>
      <c r="H8" s="320">
        <f>'0664'!H8</f>
        <v>1.0438000000000001</v>
      </c>
      <c r="I8" s="78"/>
      <c r="N8" s="534" t="s">
        <v>10</v>
      </c>
      <c r="O8" s="534"/>
      <c r="P8" s="535">
        <v>4154.45</v>
      </c>
      <c r="Q8" s="535"/>
      <c r="R8" s="518" t="s">
        <v>11</v>
      </c>
      <c r="S8" s="518"/>
      <c r="T8" s="519">
        <f>H8</f>
        <v>1.0438000000000001</v>
      </c>
      <c r="U8" s="519"/>
    </row>
    <row r="9" spans="1:21" x14ac:dyDescent="0.25">
      <c r="A9" s="7"/>
      <c r="B9" s="44" t="s">
        <v>370</v>
      </c>
      <c r="C9" s="372" t="s">
        <v>370</v>
      </c>
      <c r="D9" s="372" t="s">
        <v>370</v>
      </c>
      <c r="E9" s="8"/>
      <c r="F9" s="9"/>
      <c r="G9" s="9"/>
      <c r="H9" s="10"/>
      <c r="I9" s="340" t="str">
        <f>'0664'!I9</f>
        <v>2022-23</v>
      </c>
      <c r="N9" s="12"/>
      <c r="O9" s="12"/>
      <c r="P9" s="13"/>
      <c r="Q9" s="13"/>
      <c r="R9" s="14"/>
      <c r="S9" s="14"/>
      <c r="T9" s="15"/>
      <c r="U9" s="405" t="s">
        <v>405</v>
      </c>
    </row>
    <row r="10" spans="1:21" x14ac:dyDescent="0.25">
      <c r="A10" s="7"/>
      <c r="B10" s="7"/>
      <c r="C10" s="91" t="s">
        <v>463</v>
      </c>
      <c r="D10" s="371" t="s">
        <v>464</v>
      </c>
      <c r="E10" s="92" t="s">
        <v>8</v>
      </c>
      <c r="F10" s="446" t="s">
        <v>1</v>
      </c>
      <c r="G10" s="446"/>
      <c r="H10" s="10" t="s">
        <v>73</v>
      </c>
      <c r="I10" s="11" t="s">
        <v>36</v>
      </c>
      <c r="N10" s="12"/>
      <c r="O10" s="12"/>
      <c r="P10" s="13"/>
      <c r="Q10" s="13"/>
      <c r="R10" s="520" t="s">
        <v>1</v>
      </c>
      <c r="S10" s="520"/>
      <c r="T10" s="15" t="s">
        <v>73</v>
      </c>
      <c r="U10" s="16" t="s">
        <v>36</v>
      </c>
    </row>
    <row r="11" spans="1:21" x14ac:dyDescent="0.25">
      <c r="A11" s="447" t="s">
        <v>1</v>
      </c>
      <c r="B11" s="447"/>
      <c r="C11" s="362" t="s">
        <v>2</v>
      </c>
      <c r="D11" s="362" t="s">
        <v>2</v>
      </c>
      <c r="E11" s="362" t="s">
        <v>2</v>
      </c>
      <c r="F11" s="448" t="s">
        <v>76</v>
      </c>
      <c r="G11" s="448"/>
      <c r="H11" s="17" t="s">
        <v>72</v>
      </c>
      <c r="I11" s="18" t="s">
        <v>75</v>
      </c>
      <c r="N11" s="510" t="s">
        <v>1</v>
      </c>
      <c r="O11" s="510"/>
      <c r="P11" s="521" t="s">
        <v>24</v>
      </c>
      <c r="Q11" s="521"/>
      <c r="R11" s="522" t="s">
        <v>76</v>
      </c>
      <c r="S11" s="522"/>
      <c r="T11" s="19" t="s">
        <v>72</v>
      </c>
      <c r="U11" s="20" t="s">
        <v>75</v>
      </c>
    </row>
    <row r="12" spans="1:21" x14ac:dyDescent="0.25">
      <c r="A12" s="449" t="s">
        <v>47</v>
      </c>
      <c r="B12" s="449"/>
      <c r="C12" s="94"/>
      <c r="D12" s="94"/>
      <c r="E12" s="95" t="s">
        <v>48</v>
      </c>
      <c r="F12" s="450" t="s">
        <v>49</v>
      </c>
      <c r="G12" s="450"/>
      <c r="H12" s="21" t="s">
        <v>50</v>
      </c>
      <c r="I12" s="22" t="s">
        <v>51</v>
      </c>
      <c r="N12" s="523" t="s">
        <v>47</v>
      </c>
      <c r="O12" s="523"/>
      <c r="P12" s="524" t="s">
        <v>48</v>
      </c>
      <c r="Q12" s="524"/>
      <c r="R12" s="525" t="s">
        <v>49</v>
      </c>
      <c r="S12" s="525"/>
      <c r="T12" s="23" t="s">
        <v>50</v>
      </c>
      <c r="U12" s="24" t="s">
        <v>51</v>
      </c>
    </row>
    <row r="13" spans="1:21" x14ac:dyDescent="0.25">
      <c r="A13" s="451" t="s">
        <v>29</v>
      </c>
      <c r="B13" s="451"/>
      <c r="C13" s="165">
        <v>61.16</v>
      </c>
      <c r="D13" s="163">
        <v>60.43</v>
      </c>
      <c r="E13" s="210">
        <f>IF(D$29=0,C13*2,C13+D13)</f>
        <v>121.59</v>
      </c>
      <c r="F13" s="537">
        <f>'0664'!F13:G13</f>
        <v>1.1259999999999999</v>
      </c>
      <c r="G13" s="537"/>
      <c r="H13" s="167">
        <f>ROUND(E13*F13,4)</f>
        <v>136.91030000000001</v>
      </c>
      <c r="I13" s="119">
        <f t="shared" ref="I13:I28" si="0">ROUND(ROUND(H13*$C$8,4)*($H$8),2)</f>
        <v>655571.43999999994</v>
      </c>
      <c r="N13" s="512" t="s">
        <v>29</v>
      </c>
      <c r="O13" s="512"/>
      <c r="P13" s="513">
        <f t="shared" ref="P13:P28" si="1">IF($H$120=1,E13,0)</f>
        <v>0</v>
      </c>
      <c r="Q13" s="513"/>
      <c r="R13" s="526">
        <v>1</v>
      </c>
      <c r="S13" s="526"/>
      <c r="T13" s="98">
        <f>ROUND(P13*R13,4)</f>
        <v>0</v>
      </c>
      <c r="U13" s="99">
        <f t="shared" ref="U13:U28" si="2">ROUND(ROUND(T13*$C$8,4)*($H$8),0)</f>
        <v>0</v>
      </c>
    </row>
    <row r="14" spans="1:21" x14ac:dyDescent="0.25">
      <c r="A14" s="453" t="s">
        <v>30</v>
      </c>
      <c r="B14" s="453"/>
      <c r="C14" s="165">
        <v>19</v>
      </c>
      <c r="D14" s="165">
        <v>18</v>
      </c>
      <c r="E14" s="125">
        <f t="shared" ref="E14:E28" si="3">IF(D$29=0,C14*2,C14+D14)</f>
        <v>37</v>
      </c>
      <c r="F14" s="532">
        <f>'0664'!F14:G14</f>
        <v>1.1259999999999999</v>
      </c>
      <c r="G14" s="532"/>
      <c r="H14" s="83">
        <f t="shared" ref="H14:H28" si="4">ROUND(E14*F14,4)</f>
        <v>41.661999999999999</v>
      </c>
      <c r="I14" s="104">
        <f t="shared" si="0"/>
        <v>199491.33</v>
      </c>
      <c r="J14" s="68" t="str">
        <f>IF(ROUND(E14,2)=ROUND(SUM(E50:E52),2)," ","CHECK PK-3 LINES BELOW")</f>
        <v xml:space="preserve"> </v>
      </c>
      <c r="N14" s="479" t="s">
        <v>30</v>
      </c>
      <c r="O14" s="479"/>
      <c r="P14" s="513">
        <f t="shared" si="1"/>
        <v>0</v>
      </c>
      <c r="Q14" s="513"/>
      <c r="R14" s="517">
        <v>1</v>
      </c>
      <c r="S14" s="517"/>
      <c r="T14" s="98">
        <f t="shared" ref="T14:T28" si="5">ROUND(P14*R14,4)</f>
        <v>0</v>
      </c>
      <c r="U14" s="99">
        <f t="shared" si="2"/>
        <v>0</v>
      </c>
    </row>
    <row r="15" spans="1:21" x14ac:dyDescent="0.25">
      <c r="A15" s="453" t="s">
        <v>31</v>
      </c>
      <c r="B15" s="453"/>
      <c r="C15" s="165">
        <v>28.85</v>
      </c>
      <c r="D15" s="165">
        <v>28.35</v>
      </c>
      <c r="E15" s="125">
        <f t="shared" si="3"/>
        <v>57.2</v>
      </c>
      <c r="F15" s="532">
        <f>'0664'!F15:G15</f>
        <v>1</v>
      </c>
      <c r="G15" s="532"/>
      <c r="H15" s="83">
        <f t="shared" si="4"/>
        <v>57.2</v>
      </c>
      <c r="I15" s="104">
        <f t="shared" si="0"/>
        <v>273892.37</v>
      </c>
      <c r="N15" s="479" t="s">
        <v>31</v>
      </c>
      <c r="O15" s="479"/>
      <c r="P15" s="513">
        <f t="shared" si="1"/>
        <v>0</v>
      </c>
      <c r="Q15" s="513"/>
      <c r="R15" s="517">
        <v>1</v>
      </c>
      <c r="S15" s="517"/>
      <c r="T15" s="98">
        <f t="shared" si="5"/>
        <v>0</v>
      </c>
      <c r="U15" s="99">
        <f t="shared" si="2"/>
        <v>0</v>
      </c>
    </row>
    <row r="16" spans="1:21" x14ac:dyDescent="0.25">
      <c r="A16" s="453" t="s">
        <v>32</v>
      </c>
      <c r="B16" s="453"/>
      <c r="C16" s="165">
        <v>8.5</v>
      </c>
      <c r="D16" s="165">
        <v>9</v>
      </c>
      <c r="E16" s="125">
        <f t="shared" si="3"/>
        <v>17.5</v>
      </c>
      <c r="F16" s="532">
        <f>'0664'!F16:G16</f>
        <v>1</v>
      </c>
      <c r="G16" s="532"/>
      <c r="H16" s="83">
        <f t="shared" si="4"/>
        <v>17.5</v>
      </c>
      <c r="I16" s="104">
        <f t="shared" si="0"/>
        <v>83795.740000000005</v>
      </c>
      <c r="J16" s="68" t="str">
        <f>IF(ROUND(E16,2)=ROUND(SUM(E53:E55),2)," ","CHECK 4-8 LINES BELOW")</f>
        <v xml:space="preserve"> </v>
      </c>
      <c r="N16" s="479" t="s">
        <v>32</v>
      </c>
      <c r="O16" s="479"/>
      <c r="P16" s="513">
        <f t="shared" si="1"/>
        <v>0</v>
      </c>
      <c r="Q16" s="513"/>
      <c r="R16" s="517">
        <v>1</v>
      </c>
      <c r="S16" s="517"/>
      <c r="T16" s="98">
        <f t="shared" si="5"/>
        <v>0</v>
      </c>
      <c r="U16" s="99">
        <f t="shared" si="2"/>
        <v>0</v>
      </c>
    </row>
    <row r="17" spans="1:21" x14ac:dyDescent="0.25">
      <c r="A17" s="453" t="s">
        <v>33</v>
      </c>
      <c r="B17" s="453"/>
      <c r="C17" s="165">
        <v>0</v>
      </c>
      <c r="D17" s="165">
        <v>0</v>
      </c>
      <c r="E17" s="125">
        <f t="shared" si="3"/>
        <v>0</v>
      </c>
      <c r="F17" s="532">
        <f>'0664'!F17:G17</f>
        <v>0.999</v>
      </c>
      <c r="G17" s="532"/>
      <c r="H17" s="83">
        <f t="shared" si="4"/>
        <v>0</v>
      </c>
      <c r="I17" s="104">
        <f t="shared" si="0"/>
        <v>0</v>
      </c>
      <c r="N17" s="479" t="s">
        <v>33</v>
      </c>
      <c r="O17" s="479"/>
      <c r="P17" s="513">
        <f t="shared" si="1"/>
        <v>0</v>
      </c>
      <c r="Q17" s="513"/>
      <c r="R17" s="517">
        <v>1</v>
      </c>
      <c r="S17" s="517"/>
      <c r="T17" s="98">
        <f t="shared" si="5"/>
        <v>0</v>
      </c>
      <c r="U17" s="99">
        <f t="shared" si="2"/>
        <v>0</v>
      </c>
    </row>
    <row r="18" spans="1:21" x14ac:dyDescent="0.25">
      <c r="A18" s="453" t="s">
        <v>34</v>
      </c>
      <c r="B18" s="453"/>
      <c r="C18" s="165">
        <v>0</v>
      </c>
      <c r="D18" s="165">
        <v>0</v>
      </c>
      <c r="E18" s="125">
        <f t="shared" si="3"/>
        <v>0</v>
      </c>
      <c r="F18" s="532">
        <f>'0664'!F18:G18</f>
        <v>0.999</v>
      </c>
      <c r="G18" s="532"/>
      <c r="H18" s="83">
        <f t="shared" si="4"/>
        <v>0</v>
      </c>
      <c r="I18" s="104">
        <f t="shared" si="0"/>
        <v>0</v>
      </c>
      <c r="J18" s="68" t="str">
        <f>IF(ROUND(E18,2)=ROUND(SUM(E56:E58),2)," ","CHECK 4-8 LINES BELOW")</f>
        <v xml:space="preserve"> </v>
      </c>
      <c r="N18" s="479" t="s">
        <v>34</v>
      </c>
      <c r="O18" s="479"/>
      <c r="P18" s="513">
        <f t="shared" si="1"/>
        <v>0</v>
      </c>
      <c r="Q18" s="513"/>
      <c r="R18" s="517">
        <v>1</v>
      </c>
      <c r="S18" s="517"/>
      <c r="T18" s="98">
        <f t="shared" si="5"/>
        <v>0</v>
      </c>
      <c r="U18" s="101">
        <f t="shared" si="2"/>
        <v>0</v>
      </c>
    </row>
    <row r="19" spans="1:21" x14ac:dyDescent="0.25">
      <c r="A19" s="453" t="s">
        <v>108</v>
      </c>
      <c r="B19" s="453"/>
      <c r="C19" s="165">
        <v>0</v>
      </c>
      <c r="D19" s="165">
        <v>0</v>
      </c>
      <c r="E19" s="125">
        <f t="shared" si="3"/>
        <v>0</v>
      </c>
      <c r="F19" s="532">
        <f>'0664'!F19:G19</f>
        <v>3.6739999999999999</v>
      </c>
      <c r="G19" s="532"/>
      <c r="H19" s="83">
        <f t="shared" si="4"/>
        <v>0</v>
      </c>
      <c r="I19" s="104">
        <f t="shared" si="0"/>
        <v>0</v>
      </c>
      <c r="N19" s="479" t="s">
        <v>108</v>
      </c>
      <c r="O19" s="479"/>
      <c r="P19" s="513">
        <f t="shared" si="1"/>
        <v>0</v>
      </c>
      <c r="Q19" s="513"/>
      <c r="R19" s="517">
        <v>1</v>
      </c>
      <c r="S19" s="517"/>
      <c r="T19" s="98">
        <f t="shared" si="5"/>
        <v>0</v>
      </c>
      <c r="U19" s="99">
        <f t="shared" si="2"/>
        <v>0</v>
      </c>
    </row>
    <row r="20" spans="1:21" x14ac:dyDescent="0.25">
      <c r="A20" s="453" t="s">
        <v>109</v>
      </c>
      <c r="B20" s="453"/>
      <c r="C20" s="165">
        <v>0</v>
      </c>
      <c r="D20" s="165">
        <v>0</v>
      </c>
      <c r="E20" s="125">
        <f t="shared" si="3"/>
        <v>0</v>
      </c>
      <c r="F20" s="532">
        <f>'0664'!F20:G20</f>
        <v>3.6739999999999999</v>
      </c>
      <c r="G20" s="532"/>
      <c r="H20" s="83">
        <f t="shared" si="4"/>
        <v>0</v>
      </c>
      <c r="I20" s="104">
        <f t="shared" si="0"/>
        <v>0</v>
      </c>
      <c r="N20" s="479" t="s">
        <v>109</v>
      </c>
      <c r="O20" s="479"/>
      <c r="P20" s="513">
        <f t="shared" si="1"/>
        <v>0</v>
      </c>
      <c r="Q20" s="513"/>
      <c r="R20" s="517">
        <v>1</v>
      </c>
      <c r="S20" s="517"/>
      <c r="T20" s="98">
        <f t="shared" si="5"/>
        <v>0</v>
      </c>
      <c r="U20" s="99">
        <f t="shared" si="2"/>
        <v>0</v>
      </c>
    </row>
    <row r="21" spans="1:21" x14ac:dyDescent="0.25">
      <c r="A21" s="453" t="s">
        <v>110</v>
      </c>
      <c r="B21" s="453"/>
      <c r="C21" s="165">
        <v>0</v>
      </c>
      <c r="D21" s="165">
        <v>0</v>
      </c>
      <c r="E21" s="125">
        <f t="shared" si="3"/>
        <v>0</v>
      </c>
      <c r="F21" s="532">
        <f>'0664'!F21:G21</f>
        <v>3.6739999999999999</v>
      </c>
      <c r="G21" s="532"/>
      <c r="H21" s="83">
        <f t="shared" si="4"/>
        <v>0</v>
      </c>
      <c r="I21" s="104">
        <f t="shared" si="0"/>
        <v>0</v>
      </c>
      <c r="N21" s="479" t="s">
        <v>110</v>
      </c>
      <c r="O21" s="479"/>
      <c r="P21" s="513">
        <f t="shared" si="1"/>
        <v>0</v>
      </c>
      <c r="Q21" s="513"/>
      <c r="R21" s="517">
        <v>1</v>
      </c>
      <c r="S21" s="517"/>
      <c r="T21" s="98">
        <f t="shared" si="5"/>
        <v>0</v>
      </c>
      <c r="U21" s="99">
        <f t="shared" si="2"/>
        <v>0</v>
      </c>
    </row>
    <row r="22" spans="1:21" x14ac:dyDescent="0.25">
      <c r="A22" s="453" t="s">
        <v>111</v>
      </c>
      <c r="B22" s="453"/>
      <c r="C22" s="165">
        <v>0</v>
      </c>
      <c r="D22" s="165">
        <v>0</v>
      </c>
      <c r="E22" s="125">
        <f t="shared" si="3"/>
        <v>0</v>
      </c>
      <c r="F22" s="532">
        <f>'0664'!F22:G22</f>
        <v>5.4009999999999998</v>
      </c>
      <c r="G22" s="532"/>
      <c r="H22" s="83">
        <f t="shared" si="4"/>
        <v>0</v>
      </c>
      <c r="I22" s="104">
        <f t="shared" si="0"/>
        <v>0</v>
      </c>
      <c r="N22" s="479" t="s">
        <v>111</v>
      </c>
      <c r="O22" s="479"/>
      <c r="P22" s="513">
        <f t="shared" si="1"/>
        <v>0</v>
      </c>
      <c r="Q22" s="513"/>
      <c r="R22" s="517">
        <v>1</v>
      </c>
      <c r="S22" s="517"/>
      <c r="T22" s="98">
        <f t="shared" si="5"/>
        <v>0</v>
      </c>
      <c r="U22" s="99">
        <f t="shared" si="2"/>
        <v>0</v>
      </c>
    </row>
    <row r="23" spans="1:21" x14ac:dyDescent="0.25">
      <c r="A23" s="453" t="s">
        <v>112</v>
      </c>
      <c r="B23" s="453"/>
      <c r="C23" s="165">
        <v>0</v>
      </c>
      <c r="D23" s="165">
        <v>0</v>
      </c>
      <c r="E23" s="125">
        <f t="shared" si="3"/>
        <v>0</v>
      </c>
      <c r="F23" s="532">
        <f>'0664'!F23:G23</f>
        <v>5.4009999999999998</v>
      </c>
      <c r="G23" s="532"/>
      <c r="H23" s="83">
        <f t="shared" si="4"/>
        <v>0</v>
      </c>
      <c r="I23" s="104">
        <f t="shared" si="0"/>
        <v>0</v>
      </c>
      <c r="N23" s="479" t="s">
        <v>112</v>
      </c>
      <c r="O23" s="479"/>
      <c r="P23" s="513">
        <f t="shared" si="1"/>
        <v>0</v>
      </c>
      <c r="Q23" s="513"/>
      <c r="R23" s="517">
        <v>1</v>
      </c>
      <c r="S23" s="517"/>
      <c r="T23" s="98">
        <f t="shared" si="5"/>
        <v>0</v>
      </c>
      <c r="U23" s="99">
        <f t="shared" si="2"/>
        <v>0</v>
      </c>
    </row>
    <row r="24" spans="1:21" x14ac:dyDescent="0.25">
      <c r="A24" s="453" t="s">
        <v>113</v>
      </c>
      <c r="B24" s="453"/>
      <c r="C24" s="165">
        <v>0</v>
      </c>
      <c r="D24" s="165">
        <v>0</v>
      </c>
      <c r="E24" s="125">
        <f t="shared" si="3"/>
        <v>0</v>
      </c>
      <c r="F24" s="532">
        <f>'0664'!F24:G24</f>
        <v>5.4009999999999998</v>
      </c>
      <c r="G24" s="532"/>
      <c r="H24" s="83">
        <f t="shared" si="4"/>
        <v>0</v>
      </c>
      <c r="I24" s="104">
        <f t="shared" si="0"/>
        <v>0</v>
      </c>
      <c r="N24" s="479" t="s">
        <v>113</v>
      </c>
      <c r="O24" s="479"/>
      <c r="P24" s="513">
        <f t="shared" si="1"/>
        <v>0</v>
      </c>
      <c r="Q24" s="513"/>
      <c r="R24" s="517">
        <v>1</v>
      </c>
      <c r="S24" s="517"/>
      <c r="T24" s="98">
        <f t="shared" si="5"/>
        <v>0</v>
      </c>
      <c r="U24" s="99">
        <f t="shared" si="2"/>
        <v>0</v>
      </c>
    </row>
    <row r="25" spans="1:21" x14ac:dyDescent="0.25">
      <c r="A25" s="453" t="s">
        <v>114</v>
      </c>
      <c r="B25" s="453"/>
      <c r="C25" s="165">
        <v>3.84</v>
      </c>
      <c r="D25" s="165">
        <v>4.57</v>
      </c>
      <c r="E25" s="125">
        <f t="shared" si="3"/>
        <v>8.41</v>
      </c>
      <c r="F25" s="532">
        <f>'0664'!F25:G25</f>
        <v>1.206</v>
      </c>
      <c r="G25" s="532"/>
      <c r="H25" s="83">
        <f t="shared" si="4"/>
        <v>10.1425</v>
      </c>
      <c r="I25" s="104">
        <f t="shared" si="0"/>
        <v>48565.62</v>
      </c>
      <c r="N25" s="479" t="s">
        <v>114</v>
      </c>
      <c r="O25" s="479"/>
      <c r="P25" s="513">
        <f t="shared" si="1"/>
        <v>0</v>
      </c>
      <c r="Q25" s="513"/>
      <c r="R25" s="517">
        <v>1</v>
      </c>
      <c r="S25" s="517"/>
      <c r="T25" s="98">
        <f t="shared" si="5"/>
        <v>0</v>
      </c>
      <c r="U25" s="99">
        <f t="shared" si="2"/>
        <v>0</v>
      </c>
    </row>
    <row r="26" spans="1:21" x14ac:dyDescent="0.25">
      <c r="A26" s="453" t="s">
        <v>115</v>
      </c>
      <c r="B26" s="453"/>
      <c r="C26" s="165">
        <v>1.1499999999999999</v>
      </c>
      <c r="D26" s="165">
        <v>1.1499999999999999</v>
      </c>
      <c r="E26" s="125">
        <f t="shared" si="3"/>
        <v>2.2999999999999998</v>
      </c>
      <c r="F26" s="532">
        <f>'0664'!F26:G26</f>
        <v>1.206</v>
      </c>
      <c r="G26" s="532"/>
      <c r="H26" s="83">
        <f t="shared" si="4"/>
        <v>2.7738</v>
      </c>
      <c r="I26" s="104">
        <f t="shared" si="0"/>
        <v>13281.86</v>
      </c>
      <c r="N26" s="479" t="s">
        <v>115</v>
      </c>
      <c r="O26" s="479"/>
      <c r="P26" s="513">
        <f t="shared" si="1"/>
        <v>0</v>
      </c>
      <c r="Q26" s="513"/>
      <c r="R26" s="517">
        <v>1</v>
      </c>
      <c r="S26" s="517"/>
      <c r="T26" s="98">
        <f t="shared" si="5"/>
        <v>0</v>
      </c>
      <c r="U26" s="99">
        <f t="shared" si="2"/>
        <v>0</v>
      </c>
    </row>
    <row r="27" spans="1:21" x14ac:dyDescent="0.25">
      <c r="A27" s="453" t="s">
        <v>116</v>
      </c>
      <c r="B27" s="453"/>
      <c r="C27" s="165">
        <v>0</v>
      </c>
      <c r="D27" s="165">
        <v>0</v>
      </c>
      <c r="E27" s="125">
        <f t="shared" si="3"/>
        <v>0</v>
      </c>
      <c r="F27" s="532">
        <f>'0664'!F27:G27</f>
        <v>1.206</v>
      </c>
      <c r="G27" s="532"/>
      <c r="H27" s="83">
        <f t="shared" si="4"/>
        <v>0</v>
      </c>
      <c r="I27" s="104">
        <f t="shared" si="0"/>
        <v>0</v>
      </c>
      <c r="N27" s="479" t="s">
        <v>116</v>
      </c>
      <c r="O27" s="479"/>
      <c r="P27" s="513">
        <f t="shared" si="1"/>
        <v>0</v>
      </c>
      <c r="Q27" s="513"/>
      <c r="R27" s="517">
        <v>1</v>
      </c>
      <c r="S27" s="517"/>
      <c r="T27" s="98">
        <f t="shared" si="5"/>
        <v>0</v>
      </c>
      <c r="U27" s="99">
        <f t="shared" si="2"/>
        <v>0</v>
      </c>
    </row>
    <row r="28" spans="1:21" x14ac:dyDescent="0.25">
      <c r="A28" s="453" t="s">
        <v>117</v>
      </c>
      <c r="B28" s="453"/>
      <c r="C28" s="116">
        <v>0</v>
      </c>
      <c r="D28" s="116">
        <v>0</v>
      </c>
      <c r="E28" s="177">
        <f t="shared" si="3"/>
        <v>0</v>
      </c>
      <c r="F28" s="532">
        <f>'0664'!F28:G28</f>
        <v>0.999</v>
      </c>
      <c r="G28" s="532"/>
      <c r="H28" s="96">
        <f t="shared" si="4"/>
        <v>0</v>
      </c>
      <c r="I28" s="97">
        <f t="shared" si="0"/>
        <v>0</v>
      </c>
      <c r="N28" s="482" t="s">
        <v>117</v>
      </c>
      <c r="O28" s="482"/>
      <c r="P28" s="513">
        <f t="shared" si="1"/>
        <v>0</v>
      </c>
      <c r="Q28" s="513"/>
      <c r="R28" s="514">
        <v>1</v>
      </c>
      <c r="S28" s="514"/>
      <c r="T28" s="98">
        <f t="shared" si="5"/>
        <v>0</v>
      </c>
      <c r="U28" s="99">
        <f t="shared" si="2"/>
        <v>0</v>
      </c>
    </row>
    <row r="29" spans="1:21" x14ac:dyDescent="0.25">
      <c r="A29" s="461" t="s">
        <v>5</v>
      </c>
      <c r="B29" s="461"/>
      <c r="C29" s="97">
        <f>SUM(C13:C28)</f>
        <v>122.5</v>
      </c>
      <c r="D29" s="97">
        <f>SUM(D13:D28)</f>
        <v>121.5</v>
      </c>
      <c r="E29" s="97">
        <f>SUM(E13:E28)</f>
        <v>244.00000000000003</v>
      </c>
      <c r="F29" s="457"/>
      <c r="G29" s="457"/>
      <c r="H29" s="102">
        <f>SUM(H13:H28)</f>
        <v>266.18860000000001</v>
      </c>
      <c r="I29" s="97">
        <f>SUM(I13:I28)</f>
        <v>1274598.3600000001</v>
      </c>
      <c r="N29" s="515" t="s">
        <v>5</v>
      </c>
      <c r="O29" s="515"/>
      <c r="P29" s="516">
        <f>SUM(P13:P28)</f>
        <v>0</v>
      </c>
      <c r="Q29" s="516"/>
      <c r="R29" s="508"/>
      <c r="S29" s="508"/>
      <c r="T29" s="103">
        <f>SUM(T13:T28)</f>
        <v>0</v>
      </c>
      <c r="U29" s="99">
        <f>SUM(U13:U28)</f>
        <v>0</v>
      </c>
    </row>
    <row r="30" spans="1:21" x14ac:dyDescent="0.25">
      <c r="A30" s="27"/>
      <c r="B30" s="27"/>
      <c r="C30" s="104"/>
      <c r="D30" s="104"/>
      <c r="E30" s="104"/>
      <c r="F30" s="28"/>
      <c r="G30" s="28"/>
      <c r="H30" s="83"/>
      <c r="I30" s="104"/>
      <c r="N30" s="29"/>
      <c r="O30" s="29"/>
      <c r="P30" s="30"/>
      <c r="Q30" s="30"/>
      <c r="R30" s="31"/>
      <c r="S30" s="31"/>
      <c r="T30" s="105"/>
      <c r="U30" s="106"/>
    </row>
    <row r="31" spans="1:21" x14ac:dyDescent="0.25">
      <c r="A31" s="168" t="s">
        <v>97</v>
      </c>
      <c r="B31" s="27"/>
      <c r="C31" s="104"/>
      <c r="D31" s="104"/>
      <c r="E31" s="104"/>
      <c r="F31" s="28"/>
      <c r="G31" s="28"/>
      <c r="H31" s="83"/>
      <c r="I31" s="104"/>
      <c r="N31" s="29"/>
      <c r="O31" s="29"/>
      <c r="P31" s="30"/>
      <c r="Q31" s="30"/>
      <c r="R31" s="31"/>
      <c r="S31" s="31"/>
      <c r="T31" s="105"/>
      <c r="U31" s="106"/>
    </row>
    <row r="32" spans="1:21" hidden="1" x14ac:dyDescent="0.25">
      <c r="A32" s="168"/>
      <c r="B32" s="27"/>
      <c r="C32" s="104"/>
      <c r="D32" s="104"/>
      <c r="E32" s="104"/>
      <c r="F32" s="28"/>
      <c r="G32" s="28"/>
      <c r="H32" s="83"/>
      <c r="I32" s="104"/>
      <c r="N32" s="29"/>
      <c r="O32" s="29"/>
      <c r="P32" s="30"/>
      <c r="Q32" s="30"/>
      <c r="R32" s="31"/>
      <c r="S32" s="31"/>
      <c r="T32" s="105"/>
      <c r="U32" s="106"/>
    </row>
    <row r="33" spans="1:21" hidden="1" x14ac:dyDescent="0.25">
      <c r="A33" s="168"/>
      <c r="B33" s="27"/>
      <c r="C33" s="104"/>
      <c r="D33" s="104"/>
      <c r="E33" s="104"/>
      <c r="F33" s="541" t="s">
        <v>282</v>
      </c>
      <c r="G33" s="541"/>
      <c r="H33" s="541"/>
      <c r="I33" s="104"/>
      <c r="N33" s="29"/>
      <c r="O33" s="29"/>
      <c r="P33" s="30"/>
      <c r="Q33" s="30"/>
      <c r="R33" s="31"/>
      <c r="S33" s="31"/>
      <c r="T33" s="105"/>
      <c r="U33" s="106"/>
    </row>
    <row r="34" spans="1:21" hidden="1" x14ac:dyDescent="0.25">
      <c r="A34" s="3"/>
      <c r="B34" s="72"/>
      <c r="C34" s="72"/>
      <c r="D34" s="72"/>
      <c r="E34" s="72"/>
      <c r="F34" s="541"/>
      <c r="G34" s="541"/>
      <c r="H34" s="541"/>
      <c r="I34" s="25" t="s">
        <v>74</v>
      </c>
      <c r="N34" s="485" t="s">
        <v>35</v>
      </c>
      <c r="O34" s="485"/>
      <c r="P34" s="485"/>
      <c r="Q34" s="485"/>
      <c r="R34" s="485"/>
      <c r="S34" s="485"/>
      <c r="T34" s="485"/>
      <c r="U34" s="26" t="s">
        <v>74</v>
      </c>
    </row>
    <row r="35" spans="1:21" hidden="1" x14ac:dyDescent="0.25">
      <c r="A35" s="27"/>
      <c r="B35" s="27"/>
      <c r="C35" s="91" t="s">
        <v>124</v>
      </c>
      <c r="D35" s="91" t="s">
        <v>125</v>
      </c>
      <c r="E35" s="92" t="s">
        <v>8</v>
      </c>
      <c r="F35" s="541"/>
      <c r="G35" s="541"/>
      <c r="H35" s="541"/>
      <c r="I35" s="25" t="s">
        <v>36</v>
      </c>
      <c r="N35" s="29"/>
      <c r="O35" s="29"/>
      <c r="P35" s="30"/>
      <c r="Q35" s="30"/>
      <c r="R35" s="31"/>
      <c r="S35" s="31"/>
      <c r="T35" s="105"/>
      <c r="U35" s="26" t="s">
        <v>36</v>
      </c>
    </row>
    <row r="36" spans="1:21" hidden="1" x14ac:dyDescent="0.25">
      <c r="A36" s="447" t="s">
        <v>63</v>
      </c>
      <c r="B36" s="447"/>
      <c r="C36" s="93" t="s">
        <v>2</v>
      </c>
      <c r="D36" s="93" t="s">
        <v>2</v>
      </c>
      <c r="E36" s="93" t="s">
        <v>2</v>
      </c>
      <c r="F36" s="542"/>
      <c r="G36" s="542"/>
      <c r="H36" s="542"/>
      <c r="I36" s="32" t="s">
        <v>75</v>
      </c>
      <c r="N36" s="510" t="s">
        <v>63</v>
      </c>
      <c r="O36" s="510"/>
      <c r="P36" s="511" t="s">
        <v>24</v>
      </c>
      <c r="Q36" s="511"/>
      <c r="R36" s="511"/>
      <c r="S36" s="511"/>
      <c r="T36" s="511"/>
      <c r="U36" s="20" t="s">
        <v>75</v>
      </c>
    </row>
    <row r="37" spans="1:21" hidden="1" x14ac:dyDescent="0.25">
      <c r="A37" s="451" t="s">
        <v>56</v>
      </c>
      <c r="B37" s="451"/>
      <c r="C37" s="169">
        <v>0</v>
      </c>
      <c r="D37" s="169">
        <v>0</v>
      </c>
      <c r="E37" s="210">
        <f t="shared" ref="E37:E42" si="6">IF(D$43=0,C37*2,C37+D37)</f>
        <v>0</v>
      </c>
      <c r="F37" s="170"/>
      <c r="G37" s="170"/>
      <c r="H37" s="170"/>
      <c r="I37" s="119">
        <f t="shared" ref="I37:I42" si="7">ROUND(ROUND(E37*$C$8,4)*($H$8),2)</f>
        <v>0</v>
      </c>
      <c r="N37" s="512" t="s">
        <v>56</v>
      </c>
      <c r="O37" s="512"/>
      <c r="P37" s="483">
        <f t="shared" ref="P37:P42" si="8">IF($H$120=1,E37,0)</f>
        <v>0</v>
      </c>
      <c r="Q37" s="483"/>
      <c r="R37" s="483"/>
      <c r="S37" s="483"/>
      <c r="T37" s="483"/>
      <c r="U37" s="101">
        <f t="shared" ref="U37:U42" si="9">ROUND(ROUND(P37*$C$8,4)*($H$8),0)</f>
        <v>0</v>
      </c>
    </row>
    <row r="38" spans="1:21" hidden="1" x14ac:dyDescent="0.25">
      <c r="A38" s="453" t="s">
        <v>57</v>
      </c>
      <c r="B38" s="453"/>
      <c r="C38" s="172">
        <v>0</v>
      </c>
      <c r="D38" s="172">
        <v>0</v>
      </c>
      <c r="E38" s="125">
        <f t="shared" si="6"/>
        <v>0</v>
      </c>
      <c r="F38" s="173"/>
      <c r="G38" s="173"/>
      <c r="H38" s="173"/>
      <c r="I38" s="104">
        <f t="shared" si="7"/>
        <v>0</v>
      </c>
      <c r="N38" s="479" t="s">
        <v>57</v>
      </c>
      <c r="O38" s="479"/>
      <c r="P38" s="483">
        <f t="shared" si="8"/>
        <v>0</v>
      </c>
      <c r="Q38" s="483"/>
      <c r="R38" s="483"/>
      <c r="S38" s="483"/>
      <c r="T38" s="483"/>
      <c r="U38" s="101">
        <f t="shared" si="9"/>
        <v>0</v>
      </c>
    </row>
    <row r="39" spans="1:21" hidden="1" x14ac:dyDescent="0.25">
      <c r="A39" s="458" t="s">
        <v>58</v>
      </c>
      <c r="B39" s="458"/>
      <c r="C39" s="172">
        <v>0</v>
      </c>
      <c r="D39" s="172">
        <v>0</v>
      </c>
      <c r="E39" s="125">
        <f t="shared" si="6"/>
        <v>0</v>
      </c>
      <c r="F39" s="173"/>
      <c r="G39" s="173"/>
      <c r="H39" s="173"/>
      <c r="I39" s="104">
        <f t="shared" si="7"/>
        <v>0</v>
      </c>
      <c r="N39" s="509" t="s">
        <v>58</v>
      </c>
      <c r="O39" s="509"/>
      <c r="P39" s="483">
        <f t="shared" si="8"/>
        <v>0</v>
      </c>
      <c r="Q39" s="483"/>
      <c r="R39" s="483"/>
      <c r="S39" s="483"/>
      <c r="T39" s="483"/>
      <c r="U39" s="101">
        <f t="shared" si="9"/>
        <v>0</v>
      </c>
    </row>
    <row r="40" spans="1:21" hidden="1" x14ac:dyDescent="0.25">
      <c r="A40" s="453" t="s">
        <v>59</v>
      </c>
      <c r="B40" s="453"/>
      <c r="C40" s="172">
        <v>0</v>
      </c>
      <c r="D40" s="172">
        <v>0</v>
      </c>
      <c r="E40" s="125">
        <f t="shared" si="6"/>
        <v>0</v>
      </c>
      <c r="F40" s="173"/>
      <c r="G40" s="173"/>
      <c r="H40" s="173"/>
      <c r="I40" s="104">
        <f t="shared" si="7"/>
        <v>0</v>
      </c>
      <c r="N40" s="479" t="s">
        <v>59</v>
      </c>
      <c r="O40" s="479"/>
      <c r="P40" s="483">
        <f t="shared" si="8"/>
        <v>0</v>
      </c>
      <c r="Q40" s="483"/>
      <c r="R40" s="483"/>
      <c r="S40" s="483"/>
      <c r="T40" s="483"/>
      <c r="U40" s="101">
        <f t="shared" si="9"/>
        <v>0</v>
      </c>
    </row>
    <row r="41" spans="1:21" hidden="1" x14ac:dyDescent="0.25">
      <c r="A41" s="453" t="s">
        <v>60</v>
      </c>
      <c r="B41" s="453"/>
      <c r="C41" s="172">
        <v>0</v>
      </c>
      <c r="D41" s="172">
        <v>0</v>
      </c>
      <c r="E41" s="125">
        <f t="shared" si="6"/>
        <v>0</v>
      </c>
      <c r="F41" s="173"/>
      <c r="G41" s="173"/>
      <c r="H41" s="173"/>
      <c r="I41" s="104">
        <f t="shared" si="7"/>
        <v>0</v>
      </c>
      <c r="N41" s="479" t="s">
        <v>60</v>
      </c>
      <c r="O41" s="479"/>
      <c r="P41" s="483">
        <f t="shared" si="8"/>
        <v>0</v>
      </c>
      <c r="Q41" s="483"/>
      <c r="R41" s="483"/>
      <c r="S41" s="483"/>
      <c r="T41" s="483"/>
      <c r="U41" s="101">
        <f t="shared" si="9"/>
        <v>0</v>
      </c>
    </row>
    <row r="42" spans="1:21" hidden="1" x14ac:dyDescent="0.25">
      <c r="A42" s="453" t="s">
        <v>52</v>
      </c>
      <c r="B42" s="453"/>
      <c r="C42" s="171">
        <v>0</v>
      </c>
      <c r="D42" s="171">
        <v>0</v>
      </c>
      <c r="E42" s="177">
        <f t="shared" si="6"/>
        <v>0</v>
      </c>
      <c r="F42" s="173"/>
      <c r="G42" s="173"/>
      <c r="H42" s="173"/>
      <c r="I42" s="97">
        <f t="shared" si="7"/>
        <v>0</v>
      </c>
      <c r="N42" s="482" t="s">
        <v>52</v>
      </c>
      <c r="O42" s="482"/>
      <c r="P42" s="483">
        <f t="shared" si="8"/>
        <v>0</v>
      </c>
      <c r="Q42" s="483"/>
      <c r="R42" s="483"/>
      <c r="S42" s="483"/>
      <c r="T42" s="483"/>
      <c r="U42" s="101">
        <f t="shared" si="9"/>
        <v>0</v>
      </c>
    </row>
    <row r="43" spans="1:21" hidden="1" x14ac:dyDescent="0.25">
      <c r="A43" s="3"/>
      <c r="B43" s="55" t="s">
        <v>126</v>
      </c>
      <c r="C43" s="100">
        <f>SUM(C37:C42)</f>
        <v>0</v>
      </c>
      <c r="D43" s="100">
        <f>SUM(D37:D42)</f>
        <v>0</v>
      </c>
      <c r="E43" s="100">
        <f>SUM(E37:E42)</f>
        <v>0</v>
      </c>
      <c r="F43" s="33"/>
      <c r="G43" s="109"/>
      <c r="H43" s="110" t="s">
        <v>128</v>
      </c>
      <c r="I43" s="100">
        <f>SUM(I37:I42)</f>
        <v>0</v>
      </c>
      <c r="N43" s="480" t="s">
        <v>54</v>
      </c>
      <c r="O43" s="480"/>
      <c r="P43" s="480"/>
      <c r="Q43" s="480"/>
      <c r="R43" s="34">
        <f>SUM(P37:R42)</f>
        <v>0</v>
      </c>
      <c r="S43" s="508" t="s">
        <v>64</v>
      </c>
      <c r="T43" s="508"/>
      <c r="U43" s="106">
        <f>SUM(U37:U42)</f>
        <v>0</v>
      </c>
    </row>
    <row r="44" spans="1:21" ht="16.5" hidden="1" thickBot="1" x14ac:dyDescent="0.3">
      <c r="A44" s="3"/>
      <c r="B44" s="55"/>
      <c r="C44" s="104"/>
      <c r="D44" s="104"/>
      <c r="E44" s="119"/>
      <c r="F44" s="33"/>
      <c r="G44" s="109"/>
      <c r="H44" s="110"/>
      <c r="I44" s="104"/>
      <c r="N44" s="29"/>
      <c r="O44" s="29"/>
      <c r="P44" s="29"/>
      <c r="Q44" s="29"/>
      <c r="R44" s="34"/>
      <c r="S44" s="31"/>
      <c r="T44" s="31"/>
      <c r="U44" s="106"/>
    </row>
    <row r="45" spans="1:21" ht="16.5" hidden="1" thickBot="1" x14ac:dyDescent="0.3">
      <c r="A45" s="3"/>
      <c r="B45" s="55" t="s">
        <v>127</v>
      </c>
      <c r="E45" s="174">
        <f>H29+E43</f>
        <v>266.18860000000001</v>
      </c>
      <c r="F45" s="35"/>
      <c r="G45" s="109"/>
      <c r="H45" s="110" t="s">
        <v>129</v>
      </c>
      <c r="I45" s="97">
        <f>SUM(I43,I29)</f>
        <v>1274598.3600000001</v>
      </c>
      <c r="N45" s="480" t="s">
        <v>55</v>
      </c>
      <c r="O45" s="480"/>
      <c r="P45" s="480"/>
      <c r="Q45" s="480"/>
      <c r="R45" s="36">
        <f>R43+T29</f>
        <v>0</v>
      </c>
      <c r="S45" s="508" t="s">
        <v>53</v>
      </c>
      <c r="T45" s="508"/>
      <c r="U45" s="111">
        <f>SUM(U43,U29)</f>
        <v>0</v>
      </c>
    </row>
    <row r="46" spans="1:21" hidden="1" x14ac:dyDescent="0.25">
      <c r="A46" s="27"/>
      <c r="B46" s="27"/>
      <c r="C46" s="27"/>
      <c r="D46" s="27"/>
      <c r="E46" s="27"/>
      <c r="F46" s="35"/>
      <c r="G46" s="28"/>
      <c r="H46" s="28"/>
      <c r="I46" s="104"/>
      <c r="N46" s="29"/>
      <c r="O46" s="29"/>
      <c r="P46" s="29"/>
      <c r="Q46" s="29"/>
      <c r="R46" s="36"/>
      <c r="S46" s="31"/>
      <c r="T46" s="31"/>
      <c r="U46" s="106"/>
    </row>
    <row r="47" spans="1:21" x14ac:dyDescent="0.25">
      <c r="A47" s="27"/>
      <c r="B47" s="55" t="s">
        <v>370</v>
      </c>
      <c r="C47" s="372" t="s">
        <v>370</v>
      </c>
      <c r="D47" s="372" t="s">
        <v>370</v>
      </c>
      <c r="E47" s="27"/>
      <c r="F47" s="35"/>
      <c r="G47" s="28"/>
      <c r="H47" s="28"/>
      <c r="I47" s="104"/>
      <c r="N47" s="29"/>
      <c r="O47" s="29"/>
      <c r="P47" s="29"/>
      <c r="Q47" s="29"/>
      <c r="R47" s="36"/>
      <c r="S47" s="31"/>
      <c r="T47" s="31"/>
      <c r="U47" s="106"/>
    </row>
    <row r="48" spans="1:21" x14ac:dyDescent="0.25">
      <c r="A48" s="27"/>
      <c r="B48" s="27"/>
      <c r="C48" s="91" t="s">
        <v>463</v>
      </c>
      <c r="D48" s="371" t="s">
        <v>464</v>
      </c>
      <c r="E48" s="92" t="s">
        <v>8</v>
      </c>
      <c r="F48" s="49" t="s">
        <v>130</v>
      </c>
      <c r="G48" s="112" t="s">
        <v>132</v>
      </c>
      <c r="H48" s="113" t="s">
        <v>133</v>
      </c>
      <c r="I48" s="104"/>
      <c r="N48" s="29"/>
      <c r="O48" s="29"/>
      <c r="P48" s="29"/>
      <c r="Q48" s="29"/>
      <c r="R48" s="36"/>
      <c r="S48" s="31"/>
      <c r="T48" s="31"/>
      <c r="U48" s="106"/>
    </row>
    <row r="49" spans="1:21" x14ac:dyDescent="0.25">
      <c r="A49" s="37" t="s">
        <v>87</v>
      </c>
      <c r="B49" s="37"/>
      <c r="C49" s="362" t="s">
        <v>2</v>
      </c>
      <c r="D49" s="362" t="s">
        <v>2</v>
      </c>
      <c r="E49" s="362" t="s">
        <v>2</v>
      </c>
      <c r="F49" s="95" t="s">
        <v>131</v>
      </c>
      <c r="G49" s="62" t="s">
        <v>131</v>
      </c>
      <c r="H49" s="114" t="s">
        <v>134</v>
      </c>
      <c r="I49" s="37"/>
      <c r="N49" s="482" t="s">
        <v>87</v>
      </c>
      <c r="O49" s="482"/>
      <c r="P49" s="503" t="s">
        <v>2</v>
      </c>
      <c r="Q49" s="503"/>
      <c r="R49" s="38" t="s">
        <v>25</v>
      </c>
      <c r="S49" s="63" t="s">
        <v>26</v>
      </c>
      <c r="T49" s="115" t="s">
        <v>27</v>
      </c>
      <c r="U49" s="38"/>
    </row>
    <row r="50" spans="1:21" x14ac:dyDescent="0.25">
      <c r="A50" s="459" t="s">
        <v>98</v>
      </c>
      <c r="B50" s="459"/>
      <c r="C50" s="165">
        <v>15.5</v>
      </c>
      <c r="D50" s="165">
        <v>14.68</v>
      </c>
      <c r="E50" s="125">
        <f>IF(D$59=0,C50*2,C50+D50)</f>
        <v>30.18</v>
      </c>
      <c r="F50" s="39" t="s">
        <v>21</v>
      </c>
      <c r="G50" s="39">
        <v>251</v>
      </c>
      <c r="H50" s="321">
        <f>'0664'!H50</f>
        <v>1047</v>
      </c>
      <c r="I50" s="104">
        <f>ROUND(E50*H50,2)</f>
        <v>31598.46</v>
      </c>
      <c r="N50" s="504" t="s">
        <v>28</v>
      </c>
      <c r="O50" s="504"/>
      <c r="P50" s="505"/>
      <c r="Q50" s="505"/>
      <c r="R50" s="40" t="s">
        <v>21</v>
      </c>
      <c r="S50" s="40">
        <v>251</v>
      </c>
      <c r="T50" s="117">
        <f>H50</f>
        <v>1047</v>
      </c>
      <c r="U50" s="118">
        <f>ROUND(P50*T50,0)</f>
        <v>0</v>
      </c>
    </row>
    <row r="51" spans="1:21" x14ac:dyDescent="0.25">
      <c r="A51" s="460"/>
      <c r="B51" s="460"/>
      <c r="C51" s="165">
        <v>3.5</v>
      </c>
      <c r="D51" s="165">
        <v>3.32</v>
      </c>
      <c r="E51" s="125">
        <f t="shared" ref="E51:E58" si="10">IF(D$59=0,C51*2,C51+D51)</f>
        <v>6.82</v>
      </c>
      <c r="F51" s="39" t="s">
        <v>21</v>
      </c>
      <c r="G51" s="39">
        <v>252</v>
      </c>
      <c r="H51" s="321">
        <f>'0664'!H51</f>
        <v>3380</v>
      </c>
      <c r="I51" s="104">
        <f t="shared" ref="I51:I58" si="11">ROUND(E51*H51,2)</f>
        <v>23051.599999999999</v>
      </c>
      <c r="N51" s="504"/>
      <c r="O51" s="504"/>
      <c r="P51" s="506"/>
      <c r="Q51" s="506"/>
      <c r="R51" s="40" t="s">
        <v>21</v>
      </c>
      <c r="S51" s="40">
        <v>252</v>
      </c>
      <c r="T51" s="117">
        <f t="shared" ref="T51:T58" si="12">H51</f>
        <v>3380</v>
      </c>
      <c r="U51" s="118">
        <f t="shared" ref="U51:U58" si="13">ROUND(P51*T51,0)</f>
        <v>0</v>
      </c>
    </row>
    <row r="52" spans="1:21" x14ac:dyDescent="0.25">
      <c r="A52" s="460"/>
      <c r="B52" s="460"/>
      <c r="C52" s="165">
        <v>0</v>
      </c>
      <c r="D52" s="165">
        <v>0</v>
      </c>
      <c r="E52" s="125">
        <f t="shared" si="10"/>
        <v>0</v>
      </c>
      <c r="F52" s="39" t="s">
        <v>21</v>
      </c>
      <c r="G52" s="39">
        <v>253</v>
      </c>
      <c r="H52" s="321">
        <f>'0664'!H52</f>
        <v>6896</v>
      </c>
      <c r="I52" s="104">
        <f t="shared" si="11"/>
        <v>0</v>
      </c>
      <c r="N52" s="504"/>
      <c r="O52" s="504"/>
      <c r="P52" s="506"/>
      <c r="Q52" s="506"/>
      <c r="R52" s="40" t="s">
        <v>21</v>
      </c>
      <c r="S52" s="40">
        <v>253</v>
      </c>
      <c r="T52" s="117">
        <f t="shared" si="12"/>
        <v>6896</v>
      </c>
      <c r="U52" s="118">
        <f t="shared" si="13"/>
        <v>0</v>
      </c>
    </row>
    <row r="53" spans="1:21" x14ac:dyDescent="0.25">
      <c r="A53" s="460"/>
      <c r="B53" s="460"/>
      <c r="C53" s="165">
        <v>7.5</v>
      </c>
      <c r="D53" s="165">
        <v>7.94</v>
      </c>
      <c r="E53" s="125">
        <f t="shared" si="10"/>
        <v>15.440000000000001</v>
      </c>
      <c r="F53" s="41" t="s">
        <v>14</v>
      </c>
      <c r="G53" s="39">
        <v>251</v>
      </c>
      <c r="H53" s="321">
        <f>'0664'!H53</f>
        <v>1173</v>
      </c>
      <c r="I53" s="104">
        <f t="shared" si="11"/>
        <v>18111.12</v>
      </c>
      <c r="N53" s="504"/>
      <c r="O53" s="504"/>
      <c r="P53" s="506"/>
      <c r="Q53" s="506"/>
      <c r="R53" s="42" t="s">
        <v>14</v>
      </c>
      <c r="S53" s="40">
        <v>251</v>
      </c>
      <c r="T53" s="117">
        <f t="shared" si="12"/>
        <v>1173</v>
      </c>
      <c r="U53" s="118">
        <f t="shared" si="13"/>
        <v>0</v>
      </c>
    </row>
    <row r="54" spans="1:21" x14ac:dyDescent="0.25">
      <c r="A54" s="460"/>
      <c r="B54" s="460"/>
      <c r="C54" s="165">
        <v>0.5</v>
      </c>
      <c r="D54" s="165">
        <v>0.53</v>
      </c>
      <c r="E54" s="125">
        <f t="shared" si="10"/>
        <v>1.03</v>
      </c>
      <c r="F54" s="41" t="s">
        <v>14</v>
      </c>
      <c r="G54" s="39">
        <v>252</v>
      </c>
      <c r="H54" s="321">
        <f>'0664'!H54</f>
        <v>3506</v>
      </c>
      <c r="I54" s="104">
        <f t="shared" si="11"/>
        <v>3611.18</v>
      </c>
      <c r="N54" s="504"/>
      <c r="O54" s="504"/>
      <c r="P54" s="506"/>
      <c r="Q54" s="506"/>
      <c r="R54" s="42" t="s">
        <v>14</v>
      </c>
      <c r="S54" s="40">
        <v>252</v>
      </c>
      <c r="T54" s="117">
        <f t="shared" si="12"/>
        <v>3506</v>
      </c>
      <c r="U54" s="118">
        <f t="shared" si="13"/>
        <v>0</v>
      </c>
    </row>
    <row r="55" spans="1:21" x14ac:dyDescent="0.25">
      <c r="A55" s="460"/>
      <c r="B55" s="460"/>
      <c r="C55" s="165">
        <v>0.5</v>
      </c>
      <c r="D55" s="165">
        <v>0.53</v>
      </c>
      <c r="E55" s="125">
        <f t="shared" si="10"/>
        <v>1.03</v>
      </c>
      <c r="F55" s="41" t="s">
        <v>14</v>
      </c>
      <c r="G55" s="39">
        <v>253</v>
      </c>
      <c r="H55" s="321">
        <f>'0664'!H55</f>
        <v>7023</v>
      </c>
      <c r="I55" s="104">
        <f t="shared" si="11"/>
        <v>7233.69</v>
      </c>
      <c r="N55" s="504"/>
      <c r="O55" s="504"/>
      <c r="P55" s="506"/>
      <c r="Q55" s="506"/>
      <c r="R55" s="42" t="s">
        <v>14</v>
      </c>
      <c r="S55" s="40">
        <v>253</v>
      </c>
      <c r="T55" s="117">
        <f t="shared" si="12"/>
        <v>7023</v>
      </c>
      <c r="U55" s="118">
        <f t="shared" si="13"/>
        <v>0</v>
      </c>
    </row>
    <row r="56" spans="1:21" x14ac:dyDescent="0.25">
      <c r="A56" s="460"/>
      <c r="B56" s="460"/>
      <c r="C56" s="165">
        <v>0</v>
      </c>
      <c r="D56" s="165">
        <v>0</v>
      </c>
      <c r="E56" s="125">
        <f t="shared" si="10"/>
        <v>0</v>
      </c>
      <c r="F56" s="41" t="s">
        <v>15</v>
      </c>
      <c r="G56" s="39">
        <v>251</v>
      </c>
      <c r="H56" s="321">
        <f>'0664'!H56</f>
        <v>835</v>
      </c>
      <c r="I56" s="104">
        <f t="shared" si="11"/>
        <v>0</v>
      </c>
      <c r="N56" s="504"/>
      <c r="O56" s="504"/>
      <c r="P56" s="506"/>
      <c r="Q56" s="506"/>
      <c r="R56" s="42" t="s">
        <v>15</v>
      </c>
      <c r="S56" s="40">
        <v>251</v>
      </c>
      <c r="T56" s="117">
        <f t="shared" si="12"/>
        <v>835</v>
      </c>
      <c r="U56" s="118">
        <f t="shared" si="13"/>
        <v>0</v>
      </c>
    </row>
    <row r="57" spans="1:21" x14ac:dyDescent="0.25">
      <c r="A57" s="460"/>
      <c r="B57" s="460"/>
      <c r="C57" s="165">
        <v>0</v>
      </c>
      <c r="D57" s="165">
        <v>0</v>
      </c>
      <c r="E57" s="125">
        <f t="shared" si="10"/>
        <v>0</v>
      </c>
      <c r="F57" s="41" t="s">
        <v>15</v>
      </c>
      <c r="G57" s="39">
        <v>252</v>
      </c>
      <c r="H57" s="321">
        <f>'0664'!H57</f>
        <v>3168</v>
      </c>
      <c r="I57" s="104">
        <f t="shared" si="11"/>
        <v>0</v>
      </c>
      <c r="N57" s="504"/>
      <c r="O57" s="504"/>
      <c r="P57" s="506"/>
      <c r="Q57" s="506"/>
      <c r="R57" s="42" t="s">
        <v>15</v>
      </c>
      <c r="S57" s="40">
        <v>252</v>
      </c>
      <c r="T57" s="117">
        <f t="shared" si="12"/>
        <v>3168</v>
      </c>
      <c r="U57" s="118">
        <f t="shared" si="13"/>
        <v>0</v>
      </c>
    </row>
    <row r="58" spans="1:21" ht="16.5" thickBot="1" x14ac:dyDescent="0.3">
      <c r="A58" s="460"/>
      <c r="B58" s="460"/>
      <c r="C58" s="165">
        <v>0</v>
      </c>
      <c r="D58" s="165">
        <v>0</v>
      </c>
      <c r="E58" s="125">
        <f t="shared" si="10"/>
        <v>0</v>
      </c>
      <c r="F58" s="41" t="s">
        <v>15</v>
      </c>
      <c r="G58" s="39">
        <v>253</v>
      </c>
      <c r="H58" s="321">
        <f>'0664'!H58</f>
        <v>6685</v>
      </c>
      <c r="I58" s="104">
        <f t="shared" si="11"/>
        <v>0</v>
      </c>
      <c r="N58" s="504"/>
      <c r="O58" s="504"/>
      <c r="P58" s="507"/>
      <c r="Q58" s="507"/>
      <c r="R58" s="42" t="s">
        <v>15</v>
      </c>
      <c r="S58" s="40">
        <v>253</v>
      </c>
      <c r="T58" s="117">
        <f t="shared" si="12"/>
        <v>6685</v>
      </c>
      <c r="U58" s="120">
        <f t="shared" si="13"/>
        <v>0</v>
      </c>
    </row>
    <row r="59" spans="1:21" ht="16.5" thickBot="1" x14ac:dyDescent="0.3">
      <c r="A59" s="461" t="s">
        <v>16</v>
      </c>
      <c r="B59" s="461"/>
      <c r="C59" s="100">
        <f>SUM(C50:C58)</f>
        <v>27.5</v>
      </c>
      <c r="D59" s="100">
        <f>SUM(D50:D58)</f>
        <v>27.000000000000004</v>
      </c>
      <c r="E59" s="100">
        <f>SUM(E50:E58)</f>
        <v>54.5</v>
      </c>
      <c r="F59" s="461" t="s">
        <v>77</v>
      </c>
      <c r="G59" s="461"/>
      <c r="H59" s="461"/>
      <c r="I59" s="100">
        <f>SUM(I50:I58)</f>
        <v>83606.049999999988</v>
      </c>
      <c r="N59" s="480" t="s">
        <v>16</v>
      </c>
      <c r="O59" s="480"/>
      <c r="P59" s="502">
        <f>SUM(P50:P58)</f>
        <v>0</v>
      </c>
      <c r="Q59" s="502"/>
      <c r="R59" s="480" t="s">
        <v>77</v>
      </c>
      <c r="S59" s="480"/>
      <c r="T59" s="480"/>
      <c r="U59" s="111">
        <f>SUM(U50:U58)</f>
        <v>0</v>
      </c>
    </row>
    <row r="60" spans="1:21" x14ac:dyDescent="0.25">
      <c r="A60" s="462"/>
      <c r="B60" s="462"/>
      <c r="C60" s="462"/>
      <c r="D60" s="462"/>
      <c r="E60" s="462"/>
      <c r="F60" s="462"/>
      <c r="G60" s="462"/>
      <c r="H60" s="462"/>
      <c r="I60" s="462"/>
      <c r="N60" s="484"/>
      <c r="O60" s="484"/>
      <c r="P60" s="484"/>
      <c r="Q60" s="484"/>
      <c r="R60" s="484"/>
      <c r="S60" s="484"/>
      <c r="T60" s="484"/>
      <c r="U60" s="484"/>
    </row>
    <row r="61" spans="1:21" x14ac:dyDescent="0.25">
      <c r="A61" s="463" t="s">
        <v>136</v>
      </c>
      <c r="B61" s="453"/>
      <c r="C61" s="453"/>
      <c r="D61" s="453"/>
      <c r="E61" s="453"/>
      <c r="F61" s="453"/>
      <c r="G61" s="453"/>
      <c r="H61" s="453"/>
      <c r="I61" s="453"/>
      <c r="N61" s="479" t="s">
        <v>88</v>
      </c>
      <c r="O61" s="479"/>
      <c r="P61" s="479"/>
      <c r="Q61" s="479"/>
      <c r="R61" s="479"/>
      <c r="S61" s="479"/>
      <c r="T61" s="479"/>
      <c r="U61" s="479"/>
    </row>
    <row r="62" spans="1:21" x14ac:dyDescent="0.25">
      <c r="A62" s="463" t="s">
        <v>138</v>
      </c>
      <c r="B62" s="453"/>
      <c r="C62" s="121">
        <f>E29</f>
        <v>244.00000000000003</v>
      </c>
      <c r="D62" s="464" t="s">
        <v>135</v>
      </c>
      <c r="E62" s="464"/>
      <c r="F62" s="464"/>
      <c r="G62" s="464"/>
      <c r="H62" s="335">
        <f>'0664'!H62</f>
        <v>193340.76</v>
      </c>
      <c r="I62" s="122"/>
      <c r="N62" s="478" t="s">
        <v>312</v>
      </c>
      <c r="O62" s="479"/>
      <c r="P62" s="43">
        <f>P29</f>
        <v>0</v>
      </c>
      <c r="Q62" s="498" t="s">
        <v>78</v>
      </c>
      <c r="R62" s="498"/>
      <c r="S62" s="498"/>
      <c r="T62" s="497">
        <f>H62</f>
        <v>193340.76</v>
      </c>
      <c r="U62" s="497"/>
    </row>
    <row r="63" spans="1:21" x14ac:dyDescent="0.25">
      <c r="B63" s="72"/>
      <c r="G63" s="44" t="s">
        <v>13</v>
      </c>
      <c r="H63" s="123">
        <f>ROUND(C62/H62,6)</f>
        <v>1.2620000000000001E-3</v>
      </c>
      <c r="I63" s="124"/>
      <c r="N63" s="479" t="s">
        <v>19</v>
      </c>
      <c r="O63" s="479"/>
      <c r="P63" s="479"/>
      <c r="Q63" s="479"/>
      <c r="R63" s="479"/>
      <c r="S63" s="479"/>
      <c r="T63" s="501">
        <f>ROUND(P62/T62,6)</f>
        <v>0</v>
      </c>
      <c r="U63" s="501"/>
    </row>
    <row r="64" spans="1:21" x14ac:dyDescent="0.25">
      <c r="A64" s="463" t="s">
        <v>137</v>
      </c>
      <c r="B64" s="453"/>
      <c r="C64" s="453"/>
      <c r="D64" s="453"/>
      <c r="E64" s="453"/>
      <c r="F64" s="453"/>
      <c r="G64" s="453"/>
      <c r="H64" s="453"/>
      <c r="I64" s="453"/>
      <c r="N64" s="479" t="s">
        <v>89</v>
      </c>
      <c r="O64" s="479"/>
      <c r="P64" s="479"/>
      <c r="Q64" s="479"/>
      <c r="R64" s="479"/>
      <c r="S64" s="479"/>
      <c r="T64" s="479"/>
      <c r="U64" s="479"/>
    </row>
    <row r="65" spans="1:21" x14ac:dyDescent="0.25">
      <c r="A65" s="463" t="s">
        <v>139</v>
      </c>
      <c r="B65" s="453"/>
      <c r="C65" s="121">
        <f>E45</f>
        <v>266.18860000000001</v>
      </c>
      <c r="D65" s="464" t="s">
        <v>140</v>
      </c>
      <c r="E65" s="464"/>
      <c r="F65" s="464"/>
      <c r="G65" s="464"/>
      <c r="H65" s="336">
        <f>'0664'!H65</f>
        <v>216845.88</v>
      </c>
      <c r="I65" s="125"/>
      <c r="N65" s="479" t="s">
        <v>80</v>
      </c>
      <c r="O65" s="479"/>
      <c r="P65" s="43">
        <f>R45</f>
        <v>0</v>
      </c>
      <c r="Q65" s="498" t="s">
        <v>79</v>
      </c>
      <c r="R65" s="498"/>
      <c r="S65" s="498"/>
      <c r="T65" s="497">
        <f>H65</f>
        <v>216845.88</v>
      </c>
      <c r="U65" s="497"/>
    </row>
    <row r="66" spans="1:21" s="37" customFormat="1" x14ac:dyDescent="0.25">
      <c r="A66" s="126"/>
      <c r="G66" s="45" t="s">
        <v>13</v>
      </c>
      <c r="H66" s="127">
        <f>ROUND(C65/H65,6)</f>
        <v>1.2279999999999999E-3</v>
      </c>
      <c r="I66" s="127"/>
      <c r="N66" s="482" t="s">
        <v>20</v>
      </c>
      <c r="O66" s="482"/>
      <c r="P66" s="482"/>
      <c r="Q66" s="482"/>
      <c r="R66" s="482"/>
      <c r="S66" s="482"/>
      <c r="T66" s="500">
        <f>ROUND(P65/T65,6)</f>
        <v>0</v>
      </c>
      <c r="U66" s="500"/>
    </row>
    <row r="67" spans="1:21" x14ac:dyDescent="0.25">
      <c r="G67" s="44"/>
      <c r="H67" s="123"/>
      <c r="I67" s="123"/>
      <c r="N67" s="48"/>
      <c r="O67" s="48"/>
      <c r="P67" s="48"/>
      <c r="Q67" s="48"/>
      <c r="R67" s="128"/>
      <c r="S67" s="48"/>
      <c r="T67" s="129"/>
      <c r="U67" s="130"/>
    </row>
    <row r="68" spans="1:21" x14ac:dyDescent="0.25">
      <c r="A68" s="453" t="s">
        <v>85</v>
      </c>
      <c r="B68" s="453"/>
      <c r="C68" s="453"/>
      <c r="D68" s="72"/>
      <c r="E68" s="46" t="s">
        <v>3</v>
      </c>
      <c r="F68" s="337">
        <f>'0664'!F68</f>
        <v>42465042</v>
      </c>
      <c r="G68" s="39" t="s">
        <v>6</v>
      </c>
      <c r="H68" s="131">
        <f>H63</f>
        <v>1.2620000000000001E-3</v>
      </c>
      <c r="I68" s="104">
        <f>ROUND(F68*H68,2)</f>
        <v>53590.879999999997</v>
      </c>
      <c r="N68" s="479" t="s">
        <v>85</v>
      </c>
      <c r="O68" s="479"/>
      <c r="P68" s="479"/>
      <c r="Q68" s="47"/>
      <c r="R68" s="132">
        <f>F68</f>
        <v>42465042</v>
      </c>
      <c r="S68" s="40" t="s">
        <v>6</v>
      </c>
      <c r="T68" s="133">
        <f>T63</f>
        <v>0</v>
      </c>
      <c r="U68" s="99">
        <f>ROUND(R68*T68,0)</f>
        <v>0</v>
      </c>
    </row>
    <row r="69" spans="1:21" x14ac:dyDescent="0.25">
      <c r="A69" s="458" t="s">
        <v>96</v>
      </c>
      <c r="B69" s="453"/>
      <c r="C69" s="453"/>
      <c r="D69" s="72"/>
      <c r="E69" s="46"/>
      <c r="F69" s="136"/>
      <c r="G69" s="39"/>
      <c r="H69" s="131"/>
      <c r="I69" s="104"/>
      <c r="N69" s="479" t="s">
        <v>84</v>
      </c>
      <c r="O69" s="479"/>
      <c r="P69" s="479"/>
      <c r="Q69" s="54"/>
      <c r="R69" s="54"/>
      <c r="S69" s="54"/>
      <c r="T69" s="54"/>
      <c r="U69" s="54"/>
    </row>
    <row r="70" spans="1:21" x14ac:dyDescent="0.25">
      <c r="A70" s="465" t="s">
        <v>141</v>
      </c>
      <c r="B70" s="453"/>
      <c r="C70" s="453"/>
      <c r="D70" s="72"/>
      <c r="E70" s="46" t="s">
        <v>3</v>
      </c>
      <c r="F70" s="337">
        <f>'0664'!F70</f>
        <v>0</v>
      </c>
      <c r="G70" s="39" t="s">
        <v>6</v>
      </c>
      <c r="H70" s="131">
        <f>H63</f>
        <v>1.2620000000000001E-3</v>
      </c>
      <c r="I70" s="104">
        <f>ROUND(F70*H70,2)</f>
        <v>0</v>
      </c>
      <c r="N70" s="48"/>
      <c r="O70" s="48"/>
      <c r="P70" s="48"/>
      <c r="Q70" s="47"/>
      <c r="R70" s="132">
        <f>F70</f>
        <v>0</v>
      </c>
      <c r="S70" s="40" t="s">
        <v>6</v>
      </c>
      <c r="T70" s="133">
        <f>T63</f>
        <v>0</v>
      </c>
      <c r="U70" s="99">
        <f>ROUND(R70*T70,0)</f>
        <v>0</v>
      </c>
    </row>
    <row r="71" spans="1:21" x14ac:dyDescent="0.25">
      <c r="A71" s="463" t="s">
        <v>433</v>
      </c>
      <c r="B71" s="453"/>
      <c r="C71" s="453"/>
      <c r="D71" s="72"/>
      <c r="E71" s="46" t="s">
        <v>3</v>
      </c>
      <c r="F71" s="337">
        <f>'0664'!F71</f>
        <v>13414654</v>
      </c>
      <c r="G71" s="39" t="s">
        <v>6</v>
      </c>
      <c r="H71" s="131">
        <f>H63</f>
        <v>1.2620000000000001E-3</v>
      </c>
      <c r="I71" s="104">
        <f>ROUND(F71*H71,2)</f>
        <v>16929.29</v>
      </c>
      <c r="N71" s="479" t="s">
        <v>83</v>
      </c>
      <c r="O71" s="479"/>
      <c r="P71" s="479"/>
      <c r="Q71" s="47"/>
      <c r="R71" s="132">
        <f>F71</f>
        <v>13414654</v>
      </c>
      <c r="S71" s="40" t="s">
        <v>6</v>
      </c>
      <c r="T71" s="133">
        <f>T63</f>
        <v>0</v>
      </c>
      <c r="U71" s="99">
        <f>ROUND(R71*T71,0)</f>
        <v>0</v>
      </c>
    </row>
    <row r="72" spans="1:21" x14ac:dyDescent="0.25">
      <c r="A72" s="463" t="s">
        <v>434</v>
      </c>
      <c r="B72" s="453"/>
      <c r="C72" s="453"/>
      <c r="D72" s="72"/>
      <c r="E72" s="46" t="s">
        <v>3</v>
      </c>
      <c r="F72" s="337">
        <f>'0664'!F72</f>
        <v>14708421</v>
      </c>
      <c r="G72" s="39" t="s">
        <v>6</v>
      </c>
      <c r="H72" s="131">
        <f>H63</f>
        <v>1.2620000000000001E-3</v>
      </c>
      <c r="I72" s="104">
        <f>ROUND(F72*H72,2)</f>
        <v>18562.03</v>
      </c>
      <c r="N72" s="479" t="s">
        <v>82</v>
      </c>
      <c r="O72" s="479"/>
      <c r="P72" s="479"/>
      <c r="Q72" s="47"/>
      <c r="R72" s="134">
        <f>F72</f>
        <v>14708421</v>
      </c>
      <c r="S72" s="40" t="s">
        <v>6</v>
      </c>
      <c r="T72" s="133">
        <f>T63</f>
        <v>0</v>
      </c>
      <c r="U72" s="99">
        <f>ROUND(R72*T72,0)</f>
        <v>0</v>
      </c>
    </row>
    <row r="73" spans="1:21" x14ac:dyDescent="0.25">
      <c r="A73" s="263" t="s">
        <v>99</v>
      </c>
      <c r="D73" s="72"/>
      <c r="E73" s="41" t="s">
        <v>353</v>
      </c>
      <c r="F73" s="466"/>
      <c r="G73" s="466"/>
      <c r="H73" s="466"/>
      <c r="I73" s="104">
        <v>0</v>
      </c>
      <c r="N73" s="499" t="s">
        <v>118</v>
      </c>
      <c r="O73" s="499"/>
      <c r="P73" s="499"/>
      <c r="Q73" s="499"/>
      <c r="R73" s="499"/>
      <c r="S73" s="499"/>
      <c r="T73" s="499"/>
      <c r="U73" s="99">
        <f>IF($H$120=1,I73,0)</f>
        <v>0</v>
      </c>
    </row>
    <row r="74" spans="1:21" x14ac:dyDescent="0.25">
      <c r="A74" s="264" t="s">
        <v>142</v>
      </c>
      <c r="I74" s="104"/>
      <c r="N74" s="499" t="s">
        <v>43</v>
      </c>
      <c r="O74" s="499"/>
      <c r="P74" s="499"/>
      <c r="Q74" s="499"/>
      <c r="R74" s="499"/>
      <c r="S74" s="499"/>
      <c r="T74" s="499"/>
      <c r="U74" s="99">
        <f>IF($H$120=1,I74,0)</f>
        <v>0</v>
      </c>
    </row>
    <row r="75" spans="1:21" x14ac:dyDescent="0.25">
      <c r="A75" s="324" t="s">
        <v>101</v>
      </c>
      <c r="B75" s="72"/>
      <c r="C75" s="72"/>
      <c r="D75" s="72"/>
      <c r="E75" s="72"/>
      <c r="F75" s="72"/>
      <c r="G75" s="72"/>
      <c r="H75" s="72"/>
      <c r="I75" s="135"/>
      <c r="N75" s="382" t="s">
        <v>44</v>
      </c>
      <c r="O75" s="48"/>
      <c r="P75" s="48"/>
      <c r="Q75" s="48"/>
      <c r="R75" s="48"/>
      <c r="S75" s="48"/>
      <c r="T75" s="48"/>
      <c r="U75" s="106"/>
    </row>
    <row r="76" spans="1:21" x14ac:dyDescent="0.25">
      <c r="A76" s="463" t="s">
        <v>435</v>
      </c>
      <c r="B76" s="453"/>
      <c r="C76" s="453"/>
      <c r="D76" s="72"/>
      <c r="E76" s="46" t="s">
        <v>3</v>
      </c>
      <c r="F76" s="337">
        <f>'0664'!F76</f>
        <v>8720092</v>
      </c>
      <c r="G76" s="39" t="s">
        <v>6</v>
      </c>
      <c r="H76" s="131">
        <f>H63</f>
        <v>1.2620000000000001E-3</v>
      </c>
      <c r="I76" s="104">
        <f t="shared" ref="I76:I85" si="14">ROUND(F76*H76,2)</f>
        <v>11004.76</v>
      </c>
      <c r="N76" s="478" t="s">
        <v>366</v>
      </c>
      <c r="O76" s="479"/>
      <c r="P76" s="479"/>
      <c r="Q76" s="47"/>
      <c r="R76" s="134">
        <f t="shared" ref="R76:R85" si="15">F76</f>
        <v>8720092</v>
      </c>
      <c r="S76" s="40" t="s">
        <v>6</v>
      </c>
      <c r="T76" s="133">
        <f>T63</f>
        <v>0</v>
      </c>
      <c r="U76" s="99">
        <f t="shared" ref="U76:U85" si="16">ROUND(R76*T76,0)</f>
        <v>0</v>
      </c>
    </row>
    <row r="77" spans="1:21" x14ac:dyDescent="0.25">
      <c r="A77" s="463" t="s">
        <v>436</v>
      </c>
      <c r="B77" s="453"/>
      <c r="C77" s="453"/>
      <c r="D77" s="72"/>
      <c r="E77" s="46" t="s">
        <v>3</v>
      </c>
      <c r="F77" s="337">
        <f>'0664'!F77</f>
        <v>0</v>
      </c>
      <c r="G77" s="39" t="s">
        <v>6</v>
      </c>
      <c r="H77" s="131">
        <f>H63</f>
        <v>1.2620000000000001E-3</v>
      </c>
      <c r="I77" s="104">
        <f t="shared" si="14"/>
        <v>0</v>
      </c>
      <c r="N77" s="479" t="s">
        <v>367</v>
      </c>
      <c r="O77" s="479"/>
      <c r="P77" s="479"/>
      <c r="Q77" s="47"/>
      <c r="R77" s="134">
        <f t="shared" si="15"/>
        <v>0</v>
      </c>
      <c r="S77" s="40" t="s">
        <v>6</v>
      </c>
      <c r="T77" s="133">
        <f>T63</f>
        <v>0</v>
      </c>
      <c r="U77" s="99">
        <f t="shared" si="16"/>
        <v>0</v>
      </c>
    </row>
    <row r="78" spans="1:21" x14ac:dyDescent="0.25">
      <c r="A78" s="463" t="s">
        <v>437</v>
      </c>
      <c r="B78" s="453"/>
      <c r="C78" s="453"/>
      <c r="D78" s="72"/>
      <c r="E78" s="46" t="s">
        <v>4</v>
      </c>
      <c r="F78" s="337">
        <f>'0664'!F78</f>
        <v>0</v>
      </c>
      <c r="G78" s="39" t="s">
        <v>6</v>
      </c>
      <c r="H78" s="131">
        <f>H66</f>
        <v>1.2279999999999999E-3</v>
      </c>
      <c r="I78" s="104">
        <f t="shared" si="14"/>
        <v>0</v>
      </c>
      <c r="N78" s="478" t="s">
        <v>392</v>
      </c>
      <c r="O78" s="479"/>
      <c r="P78" s="479"/>
      <c r="Q78" s="47"/>
      <c r="R78" s="134">
        <f t="shared" si="15"/>
        <v>0</v>
      </c>
      <c r="S78" s="40" t="s">
        <v>6</v>
      </c>
      <c r="T78" s="133">
        <f>T66</f>
        <v>0</v>
      </c>
      <c r="U78" s="99">
        <f t="shared" si="16"/>
        <v>0</v>
      </c>
    </row>
    <row r="79" spans="1:21" x14ac:dyDescent="0.25">
      <c r="A79" s="463" t="s">
        <v>438</v>
      </c>
      <c r="B79" s="453"/>
      <c r="C79" s="453"/>
      <c r="D79" s="72"/>
      <c r="E79" s="46" t="s">
        <v>4</v>
      </c>
      <c r="F79" s="337">
        <f>'0664'!F79</f>
        <v>11278687</v>
      </c>
      <c r="G79" s="39" t="s">
        <v>6</v>
      </c>
      <c r="H79" s="131">
        <f>H66</f>
        <v>1.2279999999999999E-3</v>
      </c>
      <c r="I79" s="104">
        <f t="shared" si="14"/>
        <v>13850.23</v>
      </c>
      <c r="N79" s="478" t="s">
        <v>393</v>
      </c>
      <c r="O79" s="479"/>
      <c r="P79" s="479"/>
      <c r="Q79" s="47"/>
      <c r="R79" s="134">
        <f t="shared" si="15"/>
        <v>11278687</v>
      </c>
      <c r="S79" s="40" t="s">
        <v>6</v>
      </c>
      <c r="T79" s="133">
        <f>T66</f>
        <v>0</v>
      </c>
      <c r="U79" s="99">
        <f t="shared" si="16"/>
        <v>0</v>
      </c>
    </row>
    <row r="80" spans="1:21" x14ac:dyDescent="0.25">
      <c r="A80" s="463" t="s">
        <v>439</v>
      </c>
      <c r="B80" s="453"/>
      <c r="C80" s="453"/>
      <c r="D80" s="72"/>
      <c r="E80" s="46" t="s">
        <v>4</v>
      </c>
      <c r="F80" s="337">
        <f>'0664'!F80</f>
        <v>206284749</v>
      </c>
      <c r="G80" s="39" t="s">
        <v>6</v>
      </c>
      <c r="H80" s="131">
        <f>H66</f>
        <v>1.2279999999999999E-3</v>
      </c>
      <c r="I80" s="104">
        <f t="shared" si="14"/>
        <v>253317.67</v>
      </c>
      <c r="N80" s="478" t="s">
        <v>397</v>
      </c>
      <c r="O80" s="479"/>
      <c r="P80" s="479"/>
      <c r="Q80" s="47"/>
      <c r="R80" s="134">
        <f t="shared" si="15"/>
        <v>206284749</v>
      </c>
      <c r="S80" s="40" t="s">
        <v>6</v>
      </c>
      <c r="T80" s="133">
        <f>T66</f>
        <v>0</v>
      </c>
      <c r="U80" s="99">
        <f t="shared" si="16"/>
        <v>0</v>
      </c>
    </row>
    <row r="81" spans="1:21" x14ac:dyDescent="0.25">
      <c r="A81" s="84" t="s">
        <v>440</v>
      </c>
      <c r="B81" s="72"/>
      <c r="C81" s="72"/>
      <c r="D81" s="72"/>
      <c r="E81" s="46"/>
      <c r="F81" s="337"/>
      <c r="G81" s="39"/>
      <c r="H81" s="131"/>
      <c r="I81" s="104"/>
      <c r="N81" s="419" t="s">
        <v>440</v>
      </c>
      <c r="O81" s="48"/>
      <c r="P81" s="48"/>
      <c r="Q81" s="47"/>
      <c r="R81" s="423"/>
      <c r="S81" s="40"/>
      <c r="T81" s="133"/>
      <c r="U81" s="120"/>
    </row>
    <row r="82" spans="1:21" x14ac:dyDescent="0.25">
      <c r="A82" s="264" t="s">
        <v>441</v>
      </c>
      <c r="B82" s="72"/>
      <c r="C82" s="72"/>
      <c r="D82" s="72"/>
      <c r="E82" s="46" t="s">
        <v>442</v>
      </c>
      <c r="F82" s="337">
        <f>'0664'!F82</f>
        <v>0</v>
      </c>
      <c r="G82" s="39" t="s">
        <v>6</v>
      </c>
      <c r="H82" s="131">
        <f>H66</f>
        <v>1.2279999999999999E-3</v>
      </c>
      <c r="I82" s="104">
        <v>49185.68</v>
      </c>
      <c r="N82" s="422" t="s">
        <v>441</v>
      </c>
      <c r="O82" s="48"/>
      <c r="P82" s="48"/>
      <c r="Q82" s="47"/>
      <c r="R82" s="134">
        <f t="shared" si="15"/>
        <v>0</v>
      </c>
      <c r="S82" s="40"/>
      <c r="T82" s="133"/>
      <c r="U82" s="99">
        <f t="shared" si="16"/>
        <v>0</v>
      </c>
    </row>
    <row r="83" spans="1:21" x14ac:dyDescent="0.25">
      <c r="A83" s="264" t="s">
        <v>443</v>
      </c>
      <c r="B83" s="72"/>
      <c r="C83" s="72"/>
      <c r="D83" s="72"/>
      <c r="E83" s="46" t="s">
        <v>442</v>
      </c>
      <c r="F83" s="337">
        <f>'0664'!F83</f>
        <v>0</v>
      </c>
      <c r="G83" s="39" t="s">
        <v>6</v>
      </c>
      <c r="H83" s="131">
        <f>H66</f>
        <v>1.2279999999999999E-3</v>
      </c>
      <c r="I83" s="104">
        <v>22357.13</v>
      </c>
      <c r="N83" s="422" t="s">
        <v>443</v>
      </c>
      <c r="O83" s="48"/>
      <c r="P83" s="48"/>
      <c r="Q83" s="47"/>
      <c r="R83" s="134">
        <f t="shared" si="15"/>
        <v>0</v>
      </c>
      <c r="S83" s="40"/>
      <c r="T83" s="133"/>
      <c r="U83" s="99">
        <f t="shared" si="16"/>
        <v>0</v>
      </c>
    </row>
    <row r="84" spans="1:21" x14ac:dyDescent="0.25">
      <c r="A84" s="420" t="s">
        <v>444</v>
      </c>
      <c r="B84" s="72"/>
      <c r="C84" s="72"/>
      <c r="D84" s="72"/>
      <c r="E84" s="46"/>
      <c r="F84" s="337"/>
      <c r="G84" s="39"/>
      <c r="H84" s="131"/>
      <c r="I84" s="104">
        <f>I82+I83</f>
        <v>71542.81</v>
      </c>
      <c r="N84" s="421" t="s">
        <v>444</v>
      </c>
      <c r="O84" s="48"/>
      <c r="P84" s="48"/>
      <c r="Q84" s="47"/>
      <c r="R84" s="423"/>
      <c r="S84" s="40"/>
      <c r="T84" s="133"/>
      <c r="U84" s="99">
        <f>U82+U83</f>
        <v>0</v>
      </c>
    </row>
    <row r="85" spans="1:21" x14ac:dyDescent="0.25">
      <c r="A85" s="463" t="s">
        <v>398</v>
      </c>
      <c r="B85" s="453"/>
      <c r="C85" s="453"/>
      <c r="D85" s="72"/>
      <c r="E85" s="46" t="s">
        <v>4</v>
      </c>
      <c r="F85" s="337">
        <f>'0664'!F85</f>
        <v>0</v>
      </c>
      <c r="G85" s="39" t="s">
        <v>6</v>
      </c>
      <c r="H85" s="131">
        <f>H66</f>
        <v>1.2279999999999999E-3</v>
      </c>
      <c r="I85" s="104">
        <f t="shared" si="14"/>
        <v>0</v>
      </c>
      <c r="N85" s="478" t="s">
        <v>398</v>
      </c>
      <c r="O85" s="479"/>
      <c r="P85" s="479"/>
      <c r="Q85" s="47"/>
      <c r="R85" s="132">
        <f t="shared" si="15"/>
        <v>0</v>
      </c>
      <c r="S85" s="40" t="s">
        <v>6</v>
      </c>
      <c r="T85" s="133">
        <f>T66</f>
        <v>0</v>
      </c>
      <c r="U85" s="99">
        <f t="shared" si="16"/>
        <v>0</v>
      </c>
    </row>
    <row r="86" spans="1:21" x14ac:dyDescent="0.25">
      <c r="B86" s="72"/>
      <c r="C86" s="72"/>
      <c r="D86" s="72"/>
      <c r="E86" s="46"/>
      <c r="F86" s="136"/>
      <c r="G86" s="39"/>
      <c r="H86" s="131"/>
      <c r="I86" s="104"/>
      <c r="N86" s="48"/>
      <c r="O86" s="48"/>
      <c r="P86" s="48"/>
      <c r="Q86" s="47"/>
      <c r="R86" s="137"/>
      <c r="S86" s="40"/>
      <c r="T86" s="133"/>
      <c r="U86" s="106"/>
    </row>
    <row r="87" spans="1:21" x14ac:dyDescent="0.25">
      <c r="A87" s="463" t="s">
        <v>445</v>
      </c>
      <c r="B87" s="453"/>
      <c r="C87" s="453"/>
      <c r="D87" s="453"/>
      <c r="E87" s="453"/>
      <c r="F87" s="453"/>
      <c r="G87" s="453"/>
      <c r="H87" s="453"/>
      <c r="I87" s="453"/>
      <c r="N87" s="478" t="s">
        <v>429</v>
      </c>
      <c r="O87" s="479"/>
      <c r="P87" s="479"/>
      <c r="Q87" s="479"/>
      <c r="R87" s="479"/>
      <c r="S87" s="479"/>
      <c r="T87" s="479"/>
      <c r="U87" s="479"/>
    </row>
    <row r="88" spans="1:21" x14ac:dyDescent="0.25">
      <c r="B88" s="72"/>
      <c r="C88" s="466" t="s">
        <v>73</v>
      </c>
      <c r="D88" s="466"/>
      <c r="E88" s="72"/>
      <c r="F88" s="41" t="s">
        <v>37</v>
      </c>
      <c r="G88" s="72"/>
      <c r="H88" s="72"/>
      <c r="I88" s="72"/>
      <c r="N88" s="48"/>
      <c r="O88" s="48"/>
      <c r="P88" s="48"/>
      <c r="Q88" s="48"/>
      <c r="R88" s="48"/>
      <c r="S88" s="48"/>
      <c r="T88" s="48"/>
      <c r="U88" s="48"/>
    </row>
    <row r="89" spans="1:21" x14ac:dyDescent="0.25">
      <c r="A89" s="3"/>
      <c r="B89" s="138"/>
      <c r="C89" s="462" t="s">
        <v>144</v>
      </c>
      <c r="D89" s="462"/>
      <c r="E89" s="139" t="s">
        <v>150</v>
      </c>
      <c r="F89" s="140" t="s">
        <v>149</v>
      </c>
      <c r="G89" s="141"/>
      <c r="H89" s="141"/>
      <c r="I89" s="141"/>
      <c r="N89" s="495" t="s">
        <v>46</v>
      </c>
      <c r="O89" s="495"/>
      <c r="P89" s="496" t="s">
        <v>119</v>
      </c>
      <c r="Q89" s="496"/>
      <c r="R89" s="497" t="s">
        <v>40</v>
      </c>
      <c r="S89" s="497"/>
      <c r="T89" s="497"/>
      <c r="U89" s="497"/>
    </row>
    <row r="90" spans="1:21" x14ac:dyDescent="0.25">
      <c r="A90" s="27"/>
      <c r="B90" s="55" t="s">
        <v>148</v>
      </c>
      <c r="C90" s="467">
        <f>H13+H14+H19+H22+H25</f>
        <v>188.71480000000003</v>
      </c>
      <c r="D90" s="467"/>
      <c r="E90" s="49">
        <f>H8</f>
        <v>1.0438000000000001</v>
      </c>
      <c r="F90" s="338">
        <f>'0664'!F90</f>
        <v>957.94</v>
      </c>
      <c r="G90" s="41" t="s">
        <v>13</v>
      </c>
      <c r="H90" s="104">
        <f>ROUND(C90*E90*F90,2)</f>
        <v>188695.51</v>
      </c>
      <c r="I90" s="107"/>
      <c r="N90" s="29" t="s">
        <v>22</v>
      </c>
      <c r="O90" s="50">
        <f>T13+T14+T19+T22+T25</f>
        <v>0</v>
      </c>
      <c r="P90" s="490">
        <f>T8</f>
        <v>1.0438000000000001</v>
      </c>
      <c r="Q90" s="490"/>
      <c r="R90" s="51">
        <f>F90</f>
        <v>957.94</v>
      </c>
      <c r="S90" s="42" t="s">
        <v>13</v>
      </c>
      <c r="T90" s="134">
        <f>ROUND(O90*P90*R90,0)</f>
        <v>0</v>
      </c>
      <c r="U90" s="105"/>
    </row>
    <row r="91" spans="1:21" x14ac:dyDescent="0.25">
      <c r="A91" s="52"/>
      <c r="B91" s="52" t="s">
        <v>147</v>
      </c>
      <c r="C91" s="467">
        <f>H15+H16+H20+H23+H26</f>
        <v>77.473799999999997</v>
      </c>
      <c r="D91" s="467"/>
      <c r="E91" s="49">
        <f>H8</f>
        <v>1.0438000000000001</v>
      </c>
      <c r="F91" s="338">
        <f>'0664'!F91</f>
        <v>914.63</v>
      </c>
      <c r="G91" s="41" t="s">
        <v>13</v>
      </c>
      <c r="H91" s="104">
        <f>ROUND(C91*E91*F91,2)</f>
        <v>73963.520000000004</v>
      </c>
      <c r="N91" s="53" t="s">
        <v>14</v>
      </c>
      <c r="O91" s="50">
        <f>T15+T16+T20+T23+T26</f>
        <v>0</v>
      </c>
      <c r="P91" s="490">
        <f>T8</f>
        <v>1.0438000000000001</v>
      </c>
      <c r="Q91" s="490"/>
      <c r="R91" s="51">
        <f>F91</f>
        <v>914.63</v>
      </c>
      <c r="S91" s="42" t="s">
        <v>13</v>
      </c>
      <c r="T91" s="134">
        <f>ROUND(O91*P91*R91,0)</f>
        <v>0</v>
      </c>
      <c r="U91" s="54"/>
    </row>
    <row r="92" spans="1:21" ht="16.5" thickBot="1" x14ac:dyDescent="0.3">
      <c r="A92" s="55"/>
      <c r="B92" s="55" t="s">
        <v>146</v>
      </c>
      <c r="C92" s="467">
        <f>H17+H18+H21+H24+H27+H28</f>
        <v>0</v>
      </c>
      <c r="D92" s="467"/>
      <c r="E92" s="49">
        <f>H8</f>
        <v>1.0438000000000001</v>
      </c>
      <c r="F92" s="338">
        <f>'0664'!F92</f>
        <v>916.84</v>
      </c>
      <c r="G92" s="41" t="s">
        <v>13</v>
      </c>
      <c r="H92" s="97">
        <f>ROUND(C92*E92*F92,2)</f>
        <v>0</v>
      </c>
      <c r="N92" s="56" t="s">
        <v>15</v>
      </c>
      <c r="O92" s="57">
        <f>T17+T18+T21+T24+T27+T28</f>
        <v>0</v>
      </c>
      <c r="P92" s="490">
        <f>T8</f>
        <v>1.0438000000000001</v>
      </c>
      <c r="Q92" s="490"/>
      <c r="R92" s="51">
        <f>F92</f>
        <v>916.84</v>
      </c>
      <c r="S92" s="42" t="s">
        <v>13</v>
      </c>
      <c r="T92" s="134">
        <f>ROUND(O92*P92*R92,0)</f>
        <v>0</v>
      </c>
      <c r="U92" s="54"/>
    </row>
    <row r="93" spans="1:21" ht="16.5" thickBot="1" x14ac:dyDescent="0.3">
      <c r="A93" s="58"/>
      <c r="B93" s="142" t="s">
        <v>145</v>
      </c>
      <c r="C93" s="469">
        <f>SUM(C90:C92)</f>
        <v>266.18860000000001</v>
      </c>
      <c r="D93" s="469"/>
      <c r="E93" s="143"/>
      <c r="F93" s="143"/>
      <c r="G93" s="143"/>
      <c r="H93" s="144" t="s">
        <v>143</v>
      </c>
      <c r="I93" s="104">
        <f>IF(A1=75,0,H92+H91+H90)</f>
        <v>262659.03000000003</v>
      </c>
      <c r="N93" s="59" t="s">
        <v>120</v>
      </c>
      <c r="O93" s="60">
        <f>SUM(O90:O92)</f>
        <v>0</v>
      </c>
      <c r="P93" s="491" t="s">
        <v>18</v>
      </c>
      <c r="Q93" s="492"/>
      <c r="R93" s="492"/>
      <c r="S93" s="492"/>
      <c r="T93" s="492"/>
      <c r="U93" s="99">
        <f>IF(N1=75,0,T92+T91+T90)</f>
        <v>0</v>
      </c>
    </row>
    <row r="94" spans="1:21" ht="16.5" thickTop="1" x14ac:dyDescent="0.25">
      <c r="A94" s="540" t="s">
        <v>90</v>
      </c>
      <c r="B94" s="540"/>
      <c r="C94" s="540"/>
      <c r="D94" s="540"/>
      <c r="E94" s="540"/>
      <c r="F94" s="540"/>
      <c r="G94" s="540"/>
      <c r="H94" s="540"/>
      <c r="I94" s="540"/>
      <c r="N94" s="493" t="s">
        <v>90</v>
      </c>
      <c r="O94" s="493"/>
      <c r="P94" s="493"/>
      <c r="Q94" s="493"/>
      <c r="R94" s="493"/>
      <c r="S94" s="493"/>
      <c r="T94" s="493"/>
      <c r="U94" s="493"/>
    </row>
    <row r="95" spans="1:21" x14ac:dyDescent="0.25">
      <c r="A95" s="145"/>
      <c r="B95" s="145"/>
      <c r="C95" s="145"/>
      <c r="D95" s="145"/>
      <c r="E95" s="145"/>
      <c r="F95" s="145"/>
      <c r="G95" s="145"/>
      <c r="H95" s="145"/>
      <c r="I95" s="145"/>
      <c r="N95" s="146"/>
      <c r="O95" s="146"/>
      <c r="P95" s="146"/>
      <c r="Q95" s="146"/>
      <c r="R95" s="146"/>
      <c r="S95" s="146"/>
      <c r="T95" s="146"/>
      <c r="U95" s="146"/>
    </row>
    <row r="96" spans="1:21" x14ac:dyDescent="0.25">
      <c r="A96" s="84" t="s">
        <v>446</v>
      </c>
      <c r="C96" s="46"/>
      <c r="D96" s="72"/>
      <c r="E96" s="46" t="s">
        <v>100</v>
      </c>
      <c r="F96" s="471"/>
      <c r="G96" s="471"/>
      <c r="H96" s="471"/>
      <c r="I96" s="471"/>
      <c r="N96" s="478" t="s">
        <v>426</v>
      </c>
      <c r="O96" s="479"/>
      <c r="P96" s="479"/>
      <c r="Q96" s="494"/>
      <c r="R96" s="494"/>
      <c r="S96" s="494"/>
      <c r="T96" s="494"/>
      <c r="U96" s="106"/>
    </row>
    <row r="97" spans="1:21" x14ac:dyDescent="0.25">
      <c r="B97" s="72"/>
      <c r="C97" s="91" t="s">
        <v>409</v>
      </c>
      <c r="D97" s="371" t="s">
        <v>410</v>
      </c>
      <c r="E97" s="92" t="s">
        <v>151</v>
      </c>
      <c r="F97" s="46"/>
      <c r="G97" s="46"/>
      <c r="H97" s="46"/>
      <c r="I97" s="46"/>
      <c r="N97" s="48"/>
      <c r="O97" s="48"/>
      <c r="P97" s="48"/>
      <c r="Q97" s="147"/>
      <c r="R97" s="147"/>
      <c r="S97" s="147"/>
      <c r="T97" s="147"/>
      <c r="U97" s="106"/>
    </row>
    <row r="98" spans="1:21" x14ac:dyDescent="0.25">
      <c r="B98" s="72"/>
      <c r="C98" s="362" t="s">
        <v>2</v>
      </c>
      <c r="D98" s="362" t="s">
        <v>2</v>
      </c>
      <c r="E98" s="362" t="s">
        <v>2</v>
      </c>
      <c r="F98" s="46"/>
      <c r="G98" s="46"/>
      <c r="H98" s="46"/>
      <c r="I98" s="46"/>
      <c r="N98" s="48"/>
      <c r="O98" s="48"/>
      <c r="P98" s="48"/>
      <c r="Q98" s="147"/>
      <c r="R98" s="147"/>
      <c r="S98" s="147"/>
      <c r="T98" s="147"/>
      <c r="U98" s="106"/>
    </row>
    <row r="99" spans="1:21" x14ac:dyDescent="0.25">
      <c r="A99" s="536" t="s">
        <v>470</v>
      </c>
      <c r="B99" s="461"/>
      <c r="C99" s="165">
        <v>0</v>
      </c>
      <c r="D99" s="165">
        <v>0</v>
      </c>
      <c r="E99" s="125">
        <f>C99</f>
        <v>0</v>
      </c>
      <c r="F99" s="148" t="s">
        <v>39</v>
      </c>
      <c r="G99" s="339">
        <f>'0664'!G99</f>
        <v>558</v>
      </c>
      <c r="I99" s="104">
        <f>ROUND(G99*E99,2)</f>
        <v>0</v>
      </c>
      <c r="N99" s="488" t="s">
        <v>65</v>
      </c>
      <c r="O99" s="488"/>
      <c r="P99" s="489">
        <f>IF(H120=1,E99,0)</f>
        <v>0</v>
      </c>
      <c r="Q99" s="489"/>
      <c r="R99" s="489"/>
      <c r="S99" s="86" t="s">
        <v>39</v>
      </c>
      <c r="T99" s="61">
        <f>G99</f>
        <v>558</v>
      </c>
      <c r="U99" s="99">
        <f>ROUND(T99*P99,0)</f>
        <v>0</v>
      </c>
    </row>
    <row r="100" spans="1:21" x14ac:dyDescent="0.25">
      <c r="A100" s="536" t="s">
        <v>471</v>
      </c>
      <c r="B100" s="461"/>
      <c r="C100" s="165">
        <v>0</v>
      </c>
      <c r="D100" s="165">
        <v>0</v>
      </c>
      <c r="E100" s="125">
        <f>C100</f>
        <v>0</v>
      </c>
      <c r="F100" s="148" t="s">
        <v>39</v>
      </c>
      <c r="G100" s="339">
        <f>'0664'!G100</f>
        <v>1707</v>
      </c>
      <c r="I100" s="104">
        <f>ROUND(G100*E100,2)</f>
        <v>0</v>
      </c>
      <c r="N100" s="488" t="s">
        <v>81</v>
      </c>
      <c r="O100" s="488"/>
      <c r="P100" s="483"/>
      <c r="Q100" s="483"/>
      <c r="R100" s="483"/>
      <c r="S100" s="86" t="s">
        <v>39</v>
      </c>
      <c r="T100" s="61">
        <f>G100</f>
        <v>1707</v>
      </c>
      <c r="U100" s="99">
        <f>ROUND(T100*P100,0)</f>
        <v>0</v>
      </c>
    </row>
    <row r="101" spans="1:21" x14ac:dyDescent="0.25">
      <c r="A101" s="149"/>
      <c r="B101" s="149"/>
      <c r="C101" s="68"/>
      <c r="D101" s="68"/>
      <c r="E101" s="68"/>
      <c r="F101" s="68"/>
      <c r="G101" s="150"/>
      <c r="H101" s="151"/>
      <c r="I101" s="104"/>
      <c r="N101" s="152"/>
      <c r="O101" s="152"/>
      <c r="P101" s="153"/>
      <c r="Q101" s="153"/>
      <c r="R101" s="153"/>
      <c r="S101" s="86"/>
      <c r="T101" s="61"/>
      <c r="U101" s="106"/>
    </row>
    <row r="102" spans="1:21" x14ac:dyDescent="0.25">
      <c r="A102" s="149"/>
      <c r="B102" s="149"/>
      <c r="C102" s="68"/>
      <c r="D102" s="68"/>
      <c r="E102" s="68"/>
      <c r="F102" s="68"/>
      <c r="G102" s="150"/>
      <c r="H102" s="151"/>
      <c r="I102" s="104"/>
      <c r="N102" s="152"/>
      <c r="O102" s="152"/>
      <c r="P102" s="153"/>
      <c r="Q102" s="153"/>
      <c r="R102" s="153"/>
      <c r="S102" s="86"/>
      <c r="T102" s="61"/>
      <c r="U102" s="106"/>
    </row>
    <row r="103" spans="1:21" hidden="1" x14ac:dyDescent="0.25">
      <c r="A103" s="463" t="s">
        <v>447</v>
      </c>
      <c r="B103" s="453"/>
      <c r="C103" s="453"/>
      <c r="D103" s="72"/>
      <c r="E103" s="41" t="s">
        <v>41</v>
      </c>
      <c r="F103" s="466"/>
      <c r="G103" s="466"/>
      <c r="H103" s="466"/>
      <c r="I103" s="466"/>
      <c r="N103" s="478" t="s">
        <v>362</v>
      </c>
      <c r="O103" s="479"/>
      <c r="P103" s="479"/>
      <c r="Q103" s="479"/>
      <c r="R103" s="479"/>
      <c r="S103" s="479"/>
      <c r="T103" s="479"/>
      <c r="U103" s="479"/>
    </row>
    <row r="104" spans="1:21" hidden="1" x14ac:dyDescent="0.25">
      <c r="B104" s="72"/>
      <c r="C104" s="462" t="s">
        <v>91</v>
      </c>
      <c r="D104" s="462"/>
      <c r="E104" s="462"/>
      <c r="F104" s="39"/>
      <c r="G104" s="39"/>
      <c r="H104" s="41" t="s">
        <v>152</v>
      </c>
      <c r="I104" s="39"/>
      <c r="N104" s="48"/>
      <c r="O104" s="48"/>
      <c r="P104" s="48"/>
      <c r="Q104" s="48"/>
      <c r="R104" s="48"/>
      <c r="S104" s="48"/>
      <c r="T104" s="48"/>
      <c r="U104" s="48"/>
    </row>
    <row r="105" spans="1:21" hidden="1" x14ac:dyDescent="0.25">
      <c r="B105" s="72"/>
      <c r="C105" s="91" t="s">
        <v>371</v>
      </c>
      <c r="D105" s="91" t="s">
        <v>351</v>
      </c>
      <c r="E105" s="159" t="s">
        <v>8</v>
      </c>
      <c r="F105" s="464" t="s">
        <v>153</v>
      </c>
      <c r="G105" s="466"/>
      <c r="H105" s="39" t="s">
        <v>38</v>
      </c>
      <c r="I105" s="39"/>
      <c r="N105" s="48"/>
      <c r="O105" s="48"/>
      <c r="P105" s="48"/>
      <c r="Q105" s="48"/>
      <c r="R105" s="48"/>
      <c r="S105" s="48"/>
      <c r="T105" s="48"/>
      <c r="U105" s="48"/>
    </row>
    <row r="106" spans="1:21" hidden="1" x14ac:dyDescent="0.25">
      <c r="A106" s="462" t="s">
        <v>94</v>
      </c>
      <c r="B106" s="462"/>
      <c r="C106" s="93" t="s">
        <v>2</v>
      </c>
      <c r="D106" s="93" t="s">
        <v>2</v>
      </c>
      <c r="E106" s="62" t="s">
        <v>2</v>
      </c>
      <c r="F106" s="462" t="s">
        <v>37</v>
      </c>
      <c r="G106" s="462"/>
      <c r="H106" s="62" t="s">
        <v>37</v>
      </c>
      <c r="I106" s="62" t="s">
        <v>8</v>
      </c>
      <c r="N106" s="484" t="s">
        <v>66</v>
      </c>
      <c r="O106" s="484"/>
      <c r="P106" s="489" t="s">
        <v>91</v>
      </c>
      <c r="Q106" s="489"/>
      <c r="R106" s="484" t="s">
        <v>67</v>
      </c>
      <c r="S106" s="484"/>
      <c r="T106" s="63" t="s">
        <v>68</v>
      </c>
      <c r="U106" s="63" t="s">
        <v>8</v>
      </c>
    </row>
    <row r="107" spans="1:21" hidden="1" x14ac:dyDescent="0.25">
      <c r="A107" s="473" t="s">
        <v>69</v>
      </c>
      <c r="B107" s="473"/>
      <c r="C107" s="163">
        <v>0</v>
      </c>
      <c r="D107" s="163">
        <v>0</v>
      </c>
      <c r="E107" s="210">
        <f>IF(D$59=0,C107*2,C107+D107)</f>
        <v>0</v>
      </c>
      <c r="F107" s="474">
        <v>0</v>
      </c>
      <c r="G107" s="474"/>
      <c r="H107" s="250">
        <f>IF(C107=0,0,125)</f>
        <v>0</v>
      </c>
      <c r="I107" s="104">
        <f>ROUND((H107+F107)*E107,2)</f>
        <v>0</v>
      </c>
      <c r="N107" s="479" t="s">
        <v>69</v>
      </c>
      <c r="O107" s="479"/>
      <c r="P107" s="483">
        <f>IF(H$120=1,C107,0)</f>
        <v>0</v>
      </c>
      <c r="Q107" s="483"/>
      <c r="R107" s="486">
        <f>F107</f>
        <v>0</v>
      </c>
      <c r="S107" s="486"/>
      <c r="T107" s="65">
        <f>H107</f>
        <v>0</v>
      </c>
      <c r="U107" s="99">
        <f>ROUND((T107+R107)*P107,0)</f>
        <v>0</v>
      </c>
    </row>
    <row r="108" spans="1:21" hidden="1" x14ac:dyDescent="0.25">
      <c r="A108" s="456" t="s">
        <v>70</v>
      </c>
      <c r="B108" s="456"/>
      <c r="C108" s="165">
        <v>0</v>
      </c>
      <c r="D108" s="165">
        <v>0</v>
      </c>
      <c r="E108" s="125">
        <f>IF(D$59=0,C108*2,C108+D108)</f>
        <v>0</v>
      </c>
      <c r="F108" s="468">
        <f>ROUND(F107/2,2)</f>
        <v>0</v>
      </c>
      <c r="G108" s="468"/>
      <c r="H108" s="250">
        <f>IF(C108=0,0,62.5)</f>
        <v>0</v>
      </c>
      <c r="I108" s="104">
        <f>ROUND((H108+F108)*E108,2)</f>
        <v>0</v>
      </c>
      <c r="N108" s="479" t="s">
        <v>70</v>
      </c>
      <c r="O108" s="479"/>
      <c r="P108" s="483">
        <f>IF(H$120=1,C108,0)</f>
        <v>0</v>
      </c>
      <c r="Q108" s="483"/>
      <c r="R108" s="487">
        <f>ROUND(R107/2,2)</f>
        <v>0</v>
      </c>
      <c r="S108" s="487"/>
      <c r="T108" s="65">
        <f>H108</f>
        <v>0</v>
      </c>
      <c r="U108" s="99">
        <f>ROUND((T108+R108)*P108,0)</f>
        <v>0</v>
      </c>
    </row>
    <row r="109" spans="1:21" ht="16.5" hidden="1" thickBot="1" x14ac:dyDescent="0.3">
      <c r="A109" s="456" t="s">
        <v>71</v>
      </c>
      <c r="B109" s="456"/>
      <c r="C109" s="165">
        <v>0</v>
      </c>
      <c r="D109" s="165">
        <v>0</v>
      </c>
      <c r="E109" s="125">
        <f>IF(D$59=0,C109*2,C109+D109)</f>
        <v>0</v>
      </c>
      <c r="F109" s="475"/>
      <c r="G109" s="475"/>
      <c r="H109" s="251">
        <f>IF(H107&gt;0,436,0)</f>
        <v>0</v>
      </c>
      <c r="I109" s="104">
        <f>ROUND(H109*E109,2)</f>
        <v>0</v>
      </c>
      <c r="N109" s="482" t="s">
        <v>71</v>
      </c>
      <c r="O109" s="482"/>
      <c r="P109" s="483">
        <f>IF(H$120=1,C109,0)</f>
        <v>0</v>
      </c>
      <c r="Q109" s="483"/>
      <c r="R109" s="484"/>
      <c r="S109" s="484"/>
      <c r="T109" s="67">
        <f>H109</f>
        <v>0</v>
      </c>
      <c r="U109" s="106">
        <f>ROUND(T109*P109,0)</f>
        <v>0</v>
      </c>
    </row>
    <row r="110" spans="1:21" ht="16.5" hidden="1" thickBot="1" x14ac:dyDescent="0.3">
      <c r="A110" s="466" t="s">
        <v>8</v>
      </c>
      <c r="B110" s="466"/>
      <c r="C110" s="68"/>
      <c r="D110" s="68"/>
      <c r="E110" s="68"/>
      <c r="F110" s="68"/>
      <c r="G110" s="68"/>
      <c r="H110" s="68"/>
      <c r="I110" s="100">
        <f>SUM(I107:I109)</f>
        <v>0</v>
      </c>
      <c r="N110" s="485" t="s">
        <v>8</v>
      </c>
      <c r="O110" s="485"/>
      <c r="P110" s="69"/>
      <c r="Q110" s="69"/>
      <c r="R110" s="69"/>
      <c r="S110" s="69"/>
      <c r="T110" s="69"/>
      <c r="U110" s="70">
        <f>SUM(U107:U109)</f>
        <v>0</v>
      </c>
    </row>
    <row r="111" spans="1:21" hidden="1" x14ac:dyDescent="0.25">
      <c r="A111" s="39"/>
      <c r="B111" s="39"/>
      <c r="C111" s="68"/>
      <c r="D111" s="68"/>
      <c r="E111" s="68"/>
      <c r="F111" s="68"/>
      <c r="G111" s="68"/>
      <c r="H111" s="68"/>
      <c r="I111" s="104"/>
      <c r="N111" s="40"/>
      <c r="O111" s="40"/>
      <c r="P111" s="69"/>
      <c r="Q111" s="69"/>
      <c r="R111" s="69"/>
      <c r="S111" s="69"/>
      <c r="T111" s="69"/>
      <c r="U111" s="160"/>
    </row>
    <row r="112" spans="1:21" x14ac:dyDescent="0.25">
      <c r="A112" s="463" t="s">
        <v>448</v>
      </c>
      <c r="B112" s="453"/>
      <c r="C112" s="453"/>
      <c r="D112" s="72"/>
      <c r="E112" s="71" t="s">
        <v>354</v>
      </c>
      <c r="F112" s="472"/>
      <c r="G112" s="472"/>
      <c r="H112" s="472"/>
      <c r="I112" s="125">
        <v>0</v>
      </c>
      <c r="N112" s="478" t="s">
        <v>427</v>
      </c>
      <c r="O112" s="479"/>
      <c r="P112" s="479"/>
      <c r="Q112" s="341"/>
      <c r="R112" s="341"/>
      <c r="S112" s="341"/>
      <c r="T112" s="341"/>
      <c r="U112" s="99">
        <f>IF($H$120=1,I112,0)</f>
        <v>0</v>
      </c>
    </row>
    <row r="113" spans="1:21" x14ac:dyDescent="0.25">
      <c r="A113" s="463" t="s">
        <v>449</v>
      </c>
      <c r="B113" s="453"/>
      <c r="C113" s="453"/>
      <c r="D113" s="72"/>
      <c r="E113" s="71" t="s">
        <v>45</v>
      </c>
      <c r="F113" s="472"/>
      <c r="G113" s="472"/>
      <c r="H113" s="472"/>
      <c r="I113" s="177">
        <v>0</v>
      </c>
      <c r="N113" s="478" t="s">
        <v>428</v>
      </c>
      <c r="O113" s="479"/>
      <c r="P113" s="479"/>
      <c r="Q113" s="341"/>
      <c r="R113" s="341"/>
      <c r="S113" s="341"/>
      <c r="T113" s="341"/>
      <c r="U113" s="99">
        <f>IF($H$120=1,I113,0)</f>
        <v>0</v>
      </c>
    </row>
    <row r="114" spans="1:21" ht="16.5" thickBot="1" x14ac:dyDescent="0.3">
      <c r="B114" s="72"/>
      <c r="C114" s="72"/>
      <c r="D114" s="72"/>
      <c r="E114" s="71"/>
      <c r="F114" s="71"/>
      <c r="G114" s="71"/>
      <c r="H114" s="71"/>
      <c r="I114" s="125"/>
      <c r="N114" s="480" t="s">
        <v>42</v>
      </c>
      <c r="O114" s="480"/>
      <c r="P114" s="480"/>
      <c r="Q114" s="480"/>
      <c r="R114" s="480"/>
      <c r="S114" s="480"/>
      <c r="T114" s="480"/>
      <c r="U114" s="154">
        <f>SUM(U112,U110,U100,U99,U93,U77,U76,U74,U73,U72,U71,U70,U68,U59,U45,U78,U79,U80,U85,U113)</f>
        <v>0</v>
      </c>
    </row>
    <row r="115" spans="1:21" ht="16.5" thickTop="1" x14ac:dyDescent="0.25">
      <c r="A115" s="461" t="s">
        <v>8</v>
      </c>
      <c r="B115" s="461"/>
      <c r="C115" s="461"/>
      <c r="D115" s="461"/>
      <c r="E115" s="461"/>
      <c r="F115" s="461"/>
      <c r="G115" s="461"/>
      <c r="H115" s="461"/>
      <c r="I115" s="97">
        <f>SUM(I113,I112,I110,I100,I99,I93,I85,I84,I80,I79,I78,I77,I76,I74,I73,I72,I71,I70,I68,I59,I45)</f>
        <v>2059661.11</v>
      </c>
      <c r="N115" s="29"/>
      <c r="O115" s="29"/>
      <c r="P115" s="29"/>
      <c r="Q115" s="29"/>
      <c r="R115" s="29"/>
      <c r="S115" s="29"/>
      <c r="T115" s="29"/>
      <c r="U115" s="160"/>
    </row>
    <row r="116" spans="1:21" x14ac:dyDescent="0.25">
      <c r="A116" s="27"/>
      <c r="B116" s="27"/>
      <c r="C116" s="27"/>
      <c r="D116" s="27"/>
      <c r="E116" s="27"/>
      <c r="F116" s="27"/>
      <c r="G116" s="27"/>
      <c r="H116" s="27"/>
      <c r="I116" s="104"/>
      <c r="N116" s="29"/>
      <c r="O116" s="29"/>
      <c r="P116" s="29"/>
      <c r="Q116" s="29"/>
      <c r="R116" s="29"/>
      <c r="S116" s="29"/>
      <c r="T116" s="29"/>
      <c r="U116" s="160"/>
    </row>
    <row r="117" spans="1:21" x14ac:dyDescent="0.25">
      <c r="A117" s="432" t="s">
        <v>467</v>
      </c>
      <c r="B117" s="27"/>
      <c r="C117" s="27"/>
      <c r="D117" s="27"/>
      <c r="E117" s="27"/>
      <c r="F117" s="27"/>
      <c r="G117" s="27"/>
      <c r="H117" s="27"/>
      <c r="I117" s="104">
        <f>I115-I84</f>
        <v>1988118.3</v>
      </c>
      <c r="N117" s="29"/>
      <c r="O117" s="29"/>
      <c r="P117" s="29"/>
      <c r="Q117" s="29"/>
      <c r="R117" s="29"/>
      <c r="S117" s="29"/>
      <c r="T117" s="29"/>
      <c r="U117" s="160"/>
    </row>
    <row r="118" spans="1:21" x14ac:dyDescent="0.25">
      <c r="A118" s="27"/>
      <c r="B118" s="27"/>
      <c r="C118" s="27"/>
      <c r="D118" s="27"/>
      <c r="E118" s="27"/>
      <c r="F118" s="27"/>
      <c r="G118" s="27"/>
      <c r="H118" s="27"/>
      <c r="I118" s="104"/>
      <c r="N118" s="29"/>
      <c r="O118" s="29"/>
      <c r="P118" s="29"/>
      <c r="Q118" s="29"/>
      <c r="R118" s="29"/>
      <c r="S118" s="29"/>
      <c r="T118" s="29"/>
      <c r="U118" s="160"/>
    </row>
    <row r="119" spans="1:21" x14ac:dyDescent="0.25">
      <c r="A119" s="463" t="s">
        <v>468</v>
      </c>
      <c r="B119" s="453"/>
      <c r="C119" s="453"/>
      <c r="D119" s="453"/>
      <c r="E119" s="453"/>
      <c r="F119" s="453"/>
      <c r="G119" s="453"/>
      <c r="H119" s="84" t="s">
        <v>394</v>
      </c>
      <c r="I119" s="156"/>
      <c r="N119" s="481"/>
      <c r="O119" s="481"/>
      <c r="P119" s="481"/>
      <c r="Q119" s="481"/>
      <c r="R119" s="481"/>
      <c r="S119" s="481"/>
      <c r="T119" s="481"/>
      <c r="U119" s="481"/>
    </row>
    <row r="120" spans="1:21" x14ac:dyDescent="0.25">
      <c r="A120" s="453" t="s">
        <v>95</v>
      </c>
      <c r="B120" s="453"/>
      <c r="C120" s="453"/>
      <c r="D120" s="453"/>
      <c r="E120" s="453"/>
      <c r="F120" s="453"/>
      <c r="G120" s="453"/>
      <c r="H120" s="73" t="str">
        <f>IF(E29=0,"",IF((E14+E16+SUM(E18:E24))/E29&gt;0.75,1,""))</f>
        <v/>
      </c>
      <c r="I120" s="125">
        <f>U114</f>
        <v>0</v>
      </c>
      <c r="N120" s="476" t="s">
        <v>7</v>
      </c>
      <c r="O120" s="476"/>
      <c r="P120" s="476"/>
      <c r="Q120" s="476"/>
      <c r="R120" s="476"/>
      <c r="S120" s="476"/>
      <c r="T120" s="476"/>
      <c r="U120" s="476"/>
    </row>
    <row r="121" spans="1:21" x14ac:dyDescent="0.25">
      <c r="B121" s="72"/>
      <c r="C121" s="72"/>
      <c r="D121" s="72"/>
      <c r="E121" s="72"/>
      <c r="F121" s="72"/>
      <c r="G121" s="72"/>
      <c r="H121" s="68"/>
      <c r="I121" s="104"/>
      <c r="N121" s="74" t="s">
        <v>106</v>
      </c>
      <c r="O121" s="74"/>
      <c r="P121" s="74"/>
      <c r="Q121" s="74"/>
      <c r="R121" s="74"/>
      <c r="S121" s="74"/>
      <c r="T121" s="74"/>
      <c r="U121" s="74"/>
    </row>
    <row r="122" spans="1:21" x14ac:dyDescent="0.25">
      <c r="A122" s="3" t="s">
        <v>102</v>
      </c>
      <c r="B122" s="72"/>
      <c r="C122" s="72"/>
      <c r="D122" s="72"/>
      <c r="E122" s="72"/>
      <c r="F122" s="72"/>
      <c r="G122" s="426" t="s">
        <v>290</v>
      </c>
      <c r="H122" s="161">
        <f>IF(H120=1,I120,I117)</f>
        <v>1988118.3</v>
      </c>
      <c r="I122" s="97">
        <f>ROUND(IF(E29=0,0,IF(E29&gt;250,-(((250/E29)*H122)*IF(G122="H",0.02,0.05)),IF(G122="H",-0.02*H122,-0.05*H122))),2)</f>
        <v>-39762.370000000003</v>
      </c>
      <c r="N122" s="75" t="s">
        <v>107</v>
      </c>
      <c r="O122" s="74"/>
      <c r="P122" s="74"/>
      <c r="Q122" s="74"/>
      <c r="R122" s="74"/>
      <c r="S122" s="74"/>
      <c r="T122" s="74"/>
      <c r="U122" s="74"/>
    </row>
    <row r="123" spans="1:21" x14ac:dyDescent="0.25">
      <c r="B123" s="72"/>
      <c r="C123" s="72"/>
      <c r="D123" s="72"/>
      <c r="E123" s="72"/>
      <c r="F123" s="72"/>
      <c r="G123" s="72"/>
      <c r="H123" s="68"/>
      <c r="I123" s="104"/>
      <c r="N123" s="76"/>
      <c r="O123" s="76"/>
      <c r="P123" s="76"/>
      <c r="Q123" s="76"/>
      <c r="R123" s="76"/>
      <c r="S123" s="76"/>
      <c r="T123" s="76"/>
      <c r="U123" s="76"/>
    </row>
    <row r="124" spans="1:21" x14ac:dyDescent="0.25">
      <c r="A124" s="345" t="s">
        <v>103</v>
      </c>
      <c r="B124" s="346"/>
      <c r="C124" s="346"/>
      <c r="D124" s="346"/>
      <c r="E124" s="346"/>
      <c r="F124" s="346"/>
      <c r="G124" s="346"/>
      <c r="H124" s="347"/>
      <c r="I124" s="348">
        <f>I115+I122</f>
        <v>2019898.74</v>
      </c>
      <c r="N124" s="76"/>
      <c r="O124" s="76"/>
      <c r="P124" s="76"/>
      <c r="Q124" s="76"/>
      <c r="R124" s="76"/>
      <c r="S124" s="76"/>
      <c r="T124" s="76"/>
      <c r="U124" s="76"/>
    </row>
    <row r="125" spans="1:21" x14ac:dyDescent="0.25">
      <c r="B125" s="72"/>
      <c r="C125" s="72"/>
      <c r="D125" s="72"/>
      <c r="E125" s="72"/>
      <c r="F125" s="72"/>
      <c r="G125" s="72"/>
      <c r="H125" s="68"/>
      <c r="I125" s="104"/>
      <c r="N125" s="76"/>
      <c r="O125" s="76"/>
      <c r="P125" s="76"/>
      <c r="Q125" s="76"/>
      <c r="R125" s="76"/>
      <c r="S125" s="76"/>
      <c r="T125" s="76"/>
      <c r="U125" s="76"/>
    </row>
    <row r="126" spans="1:21" x14ac:dyDescent="0.25">
      <c r="A126" s="3" t="s">
        <v>104</v>
      </c>
      <c r="B126" s="72"/>
      <c r="C126" s="162"/>
      <c r="D126" s="72"/>
      <c r="F126" s="72"/>
      <c r="G126" s="72"/>
      <c r="H126" s="68"/>
      <c r="I126" s="302">
        <v>-1531897.27</v>
      </c>
      <c r="N126" s="76"/>
      <c r="O126" s="76"/>
      <c r="P126" s="76"/>
      <c r="Q126" s="76"/>
      <c r="R126" s="76"/>
      <c r="S126" s="76"/>
      <c r="T126" s="76"/>
      <c r="U126" s="76"/>
    </row>
    <row r="127" spans="1:21" x14ac:dyDescent="0.25">
      <c r="B127" s="72"/>
      <c r="C127" s="72"/>
      <c r="D127" s="72"/>
      <c r="E127" s="72"/>
      <c r="F127" s="72"/>
      <c r="G127" s="72"/>
      <c r="H127" s="68"/>
      <c r="I127" s="104"/>
      <c r="N127" s="76"/>
      <c r="O127" s="76"/>
      <c r="P127" s="76"/>
      <c r="Q127" s="76"/>
      <c r="R127" s="76"/>
      <c r="S127" s="76"/>
      <c r="T127" s="76"/>
      <c r="U127" s="76"/>
    </row>
    <row r="128" spans="1:21" x14ac:dyDescent="0.25">
      <c r="A128" s="84" t="s">
        <v>297</v>
      </c>
      <c r="B128" s="72"/>
      <c r="C128" s="72"/>
      <c r="D128" s="72"/>
      <c r="E128" s="72"/>
      <c r="F128" s="72"/>
      <c r="G128" s="72"/>
      <c r="H128" s="68"/>
      <c r="I128" s="104">
        <f>I124+I126</f>
        <v>488001.47</v>
      </c>
      <c r="N128" s="76"/>
      <c r="O128" s="76"/>
      <c r="P128" s="76"/>
      <c r="Q128" s="76"/>
      <c r="R128" s="76"/>
      <c r="S128" s="76"/>
      <c r="T128" s="76"/>
      <c r="U128" s="76"/>
    </row>
    <row r="129" spans="1:21" x14ac:dyDescent="0.25">
      <c r="A129" s="84"/>
      <c r="B129" s="72"/>
      <c r="C129" s="72"/>
      <c r="D129" s="72"/>
      <c r="E129" s="72"/>
      <c r="F129" s="72"/>
      <c r="G129" s="72"/>
      <c r="H129" s="68"/>
      <c r="I129" s="104"/>
      <c r="N129" s="76"/>
      <c r="O129" s="76"/>
      <c r="P129" s="76"/>
      <c r="Q129" s="76"/>
      <c r="R129" s="76"/>
      <c r="S129" s="76"/>
      <c r="T129" s="76"/>
      <c r="U129" s="76"/>
    </row>
    <row r="130" spans="1:21" x14ac:dyDescent="0.25">
      <c r="A130" s="84" t="s">
        <v>298</v>
      </c>
      <c r="B130" s="72"/>
      <c r="C130" s="72"/>
      <c r="D130" s="72"/>
      <c r="E130" s="72"/>
      <c r="F130" s="72"/>
      <c r="G130" s="72"/>
      <c r="H130" s="68"/>
      <c r="I130" s="303">
        <f>'0664'!I130</f>
        <v>3</v>
      </c>
      <c r="N130" s="76"/>
      <c r="O130" s="76"/>
      <c r="P130" s="76"/>
      <c r="Q130" s="76"/>
      <c r="R130" s="76"/>
      <c r="S130" s="76"/>
      <c r="T130" s="76"/>
      <c r="U130" s="76"/>
    </row>
    <row r="131" spans="1:21" x14ac:dyDescent="0.25">
      <c r="B131" s="72"/>
      <c r="C131" s="72"/>
      <c r="D131" s="72"/>
      <c r="E131" s="72"/>
      <c r="F131" s="72"/>
      <c r="G131" s="72"/>
      <c r="H131" s="68"/>
      <c r="I131" s="104"/>
      <c r="N131" s="76"/>
      <c r="O131" s="76"/>
      <c r="P131" s="76"/>
      <c r="Q131" s="76"/>
      <c r="R131" s="76"/>
      <c r="S131" s="76"/>
      <c r="T131" s="76"/>
      <c r="U131" s="76"/>
    </row>
    <row r="132" spans="1:21" ht="16.5" thickBot="1" x14ac:dyDescent="0.3">
      <c r="A132" s="3" t="s">
        <v>105</v>
      </c>
      <c r="B132" s="72"/>
      <c r="C132" s="72"/>
      <c r="D132" s="72"/>
      <c r="E132" s="72"/>
      <c r="F132" s="72"/>
      <c r="G132" s="72"/>
      <c r="H132" s="68"/>
      <c r="I132" s="178">
        <f>ROUND(I128/I130,2)</f>
        <v>162667.16</v>
      </c>
      <c r="N132" s="76"/>
      <c r="O132" s="76"/>
      <c r="P132" s="76"/>
      <c r="Q132" s="76"/>
      <c r="R132" s="76"/>
      <c r="S132" s="76"/>
      <c r="T132" s="76"/>
      <c r="U132" s="76"/>
    </row>
    <row r="133" spans="1:21" ht="16.5" thickTop="1" x14ac:dyDescent="0.25">
      <c r="B133" s="72"/>
      <c r="C133" s="72"/>
      <c r="D133" s="72"/>
      <c r="E133" s="72"/>
      <c r="F133" s="72"/>
      <c r="G133" s="72"/>
      <c r="H133" s="68"/>
      <c r="I133" s="104"/>
      <c r="N133" s="76"/>
      <c r="O133" s="76"/>
      <c r="P133" s="76"/>
      <c r="Q133" s="76"/>
      <c r="R133" s="76"/>
      <c r="S133" s="76"/>
      <c r="T133" s="76"/>
      <c r="U133" s="76"/>
    </row>
    <row r="134" spans="1:21" ht="16.5" thickBot="1" x14ac:dyDescent="0.3">
      <c r="A134" s="3" t="s">
        <v>121</v>
      </c>
      <c r="B134" s="72"/>
      <c r="C134" s="72"/>
      <c r="D134" s="72"/>
      <c r="E134" s="72"/>
      <c r="F134" s="72"/>
      <c r="G134" s="72"/>
      <c r="H134" s="68"/>
      <c r="I134" s="155">
        <f>ROUND(IF(G122="H",(H122*0.02)+I122,(H122*0.05)+I122),2)</f>
        <v>0</v>
      </c>
      <c r="N134" s="76"/>
      <c r="O134" s="76"/>
      <c r="P134" s="76"/>
      <c r="Q134" s="76"/>
      <c r="R134" s="76"/>
      <c r="S134" s="76"/>
      <c r="T134" s="76"/>
      <c r="U134" s="76"/>
    </row>
    <row r="135" spans="1:21" ht="16.5" thickTop="1" x14ac:dyDescent="0.25">
      <c r="B135" s="72"/>
      <c r="C135" s="72"/>
      <c r="D135" s="72"/>
      <c r="E135" s="72"/>
      <c r="F135" s="72"/>
      <c r="G135" s="72"/>
      <c r="H135" s="68"/>
      <c r="I135" s="156"/>
      <c r="N135" s="76"/>
      <c r="O135" s="76"/>
      <c r="P135" s="76"/>
      <c r="Q135" s="76"/>
      <c r="R135" s="76"/>
      <c r="S135" s="76"/>
      <c r="T135" s="76"/>
      <c r="U135" s="76"/>
    </row>
    <row r="136" spans="1:21" x14ac:dyDescent="0.25">
      <c r="B136" s="72"/>
      <c r="C136" s="72"/>
      <c r="D136" s="72"/>
      <c r="E136" s="72"/>
      <c r="F136" s="72"/>
      <c r="G136" s="72"/>
      <c r="H136" s="68"/>
      <c r="I136" s="104"/>
      <c r="N136" s="76"/>
      <c r="O136" s="76"/>
      <c r="P136" s="76"/>
      <c r="Q136" s="76"/>
      <c r="R136" s="76"/>
      <c r="S136" s="76"/>
      <c r="T136" s="76"/>
      <c r="U136" s="76"/>
    </row>
    <row r="137" spans="1:21" x14ac:dyDescent="0.25">
      <c r="B137" s="72"/>
      <c r="C137" s="72"/>
      <c r="D137" s="72"/>
      <c r="E137" s="72"/>
      <c r="F137" s="72"/>
      <c r="G137" s="72"/>
      <c r="H137" s="68"/>
      <c r="I137" s="156"/>
      <c r="N137" s="76"/>
      <c r="O137" s="76"/>
      <c r="P137" s="76"/>
      <c r="Q137" s="76"/>
      <c r="R137" s="76"/>
      <c r="S137" s="76"/>
      <c r="T137" s="76"/>
      <c r="U137" s="76"/>
    </row>
    <row r="138" spans="1:21" x14ac:dyDescent="0.25">
      <c r="A138" s="281" t="s">
        <v>7</v>
      </c>
      <c r="B138" s="281"/>
      <c r="C138" s="281"/>
      <c r="D138" s="281"/>
      <c r="E138" s="281"/>
      <c r="F138" s="281"/>
      <c r="G138" s="281"/>
      <c r="H138" s="281"/>
      <c r="I138" s="281"/>
      <c r="J138" s="156"/>
      <c r="N138" s="76"/>
      <c r="O138" s="76"/>
      <c r="P138" s="76"/>
      <c r="Q138" s="76"/>
      <c r="R138" s="76"/>
      <c r="S138" s="76"/>
      <c r="T138" s="76"/>
      <c r="U138" s="76"/>
    </row>
    <row r="139" spans="1:21" ht="15.75" customHeight="1" x14ac:dyDescent="0.25">
      <c r="A139" s="356" t="str">
        <f>'0664'!A139</f>
        <v>(a) Additional FTE includes FTE earned through Advanced Placement, International Baccalaureate, Advanced International Certificate of Education, Industry Certified Career</v>
      </c>
      <c r="B139" s="357"/>
      <c r="C139" s="357"/>
      <c r="D139" s="357"/>
      <c r="E139" s="357"/>
      <c r="F139" s="357"/>
      <c r="G139" s="357"/>
      <c r="H139" s="357"/>
      <c r="I139" s="357"/>
      <c r="J139" s="80"/>
      <c r="K139" s="79"/>
      <c r="L139" s="79"/>
      <c r="M139" s="79"/>
      <c r="N139" s="477"/>
      <c r="O139" s="477"/>
      <c r="P139" s="477"/>
      <c r="Q139" s="477"/>
      <c r="R139" s="477"/>
      <c r="S139" s="477"/>
      <c r="T139" s="477"/>
      <c r="U139" s="477"/>
    </row>
    <row r="140" spans="1:21" ht="15.75" customHeight="1" x14ac:dyDescent="0.25">
      <c r="A140" s="390" t="str">
        <f>'0664'!A140</f>
        <v xml:space="preserve">Education (CAPE), Early High School Graduation and the small district ESE Supplement, pursuant to s. 1011.62(1)(l-p), F.S. </v>
      </c>
      <c r="B140" s="357"/>
      <c r="C140" s="357"/>
      <c r="D140" s="357"/>
      <c r="E140" s="357"/>
      <c r="F140" s="357"/>
      <c r="G140" s="357"/>
      <c r="H140" s="357"/>
      <c r="I140" s="357"/>
      <c r="J140" s="80"/>
      <c r="K140" s="79"/>
      <c r="L140" s="79"/>
      <c r="M140" s="79"/>
      <c r="N140" s="76"/>
      <c r="O140" s="76"/>
      <c r="P140" s="76"/>
      <c r="Q140" s="76"/>
      <c r="R140" s="76"/>
      <c r="S140" s="76"/>
      <c r="T140" s="76"/>
      <c r="U140" s="76"/>
    </row>
    <row r="141" spans="1:21" x14ac:dyDescent="0.25">
      <c r="A141" s="356" t="str">
        <f>'0664'!A141</f>
        <v>(b) District allocations multiplied by percentage from item 3A.</v>
      </c>
      <c r="B141" s="281"/>
      <c r="C141" s="281"/>
      <c r="D141" s="281"/>
      <c r="E141" s="281"/>
      <c r="F141" s="281"/>
      <c r="G141" s="281"/>
      <c r="H141" s="281"/>
      <c r="I141" s="281"/>
      <c r="J141" s="79"/>
      <c r="K141" s="79"/>
      <c r="L141" s="79"/>
      <c r="M141" s="79"/>
      <c r="N141" s="81"/>
      <c r="O141" s="82"/>
      <c r="P141" s="82"/>
      <c r="Q141" s="82"/>
      <c r="R141" s="82"/>
      <c r="S141" s="82"/>
      <c r="T141" s="82"/>
      <c r="U141" s="82"/>
    </row>
    <row r="142" spans="1:21" s="79" customFormat="1" x14ac:dyDescent="0.2">
      <c r="A142" s="356" t="str">
        <f>'0664'!A142</f>
        <v>(c) District allocations multiplied by percentage from item 3B.</v>
      </c>
      <c r="B142" s="281"/>
      <c r="C142" s="281"/>
      <c r="D142" s="281"/>
      <c r="E142" s="281"/>
      <c r="F142" s="281"/>
      <c r="G142" s="281"/>
      <c r="H142" s="281"/>
      <c r="I142" s="281"/>
      <c r="N142" s="81"/>
    </row>
    <row r="143" spans="1:21" s="79" customFormat="1" ht="15.75" customHeight="1" x14ac:dyDescent="0.2">
      <c r="A143" s="356" t="str">
        <f>'0664'!A143</f>
        <v>(d) The Digital Classroom Allocation is provided pursuant to s. 1011.62(12), F.S.</v>
      </c>
      <c r="B143" s="281"/>
      <c r="C143" s="281"/>
      <c r="D143" s="281"/>
      <c r="E143" s="281"/>
      <c r="F143" s="281"/>
      <c r="G143" s="281"/>
      <c r="H143" s="281"/>
      <c r="I143" s="281"/>
      <c r="N143" s="81"/>
    </row>
    <row r="144" spans="1:21" s="79" customFormat="1" ht="15.75" customHeight="1" x14ac:dyDescent="0.2">
      <c r="A144" s="356" t="str">
        <f>'0664'!A144</f>
        <v>(e) School districts are required to pay for instructional materials used for the instruction of public high school students who are earning credit toward high school</v>
      </c>
      <c r="B144" s="281"/>
      <c r="C144" s="281"/>
      <c r="D144" s="281"/>
      <c r="E144" s="281"/>
      <c r="F144" s="281"/>
      <c r="G144" s="281"/>
      <c r="H144" s="281"/>
      <c r="I144" s="281"/>
      <c r="N144" s="81"/>
    </row>
    <row r="145" spans="1:14" s="79" customFormat="1" ht="15.75" customHeight="1" x14ac:dyDescent="0.2">
      <c r="A145" s="390" t="str">
        <f>'0664'!A145</f>
        <v xml:space="preserve">graduation under the dual enrollment program as provided in s. 1011.62(l)(i), F.S.  </v>
      </c>
      <c r="B145" s="281"/>
      <c r="C145" s="281"/>
      <c r="D145" s="281"/>
      <c r="E145" s="281"/>
      <c r="F145" s="281"/>
      <c r="G145" s="281"/>
      <c r="H145" s="281"/>
      <c r="I145" s="281"/>
      <c r="N145" s="81"/>
    </row>
    <row r="146" spans="1:14" s="79" customFormat="1" x14ac:dyDescent="0.2">
      <c r="A146" s="356" t="str">
        <f>'0664'!A146</f>
        <v>(f) This allocation will be frozen as of the 2021-22 FEFP Second Calculation and will not be recalculated throughout the year. Charter school allocations should be</v>
      </c>
      <c r="B146" s="281"/>
      <c r="C146" s="281"/>
      <c r="D146" s="281"/>
      <c r="E146" s="281"/>
      <c r="F146" s="281"/>
      <c r="G146" s="281"/>
      <c r="H146" s="281"/>
      <c r="I146" s="281"/>
      <c r="N146" s="81"/>
    </row>
    <row r="147" spans="1:14" s="79" customFormat="1" x14ac:dyDescent="0.2">
      <c r="A147" s="358" t="str">
        <f>'0664'!A147</f>
        <v xml:space="preserve">distributed on weighted FTE (or base funding as is done in the FEFP) and should not be recalculated with fluctuations in student enrollment later in the year. </v>
      </c>
      <c r="B147" s="281"/>
      <c r="C147" s="281"/>
      <c r="D147" s="281"/>
      <c r="E147" s="281"/>
      <c r="F147" s="281"/>
      <c r="G147" s="281"/>
      <c r="H147" s="281"/>
      <c r="I147" s="281"/>
      <c r="N147" s="81"/>
    </row>
    <row r="148" spans="1:14" s="79" customFormat="1" x14ac:dyDescent="0.2">
      <c r="A148" s="356" t="str">
        <f>'0664'!A148</f>
        <v>(g) Numbers entered here will be multiplied by the district level transportation funding per rider. "All Adjusted Fundable Riders" should include both basic and ESE Riders.</v>
      </c>
      <c r="B148" s="281"/>
      <c r="C148" s="281"/>
      <c r="D148" s="281"/>
      <c r="E148" s="281"/>
      <c r="F148" s="281"/>
      <c r="G148" s="281"/>
      <c r="H148" s="281"/>
      <c r="I148" s="281"/>
      <c r="N148" s="81"/>
    </row>
    <row r="149" spans="1:14" s="79" customFormat="1" x14ac:dyDescent="0.2">
      <c r="A149" s="390" t="str">
        <f>'0664'!A149</f>
        <v>"All Adjusted ESE Riders" should include only ESE Riders.</v>
      </c>
      <c r="B149" s="281"/>
      <c r="C149" s="281"/>
      <c r="D149" s="281"/>
      <c r="E149" s="281"/>
      <c r="F149" s="281"/>
      <c r="G149" s="281"/>
      <c r="H149" s="281"/>
      <c r="I149" s="281"/>
      <c r="N149" s="81"/>
    </row>
    <row r="150" spans="1:14" s="79" customFormat="1" x14ac:dyDescent="0.2">
      <c r="A150" s="356" t="str">
        <f>'0664'!A150</f>
        <v xml:space="preserve">(h) The Federally Connected Student Supplement provides additional funding for students on federal lands that receive Section 8003 impact aide pursuant to s. 1011.62(13), F.S. </v>
      </c>
      <c r="B150" s="281"/>
      <c r="C150" s="281"/>
      <c r="D150" s="281"/>
      <c r="E150" s="281"/>
      <c r="F150" s="281"/>
      <c r="G150" s="281"/>
      <c r="H150" s="281"/>
      <c r="I150" s="281"/>
      <c r="N150" s="81"/>
    </row>
    <row r="151" spans="1:14" s="79" customFormat="1" x14ac:dyDescent="0.2">
      <c r="A151" s="356" t="str">
        <f>'0664'!A151</f>
        <v>(i) Teacher Classroom Supply Assistance Program allocation pursuant to s. 1012.71, F.S., for certified teachers employed by a public school district or public charter school</v>
      </c>
      <c r="B151" s="281"/>
      <c r="C151" s="281"/>
      <c r="D151" s="281"/>
      <c r="E151" s="281"/>
      <c r="F151" s="281"/>
      <c r="G151" s="281"/>
      <c r="H151" s="281"/>
      <c r="I151" s="281"/>
      <c r="N151" s="81"/>
    </row>
    <row r="152" spans="1:14" s="79" customFormat="1" x14ac:dyDescent="0.2">
      <c r="A152" s="358" t="str">
        <f>'0664'!A152</f>
        <v xml:space="preserve">before September 1 of each year whose full-time or job-share responsibility is the classroom instruction of students in prekindergarten through grade 12, including </v>
      </c>
      <c r="B152" s="281"/>
      <c r="C152" s="281"/>
      <c r="D152" s="281"/>
      <c r="E152" s="281"/>
      <c r="F152" s="281"/>
      <c r="G152" s="281"/>
      <c r="H152" s="281"/>
      <c r="I152" s="281"/>
      <c r="N152" s="81"/>
    </row>
    <row r="153" spans="1:14" s="79" customFormat="1" ht="15.75" customHeight="1" x14ac:dyDescent="0.2">
      <c r="A153" s="358" t="str">
        <f>'0664'!A153</f>
        <v>full-time media specialists and certified school counselors serving students in prekindergarten through grade 12, who are funded through the FEFP.</v>
      </c>
      <c r="B153" s="281"/>
      <c r="C153" s="281"/>
      <c r="D153" s="281"/>
      <c r="E153" s="281"/>
      <c r="F153" s="281"/>
      <c r="G153" s="281"/>
      <c r="H153" s="281"/>
      <c r="I153" s="281"/>
      <c r="N153" s="81"/>
    </row>
    <row r="154" spans="1:14" s="79" customFormat="1" ht="15.75" customHeight="1" x14ac:dyDescent="0.2">
      <c r="A154" s="356" t="str">
        <f>'0664'!A154</f>
        <v xml:space="preserve">(j) Funding based on student eligibility and meals provided, if participating in the National School Lunch Program. </v>
      </c>
      <c r="B154" s="328"/>
      <c r="C154" s="328"/>
      <c r="D154" s="328"/>
      <c r="E154" s="328"/>
      <c r="F154" s="328"/>
      <c r="G154" s="328"/>
      <c r="H154" s="328"/>
      <c r="I154" s="328"/>
      <c r="N154" s="81"/>
    </row>
    <row r="155" spans="1:14" s="79" customFormat="1" ht="15.75" customHeight="1" x14ac:dyDescent="0.2">
      <c r="A155" s="356" t="str">
        <f>'0664'!A155</f>
        <v>(k) Consistent with s. 1002.33(20)(a), F.S., for charter schools with a population of 75% or more ESE students, the administrative fee shall be calculated based on</v>
      </c>
      <c r="B155" s="381"/>
      <c r="C155" s="381"/>
      <c r="D155" s="381"/>
      <c r="E155" s="381"/>
      <c r="F155" s="381"/>
      <c r="G155" s="381"/>
      <c r="H155" s="381"/>
      <c r="I155" s="381"/>
      <c r="N155" s="81"/>
    </row>
    <row r="156" spans="1:14" s="79" customFormat="1" ht="15.75" customHeight="1" x14ac:dyDescent="0.2">
      <c r="A156" s="390" t="str">
        <f>'0664'!A156</f>
        <v xml:space="preserve">unweighted full-time equivalent students. </v>
      </c>
      <c r="B156" s="381"/>
      <c r="C156" s="381"/>
      <c r="D156" s="381"/>
      <c r="E156" s="381"/>
      <c r="F156" s="381"/>
      <c r="G156" s="381"/>
      <c r="H156" s="381"/>
      <c r="I156" s="381"/>
      <c r="N156" s="81"/>
    </row>
    <row r="157" spans="1:14" s="79" customFormat="1" ht="15.75" customHeight="1" x14ac:dyDescent="0.2">
      <c r="A157" s="356"/>
      <c r="B157" s="381"/>
      <c r="C157" s="381"/>
      <c r="D157" s="381"/>
      <c r="E157" s="381"/>
      <c r="F157" s="381"/>
      <c r="G157" s="381"/>
      <c r="H157" s="381"/>
      <c r="I157" s="381"/>
      <c r="N157" s="81"/>
    </row>
    <row r="158" spans="1:14" s="79" customFormat="1" ht="15.75" customHeight="1" x14ac:dyDescent="0.25">
      <c r="A158" s="398" t="str">
        <f>'0664'!A158</f>
        <v>Administrative fees:</v>
      </c>
      <c r="B158" s="328"/>
      <c r="C158" s="328"/>
      <c r="D158" s="328"/>
      <c r="E158" s="328"/>
      <c r="F158" s="328"/>
      <c r="G158" s="328"/>
      <c r="H158" s="328"/>
      <c r="I158" s="328"/>
      <c r="J158" s="3"/>
      <c r="K158" s="3"/>
      <c r="L158" s="3"/>
      <c r="M158" s="3"/>
      <c r="N158" s="81"/>
    </row>
    <row r="159" spans="1:14" s="79" customFormat="1" ht="15.75" customHeight="1" x14ac:dyDescent="0.25">
      <c r="A159" s="399" t="str">
        <f>'0664'!A159</f>
        <v xml:space="preserve">Administrative fees charged by the school district pursuant to s. 1002.33(20)(a), F.S., shall be calculated based upon 5% of available funds from the FEFP and categorical </v>
      </c>
      <c r="B159" s="328"/>
      <c r="C159" s="328"/>
      <c r="D159" s="328"/>
      <c r="E159" s="328"/>
      <c r="F159" s="328"/>
      <c r="G159" s="328"/>
      <c r="H159" s="328"/>
      <c r="I159" s="328"/>
      <c r="J159" s="3"/>
      <c r="K159" s="3"/>
      <c r="L159" s="3"/>
      <c r="M159" s="3"/>
      <c r="N159" s="81"/>
    </row>
    <row r="160" spans="1:14" s="79" customFormat="1" ht="15.75" customHeight="1" x14ac:dyDescent="0.25">
      <c r="A160" s="400" t="str">
        <f>'0664'!A160</f>
        <v>funding for which charter students may be eligible.  To calculate the administrative fee to be withheld for schools with more than 250 students, divide the school</v>
      </c>
      <c r="B160" s="328"/>
      <c r="C160" s="328"/>
      <c r="D160" s="328"/>
      <c r="E160" s="328"/>
      <c r="F160" s="328"/>
      <c r="G160" s="328"/>
      <c r="H160" s="328"/>
      <c r="I160" s="328"/>
      <c r="J160" s="3"/>
      <c r="K160" s="3"/>
      <c r="L160" s="3"/>
      <c r="M160" s="3"/>
      <c r="N160" s="81"/>
    </row>
    <row r="161" spans="1:21" s="79" customFormat="1" ht="15.75" customHeight="1" x14ac:dyDescent="0.25">
      <c r="A161" s="400" t="str">
        <f>'0664'!A161</f>
        <v xml:space="preserve">population into 250. Multiply that fraction times the funds available, then times 5%.  </v>
      </c>
      <c r="B161" s="328"/>
      <c r="C161" s="328"/>
      <c r="D161" s="328"/>
      <c r="E161" s="328"/>
      <c r="F161" s="328"/>
      <c r="G161" s="328"/>
      <c r="H161" s="328"/>
      <c r="I161" s="328"/>
      <c r="J161" s="3"/>
      <c r="K161" s="3"/>
      <c r="L161" s="3"/>
      <c r="M161" s="3"/>
      <c r="N161" s="81"/>
    </row>
    <row r="162" spans="1:21" s="79" customFormat="1" ht="15.75" customHeight="1" x14ac:dyDescent="0.25">
      <c r="A162" s="399"/>
      <c r="B162" s="394"/>
      <c r="C162" s="394"/>
      <c r="D162" s="394"/>
      <c r="E162" s="394"/>
      <c r="F162" s="394"/>
      <c r="G162" s="394"/>
      <c r="H162" s="394"/>
      <c r="I162" s="394"/>
      <c r="N162" s="77"/>
      <c r="O162" s="3"/>
      <c r="P162" s="3"/>
      <c r="Q162" s="3"/>
      <c r="R162" s="3"/>
      <c r="S162" s="3"/>
      <c r="T162" s="3"/>
      <c r="U162" s="3"/>
    </row>
    <row r="163" spans="1:21" ht="15.75" customHeight="1" x14ac:dyDescent="0.25">
      <c r="A163" s="399" t="str">
        <f>'0664'!A163</f>
        <v xml:space="preserve">For high performing charter schools, administrative fees charged by the school district shall be calculated based upon 2% of available funds from the FEFP and categorical </v>
      </c>
      <c r="B163" s="328"/>
      <c r="C163" s="328"/>
      <c r="D163" s="328"/>
      <c r="E163" s="328"/>
      <c r="F163" s="328"/>
      <c r="G163" s="328"/>
      <c r="H163" s="328"/>
      <c r="I163" s="328"/>
      <c r="J163" s="79"/>
      <c r="K163" s="79"/>
      <c r="L163" s="79"/>
      <c r="M163" s="79"/>
      <c r="N163" s="81"/>
      <c r="O163" s="79"/>
      <c r="P163" s="79"/>
      <c r="Q163" s="79"/>
      <c r="R163" s="79"/>
      <c r="S163" s="79"/>
      <c r="T163" s="79"/>
      <c r="U163" s="79"/>
    </row>
    <row r="164" spans="1:21" ht="15.75" customHeight="1" x14ac:dyDescent="0.25">
      <c r="A164" s="400" t="str">
        <f>'0664'!A164</f>
        <v>funding for which charter students may be eligible.  To calculate the administrative fee to be withheld for schools with more than 250 students, divide the school</v>
      </c>
      <c r="B164" s="381"/>
      <c r="C164" s="381"/>
      <c r="D164" s="381"/>
      <c r="E164" s="381"/>
      <c r="F164" s="381"/>
      <c r="G164" s="381"/>
      <c r="H164" s="381"/>
      <c r="I164" s="381"/>
      <c r="J164" s="79"/>
      <c r="K164" s="79"/>
      <c r="L164" s="79"/>
      <c r="M164" s="79"/>
      <c r="N164" s="81"/>
      <c r="O164" s="79"/>
      <c r="P164" s="79"/>
      <c r="Q164" s="79"/>
      <c r="R164" s="79"/>
      <c r="S164" s="79"/>
      <c r="T164" s="79"/>
      <c r="U164" s="79"/>
    </row>
    <row r="165" spans="1:21" s="79" customFormat="1" ht="15.75" customHeight="1" x14ac:dyDescent="0.2">
      <c r="A165" s="400" t="str">
        <f>'0664'!A165</f>
        <v xml:space="preserve">population into 250. Multiply that fraction times the funds available, then times 2%.  </v>
      </c>
      <c r="B165" s="328"/>
      <c r="C165" s="328"/>
      <c r="D165" s="328"/>
      <c r="E165" s="328"/>
      <c r="F165" s="328"/>
      <c r="G165" s="328"/>
      <c r="H165" s="328"/>
      <c r="I165" s="328"/>
      <c r="N165" s="81"/>
    </row>
    <row r="166" spans="1:21" x14ac:dyDescent="0.25">
      <c r="A166" s="356"/>
      <c r="N166" s="77"/>
    </row>
    <row r="167" spans="1:21" x14ac:dyDescent="0.25">
      <c r="A167" s="398" t="str">
        <f>'0664'!A167</f>
        <v>Other:</v>
      </c>
      <c r="N167" s="77"/>
    </row>
    <row r="168" spans="1:21" x14ac:dyDescent="0.25">
      <c r="A168" s="399" t="str">
        <f>'0664'!A168</f>
        <v>FEFP and categorical funding are recalculated during the year to reflect the revised number of full-time equivalent students reported during the survey periods designated</v>
      </c>
      <c r="N168" s="77"/>
    </row>
    <row r="169" spans="1:21" x14ac:dyDescent="0.25">
      <c r="A169" s="402" t="str">
        <f>'0664'!A169</f>
        <v>by the Commissioner of Education.</v>
      </c>
      <c r="N169" s="77"/>
    </row>
    <row r="170" spans="1:21" x14ac:dyDescent="0.25">
      <c r="A170" s="399" t="str">
        <f>'0664'!A170</f>
        <v>Revenues flow to districts from state sources and from county tax collectors on various distribution schedules.</v>
      </c>
      <c r="N170" s="77"/>
    </row>
    <row r="171" spans="1:21" x14ac:dyDescent="0.25">
      <c r="A171" s="77"/>
      <c r="N171" s="77"/>
    </row>
    <row r="172" spans="1:21" x14ac:dyDescent="0.25">
      <c r="A172" s="77"/>
      <c r="N172" s="77"/>
    </row>
    <row r="173" spans="1:21" x14ac:dyDescent="0.25">
      <c r="A173" s="77"/>
      <c r="N173" s="77"/>
    </row>
    <row r="174" spans="1:21" x14ac:dyDescent="0.25">
      <c r="A174" s="77"/>
      <c r="N174" s="77"/>
    </row>
    <row r="175" spans="1:21" x14ac:dyDescent="0.25">
      <c r="A175" s="77"/>
      <c r="N175" s="77"/>
    </row>
    <row r="176" spans="1:21" x14ac:dyDescent="0.25">
      <c r="A176" s="77"/>
      <c r="N176" s="77"/>
    </row>
    <row r="177" spans="1:14" x14ac:dyDescent="0.25">
      <c r="A177" s="77"/>
      <c r="N177" s="77"/>
    </row>
    <row r="178" spans="1:14" x14ac:dyDescent="0.25">
      <c r="A178" s="77"/>
      <c r="N178" s="77"/>
    </row>
    <row r="179" spans="1:14" x14ac:dyDescent="0.25">
      <c r="A179" s="77"/>
      <c r="N179" s="77"/>
    </row>
    <row r="180" spans="1:14" x14ac:dyDescent="0.25">
      <c r="A180" s="77"/>
      <c r="N180" s="77"/>
    </row>
    <row r="181" spans="1:14" x14ac:dyDescent="0.25">
      <c r="A181" s="77"/>
      <c r="N181" s="77"/>
    </row>
    <row r="182" spans="1:14" x14ac:dyDescent="0.25">
      <c r="A182" s="77"/>
      <c r="N182" s="77"/>
    </row>
    <row r="183" spans="1:14" x14ac:dyDescent="0.25">
      <c r="A183" s="77"/>
      <c r="N183" s="77"/>
    </row>
    <row r="184" spans="1:14" x14ac:dyDescent="0.25">
      <c r="A184" s="77"/>
      <c r="N184" s="77"/>
    </row>
    <row r="185" spans="1:14" x14ac:dyDescent="0.25">
      <c r="A185" s="77"/>
      <c r="N185" s="77"/>
    </row>
    <row r="186" spans="1:14" x14ac:dyDescent="0.25">
      <c r="A186" s="77"/>
      <c r="N186" s="77"/>
    </row>
    <row r="187" spans="1:14" x14ac:dyDescent="0.25">
      <c r="A187" s="77"/>
      <c r="N187" s="77"/>
    </row>
    <row r="188" spans="1:14" x14ac:dyDescent="0.25">
      <c r="A188" s="77"/>
    </row>
    <row r="189" spans="1:14" x14ac:dyDescent="0.25">
      <c r="A189" s="77"/>
    </row>
    <row r="190" spans="1:14" x14ac:dyDescent="0.25">
      <c r="A190" s="77"/>
    </row>
    <row r="191" spans="1:14" x14ac:dyDescent="0.25">
      <c r="A191" s="77"/>
    </row>
    <row r="192" spans="1:14" x14ac:dyDescent="0.25">
      <c r="A192" s="77"/>
    </row>
    <row r="193" spans="1:1" x14ac:dyDescent="0.25">
      <c r="A193" s="77"/>
    </row>
    <row r="194" spans="1:1" x14ac:dyDescent="0.25">
      <c r="A194" s="77"/>
    </row>
    <row r="195" spans="1:1" x14ac:dyDescent="0.25">
      <c r="A195" s="77"/>
    </row>
    <row r="196" spans="1:1" x14ac:dyDescent="0.25">
      <c r="A196" s="77"/>
    </row>
    <row r="197" spans="1:1" x14ac:dyDescent="0.25">
      <c r="A197" s="77"/>
    </row>
    <row r="198" spans="1:1" x14ac:dyDescent="0.25">
      <c r="A198" s="77"/>
    </row>
    <row r="199" spans="1:1" x14ac:dyDescent="0.25">
      <c r="A199" s="77"/>
    </row>
    <row r="200" spans="1:1" x14ac:dyDescent="0.25">
      <c r="A200" s="77"/>
    </row>
    <row r="201" spans="1:1" x14ac:dyDescent="0.25">
      <c r="A201" s="77"/>
    </row>
    <row r="202" spans="1:1" x14ac:dyDescent="0.25">
      <c r="A202" s="77"/>
    </row>
    <row r="203" spans="1:1" x14ac:dyDescent="0.25">
      <c r="A203" s="77"/>
    </row>
    <row r="204" spans="1:1" x14ac:dyDescent="0.25">
      <c r="A204" s="77"/>
    </row>
    <row r="205" spans="1:1" x14ac:dyDescent="0.25">
      <c r="A205" s="77"/>
    </row>
    <row r="206" spans="1:1" x14ac:dyDescent="0.25">
      <c r="A206" s="77"/>
    </row>
  </sheetData>
  <mergeCells count="266">
    <mergeCell ref="A112:C112"/>
    <mergeCell ref="F112:H112"/>
    <mergeCell ref="N112:P112"/>
    <mergeCell ref="A109:B109"/>
    <mergeCell ref="F109:G109"/>
    <mergeCell ref="N109:O109"/>
    <mergeCell ref="P109:Q109"/>
    <mergeCell ref="N139:U139"/>
    <mergeCell ref="N119:U119"/>
    <mergeCell ref="N113:P113"/>
    <mergeCell ref="A113:C113"/>
    <mergeCell ref="F113:H113"/>
    <mergeCell ref="N114:T114"/>
    <mergeCell ref="A115:H115"/>
    <mergeCell ref="A119:G119"/>
    <mergeCell ref="N120:U120"/>
    <mergeCell ref="A120:G120"/>
    <mergeCell ref="R109:S109"/>
    <mergeCell ref="A110:B110"/>
    <mergeCell ref="N110:O110"/>
    <mergeCell ref="A107:B107"/>
    <mergeCell ref="F107:G107"/>
    <mergeCell ref="N107:O107"/>
    <mergeCell ref="P107:Q107"/>
    <mergeCell ref="R107:S107"/>
    <mergeCell ref="A108:B108"/>
    <mergeCell ref="F108:G108"/>
    <mergeCell ref="N108:O108"/>
    <mergeCell ref="P108:Q108"/>
    <mergeCell ref="R108:S108"/>
    <mergeCell ref="A103:C103"/>
    <mergeCell ref="F103:I103"/>
    <mergeCell ref="N103:U103"/>
    <mergeCell ref="C104:E104"/>
    <mergeCell ref="F105:G105"/>
    <mergeCell ref="A106:B106"/>
    <mergeCell ref="F106:G106"/>
    <mergeCell ref="N106:O106"/>
    <mergeCell ref="P106:Q106"/>
    <mergeCell ref="R106:S106"/>
    <mergeCell ref="A99:B99"/>
    <mergeCell ref="N99:O99"/>
    <mergeCell ref="P99:R99"/>
    <mergeCell ref="A100:B100"/>
    <mergeCell ref="N100:O100"/>
    <mergeCell ref="P100:R100"/>
    <mergeCell ref="C91:D91"/>
    <mergeCell ref="P91:Q91"/>
    <mergeCell ref="C92:D92"/>
    <mergeCell ref="P92:Q92"/>
    <mergeCell ref="C93:D93"/>
    <mergeCell ref="P93:T93"/>
    <mergeCell ref="A94:I94"/>
    <mergeCell ref="N94:U94"/>
    <mergeCell ref="F96:I96"/>
    <mergeCell ref="N96:P96"/>
    <mergeCell ref="Q96:T96"/>
    <mergeCell ref="A87:I87"/>
    <mergeCell ref="N87:U87"/>
    <mergeCell ref="C88:D88"/>
    <mergeCell ref="C89:D89"/>
    <mergeCell ref="N89:O89"/>
    <mergeCell ref="P89:Q89"/>
    <mergeCell ref="R89:U89"/>
    <mergeCell ref="C90:D90"/>
    <mergeCell ref="P90:Q90"/>
    <mergeCell ref="A80:C80"/>
    <mergeCell ref="N80:P80"/>
    <mergeCell ref="A85:C85"/>
    <mergeCell ref="N85:P85"/>
    <mergeCell ref="F73:H73"/>
    <mergeCell ref="N73:T73"/>
    <mergeCell ref="N74:T74"/>
    <mergeCell ref="A78:C78"/>
    <mergeCell ref="N78:P78"/>
    <mergeCell ref="A79:C79"/>
    <mergeCell ref="A69:C69"/>
    <mergeCell ref="N69:P69"/>
    <mergeCell ref="N79:P79"/>
    <mergeCell ref="A76:C76"/>
    <mergeCell ref="N76:P76"/>
    <mergeCell ref="A77:C77"/>
    <mergeCell ref="A70:C70"/>
    <mergeCell ref="A71:C71"/>
    <mergeCell ref="N71:P71"/>
    <mergeCell ref="A72:C72"/>
    <mergeCell ref="N77:P77"/>
    <mergeCell ref="N72:P72"/>
    <mergeCell ref="A65:B65"/>
    <mergeCell ref="D65:G65"/>
    <mergeCell ref="N65:O65"/>
    <mergeCell ref="Q65:S65"/>
    <mergeCell ref="T65:U65"/>
    <mergeCell ref="N66:S66"/>
    <mergeCell ref="T66:U66"/>
    <mergeCell ref="A68:C68"/>
    <mergeCell ref="N68:P68"/>
    <mergeCell ref="A62:B62"/>
    <mergeCell ref="D62:G62"/>
    <mergeCell ref="N62:O62"/>
    <mergeCell ref="Q62:S62"/>
    <mergeCell ref="T62:U62"/>
    <mergeCell ref="N63:S63"/>
    <mergeCell ref="T63:U63"/>
    <mergeCell ref="A64:I64"/>
    <mergeCell ref="N64:U64"/>
    <mergeCell ref="A59:B59"/>
    <mergeCell ref="F59:H59"/>
    <mergeCell ref="N59:O59"/>
    <mergeCell ref="P59:Q59"/>
    <mergeCell ref="R59:T59"/>
    <mergeCell ref="A60:I60"/>
    <mergeCell ref="N60:U60"/>
    <mergeCell ref="A61:I61"/>
    <mergeCell ref="N61:U61"/>
    <mergeCell ref="A50:B58"/>
    <mergeCell ref="N50:O58"/>
    <mergeCell ref="P50:Q50"/>
    <mergeCell ref="P51:Q51"/>
    <mergeCell ref="P52:Q52"/>
    <mergeCell ref="P53:Q53"/>
    <mergeCell ref="P54:Q54"/>
    <mergeCell ref="P55:Q55"/>
    <mergeCell ref="P56:Q56"/>
    <mergeCell ref="P57:Q57"/>
    <mergeCell ref="P58:Q58"/>
    <mergeCell ref="A42:B42"/>
    <mergeCell ref="N42:O42"/>
    <mergeCell ref="P42:T42"/>
    <mergeCell ref="N43:Q43"/>
    <mergeCell ref="S43:T43"/>
    <mergeCell ref="N45:Q45"/>
    <mergeCell ref="S45:T45"/>
    <mergeCell ref="N49:O49"/>
    <mergeCell ref="P49:Q49"/>
    <mergeCell ref="A39:B39"/>
    <mergeCell ref="N39:O39"/>
    <mergeCell ref="P39:T39"/>
    <mergeCell ref="A40:B40"/>
    <mergeCell ref="N40:O40"/>
    <mergeCell ref="P40:T40"/>
    <mergeCell ref="A41:B41"/>
    <mergeCell ref="N41:O41"/>
    <mergeCell ref="P41:T41"/>
    <mergeCell ref="N34:T34"/>
    <mergeCell ref="A36:B36"/>
    <mergeCell ref="N36:O36"/>
    <mergeCell ref="P36:T36"/>
    <mergeCell ref="A37:B37"/>
    <mergeCell ref="N37:O37"/>
    <mergeCell ref="P37:T37"/>
    <mergeCell ref="F33:H36"/>
    <mergeCell ref="A38:B38"/>
    <mergeCell ref="N38:O38"/>
    <mergeCell ref="P38:T38"/>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A20:B20"/>
    <mergeCell ref="F20:G20"/>
    <mergeCell ref="N20:O20"/>
    <mergeCell ref="P20:Q20"/>
    <mergeCell ref="R20:S20"/>
    <mergeCell ref="A21:B21"/>
    <mergeCell ref="F21:G21"/>
    <mergeCell ref="N21:O21"/>
    <mergeCell ref="P21:Q21"/>
    <mergeCell ref="R21:S21"/>
    <mergeCell ref="A18:B18"/>
    <mergeCell ref="F18:G18"/>
    <mergeCell ref="N18:O18"/>
    <mergeCell ref="P18:Q18"/>
    <mergeCell ref="R18:S18"/>
    <mergeCell ref="A19:B19"/>
    <mergeCell ref="F19:G19"/>
    <mergeCell ref="N19:O19"/>
    <mergeCell ref="P19:Q19"/>
    <mergeCell ref="R19:S19"/>
    <mergeCell ref="A16:B16"/>
    <mergeCell ref="F16:G16"/>
    <mergeCell ref="N16:O16"/>
    <mergeCell ref="P16:Q16"/>
    <mergeCell ref="R16:S16"/>
    <mergeCell ref="A17:B17"/>
    <mergeCell ref="F17:G17"/>
    <mergeCell ref="N17:O17"/>
    <mergeCell ref="P17:Q17"/>
    <mergeCell ref="R17:S17"/>
    <mergeCell ref="A14:B14"/>
    <mergeCell ref="F14:G14"/>
    <mergeCell ref="N14:O14"/>
    <mergeCell ref="P14:Q14"/>
    <mergeCell ref="R14:S14"/>
    <mergeCell ref="P15:Q15"/>
    <mergeCell ref="R15:S15"/>
    <mergeCell ref="A15:B15"/>
    <mergeCell ref="F15:G15"/>
    <mergeCell ref="N15:O15"/>
    <mergeCell ref="B1:I1"/>
    <mergeCell ref="A7:I7"/>
    <mergeCell ref="A11:B11"/>
    <mergeCell ref="F11:G11"/>
    <mergeCell ref="O1:U1"/>
    <mergeCell ref="N2:U2"/>
    <mergeCell ref="N3:U3"/>
    <mergeCell ref="A4:B4"/>
    <mergeCell ref="C4:E4"/>
    <mergeCell ref="N4:O4"/>
    <mergeCell ref="P4:Q4"/>
    <mergeCell ref="P8:Q8"/>
    <mergeCell ref="R8:S8"/>
    <mergeCell ref="T8:U8"/>
    <mergeCell ref="F10:G10"/>
    <mergeCell ref="R10:S10"/>
    <mergeCell ref="N7:U7"/>
    <mergeCell ref="N8:O8"/>
    <mergeCell ref="R13:S13"/>
    <mergeCell ref="A13:B13"/>
    <mergeCell ref="F13:G13"/>
    <mergeCell ref="A12:B12"/>
    <mergeCell ref="F12:G12"/>
    <mergeCell ref="N13:O13"/>
    <mergeCell ref="P13:Q13"/>
    <mergeCell ref="N11:O11"/>
    <mergeCell ref="P11:Q11"/>
    <mergeCell ref="R11:S11"/>
    <mergeCell ref="N12:O12"/>
    <mergeCell ref="P12:Q12"/>
    <mergeCell ref="R12:S12"/>
  </mergeCells>
  <pageMargins left="0.1" right="0.1" top="0.5" bottom="0.5" header="0" footer="0.1"/>
  <pageSetup scale="70" fitToHeight="3" orientation="portrait" r:id="rId1"/>
  <headerFooter alignWithMargins="0">
    <oddFooter>&amp;R&amp;P of &amp;N</oddFooter>
  </headerFooter>
  <rowBreaks count="1" manualBreakCount="1">
    <brk id="138" max="16383" man="1"/>
  </rowBreaks>
  <colBreaks count="1" manualBreakCount="1">
    <brk id="9" max="1048575" man="1"/>
  </colBreaks>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R196"/>
  <sheetViews>
    <sheetView showGridLines="0" topLeftCell="A86" zoomScaleNormal="100" workbookViewId="0">
      <selection activeCell="N30" sqref="N30"/>
    </sheetView>
  </sheetViews>
  <sheetFormatPr defaultRowHeight="15.75" x14ac:dyDescent="0.25"/>
  <cols>
    <col min="1" max="1" width="10.28515625" style="72" customWidth="1"/>
    <col min="2" max="2" width="30.28515625" style="3" bestFit="1" customWidth="1"/>
    <col min="3" max="3" width="12.7109375" style="3" customWidth="1"/>
    <col min="4" max="4" width="11.5703125" style="3" customWidth="1"/>
    <col min="5" max="6" width="14" style="3" customWidth="1"/>
    <col min="7" max="7" width="7.42578125" style="3" customWidth="1"/>
    <col min="8" max="8" width="15.7109375" style="3" customWidth="1"/>
    <col min="9" max="9" width="20.85546875" style="3" bestFit="1" customWidth="1"/>
    <col min="10" max="10" width="17.7109375" style="3" bestFit="1" customWidth="1"/>
    <col min="11" max="11" width="15.7109375" style="3" bestFit="1" customWidth="1"/>
    <col min="12" max="12" width="16.85546875" style="3" bestFit="1" customWidth="1"/>
    <col min="13" max="16384" width="9.140625" style="3"/>
  </cols>
  <sheetData>
    <row r="1" spans="1:12" ht="16.5" thickBot="1" x14ac:dyDescent="0.3">
      <c r="A1" s="85">
        <v>50</v>
      </c>
      <c r="B1" s="441" t="s">
        <v>17</v>
      </c>
      <c r="C1" s="442"/>
      <c r="D1" s="442"/>
      <c r="E1" s="442"/>
      <c r="F1" s="442"/>
      <c r="G1" s="442"/>
      <c r="H1" s="442"/>
      <c r="I1" s="442"/>
      <c r="J1" s="157"/>
      <c r="K1" s="157"/>
      <c r="L1" s="157"/>
    </row>
    <row r="2" spans="1:12" ht="21" x14ac:dyDescent="0.35">
      <c r="A2" s="1" t="s">
        <v>304</v>
      </c>
      <c r="B2" s="2"/>
      <c r="C2" s="2"/>
      <c r="D2" s="2"/>
      <c r="E2" s="2"/>
      <c r="F2" s="2"/>
      <c r="G2" s="2"/>
      <c r="H2" s="2"/>
      <c r="I2" s="2"/>
    </row>
    <row r="3" spans="1:12" x14ac:dyDescent="0.25">
      <c r="A3" s="84" t="str">
        <f>'0664'!A3</f>
        <v>Based on the FLDOE 2022-23 FEFP Third Calculation</v>
      </c>
    </row>
    <row r="4" spans="1:12" x14ac:dyDescent="0.25">
      <c r="A4" s="443" t="s">
        <v>0</v>
      </c>
      <c r="B4" s="443"/>
      <c r="C4" s="444" t="s">
        <v>9</v>
      </c>
      <c r="D4" s="444"/>
      <c r="E4" s="444"/>
      <c r="F4" s="4" t="str">
        <f>'0664'!F4</f>
        <v>Apr 2023</v>
      </c>
      <c r="G4" s="4"/>
      <c r="H4" s="4"/>
      <c r="I4" s="4"/>
    </row>
    <row r="5" spans="1:12" ht="12" customHeight="1" thickBot="1" x14ac:dyDescent="0.3">
      <c r="A5" s="252"/>
      <c r="B5" s="252"/>
      <c r="C5" s="253"/>
      <c r="D5" s="253"/>
      <c r="E5" s="253"/>
      <c r="F5" s="254"/>
      <c r="G5" s="254"/>
      <c r="H5" s="254"/>
      <c r="I5" s="254"/>
    </row>
    <row r="6" spans="1:12" ht="12" customHeight="1" x14ac:dyDescent="0.25">
      <c r="A6" s="141"/>
      <c r="B6" s="141"/>
      <c r="C6" s="261"/>
      <c r="D6" s="261"/>
      <c r="E6" s="261"/>
      <c r="F6" s="4"/>
      <c r="G6" s="4"/>
      <c r="H6" s="4"/>
      <c r="I6" s="4"/>
      <c r="K6" s="280"/>
    </row>
    <row r="7" spans="1:12" x14ac:dyDescent="0.25">
      <c r="A7" s="445" t="str">
        <f>'0664'!A7:I7</f>
        <v>1.   2022-23 FEFP State and Local Funding</v>
      </c>
      <c r="B7" s="445"/>
      <c r="C7" s="445"/>
      <c r="D7" s="445"/>
      <c r="E7" s="445"/>
      <c r="F7" s="445"/>
      <c r="G7" s="445"/>
      <c r="H7" s="445"/>
      <c r="I7" s="445"/>
      <c r="K7" s="280"/>
    </row>
    <row r="8" spans="1:12" x14ac:dyDescent="0.25">
      <c r="A8" s="87"/>
      <c r="B8" s="88" t="s">
        <v>123</v>
      </c>
      <c r="C8" s="246">
        <f>'0664'!C8</f>
        <v>4587.3999999999996</v>
      </c>
      <c r="D8" s="89"/>
      <c r="E8" s="90"/>
      <c r="F8" s="87"/>
      <c r="G8" s="88" t="s">
        <v>122</v>
      </c>
      <c r="H8" s="247">
        <f>'0664'!H8</f>
        <v>1.0438000000000001</v>
      </c>
      <c r="I8" s="78"/>
    </row>
    <row r="9" spans="1:12" x14ac:dyDescent="0.25">
      <c r="A9" s="7"/>
      <c r="B9" s="7"/>
      <c r="C9" s="8"/>
      <c r="D9" s="8"/>
      <c r="E9" s="8"/>
      <c r="F9" s="9"/>
      <c r="G9" s="9"/>
      <c r="H9" s="10"/>
      <c r="I9" s="406" t="str">
        <f>'0664'!I9</f>
        <v>2022-23</v>
      </c>
    </row>
    <row r="10" spans="1:12" x14ac:dyDescent="0.25">
      <c r="A10" s="7"/>
      <c r="B10" s="7"/>
      <c r="C10" s="91" t="s">
        <v>463</v>
      </c>
      <c r="D10" s="371" t="s">
        <v>464</v>
      </c>
      <c r="E10" s="92" t="s">
        <v>8</v>
      </c>
      <c r="F10" s="446" t="s">
        <v>1</v>
      </c>
      <c r="G10" s="446"/>
      <c r="H10" s="10" t="s">
        <v>73</v>
      </c>
      <c r="I10" s="11" t="s">
        <v>36</v>
      </c>
    </row>
    <row r="11" spans="1:12" x14ac:dyDescent="0.25">
      <c r="A11" s="447" t="s">
        <v>1</v>
      </c>
      <c r="B11" s="447"/>
      <c r="C11" s="362" t="s">
        <v>2</v>
      </c>
      <c r="D11" s="362" t="s">
        <v>2</v>
      </c>
      <c r="E11" s="93" t="s">
        <v>2</v>
      </c>
      <c r="F11" s="448" t="s">
        <v>76</v>
      </c>
      <c r="G11" s="448"/>
      <c r="H11" s="17" t="s">
        <v>72</v>
      </c>
      <c r="I11" s="18" t="s">
        <v>75</v>
      </c>
    </row>
    <row r="12" spans="1:12" x14ac:dyDescent="0.25">
      <c r="A12" s="449" t="s">
        <v>47</v>
      </c>
      <c r="B12" s="449"/>
      <c r="C12" s="94"/>
      <c r="D12" s="94"/>
      <c r="E12" s="95" t="s">
        <v>48</v>
      </c>
      <c r="F12" s="450" t="s">
        <v>49</v>
      </c>
      <c r="G12" s="450"/>
      <c r="H12" s="21" t="s">
        <v>50</v>
      </c>
      <c r="I12" s="22" t="s">
        <v>51</v>
      </c>
    </row>
    <row r="13" spans="1:12" x14ac:dyDescent="0.25">
      <c r="A13" s="451" t="s">
        <v>29</v>
      </c>
      <c r="B13" s="451"/>
      <c r="C13" s="163">
        <f>SUM('0664:4131'!C13)</f>
        <v>2403.5899999999997</v>
      </c>
      <c r="D13" s="163">
        <f>SUM('0664:4131'!D13)</f>
        <v>2350.9300000000003</v>
      </c>
      <c r="E13" s="210">
        <f>SUM('0664:4131'!E13)</f>
        <v>4754.5199999999995</v>
      </c>
      <c r="F13" s="452">
        <f>'0664'!F13:G13</f>
        <v>1.1259999999999999</v>
      </c>
      <c r="G13" s="452"/>
      <c r="H13" s="167">
        <f>ROUND(E13*F13,4)</f>
        <v>5353.5895</v>
      </c>
      <c r="I13" s="119">
        <f>SUM('0664:4131'!I13)</f>
        <v>25634742.680000003</v>
      </c>
    </row>
    <row r="14" spans="1:12" x14ac:dyDescent="0.25">
      <c r="A14" s="453" t="s">
        <v>30</v>
      </c>
      <c r="B14" s="453"/>
      <c r="C14" s="165">
        <f>SUM('0664:4131'!C14)</f>
        <v>291.60000000000002</v>
      </c>
      <c r="D14" s="165">
        <f>SUM('0664:4131'!D14)</f>
        <v>310.52</v>
      </c>
      <c r="E14" s="125">
        <f>SUM('0664:4131'!E14)</f>
        <v>602.12000000000012</v>
      </c>
      <c r="F14" s="454">
        <f>'0664'!F14:G14</f>
        <v>1.1259999999999999</v>
      </c>
      <c r="G14" s="454"/>
      <c r="H14" s="83">
        <f t="shared" ref="H14:H30" si="0">ROUND(E14*F14,4)</f>
        <v>677.98710000000005</v>
      </c>
      <c r="I14" s="104">
        <f>SUM('0664:4131'!I14)</f>
        <v>3246424.6799999992</v>
      </c>
      <c r="J14" s="68"/>
    </row>
    <row r="15" spans="1:12" x14ac:dyDescent="0.25">
      <c r="A15" s="453" t="s">
        <v>31</v>
      </c>
      <c r="B15" s="453"/>
      <c r="C15" s="165">
        <f>SUM('0664:4131'!C15)</f>
        <v>3571.03</v>
      </c>
      <c r="D15" s="165">
        <f>SUM('0664:4131'!D15)</f>
        <v>3545.51</v>
      </c>
      <c r="E15" s="125">
        <f>SUM('0664:4131'!E15)</f>
        <v>7116.5399999999991</v>
      </c>
      <c r="F15" s="454">
        <f>'0664'!F15:G15</f>
        <v>1</v>
      </c>
      <c r="G15" s="454"/>
      <c r="H15" s="83">
        <f t="shared" si="0"/>
        <v>7116.54</v>
      </c>
      <c r="I15" s="104">
        <f>SUM('0664:4131'!I15)</f>
        <v>34076328.579999998</v>
      </c>
    </row>
    <row r="16" spans="1:12" x14ac:dyDescent="0.25">
      <c r="A16" s="453" t="s">
        <v>32</v>
      </c>
      <c r="B16" s="453"/>
      <c r="C16" s="165">
        <f>SUM('0664:4131'!C16)</f>
        <v>645.90000000000009</v>
      </c>
      <c r="D16" s="165">
        <f>SUM('0664:4131'!D16)</f>
        <v>623.14</v>
      </c>
      <c r="E16" s="125">
        <f>SUM('0664:4131'!E16)</f>
        <v>1269.04</v>
      </c>
      <c r="F16" s="454">
        <f>'0664'!F16:G16</f>
        <v>1</v>
      </c>
      <c r="G16" s="454"/>
      <c r="H16" s="83">
        <f t="shared" si="0"/>
        <v>1269.04</v>
      </c>
      <c r="I16" s="104">
        <f>SUM('0664:4131'!I16)</f>
        <v>6076579.9300000006</v>
      </c>
      <c r="J16" s="68"/>
    </row>
    <row r="17" spans="1:10" x14ac:dyDescent="0.25">
      <c r="A17" s="453" t="s">
        <v>33</v>
      </c>
      <c r="B17" s="453"/>
      <c r="C17" s="165">
        <f>SUM('0664:4131'!C17)</f>
        <v>2235.31</v>
      </c>
      <c r="D17" s="165">
        <f>SUM('0664:4131'!D17)</f>
        <v>2253.23</v>
      </c>
      <c r="E17" s="125">
        <f>SUM('0664:4131'!E17)</f>
        <v>4488.5400000000018</v>
      </c>
      <c r="F17" s="454">
        <f>'0664'!F17:G17</f>
        <v>0.999</v>
      </c>
      <c r="G17" s="454"/>
      <c r="H17" s="83">
        <f t="shared" si="0"/>
        <v>4484.0514999999996</v>
      </c>
      <c r="I17" s="104">
        <f>SUM('0664:4131'!I17)</f>
        <v>21471110.369999997</v>
      </c>
    </row>
    <row r="18" spans="1:10" x14ac:dyDescent="0.25">
      <c r="A18" s="453" t="s">
        <v>34</v>
      </c>
      <c r="B18" s="453"/>
      <c r="C18" s="165">
        <f>SUM('0664:4131'!C18)</f>
        <v>550.70000000000005</v>
      </c>
      <c r="D18" s="165">
        <f>SUM('0664:4131'!D18)</f>
        <v>574.3599999999999</v>
      </c>
      <c r="E18" s="125">
        <f>SUM('0664:4131'!E18)</f>
        <v>1125.06</v>
      </c>
      <c r="F18" s="454">
        <f>'0664'!F18:G18</f>
        <v>0.999</v>
      </c>
      <c r="G18" s="454"/>
      <c r="H18" s="83">
        <f t="shared" si="0"/>
        <v>1123.9349</v>
      </c>
      <c r="I18" s="104">
        <f>SUM('0664:4131'!I18)</f>
        <v>5381770.0500000007</v>
      </c>
      <c r="J18" s="68"/>
    </row>
    <row r="19" spans="1:10" x14ac:dyDescent="0.25">
      <c r="A19" s="453" t="s">
        <v>108</v>
      </c>
      <c r="B19" s="453"/>
      <c r="C19" s="165">
        <f>SUM('0664:4131'!C19)</f>
        <v>88</v>
      </c>
      <c r="D19" s="165">
        <f>SUM('0664:4131'!D19)</f>
        <v>88.52</v>
      </c>
      <c r="E19" s="125">
        <f>SUM('0664:4131'!E19)</f>
        <v>176.51999999999998</v>
      </c>
      <c r="F19" s="454">
        <f>'0664'!F19:G19</f>
        <v>3.6739999999999999</v>
      </c>
      <c r="G19" s="454"/>
      <c r="H19" s="83">
        <f t="shared" si="0"/>
        <v>648.53449999999998</v>
      </c>
      <c r="I19" s="104">
        <f>SUM('0664:4131'!I19)</f>
        <v>3105395.9799999995</v>
      </c>
    </row>
    <row r="20" spans="1:10" x14ac:dyDescent="0.25">
      <c r="A20" s="453" t="s">
        <v>109</v>
      </c>
      <c r="B20" s="453"/>
      <c r="C20" s="165">
        <f>SUM('0664:4131'!C20)</f>
        <v>72.5</v>
      </c>
      <c r="D20" s="165">
        <f>SUM('0664:4131'!D20)</f>
        <v>73</v>
      </c>
      <c r="E20" s="125">
        <f>SUM('0664:4131'!E20)</f>
        <v>145.5</v>
      </c>
      <c r="F20" s="454">
        <f>'0664'!F20:G20</f>
        <v>3.6739999999999999</v>
      </c>
      <c r="G20" s="454"/>
      <c r="H20" s="83">
        <f t="shared" si="0"/>
        <v>534.56700000000001</v>
      </c>
      <c r="I20" s="104">
        <f>SUM('0664:4131'!I20)</f>
        <v>2559682.1899999995</v>
      </c>
    </row>
    <row r="21" spans="1:10" x14ac:dyDescent="0.25">
      <c r="A21" s="453" t="s">
        <v>110</v>
      </c>
      <c r="B21" s="453"/>
      <c r="C21" s="165">
        <f>SUM('0664:4131'!C21)</f>
        <v>67.94</v>
      </c>
      <c r="D21" s="165">
        <f>SUM('0664:4131'!D21)</f>
        <v>64.25</v>
      </c>
      <c r="E21" s="125">
        <f>SUM('0664:4131'!E21)</f>
        <v>132.19</v>
      </c>
      <c r="F21" s="454">
        <f>'0664'!F21:G21</f>
        <v>3.6739999999999999</v>
      </c>
      <c r="G21" s="454"/>
      <c r="H21" s="83">
        <f t="shared" si="0"/>
        <v>485.66609999999997</v>
      </c>
      <c r="I21" s="104">
        <f>SUM('0664:4131'!I21)</f>
        <v>2325528.16</v>
      </c>
    </row>
    <row r="22" spans="1:10" x14ac:dyDescent="0.25">
      <c r="A22" s="453" t="s">
        <v>111</v>
      </c>
      <c r="B22" s="453"/>
      <c r="C22" s="165">
        <f>SUM('0664:4131'!C22)</f>
        <v>28.5</v>
      </c>
      <c r="D22" s="165">
        <f>SUM('0664:4131'!D22)</f>
        <v>30</v>
      </c>
      <c r="E22" s="125">
        <f>SUM('0664:4131'!E22)</f>
        <v>58.5</v>
      </c>
      <c r="F22" s="454">
        <f>'0664'!F22:G22</f>
        <v>5.4009999999999998</v>
      </c>
      <c r="G22" s="454"/>
      <c r="H22" s="83">
        <f t="shared" si="0"/>
        <v>315.95850000000002</v>
      </c>
      <c r="I22" s="104">
        <f>SUM('0664:4131'!I22)</f>
        <v>1512912.96</v>
      </c>
    </row>
    <row r="23" spans="1:10" x14ac:dyDescent="0.25">
      <c r="A23" s="453" t="s">
        <v>112</v>
      </c>
      <c r="B23" s="453"/>
      <c r="C23" s="165">
        <f>SUM('0664:4131'!C23)</f>
        <v>48</v>
      </c>
      <c r="D23" s="165">
        <f>SUM('0664:4131'!D23)</f>
        <v>45</v>
      </c>
      <c r="E23" s="125">
        <f>SUM('0664:4131'!E23)</f>
        <v>93</v>
      </c>
      <c r="F23" s="454">
        <f>'0664'!F23:G23</f>
        <v>5.4009999999999998</v>
      </c>
      <c r="G23" s="454"/>
      <c r="H23" s="83">
        <f t="shared" si="0"/>
        <v>502.29300000000001</v>
      </c>
      <c r="I23" s="104">
        <f>SUM('0664:4131'!I23)</f>
        <v>2405143.7000000002</v>
      </c>
    </row>
    <row r="24" spans="1:10" x14ac:dyDescent="0.25">
      <c r="A24" s="453" t="s">
        <v>113</v>
      </c>
      <c r="B24" s="453"/>
      <c r="C24" s="165">
        <f>SUM('0664:4131'!C24)</f>
        <v>48.5</v>
      </c>
      <c r="D24" s="165">
        <f>SUM('0664:4131'!D24)</f>
        <v>47.68</v>
      </c>
      <c r="E24" s="125">
        <f>SUM('0664:4131'!E24)</f>
        <v>96.18</v>
      </c>
      <c r="F24" s="454">
        <f>'0664'!F24:G24</f>
        <v>5.4009999999999998</v>
      </c>
      <c r="G24" s="454"/>
      <c r="H24" s="83">
        <f t="shared" si="0"/>
        <v>519.46820000000002</v>
      </c>
      <c r="I24" s="104">
        <f>SUM('0664:4131'!I24)</f>
        <v>2487384.19</v>
      </c>
    </row>
    <row r="25" spans="1:10" x14ac:dyDescent="0.25">
      <c r="A25" s="453" t="s">
        <v>114</v>
      </c>
      <c r="B25" s="453"/>
      <c r="C25" s="165">
        <f>SUM('0664:4131'!C25)</f>
        <v>437.55999999999995</v>
      </c>
      <c r="D25" s="165">
        <f>SUM('0664:4131'!D25)</f>
        <v>442.47999999999996</v>
      </c>
      <c r="E25" s="125">
        <f>SUM('0664:4131'!E25)</f>
        <v>880.04000000000008</v>
      </c>
      <c r="F25" s="454">
        <f>'0664'!F25:G25</f>
        <v>1.206</v>
      </c>
      <c r="G25" s="454"/>
      <c r="H25" s="83">
        <f t="shared" si="0"/>
        <v>1061.3281999999999</v>
      </c>
      <c r="I25" s="104">
        <f>SUM('0664:4131'!I25)</f>
        <v>5081989.09</v>
      </c>
    </row>
    <row r="26" spans="1:10" x14ac:dyDescent="0.25">
      <c r="A26" s="453" t="s">
        <v>115</v>
      </c>
      <c r="B26" s="453"/>
      <c r="C26" s="165">
        <f>SUM('0664:4131'!C26)</f>
        <v>310.31</v>
      </c>
      <c r="D26" s="165">
        <f>SUM('0664:4131'!D26)</f>
        <v>312.14</v>
      </c>
      <c r="E26" s="125">
        <f>SUM('0664:4131'!E26)</f>
        <v>622.44999999999993</v>
      </c>
      <c r="F26" s="454">
        <f>'0664'!F26:G26</f>
        <v>1.206</v>
      </c>
      <c r="G26" s="454"/>
      <c r="H26" s="83">
        <f t="shared" si="0"/>
        <v>750.67470000000003</v>
      </c>
      <c r="I26" s="104">
        <f>SUM('0664:4131'!I26)</f>
        <v>3594477.2500000005</v>
      </c>
    </row>
    <row r="27" spans="1:10" x14ac:dyDescent="0.25">
      <c r="A27" s="453" t="s">
        <v>116</v>
      </c>
      <c r="B27" s="453"/>
      <c r="C27" s="165">
        <f>SUM('0664:4131'!C27)</f>
        <v>119.61</v>
      </c>
      <c r="D27" s="165">
        <f>SUM('0664:4131'!D27)</f>
        <v>123.67</v>
      </c>
      <c r="E27" s="125">
        <f>SUM('0664:4131'!E27)</f>
        <v>243.28</v>
      </c>
      <c r="F27" s="454">
        <f>'0664'!F27:G27</f>
        <v>1.206</v>
      </c>
      <c r="G27" s="454"/>
      <c r="H27" s="83">
        <f t="shared" si="0"/>
        <v>293.39569999999998</v>
      </c>
      <c r="I27" s="104">
        <f>SUM('0664:4131'!I27)</f>
        <v>1404874.8699999999</v>
      </c>
    </row>
    <row r="28" spans="1:10" x14ac:dyDescent="0.25">
      <c r="A28" s="453" t="s">
        <v>117</v>
      </c>
      <c r="B28" s="453"/>
      <c r="C28" s="116">
        <f>SUM('0664:4131'!C28)</f>
        <v>311.14999999999998</v>
      </c>
      <c r="D28" s="116">
        <f>SUM('0664:4131'!D28)</f>
        <v>316.90999999999997</v>
      </c>
      <c r="E28" s="177">
        <f>SUM('0664:4131'!E28)</f>
        <v>628.05999999999995</v>
      </c>
      <c r="F28" s="454">
        <f>'0664'!F28:G28</f>
        <v>0.999</v>
      </c>
      <c r="G28" s="454"/>
      <c r="H28" s="96">
        <f t="shared" si="0"/>
        <v>627.43190000000004</v>
      </c>
      <c r="I28" s="97">
        <f>SUM('0664:4131'!I28)</f>
        <v>3004349.810000001</v>
      </c>
    </row>
    <row r="29" spans="1:10" x14ac:dyDescent="0.25">
      <c r="A29" s="455" t="s">
        <v>199</v>
      </c>
      <c r="B29" s="456"/>
      <c r="C29" s="119">
        <f>SUM(C13:C28)</f>
        <v>11230.199999999999</v>
      </c>
      <c r="D29" s="119">
        <f>SUM(D13:D28)</f>
        <v>11201.340000000002</v>
      </c>
      <c r="E29" s="210">
        <f>SUM(E13:E28)</f>
        <v>22431.54</v>
      </c>
      <c r="F29" s="457"/>
      <c r="G29" s="457"/>
      <c r="H29" s="167">
        <f>SUM(H13:H28)</f>
        <v>25764.460800000004</v>
      </c>
      <c r="I29" s="119">
        <f>SUM(I13:I28)</f>
        <v>123368694.49000001</v>
      </c>
      <c r="J29" s="211"/>
    </row>
    <row r="30" spans="1:10" x14ac:dyDescent="0.25">
      <c r="A30" s="84" t="s">
        <v>200</v>
      </c>
      <c r="B30" s="179"/>
      <c r="C30" s="165">
        <f>Virtual!E22</f>
        <v>0</v>
      </c>
      <c r="D30" s="165">
        <f>Virtual!E23</f>
        <v>0</v>
      </c>
      <c r="E30" s="125">
        <f>IF(D$29=0,C30*2,C30+D30)</f>
        <v>0</v>
      </c>
      <c r="F30" s="454">
        <v>0.7</v>
      </c>
      <c r="G30" s="454"/>
      <c r="H30" s="83">
        <f t="shared" si="0"/>
        <v>0</v>
      </c>
      <c r="I30" s="104">
        <f>Virtual!E28</f>
        <v>0</v>
      </c>
    </row>
    <row r="31" spans="1:10" x14ac:dyDescent="0.25">
      <c r="A31" s="455" t="s">
        <v>201</v>
      </c>
      <c r="B31" s="456"/>
      <c r="C31" s="100">
        <f>SUM(C29:C30)</f>
        <v>11230.199999999999</v>
      </c>
      <c r="D31" s="100">
        <f>SUM(D29:D30)</f>
        <v>11201.340000000002</v>
      </c>
      <c r="E31" s="100">
        <f>SUM(E29:E30)</f>
        <v>22431.54</v>
      </c>
      <c r="F31" s="28"/>
      <c r="G31" s="28"/>
      <c r="H31" s="83"/>
      <c r="I31" s="100">
        <f>SUM(I29:I30)</f>
        <v>123368694.49000001</v>
      </c>
    </row>
    <row r="32" spans="1:10" hidden="1" x14ac:dyDescent="0.25">
      <c r="A32" s="27"/>
      <c r="B32" s="27"/>
      <c r="C32" s="104"/>
      <c r="D32" s="104"/>
      <c r="E32" s="104"/>
      <c r="F32" s="28"/>
      <c r="G32" s="28"/>
      <c r="H32" s="83"/>
      <c r="I32" s="104"/>
    </row>
    <row r="33" spans="1:9" hidden="1" x14ac:dyDescent="0.25">
      <c r="A33" s="168" t="s">
        <v>97</v>
      </c>
      <c r="B33" s="27"/>
      <c r="C33" s="104"/>
      <c r="D33" s="104"/>
      <c r="E33" s="104"/>
      <c r="F33" s="28"/>
      <c r="G33" s="28"/>
      <c r="H33" s="83"/>
      <c r="I33" s="104"/>
    </row>
    <row r="34" spans="1:9" hidden="1" x14ac:dyDescent="0.25">
      <c r="A34" s="3"/>
      <c r="B34" s="72"/>
      <c r="C34" s="72"/>
      <c r="D34" s="72"/>
      <c r="E34" s="72"/>
      <c r="F34" s="72"/>
      <c r="G34" s="72"/>
      <c r="H34" s="72"/>
      <c r="I34" s="359" t="s">
        <v>363</v>
      </c>
    </row>
    <row r="35" spans="1:9" hidden="1" x14ac:dyDescent="0.25">
      <c r="A35" s="27"/>
      <c r="B35" s="27"/>
      <c r="C35" s="91" t="s">
        <v>463</v>
      </c>
      <c r="D35" s="371" t="s">
        <v>464</v>
      </c>
      <c r="E35" s="92" t="s">
        <v>8</v>
      </c>
      <c r="F35" s="28"/>
      <c r="G35" s="28"/>
      <c r="H35" s="107"/>
      <c r="I35" s="25" t="s">
        <v>36</v>
      </c>
    </row>
    <row r="36" spans="1:9" hidden="1" x14ac:dyDescent="0.25">
      <c r="A36" s="447" t="s">
        <v>63</v>
      </c>
      <c r="B36" s="447"/>
      <c r="C36" s="362" t="s">
        <v>2</v>
      </c>
      <c r="D36" s="362" t="s">
        <v>2</v>
      </c>
      <c r="E36" s="93" t="s">
        <v>2</v>
      </c>
      <c r="F36" s="108"/>
      <c r="G36" s="108"/>
      <c r="H36" s="108"/>
      <c r="I36" s="32" t="s">
        <v>75</v>
      </c>
    </row>
    <row r="37" spans="1:9" hidden="1" x14ac:dyDescent="0.25">
      <c r="A37" s="451" t="s">
        <v>56</v>
      </c>
      <c r="B37" s="451"/>
      <c r="C37" s="169">
        <f>SUM('0664:4111'!C37)</f>
        <v>0</v>
      </c>
      <c r="D37" s="169">
        <f>SUM('0664:4111'!D37)</f>
        <v>0</v>
      </c>
      <c r="E37" s="210">
        <f>SUM('0664:4111'!E37)</f>
        <v>0</v>
      </c>
      <c r="F37" s="170"/>
      <c r="G37" s="170"/>
      <c r="H37" s="170"/>
      <c r="I37" s="119">
        <f>SUM('0664:4111'!I37)</f>
        <v>0</v>
      </c>
    </row>
    <row r="38" spans="1:9" hidden="1" x14ac:dyDescent="0.25">
      <c r="A38" s="453" t="s">
        <v>57</v>
      </c>
      <c r="B38" s="453"/>
      <c r="C38" s="172">
        <f>SUM('0664:4111'!C38)</f>
        <v>0</v>
      </c>
      <c r="D38" s="172">
        <f>SUM('0664:4111'!D38)</f>
        <v>0</v>
      </c>
      <c r="E38" s="125">
        <f>SUM('0664:4111'!E38)</f>
        <v>0</v>
      </c>
      <c r="F38" s="173"/>
      <c r="G38" s="173"/>
      <c r="H38" s="173"/>
      <c r="I38" s="104">
        <f>SUM('0664:4111'!I38)</f>
        <v>0</v>
      </c>
    </row>
    <row r="39" spans="1:9" hidden="1" x14ac:dyDescent="0.25">
      <c r="A39" s="458" t="s">
        <v>58</v>
      </c>
      <c r="B39" s="458"/>
      <c r="C39" s="172">
        <f>SUM('0664:4111'!C39)</f>
        <v>0</v>
      </c>
      <c r="D39" s="172">
        <f>SUM('0664:4111'!D39)</f>
        <v>0</v>
      </c>
      <c r="E39" s="125">
        <f>SUM('0664:4111'!E39)</f>
        <v>0</v>
      </c>
      <c r="F39" s="173"/>
      <c r="G39" s="173"/>
      <c r="H39" s="173"/>
      <c r="I39" s="104">
        <f>SUM('0664:4111'!I39)</f>
        <v>0</v>
      </c>
    </row>
    <row r="40" spans="1:9" hidden="1" x14ac:dyDescent="0.25">
      <c r="A40" s="453" t="s">
        <v>59</v>
      </c>
      <c r="B40" s="453"/>
      <c r="C40" s="172">
        <f>SUM('0664:4111'!C40)</f>
        <v>0</v>
      </c>
      <c r="D40" s="172">
        <f>SUM('0664:4111'!D40)</f>
        <v>0</v>
      </c>
      <c r="E40" s="125">
        <f>SUM('0664:4111'!E40)</f>
        <v>0</v>
      </c>
      <c r="F40" s="173"/>
      <c r="G40" s="173"/>
      <c r="H40" s="173"/>
      <c r="I40" s="104">
        <f>SUM('0664:4111'!I40)</f>
        <v>0</v>
      </c>
    </row>
    <row r="41" spans="1:9" hidden="1" x14ac:dyDescent="0.25">
      <c r="A41" s="453" t="s">
        <v>60</v>
      </c>
      <c r="B41" s="453"/>
      <c r="C41" s="172">
        <f>SUM('0664:4111'!C41)</f>
        <v>0</v>
      </c>
      <c r="D41" s="172">
        <f>SUM('0664:4111'!D41)</f>
        <v>0</v>
      </c>
      <c r="E41" s="125">
        <f>SUM('0664:4111'!E41)</f>
        <v>0</v>
      </c>
      <c r="F41" s="173"/>
      <c r="G41" s="173"/>
      <c r="H41" s="173"/>
      <c r="I41" s="104">
        <f>SUM('0664:4111'!I41)</f>
        <v>0</v>
      </c>
    </row>
    <row r="42" spans="1:9" hidden="1" x14ac:dyDescent="0.25">
      <c r="A42" s="453" t="s">
        <v>52</v>
      </c>
      <c r="B42" s="453"/>
      <c r="C42" s="171">
        <f>SUM('0664:4111'!C42)</f>
        <v>0</v>
      </c>
      <c r="D42" s="171">
        <f>SUM('0664:4111'!D42)</f>
        <v>0</v>
      </c>
      <c r="E42" s="177">
        <f>SUM('0664:4111'!E42)</f>
        <v>0</v>
      </c>
      <c r="F42" s="173"/>
      <c r="G42" s="173"/>
      <c r="H42" s="173"/>
      <c r="I42" s="97">
        <f>SUM('0664:4111'!I42)</f>
        <v>0</v>
      </c>
    </row>
    <row r="43" spans="1:9" hidden="1" x14ac:dyDescent="0.25">
      <c r="A43" s="3"/>
      <c r="B43" s="55" t="s">
        <v>126</v>
      </c>
      <c r="C43" s="100">
        <f>SUM(C37:C42)</f>
        <v>0</v>
      </c>
      <c r="D43" s="100">
        <f>SUM(D37:D42)</f>
        <v>0</v>
      </c>
      <c r="E43" s="100">
        <f>SUM(E37:E42)</f>
        <v>0</v>
      </c>
      <c r="F43" s="33"/>
      <c r="G43" s="109"/>
      <c r="H43" s="110" t="s">
        <v>128</v>
      </c>
      <c r="I43" s="100">
        <f>SUM(I37:I42)</f>
        <v>0</v>
      </c>
    </row>
    <row r="44" spans="1:9" hidden="1" x14ac:dyDescent="0.25">
      <c r="A44" s="3"/>
      <c r="B44" s="55"/>
      <c r="C44" s="104"/>
      <c r="D44" s="104"/>
      <c r="E44" s="119"/>
      <c r="F44" s="33"/>
      <c r="G44" s="109"/>
      <c r="H44" s="110"/>
      <c r="I44" s="104"/>
    </row>
    <row r="45" spans="1:9" ht="16.5" hidden="1" thickBot="1" x14ac:dyDescent="0.3">
      <c r="A45" s="3"/>
      <c r="B45" s="55" t="s">
        <v>127</v>
      </c>
      <c r="E45" s="174">
        <f>H29+E43</f>
        <v>25764.460800000004</v>
      </c>
      <c r="F45" s="35"/>
      <c r="G45" s="109"/>
      <c r="H45" s="110" t="s">
        <v>129</v>
      </c>
      <c r="I45" s="97">
        <f>SUM(I43,I31)</f>
        <v>123368694.49000001</v>
      </c>
    </row>
    <row r="46" spans="1:9" hidden="1" x14ac:dyDescent="0.25">
      <c r="A46" s="27"/>
      <c r="B46" s="27"/>
      <c r="C46" s="27"/>
      <c r="D46" s="27"/>
      <c r="E46" s="27"/>
      <c r="F46" s="35"/>
      <c r="G46" s="28"/>
      <c r="H46" s="28"/>
      <c r="I46" s="104"/>
    </row>
    <row r="47" spans="1:9" x14ac:dyDescent="0.25">
      <c r="A47" s="27"/>
      <c r="B47" s="27"/>
      <c r="C47" s="27"/>
      <c r="D47" s="27"/>
      <c r="E47" s="27"/>
      <c r="F47" s="35"/>
      <c r="G47" s="28"/>
      <c r="H47" s="28"/>
      <c r="I47" s="104"/>
    </row>
    <row r="48" spans="1:9" x14ac:dyDescent="0.25">
      <c r="A48" s="27"/>
      <c r="B48" s="27"/>
      <c r="C48" s="91" t="s">
        <v>463</v>
      </c>
      <c r="D48" s="371" t="s">
        <v>464</v>
      </c>
      <c r="E48" s="92" t="s">
        <v>8</v>
      </c>
      <c r="F48" s="49" t="s">
        <v>130</v>
      </c>
      <c r="G48" s="112" t="s">
        <v>132</v>
      </c>
      <c r="H48" s="113" t="s">
        <v>133</v>
      </c>
      <c r="I48" s="104"/>
    </row>
    <row r="49" spans="1:11" x14ac:dyDescent="0.25">
      <c r="A49" s="37" t="s">
        <v>87</v>
      </c>
      <c r="B49" s="37"/>
      <c r="C49" s="362" t="s">
        <v>2</v>
      </c>
      <c r="D49" s="362" t="s">
        <v>2</v>
      </c>
      <c r="E49" s="93" t="s">
        <v>2</v>
      </c>
      <c r="F49" s="95" t="s">
        <v>131</v>
      </c>
      <c r="G49" s="62" t="s">
        <v>131</v>
      </c>
      <c r="H49" s="114" t="s">
        <v>134</v>
      </c>
      <c r="I49" s="37"/>
    </row>
    <row r="50" spans="1:11" x14ac:dyDescent="0.25">
      <c r="A50" s="459" t="s">
        <v>98</v>
      </c>
      <c r="B50" s="459"/>
      <c r="C50" s="165">
        <f>SUM('0664:4131'!C50)</f>
        <v>246.34</v>
      </c>
      <c r="D50" s="165">
        <f>SUM('0664:4131'!D50)</f>
        <v>262.45999999999998</v>
      </c>
      <c r="E50" s="125">
        <f>SUM('0664:4131'!E50)</f>
        <v>508.80000000000013</v>
      </c>
      <c r="F50" s="39" t="s">
        <v>21</v>
      </c>
      <c r="G50" s="39">
        <v>251</v>
      </c>
      <c r="H50" s="248">
        <f>'0664'!H50</f>
        <v>1047</v>
      </c>
      <c r="I50" s="104">
        <f>SUM('0664:4131'!I50)</f>
        <v>532713.6</v>
      </c>
      <c r="J50" s="211"/>
      <c r="K50" s="266"/>
    </row>
    <row r="51" spans="1:11" x14ac:dyDescent="0.25">
      <c r="A51" s="460"/>
      <c r="B51" s="460"/>
      <c r="C51" s="165">
        <f>SUM('0664:4131'!C51)</f>
        <v>37.51</v>
      </c>
      <c r="D51" s="165">
        <f>SUM('0664:4131'!D51)</f>
        <v>38.9</v>
      </c>
      <c r="E51" s="125">
        <f>SUM('0664:4131'!E51)</f>
        <v>76.410000000000011</v>
      </c>
      <c r="F51" s="39" t="s">
        <v>21</v>
      </c>
      <c r="G51" s="39">
        <v>252</v>
      </c>
      <c r="H51" s="248">
        <f>'0664'!H51</f>
        <v>3380</v>
      </c>
      <c r="I51" s="104">
        <f>SUM('0664:4131'!I51)</f>
        <v>258265.80000000005</v>
      </c>
      <c r="J51" s="211"/>
      <c r="K51" s="266"/>
    </row>
    <row r="52" spans="1:11" x14ac:dyDescent="0.25">
      <c r="A52" s="460"/>
      <c r="B52" s="460"/>
      <c r="C52" s="165">
        <f>SUM('0664:4131'!C52)</f>
        <v>7.75</v>
      </c>
      <c r="D52" s="165">
        <f>SUM('0664:4131'!D52)</f>
        <v>9.16</v>
      </c>
      <c r="E52" s="125">
        <f>SUM('0664:4131'!E52)</f>
        <v>16.91</v>
      </c>
      <c r="F52" s="39" t="s">
        <v>21</v>
      </c>
      <c r="G52" s="39">
        <v>253</v>
      </c>
      <c r="H52" s="248">
        <f>'0664'!H52</f>
        <v>6896</v>
      </c>
      <c r="I52" s="104">
        <f>SUM('0664:4131'!I52)</f>
        <v>116611.35999999999</v>
      </c>
      <c r="J52" s="211"/>
      <c r="K52" s="266"/>
    </row>
    <row r="53" spans="1:11" x14ac:dyDescent="0.25">
      <c r="A53" s="460"/>
      <c r="B53" s="460"/>
      <c r="C53" s="165">
        <f>SUM('0664:4131'!C53)</f>
        <v>586.36000000000013</v>
      </c>
      <c r="D53" s="165">
        <f>SUM('0664:4131'!D53)</f>
        <v>565.14999999999986</v>
      </c>
      <c r="E53" s="125">
        <f>SUM('0664:4131'!E53)</f>
        <v>1151.5100000000002</v>
      </c>
      <c r="F53" s="41" t="s">
        <v>14</v>
      </c>
      <c r="G53" s="39">
        <v>251</v>
      </c>
      <c r="H53" s="248">
        <f>'0664'!H53</f>
        <v>1173</v>
      </c>
      <c r="I53" s="104">
        <f>SUM('0664:4131'!I53)</f>
        <v>1350721.23</v>
      </c>
      <c r="J53" s="211"/>
      <c r="K53" s="266"/>
    </row>
    <row r="54" spans="1:11" x14ac:dyDescent="0.25">
      <c r="A54" s="460"/>
      <c r="B54" s="460"/>
      <c r="C54" s="165">
        <f>SUM('0664:4131'!C54)</f>
        <v>44.54</v>
      </c>
      <c r="D54" s="165">
        <f>SUM('0664:4131'!D54)</f>
        <v>43.510000000000005</v>
      </c>
      <c r="E54" s="125">
        <f>SUM('0664:4131'!E54)</f>
        <v>88.050000000000011</v>
      </c>
      <c r="F54" s="41" t="s">
        <v>14</v>
      </c>
      <c r="G54" s="39">
        <v>252</v>
      </c>
      <c r="H54" s="248">
        <f>'0664'!H54</f>
        <v>3506</v>
      </c>
      <c r="I54" s="104">
        <f>SUM('0664:4131'!I54)</f>
        <v>308703.29999999993</v>
      </c>
      <c r="J54" s="211"/>
      <c r="K54" s="266"/>
    </row>
    <row r="55" spans="1:11" x14ac:dyDescent="0.25">
      <c r="A55" s="460"/>
      <c r="B55" s="460"/>
      <c r="C55" s="165">
        <f>SUM('0664:4131'!C55)</f>
        <v>15</v>
      </c>
      <c r="D55" s="165">
        <f>SUM('0664:4131'!D55)</f>
        <v>14.479999999999999</v>
      </c>
      <c r="E55" s="125">
        <f>SUM('0664:4131'!E55)</f>
        <v>29.48</v>
      </c>
      <c r="F55" s="41" t="s">
        <v>14</v>
      </c>
      <c r="G55" s="39">
        <v>253</v>
      </c>
      <c r="H55" s="248">
        <f>'0664'!H55</f>
        <v>7023</v>
      </c>
      <c r="I55" s="104">
        <f>SUM('0664:4131'!I55)</f>
        <v>207038.04</v>
      </c>
      <c r="J55" s="211"/>
      <c r="K55" s="266"/>
    </row>
    <row r="56" spans="1:11" x14ac:dyDescent="0.25">
      <c r="A56" s="460"/>
      <c r="B56" s="460"/>
      <c r="C56" s="165">
        <f>SUM('0664:4131'!C56)</f>
        <v>396.49</v>
      </c>
      <c r="D56" s="165">
        <f>SUM('0664:4131'!D56)</f>
        <v>408.63000000000005</v>
      </c>
      <c r="E56" s="125">
        <f>SUM('0664:4131'!E56)</f>
        <v>805.12</v>
      </c>
      <c r="F56" s="41" t="s">
        <v>15</v>
      </c>
      <c r="G56" s="39">
        <v>251</v>
      </c>
      <c r="H56" s="248">
        <f>'0664'!H56</f>
        <v>835</v>
      </c>
      <c r="I56" s="104">
        <f>SUM('0664:4131'!I56)</f>
        <v>672275.20000000007</v>
      </c>
      <c r="J56" s="211"/>
      <c r="K56" s="266"/>
    </row>
    <row r="57" spans="1:11" x14ac:dyDescent="0.25">
      <c r="A57" s="460"/>
      <c r="B57" s="460"/>
      <c r="C57" s="165">
        <f>SUM('0664:4131'!C57)</f>
        <v>51.42</v>
      </c>
      <c r="D57" s="165">
        <f>SUM('0664:4131'!D57)</f>
        <v>53.099999999999994</v>
      </c>
      <c r="E57" s="125">
        <f>SUM('0664:4131'!E57)</f>
        <v>104.52000000000001</v>
      </c>
      <c r="F57" s="41" t="s">
        <v>15</v>
      </c>
      <c r="G57" s="39">
        <v>252</v>
      </c>
      <c r="H57" s="248">
        <f>'0664'!H57</f>
        <v>3168</v>
      </c>
      <c r="I57" s="104">
        <f>SUM('0664:4131'!I57)</f>
        <v>331119.35999999999</v>
      </c>
      <c r="J57" s="211"/>
      <c r="K57" s="266"/>
    </row>
    <row r="58" spans="1:11" x14ac:dyDescent="0.25">
      <c r="A58" s="460"/>
      <c r="B58" s="460"/>
      <c r="C58" s="165">
        <f>SUM('0664:4131'!C58)</f>
        <v>102.79</v>
      </c>
      <c r="D58" s="165">
        <f>SUM('0664:4131'!D58)</f>
        <v>112.63</v>
      </c>
      <c r="E58" s="125">
        <f>SUM('0664:4131'!E58)</f>
        <v>215.42</v>
      </c>
      <c r="F58" s="41" t="s">
        <v>15</v>
      </c>
      <c r="G58" s="39">
        <v>253</v>
      </c>
      <c r="H58" s="248">
        <f>'0664'!H58</f>
        <v>6685</v>
      </c>
      <c r="I58" s="104">
        <f>SUM('0664:4131'!I58)</f>
        <v>1440082.7</v>
      </c>
      <c r="J58" s="211"/>
      <c r="K58" s="266"/>
    </row>
    <row r="59" spans="1:11" x14ac:dyDescent="0.25">
      <c r="A59" s="461" t="s">
        <v>16</v>
      </c>
      <c r="B59" s="461"/>
      <c r="C59" s="100">
        <f>SUM(C50:C58)</f>
        <v>1488.2000000000003</v>
      </c>
      <c r="D59" s="100">
        <f>SUM(D50:D58)</f>
        <v>1508.02</v>
      </c>
      <c r="E59" s="100">
        <f>SUM(E50:E58)</f>
        <v>2996.2200000000003</v>
      </c>
      <c r="F59" s="461" t="s">
        <v>77</v>
      </c>
      <c r="G59" s="461"/>
      <c r="H59" s="461"/>
      <c r="I59" s="100">
        <f>SUM(I50:I58)</f>
        <v>5217530.59</v>
      </c>
      <c r="J59" s="211"/>
      <c r="K59" s="266"/>
    </row>
    <row r="60" spans="1:11" x14ac:dyDescent="0.25">
      <c r="A60" s="462"/>
      <c r="B60" s="462"/>
      <c r="C60" s="462"/>
      <c r="D60" s="462"/>
      <c r="E60" s="462"/>
      <c r="F60" s="462"/>
      <c r="G60" s="462"/>
      <c r="H60" s="462"/>
      <c r="I60" s="462"/>
    </row>
    <row r="61" spans="1:11" x14ac:dyDescent="0.25">
      <c r="A61" s="463" t="s">
        <v>136</v>
      </c>
      <c r="B61" s="453"/>
      <c r="C61" s="453"/>
      <c r="D61" s="453"/>
      <c r="E61" s="453"/>
      <c r="F61" s="453"/>
      <c r="G61" s="453"/>
      <c r="H61" s="453"/>
      <c r="I61" s="453"/>
    </row>
    <row r="62" spans="1:11" x14ac:dyDescent="0.25">
      <c r="A62" s="463" t="s">
        <v>202</v>
      </c>
      <c r="B62" s="453"/>
      <c r="C62" s="249">
        <f>E29</f>
        <v>22431.54</v>
      </c>
      <c r="D62" s="464" t="s">
        <v>135</v>
      </c>
      <c r="E62" s="464"/>
      <c r="F62" s="464"/>
      <c r="G62" s="464"/>
      <c r="H62" s="140">
        <f>'0664'!H62</f>
        <v>193340.76</v>
      </c>
      <c r="I62" s="122"/>
    </row>
    <row r="63" spans="1:11" x14ac:dyDescent="0.25">
      <c r="B63" s="72"/>
      <c r="G63" s="44" t="s">
        <v>13</v>
      </c>
      <c r="H63" s="123">
        <f>ROUND(C62/H62,6)</f>
        <v>0.116021</v>
      </c>
      <c r="I63" s="124"/>
    </row>
    <row r="64" spans="1:11" x14ac:dyDescent="0.25">
      <c r="A64" s="463" t="s">
        <v>137</v>
      </c>
      <c r="B64" s="453"/>
      <c r="C64" s="453"/>
      <c r="D64" s="453"/>
      <c r="E64" s="453"/>
      <c r="F64" s="453"/>
      <c r="G64" s="453"/>
      <c r="H64" s="453"/>
      <c r="I64" s="453"/>
    </row>
    <row r="65" spans="1:9" x14ac:dyDescent="0.25">
      <c r="A65" s="463" t="s">
        <v>139</v>
      </c>
      <c r="B65" s="453"/>
      <c r="C65" s="249">
        <f>E45</f>
        <v>25764.460800000004</v>
      </c>
      <c r="D65" s="464" t="s">
        <v>140</v>
      </c>
      <c r="E65" s="464"/>
      <c r="F65" s="464"/>
      <c r="G65" s="464"/>
      <c r="H65" s="177">
        <f>'0664'!H65</f>
        <v>216845.88</v>
      </c>
      <c r="I65" s="125"/>
    </row>
    <row r="66" spans="1:9" x14ac:dyDescent="0.25">
      <c r="A66" s="126"/>
      <c r="B66" s="37"/>
      <c r="C66" s="37"/>
      <c r="D66" s="37"/>
      <c r="E66" s="37"/>
      <c r="F66" s="37"/>
      <c r="G66" s="45" t="s">
        <v>13</v>
      </c>
      <c r="H66" s="127">
        <f>ROUND(C65/H65,6)</f>
        <v>0.118815</v>
      </c>
      <c r="I66" s="127"/>
    </row>
    <row r="67" spans="1:9" x14ac:dyDescent="0.25">
      <c r="G67" s="44"/>
      <c r="H67" s="123"/>
      <c r="I67" s="123"/>
    </row>
    <row r="68" spans="1:9" x14ac:dyDescent="0.25">
      <c r="A68" s="453" t="s">
        <v>85</v>
      </c>
      <c r="B68" s="453"/>
      <c r="C68" s="453"/>
      <c r="D68" s="72"/>
      <c r="E68" s="46" t="s">
        <v>3</v>
      </c>
      <c r="F68" s="136">
        <f>'0664'!F68</f>
        <v>42465042</v>
      </c>
      <c r="G68" s="39" t="s">
        <v>6</v>
      </c>
      <c r="H68" s="131">
        <f>H63</f>
        <v>0.116021</v>
      </c>
      <c r="I68" s="125">
        <f>SUM('0664:4131'!I68)</f>
        <v>4926751.7300000004</v>
      </c>
    </row>
    <row r="69" spans="1:9" x14ac:dyDescent="0.25">
      <c r="A69" s="458" t="s">
        <v>96</v>
      </c>
      <c r="B69" s="453"/>
      <c r="C69" s="453"/>
      <c r="D69" s="72"/>
      <c r="E69" s="46"/>
      <c r="F69" s="136"/>
      <c r="G69" s="39"/>
      <c r="H69" s="131"/>
      <c r="I69" s="125"/>
    </row>
    <row r="70" spans="1:9" x14ac:dyDescent="0.25">
      <c r="A70" s="465" t="s">
        <v>141</v>
      </c>
      <c r="B70" s="453"/>
      <c r="C70" s="453"/>
      <c r="D70" s="72"/>
      <c r="E70" s="46" t="s">
        <v>3</v>
      </c>
      <c r="F70" s="136">
        <f>'0664'!F70</f>
        <v>0</v>
      </c>
      <c r="G70" s="39" t="s">
        <v>6</v>
      </c>
      <c r="H70" s="131">
        <f>H63</f>
        <v>0.116021</v>
      </c>
      <c r="I70" s="125">
        <f>SUM('0664:4131'!I70)</f>
        <v>0</v>
      </c>
    </row>
    <row r="71" spans="1:9" x14ac:dyDescent="0.25">
      <c r="A71" s="463" t="s">
        <v>433</v>
      </c>
      <c r="B71" s="453"/>
      <c r="C71" s="453"/>
      <c r="D71" s="72"/>
      <c r="E71" s="46" t="s">
        <v>3</v>
      </c>
      <c r="F71" s="136">
        <f>'0664'!F71</f>
        <v>13414654</v>
      </c>
      <c r="G71" s="39" t="s">
        <v>6</v>
      </c>
      <c r="H71" s="131">
        <f>H63</f>
        <v>0.116021</v>
      </c>
      <c r="I71" s="125">
        <f>SUM('0664:4131'!I71)</f>
        <v>1556354.7000000004</v>
      </c>
    </row>
    <row r="72" spans="1:9" x14ac:dyDescent="0.25">
      <c r="A72" s="463" t="s">
        <v>434</v>
      </c>
      <c r="B72" s="453"/>
      <c r="C72" s="453"/>
      <c r="D72" s="72"/>
      <c r="E72" s="46" t="s">
        <v>3</v>
      </c>
      <c r="F72" s="136">
        <f>'0664'!F72</f>
        <v>14708421</v>
      </c>
      <c r="G72" s="39" t="s">
        <v>6</v>
      </c>
      <c r="H72" s="131">
        <f>H63</f>
        <v>0.116021</v>
      </c>
      <c r="I72" s="125">
        <f>SUM('0664:4131'!I72)</f>
        <v>1706456.2999999998</v>
      </c>
    </row>
    <row r="73" spans="1:9" x14ac:dyDescent="0.25">
      <c r="A73" s="263" t="s">
        <v>99</v>
      </c>
      <c r="D73" s="72"/>
      <c r="E73" s="41" t="s">
        <v>353</v>
      </c>
      <c r="F73" s="466"/>
      <c r="G73" s="466"/>
      <c r="H73" s="466"/>
      <c r="I73" s="125">
        <f>SUM('0664:4131'!I73)</f>
        <v>0</v>
      </c>
    </row>
    <row r="74" spans="1:9" x14ac:dyDescent="0.25">
      <c r="A74" s="264" t="s">
        <v>142</v>
      </c>
      <c r="I74" s="125">
        <f>SUM('0664:4131'!I74)</f>
        <v>0</v>
      </c>
    </row>
    <row r="75" spans="1:9" x14ac:dyDescent="0.25">
      <c r="A75" s="265" t="s">
        <v>101</v>
      </c>
      <c r="B75" s="72"/>
      <c r="C75" s="72"/>
      <c r="D75" s="72"/>
      <c r="E75" s="72"/>
      <c r="F75" s="72"/>
      <c r="G75" s="72"/>
      <c r="H75" s="72"/>
      <c r="I75" s="176"/>
    </row>
    <row r="76" spans="1:9" x14ac:dyDescent="0.25">
      <c r="A76" s="463" t="s">
        <v>435</v>
      </c>
      <c r="B76" s="453"/>
      <c r="C76" s="453"/>
      <c r="D76" s="72"/>
      <c r="E76" s="46" t="s">
        <v>3</v>
      </c>
      <c r="F76" s="136">
        <f>'0664'!F76</f>
        <v>8720092</v>
      </c>
      <c r="G76" s="39" t="s">
        <v>6</v>
      </c>
      <c r="H76" s="131">
        <f>H63</f>
        <v>0.116021</v>
      </c>
      <c r="I76" s="125">
        <f>SUM('0664:4131'!I76)</f>
        <v>1011696.3399999999</v>
      </c>
    </row>
    <row r="77" spans="1:9" x14ac:dyDescent="0.25">
      <c r="A77" s="463" t="s">
        <v>436</v>
      </c>
      <c r="B77" s="453"/>
      <c r="C77" s="453"/>
      <c r="D77" s="72"/>
      <c r="E77" s="46" t="s">
        <v>3</v>
      </c>
      <c r="F77" s="136">
        <f>'0664'!F77</f>
        <v>0</v>
      </c>
      <c r="G77" s="39" t="s">
        <v>6</v>
      </c>
      <c r="H77" s="131">
        <f>H63</f>
        <v>0.116021</v>
      </c>
      <c r="I77" s="125">
        <f>SUM('0664:4131'!I77)</f>
        <v>0</v>
      </c>
    </row>
    <row r="78" spans="1:9" x14ac:dyDescent="0.25">
      <c r="A78" s="463" t="s">
        <v>437</v>
      </c>
      <c r="B78" s="453"/>
      <c r="C78" s="453"/>
      <c r="D78" s="72"/>
      <c r="E78" s="46" t="s">
        <v>4</v>
      </c>
      <c r="F78" s="136">
        <f>'0664'!F78</f>
        <v>0</v>
      </c>
      <c r="G78" s="39" t="s">
        <v>6</v>
      </c>
      <c r="H78" s="131">
        <f>H66</f>
        <v>0.118815</v>
      </c>
      <c r="I78" s="125">
        <f>SUM('0664:4131'!I78)</f>
        <v>0</v>
      </c>
    </row>
    <row r="79" spans="1:9" x14ac:dyDescent="0.25">
      <c r="A79" s="463" t="s">
        <v>438</v>
      </c>
      <c r="B79" s="453"/>
      <c r="C79" s="453"/>
      <c r="D79" s="72"/>
      <c r="E79" s="46" t="s">
        <v>4</v>
      </c>
      <c r="F79" s="136">
        <f>'0664'!F79</f>
        <v>11278687</v>
      </c>
      <c r="G79" s="39" t="s">
        <v>6</v>
      </c>
      <c r="H79" s="131">
        <f>H66</f>
        <v>0.118815</v>
      </c>
      <c r="I79" s="125">
        <f>SUM('0664:4131'!I79)</f>
        <v>1340065.9299999995</v>
      </c>
    </row>
    <row r="80" spans="1:9" x14ac:dyDescent="0.25">
      <c r="A80" s="463" t="s">
        <v>439</v>
      </c>
      <c r="B80" s="453"/>
      <c r="C80" s="453"/>
      <c r="D80" s="72"/>
      <c r="E80" s="46" t="s">
        <v>4</v>
      </c>
      <c r="F80" s="136">
        <f>'0664'!F80</f>
        <v>206284749</v>
      </c>
      <c r="G80" s="39" t="s">
        <v>6</v>
      </c>
      <c r="H80" s="131">
        <f>H66</f>
        <v>0.118815</v>
      </c>
      <c r="I80" s="125">
        <f>SUM('0664:4131'!I80)</f>
        <v>24509516.16</v>
      </c>
    </row>
    <row r="81" spans="1:11" x14ac:dyDescent="0.25">
      <c r="A81" s="84" t="s">
        <v>440</v>
      </c>
      <c r="B81" s="72"/>
      <c r="C81" s="72"/>
      <c r="D81" s="72"/>
      <c r="E81" s="46"/>
      <c r="F81" s="136"/>
      <c r="G81" s="39"/>
      <c r="H81" s="131"/>
      <c r="I81" s="125"/>
    </row>
    <row r="82" spans="1:11" x14ac:dyDescent="0.25">
      <c r="A82" s="264" t="s">
        <v>441</v>
      </c>
      <c r="B82" s="72"/>
      <c r="C82" s="72"/>
      <c r="D82" s="72"/>
      <c r="E82" s="46" t="s">
        <v>442</v>
      </c>
      <c r="F82" s="136">
        <v>0</v>
      </c>
      <c r="G82" s="39" t="s">
        <v>6</v>
      </c>
      <c r="H82" s="131">
        <f>H66</f>
        <v>0.118815</v>
      </c>
      <c r="I82" s="125">
        <f>SUM('0664:4131'!I82)</f>
        <v>4409274.6099999994</v>
      </c>
    </row>
    <row r="83" spans="1:11" x14ac:dyDescent="0.25">
      <c r="A83" s="264" t="s">
        <v>443</v>
      </c>
      <c r="B83" s="72"/>
      <c r="C83" s="72"/>
      <c r="D83" s="72"/>
      <c r="E83" s="46" t="s">
        <v>442</v>
      </c>
      <c r="F83" s="136">
        <v>0</v>
      </c>
      <c r="G83" s="39" t="s">
        <v>6</v>
      </c>
      <c r="H83" s="131">
        <f>H66</f>
        <v>0.118815</v>
      </c>
      <c r="I83" s="125">
        <f>SUM('0664:4131'!I83)</f>
        <v>1923836.6899999997</v>
      </c>
    </row>
    <row r="84" spans="1:11" x14ac:dyDescent="0.25">
      <c r="A84" s="420" t="s">
        <v>444</v>
      </c>
      <c r="B84" s="72"/>
      <c r="C84" s="72"/>
      <c r="D84" s="72"/>
      <c r="E84" s="46"/>
      <c r="F84" s="136"/>
      <c r="G84" s="39"/>
      <c r="H84" s="131"/>
      <c r="I84" s="125">
        <f>SUM('0664:4131'!I84)</f>
        <v>6333111.3000000017</v>
      </c>
    </row>
    <row r="85" spans="1:11" x14ac:dyDescent="0.25">
      <c r="A85" s="463" t="s">
        <v>398</v>
      </c>
      <c r="B85" s="453"/>
      <c r="C85" s="453"/>
      <c r="D85" s="72"/>
      <c r="E85" s="46" t="s">
        <v>4</v>
      </c>
      <c r="F85" s="136">
        <f>'0664'!F85</f>
        <v>0</v>
      </c>
      <c r="G85" s="39" t="s">
        <v>6</v>
      </c>
      <c r="H85" s="131">
        <f>H66</f>
        <v>0.118815</v>
      </c>
      <c r="I85" s="125">
        <f>SUM('0664:4131'!I85)</f>
        <v>0</v>
      </c>
    </row>
    <row r="86" spans="1:11" x14ac:dyDescent="0.25">
      <c r="B86" s="72"/>
      <c r="C86" s="72"/>
      <c r="D86" s="72"/>
      <c r="E86" s="46"/>
      <c r="F86" s="136"/>
      <c r="G86" s="39"/>
      <c r="H86" s="131"/>
      <c r="I86" s="104"/>
    </row>
    <row r="87" spans="1:11" x14ac:dyDescent="0.25">
      <c r="A87" s="463" t="s">
        <v>445</v>
      </c>
      <c r="B87" s="453"/>
      <c r="C87" s="453"/>
      <c r="D87" s="453"/>
      <c r="E87" s="453"/>
      <c r="F87" s="453"/>
      <c r="G87" s="453"/>
      <c r="H87" s="453"/>
      <c r="I87" s="453"/>
    </row>
    <row r="88" spans="1:11" x14ac:dyDescent="0.25">
      <c r="B88" s="72"/>
      <c r="C88" s="466" t="s">
        <v>73</v>
      </c>
      <c r="D88" s="466"/>
      <c r="E88" s="72"/>
      <c r="F88" s="41" t="s">
        <v>37</v>
      </c>
      <c r="G88" s="72"/>
      <c r="H88" s="72"/>
      <c r="I88" s="72"/>
    </row>
    <row r="89" spans="1:11" x14ac:dyDescent="0.25">
      <c r="A89" s="3"/>
      <c r="B89" s="138"/>
      <c r="C89" s="462" t="s">
        <v>144</v>
      </c>
      <c r="D89" s="462"/>
      <c r="E89" s="139" t="s">
        <v>150</v>
      </c>
      <c r="F89" s="140" t="s">
        <v>149</v>
      </c>
      <c r="G89" s="141"/>
      <c r="H89" s="141"/>
      <c r="I89" s="141"/>
    </row>
    <row r="90" spans="1:11" x14ac:dyDescent="0.25">
      <c r="A90" s="27"/>
      <c r="B90" s="55" t="s">
        <v>148</v>
      </c>
      <c r="C90" s="467">
        <f>H13+H14+H19+H22+H25</f>
        <v>8057.3977999999997</v>
      </c>
      <c r="D90" s="467"/>
      <c r="E90" s="49">
        <f>H8</f>
        <v>1.0438000000000001</v>
      </c>
      <c r="F90" s="148">
        <f>'0664'!F90</f>
        <v>957.94</v>
      </c>
      <c r="G90" s="41" t="s">
        <v>13</v>
      </c>
      <c r="H90" s="104">
        <f>SUM('0664:4131'!H90)</f>
        <v>8056574.3099999996</v>
      </c>
      <c r="I90" s="107"/>
    </row>
    <row r="91" spans="1:11" x14ac:dyDescent="0.25">
      <c r="A91" s="52"/>
      <c r="B91" s="52" t="s">
        <v>147</v>
      </c>
      <c r="C91" s="467">
        <f>H15+H16+H20+H23+H26</f>
        <v>10173.1147</v>
      </c>
      <c r="D91" s="467"/>
      <c r="E91" s="49">
        <f>H8</f>
        <v>1.0438000000000001</v>
      </c>
      <c r="F91" s="148">
        <f>'0664'!F91</f>
        <v>914.63</v>
      </c>
      <c r="G91" s="41" t="s">
        <v>13</v>
      </c>
      <c r="H91" s="104">
        <f>SUM('0664:4131'!H91)</f>
        <v>9712179.0499999989</v>
      </c>
    </row>
    <row r="92" spans="1:11" x14ac:dyDescent="0.25">
      <c r="A92" s="55"/>
      <c r="B92" s="55" t="s">
        <v>146</v>
      </c>
      <c r="C92" s="467">
        <f>H17+H18+H21+H24+H27+H28</f>
        <v>7533.9483</v>
      </c>
      <c r="D92" s="467"/>
      <c r="E92" s="49">
        <f>H8</f>
        <v>1.0438000000000001</v>
      </c>
      <c r="F92" s="148">
        <f>'0664'!F92</f>
        <v>916.84</v>
      </c>
      <c r="G92" s="41" t="s">
        <v>13</v>
      </c>
      <c r="H92" s="97">
        <f>SUM('0664:4131'!H92)</f>
        <v>7209970.5799999982</v>
      </c>
      <c r="K92" s="280"/>
    </row>
    <row r="93" spans="1:11" ht="16.5" thickBot="1" x14ac:dyDescent="0.3">
      <c r="A93" s="58"/>
      <c r="B93" s="142" t="s">
        <v>145</v>
      </c>
      <c r="C93" s="469">
        <f>SUM(C90:C92)</f>
        <v>25764.460800000001</v>
      </c>
      <c r="D93" s="469"/>
      <c r="E93" s="143"/>
      <c r="F93" s="143"/>
      <c r="G93" s="143"/>
      <c r="H93" s="144" t="s">
        <v>143</v>
      </c>
      <c r="I93" s="104">
        <f>SUM('0664:4131'!I93)</f>
        <v>24978723.940000009</v>
      </c>
      <c r="J93" s="266">
        <f>I93-SUM(H90:H92)</f>
        <v>0</v>
      </c>
      <c r="K93" s="280"/>
    </row>
    <row r="94" spans="1:11" ht="16.5" thickTop="1" x14ac:dyDescent="0.25">
      <c r="A94" s="470" t="s">
        <v>90</v>
      </c>
      <c r="B94" s="470"/>
      <c r="C94" s="470"/>
      <c r="D94" s="470"/>
      <c r="E94" s="470"/>
      <c r="F94" s="470"/>
      <c r="G94" s="470"/>
      <c r="H94" s="470"/>
      <c r="I94" s="470"/>
    </row>
    <row r="95" spans="1:11" x14ac:dyDescent="0.25">
      <c r="A95" s="145"/>
      <c r="B95" s="145"/>
      <c r="C95" s="145"/>
      <c r="D95" s="145"/>
      <c r="E95" s="145"/>
      <c r="F95" s="145"/>
      <c r="G95" s="145"/>
      <c r="H95" s="145"/>
      <c r="I95" s="145"/>
    </row>
    <row r="96" spans="1:11" x14ac:dyDescent="0.25">
      <c r="A96" s="84" t="s">
        <v>446</v>
      </c>
      <c r="C96" s="46"/>
      <c r="D96" s="72"/>
      <c r="E96" s="46" t="s">
        <v>100</v>
      </c>
      <c r="F96" s="471"/>
      <c r="G96" s="471"/>
      <c r="H96" s="471"/>
      <c r="I96" s="471"/>
    </row>
    <row r="97" spans="1:18" x14ac:dyDescent="0.25">
      <c r="B97" s="72"/>
      <c r="C97" s="91" t="s">
        <v>463</v>
      </c>
      <c r="D97" s="371" t="s">
        <v>464</v>
      </c>
      <c r="E97" s="92" t="s">
        <v>151</v>
      </c>
      <c r="F97" s="46"/>
      <c r="G97" s="46"/>
      <c r="H97" s="46"/>
      <c r="I97" s="46"/>
    </row>
    <row r="98" spans="1:18" x14ac:dyDescent="0.25">
      <c r="B98" s="72"/>
      <c r="C98" s="362" t="s">
        <v>2</v>
      </c>
      <c r="D98" s="362" t="s">
        <v>2</v>
      </c>
      <c r="E98" s="93" t="s">
        <v>2</v>
      </c>
      <c r="F98" s="46"/>
      <c r="G98" s="46"/>
      <c r="H98" s="46"/>
      <c r="I98" s="46"/>
    </row>
    <row r="99" spans="1:18" x14ac:dyDescent="0.25">
      <c r="A99" s="461" t="s">
        <v>65</v>
      </c>
      <c r="B99" s="461"/>
      <c r="C99" s="165">
        <f>SUM('0664:4131'!C99)</f>
        <v>3179</v>
      </c>
      <c r="D99" s="165">
        <f>SUM('0664:4131'!D99)</f>
        <v>0</v>
      </c>
      <c r="E99" s="125">
        <f>C99</f>
        <v>3179</v>
      </c>
      <c r="F99" s="148" t="s">
        <v>39</v>
      </c>
      <c r="G99" s="151">
        <f>'0664'!G99</f>
        <v>558</v>
      </c>
      <c r="I99" s="125">
        <f>SUM('0664:4131'!I99)</f>
        <v>1773882</v>
      </c>
    </row>
    <row r="100" spans="1:18" x14ac:dyDescent="0.25">
      <c r="A100" s="461" t="s">
        <v>81</v>
      </c>
      <c r="B100" s="461"/>
      <c r="C100" s="165">
        <f>SUM('0664:4131'!C100)</f>
        <v>5</v>
      </c>
      <c r="D100" s="165">
        <f>SUM('0664:4131'!D100)</f>
        <v>0</v>
      </c>
      <c r="E100" s="125">
        <f>C100</f>
        <v>5</v>
      </c>
      <c r="F100" s="148" t="s">
        <v>39</v>
      </c>
      <c r="G100" s="151">
        <f>'0664'!G100</f>
        <v>1707</v>
      </c>
      <c r="I100" s="125">
        <f>SUM('0664:4131'!I100)</f>
        <v>8535</v>
      </c>
    </row>
    <row r="101" spans="1:18" x14ac:dyDescent="0.25">
      <c r="A101" s="149"/>
      <c r="B101" s="149"/>
      <c r="C101" s="68"/>
      <c r="D101" s="68"/>
      <c r="E101" s="68"/>
      <c r="F101" s="68"/>
      <c r="G101" s="150"/>
      <c r="H101" s="151"/>
      <c r="I101" s="125"/>
      <c r="R101" s="280"/>
    </row>
    <row r="102" spans="1:18" x14ac:dyDescent="0.25">
      <c r="A102" s="149"/>
      <c r="B102" s="149"/>
      <c r="C102" s="68"/>
      <c r="D102" s="68"/>
      <c r="E102" s="68"/>
      <c r="F102" s="68"/>
      <c r="G102" s="150"/>
      <c r="H102" s="151"/>
      <c r="I102" s="125"/>
      <c r="R102" s="280"/>
    </row>
    <row r="103" spans="1:18" x14ac:dyDescent="0.25">
      <c r="A103" s="463" t="s">
        <v>447</v>
      </c>
      <c r="B103" s="453"/>
      <c r="C103" s="453"/>
      <c r="D103" s="72"/>
      <c r="E103" s="41" t="s">
        <v>41</v>
      </c>
      <c r="F103" s="466"/>
      <c r="G103" s="466"/>
      <c r="H103" s="466"/>
      <c r="I103" s="466"/>
    </row>
    <row r="104" spans="1:18" x14ac:dyDescent="0.25">
      <c r="B104" s="72"/>
      <c r="C104" s="462" t="s">
        <v>91</v>
      </c>
      <c r="D104" s="462"/>
      <c r="E104" s="462"/>
      <c r="F104" s="39"/>
      <c r="G104" s="39"/>
      <c r="H104" s="41" t="s">
        <v>152</v>
      </c>
      <c r="I104" s="39"/>
    </row>
    <row r="105" spans="1:18" x14ac:dyDescent="0.25">
      <c r="B105" s="72"/>
      <c r="C105" s="91" t="s">
        <v>463</v>
      </c>
      <c r="D105" s="371" t="s">
        <v>464</v>
      </c>
      <c r="E105" s="159" t="s">
        <v>8</v>
      </c>
      <c r="F105" s="464" t="s">
        <v>153</v>
      </c>
      <c r="G105" s="466"/>
      <c r="H105" s="39" t="s">
        <v>38</v>
      </c>
      <c r="I105" s="39"/>
    </row>
    <row r="106" spans="1:18" x14ac:dyDescent="0.25">
      <c r="A106" s="462" t="s">
        <v>94</v>
      </c>
      <c r="B106" s="462"/>
      <c r="C106" s="362" t="s">
        <v>2</v>
      </c>
      <c r="D106" s="362" t="s">
        <v>2</v>
      </c>
      <c r="E106" s="62" t="s">
        <v>2</v>
      </c>
      <c r="F106" s="462" t="s">
        <v>37</v>
      </c>
      <c r="G106" s="462"/>
      <c r="H106" s="62" t="s">
        <v>37</v>
      </c>
      <c r="I106" s="62" t="s">
        <v>8</v>
      </c>
    </row>
    <row r="107" spans="1:18" x14ac:dyDescent="0.25">
      <c r="A107" s="473" t="s">
        <v>69</v>
      </c>
      <c r="B107" s="473"/>
      <c r="C107" s="163">
        <f>SUM('0664:4111'!C107)</f>
        <v>0</v>
      </c>
      <c r="D107" s="163">
        <f>SUM('0664:4111'!D107)</f>
        <v>0</v>
      </c>
      <c r="E107" s="210">
        <f>SUM('0664:4111'!E107)</f>
        <v>0</v>
      </c>
      <c r="F107" s="474">
        <v>0</v>
      </c>
      <c r="G107" s="474"/>
      <c r="H107" s="250">
        <f>IF(C107=0,0,125)</f>
        <v>0</v>
      </c>
      <c r="I107" s="125">
        <f>SUM('0664:4111'!I107)</f>
        <v>0</v>
      </c>
    </row>
    <row r="108" spans="1:18" x14ac:dyDescent="0.25">
      <c r="A108" s="456" t="s">
        <v>70</v>
      </c>
      <c r="B108" s="456"/>
      <c r="C108" s="165">
        <f>SUM('0664:4111'!C108)</f>
        <v>0</v>
      </c>
      <c r="D108" s="165">
        <f>SUM('0664:4111'!D108)</f>
        <v>0</v>
      </c>
      <c r="E108" s="125">
        <f>SUM('0664:4111'!E108)</f>
        <v>0</v>
      </c>
      <c r="F108" s="468">
        <f>ROUND(F107/2,2)</f>
        <v>0</v>
      </c>
      <c r="G108" s="468"/>
      <c r="H108" s="250">
        <f>IF(C108=0,0,62.5)</f>
        <v>0</v>
      </c>
      <c r="I108" s="125">
        <f>SUM('0664:4111'!I108)</f>
        <v>0</v>
      </c>
    </row>
    <row r="109" spans="1:18" x14ac:dyDescent="0.25">
      <c r="A109" s="456" t="s">
        <v>71</v>
      </c>
      <c r="B109" s="456"/>
      <c r="C109" s="165">
        <f>SUM('0664:4111'!C109)</f>
        <v>0</v>
      </c>
      <c r="D109" s="165">
        <f>SUM('0664:4111'!D109)</f>
        <v>0</v>
      </c>
      <c r="E109" s="125">
        <f>SUM('0664:4111'!E109)</f>
        <v>0</v>
      </c>
      <c r="F109" s="475"/>
      <c r="G109" s="475"/>
      <c r="H109" s="251">
        <f>IF(H107&gt;0,436,0)</f>
        <v>0</v>
      </c>
      <c r="I109" s="104">
        <f>SUM('0664:4111'!I109)</f>
        <v>0</v>
      </c>
    </row>
    <row r="110" spans="1:18" x14ac:dyDescent="0.25">
      <c r="A110" s="466" t="s">
        <v>8</v>
      </c>
      <c r="B110" s="466"/>
      <c r="C110" s="68"/>
      <c r="D110" s="68"/>
      <c r="E110" s="68"/>
      <c r="F110" s="68"/>
      <c r="G110" s="68"/>
      <c r="H110" s="68"/>
      <c r="I110" s="100">
        <f>SUM(I107:I109)</f>
        <v>0</v>
      </c>
    </row>
    <row r="111" spans="1:18" x14ac:dyDescent="0.25">
      <c r="A111" s="39"/>
      <c r="B111" s="39"/>
      <c r="C111" s="68"/>
      <c r="D111" s="68"/>
      <c r="E111" s="68"/>
      <c r="F111" s="68"/>
      <c r="G111" s="68"/>
      <c r="H111" s="68"/>
      <c r="I111" s="104"/>
    </row>
    <row r="112" spans="1:18" x14ac:dyDescent="0.25">
      <c r="A112" s="84" t="s">
        <v>448</v>
      </c>
      <c r="E112" s="71" t="s">
        <v>354</v>
      </c>
      <c r="F112" s="472"/>
      <c r="G112" s="472"/>
      <c r="H112" s="472"/>
      <c r="I112" s="125">
        <f>SUM('0664:4111'!I112)</f>
        <v>0</v>
      </c>
    </row>
    <row r="113" spans="1:18" x14ac:dyDescent="0.25">
      <c r="A113" s="463" t="s">
        <v>449</v>
      </c>
      <c r="B113" s="453"/>
      <c r="C113" s="453"/>
      <c r="D113" s="72"/>
      <c r="E113" s="71" t="s">
        <v>45</v>
      </c>
      <c r="F113" s="472"/>
      <c r="G113" s="472"/>
      <c r="H113" s="472"/>
      <c r="I113" s="177">
        <f>SUM('0664:4111'!I113)</f>
        <v>0</v>
      </c>
    </row>
    <row r="114" spans="1:18" x14ac:dyDescent="0.25">
      <c r="B114" s="72"/>
      <c r="C114" s="72"/>
      <c r="D114" s="72"/>
      <c r="E114" s="71"/>
      <c r="F114" s="71"/>
      <c r="G114" s="71"/>
      <c r="H114" s="71"/>
      <c r="I114" s="125"/>
    </row>
    <row r="115" spans="1:18" x14ac:dyDescent="0.25">
      <c r="A115" s="461" t="s">
        <v>8</v>
      </c>
      <c r="B115" s="461"/>
      <c r="C115" s="461"/>
      <c r="D115" s="461"/>
      <c r="E115" s="461"/>
      <c r="F115" s="461"/>
      <c r="G115" s="461"/>
      <c r="H115" s="461"/>
      <c r="I115" s="97">
        <f>I31+I59+I68+I70+I71+I72+I73+I74+I76+I77+I78+I79+I80+I82+I83+I85+I93+I99+I100+I110+I112+I113</f>
        <v>196731318.48000002</v>
      </c>
      <c r="J115" s="125">
        <f>SUM('0664:4131'!I115)+Virtual!E28-I115</f>
        <v>0</v>
      </c>
      <c r="R115" s="280"/>
    </row>
    <row r="116" spans="1:18" x14ac:dyDescent="0.25">
      <c r="A116" s="27"/>
      <c r="B116" s="27"/>
      <c r="C116" s="27"/>
      <c r="D116" s="27"/>
      <c r="E116" s="27"/>
      <c r="F116" s="27"/>
      <c r="G116" s="27"/>
      <c r="H116" s="27"/>
      <c r="I116" s="104"/>
      <c r="J116" s="125"/>
      <c r="R116" s="280"/>
    </row>
    <row r="117" spans="1:18" x14ac:dyDescent="0.25">
      <c r="A117" s="84" t="s">
        <v>469</v>
      </c>
      <c r="B117" s="27"/>
      <c r="C117" s="27"/>
      <c r="D117" s="27"/>
      <c r="E117" s="27"/>
      <c r="F117" s="27"/>
      <c r="G117" s="27"/>
      <c r="H117" s="27"/>
      <c r="I117" s="104">
        <f>SUM('0664:4131'!I117)</f>
        <v>190398207.18000001</v>
      </c>
      <c r="J117" s="125"/>
      <c r="R117" s="280"/>
    </row>
    <row r="118" spans="1:18" x14ac:dyDescent="0.25">
      <c r="A118" s="27"/>
      <c r="B118" s="27"/>
      <c r="C118" s="27"/>
      <c r="D118" s="27"/>
      <c r="E118" s="27"/>
      <c r="F118" s="27"/>
      <c r="G118" s="27"/>
      <c r="H118" s="27"/>
      <c r="I118" s="104"/>
      <c r="J118" s="125"/>
      <c r="R118" s="280"/>
    </row>
    <row r="119" spans="1:18" x14ac:dyDescent="0.25">
      <c r="A119" s="463" t="s">
        <v>468</v>
      </c>
      <c r="B119" s="453"/>
      <c r="C119" s="453"/>
      <c r="D119" s="453"/>
      <c r="E119" s="453"/>
      <c r="F119" s="453"/>
      <c r="G119" s="453"/>
      <c r="H119" s="84" t="s">
        <v>394</v>
      </c>
      <c r="I119" s="156"/>
      <c r="R119" s="280"/>
    </row>
    <row r="120" spans="1:18" x14ac:dyDescent="0.25">
      <c r="A120" s="453" t="s">
        <v>95</v>
      </c>
      <c r="B120" s="453"/>
      <c r="C120" s="453"/>
      <c r="D120" s="453"/>
      <c r="E120" s="453"/>
      <c r="F120" s="453"/>
      <c r="G120" s="453"/>
      <c r="H120" s="73"/>
      <c r="I120" s="125">
        <f>SUM('0664:4131'!I120)</f>
        <v>7394671</v>
      </c>
    </row>
    <row r="121" spans="1:18" x14ac:dyDescent="0.25">
      <c r="B121" s="72"/>
      <c r="C121" s="72"/>
      <c r="D121" s="72"/>
      <c r="E121" s="72"/>
      <c r="F121" s="72"/>
      <c r="G121" s="72"/>
      <c r="H121" s="68"/>
      <c r="I121" s="104"/>
    </row>
    <row r="122" spans="1:18" x14ac:dyDescent="0.25">
      <c r="A122" s="3" t="s">
        <v>102</v>
      </c>
      <c r="B122" s="72"/>
      <c r="C122" s="72"/>
      <c r="D122" s="72"/>
      <c r="E122" s="72"/>
      <c r="F122" s="72"/>
      <c r="G122" s="72"/>
      <c r="H122" s="161">
        <f>IF(H120=1,I120,I115)</f>
        <v>196731318.48000002</v>
      </c>
      <c r="I122" s="97">
        <f>SUM('0664:4131'!I122)+Virtual!E29</f>
        <v>-3098317.38</v>
      </c>
    </row>
    <row r="123" spans="1:18" x14ac:dyDescent="0.25">
      <c r="B123" s="72"/>
      <c r="C123" s="72"/>
      <c r="D123" s="72"/>
      <c r="E123" s="72"/>
      <c r="F123" s="72"/>
      <c r="G123" s="72"/>
      <c r="H123" s="68"/>
      <c r="I123" s="104"/>
    </row>
    <row r="124" spans="1:18" x14ac:dyDescent="0.25">
      <c r="A124" s="3" t="s">
        <v>103</v>
      </c>
      <c r="B124" s="72"/>
      <c r="C124" s="72"/>
      <c r="D124" s="72"/>
      <c r="E124" s="72"/>
      <c r="F124" s="72"/>
      <c r="G124" s="72"/>
      <c r="H124" s="68"/>
      <c r="I124" s="104">
        <f>I115+I122</f>
        <v>193633001.10000002</v>
      </c>
      <c r="J124" s="125">
        <f>SUM('0664:4131'!I124)+Virtual!E30-I124</f>
        <v>0</v>
      </c>
    </row>
    <row r="125" spans="1:18" x14ac:dyDescent="0.25">
      <c r="B125" s="72"/>
      <c r="C125" s="72"/>
      <c r="D125" s="72"/>
      <c r="E125" s="72"/>
      <c r="F125" s="72"/>
      <c r="G125" s="72"/>
      <c r="H125" s="68"/>
      <c r="I125" s="104"/>
    </row>
    <row r="126" spans="1:18" x14ac:dyDescent="0.25">
      <c r="A126" s="3" t="s">
        <v>104</v>
      </c>
      <c r="B126" s="72"/>
      <c r="C126" s="72"/>
      <c r="D126" s="72"/>
      <c r="E126" s="72"/>
      <c r="F126" s="72"/>
      <c r="G126" s="72"/>
      <c r="H126" s="68"/>
      <c r="I126" s="97">
        <f>SUM('0664:4131'!I126)+Virtual!E32</f>
        <v>-143634486.37</v>
      </c>
      <c r="J126" s="424">
        <v>-15066398.77</v>
      </c>
      <c r="K126" s="424">
        <f>J126-I126</f>
        <v>128568087.60000001</v>
      </c>
      <c r="L126" s="424">
        <f>K126/2</f>
        <v>64284043.800000004</v>
      </c>
    </row>
    <row r="127" spans="1:18" x14ac:dyDescent="0.25">
      <c r="B127" s="72"/>
      <c r="C127" s="72"/>
      <c r="D127" s="72"/>
      <c r="E127" s="72"/>
      <c r="F127" s="72"/>
      <c r="G127" s="72"/>
      <c r="H127" s="68"/>
      <c r="I127" s="104"/>
      <c r="J127" s="211"/>
    </row>
    <row r="128" spans="1:18" x14ac:dyDescent="0.25">
      <c r="A128" s="72" t="s">
        <v>297</v>
      </c>
      <c r="B128" s="72"/>
      <c r="C128" s="72"/>
      <c r="D128" s="72"/>
      <c r="E128" s="72"/>
      <c r="F128" s="72"/>
      <c r="G128" s="72"/>
      <c r="H128" s="68"/>
      <c r="I128" s="104">
        <f>I124+I126</f>
        <v>49998514.730000019</v>
      </c>
      <c r="J128" s="266"/>
      <c r="L128" s="266"/>
    </row>
    <row r="129" spans="1:13" x14ac:dyDescent="0.25">
      <c r="B129" s="72"/>
      <c r="C129" s="72"/>
      <c r="D129" s="72"/>
      <c r="E129" s="72"/>
      <c r="F129" s="72"/>
      <c r="G129" s="72"/>
      <c r="H129" s="68"/>
      <c r="I129" s="104"/>
    </row>
    <row r="130" spans="1:13" ht="16.5" customHeight="1" x14ac:dyDescent="0.25">
      <c r="A130" s="72" t="s">
        <v>298</v>
      </c>
      <c r="B130" s="72"/>
      <c r="C130" s="72"/>
      <c r="D130" s="72"/>
      <c r="E130" s="72"/>
      <c r="F130" s="72"/>
      <c r="G130" s="72"/>
      <c r="H130" s="68"/>
      <c r="I130" s="297">
        <f>'0664'!I130</f>
        <v>3</v>
      </c>
      <c r="L130" s="280"/>
    </row>
    <row r="131" spans="1:13" x14ac:dyDescent="0.25">
      <c r="B131" s="72"/>
      <c r="C131" s="72"/>
      <c r="D131" s="72"/>
      <c r="E131" s="72"/>
      <c r="F131" s="72"/>
      <c r="G131" s="72"/>
      <c r="H131" s="68"/>
      <c r="I131" s="104"/>
      <c r="L131" s="280"/>
    </row>
    <row r="132" spans="1:13" ht="16.5" thickBot="1" x14ac:dyDescent="0.3">
      <c r="A132" s="3" t="s">
        <v>105</v>
      </c>
      <c r="B132" s="72"/>
      <c r="C132" s="72"/>
      <c r="D132" s="72"/>
      <c r="E132" s="72"/>
      <c r="F132" s="72"/>
      <c r="G132" s="72"/>
      <c r="H132" s="68"/>
      <c r="I132" s="178">
        <f>SUM('0664:4131'!I132)+Virtual!E38</f>
        <v>16666171.579999998</v>
      </c>
      <c r="J132" s="125">
        <f>ROUND(SUM('0664:4131'!I132)+Virtual!E38-I132,2)</f>
        <v>0</v>
      </c>
    </row>
    <row r="133" spans="1:13" ht="16.5" thickTop="1" x14ac:dyDescent="0.25">
      <c r="B133" s="72"/>
      <c r="C133" s="72"/>
      <c r="D133" s="72"/>
      <c r="E133" s="72"/>
      <c r="F133" s="72"/>
      <c r="G133" s="72"/>
      <c r="H133" s="68"/>
      <c r="I133" s="104"/>
      <c r="M133" s="280"/>
    </row>
    <row r="134" spans="1:13" ht="16.5" thickBot="1" x14ac:dyDescent="0.3">
      <c r="A134" s="3" t="s">
        <v>121</v>
      </c>
      <c r="B134" s="72"/>
      <c r="C134" s="72"/>
      <c r="D134" s="72"/>
      <c r="E134" s="72"/>
      <c r="F134" s="72"/>
      <c r="G134" s="72"/>
      <c r="H134" s="68"/>
      <c r="I134" s="155">
        <f>SUM('0664:4131'!I134)</f>
        <v>3642505.932</v>
      </c>
      <c r="M134" s="280"/>
    </row>
    <row r="135" spans="1:13" ht="16.5" thickTop="1" x14ac:dyDescent="0.25">
      <c r="B135" s="72"/>
      <c r="C135" s="72"/>
      <c r="D135" s="72"/>
      <c r="E135" s="72"/>
      <c r="F135" s="72"/>
      <c r="G135" s="72"/>
      <c r="H135" s="68"/>
      <c r="I135" s="156"/>
    </row>
    <row r="136" spans="1:13" x14ac:dyDescent="0.25">
      <c r="B136" s="72"/>
      <c r="C136" s="72"/>
      <c r="D136" s="72"/>
      <c r="E136" s="72"/>
      <c r="F136" s="72"/>
      <c r="G136" s="72"/>
      <c r="H136" s="68"/>
      <c r="I136" s="156"/>
    </row>
    <row r="137" spans="1:13" x14ac:dyDescent="0.25">
      <c r="B137" s="72"/>
      <c r="C137" s="72"/>
      <c r="D137" s="72"/>
      <c r="E137" s="72"/>
      <c r="F137" s="72"/>
      <c r="G137" s="72"/>
      <c r="H137" s="68"/>
      <c r="I137" s="156"/>
    </row>
    <row r="138" spans="1:13" x14ac:dyDescent="0.25">
      <c r="B138" s="72"/>
      <c r="C138" s="72"/>
      <c r="D138" s="72"/>
      <c r="E138" s="72"/>
      <c r="F138" s="72"/>
      <c r="G138" s="72"/>
      <c r="H138" s="68"/>
      <c r="I138" s="156"/>
      <c r="L138" s="280"/>
    </row>
    <row r="139" spans="1:13" x14ac:dyDescent="0.25">
      <c r="A139" s="281" t="s">
        <v>7</v>
      </c>
      <c r="B139" s="281"/>
      <c r="C139" s="281"/>
      <c r="D139" s="281"/>
      <c r="E139" s="281"/>
      <c r="F139" s="281"/>
      <c r="G139" s="281"/>
      <c r="H139" s="281"/>
      <c r="I139" s="281"/>
      <c r="J139" s="156"/>
    </row>
    <row r="140" spans="1:13" ht="15.75" customHeight="1" x14ac:dyDescent="0.25">
      <c r="A140" s="384" t="s">
        <v>313</v>
      </c>
      <c r="B140" s="385"/>
      <c r="C140" s="385"/>
      <c r="D140" s="385"/>
      <c r="E140" s="385"/>
      <c r="F140" s="385"/>
      <c r="G140" s="385"/>
      <c r="H140" s="385"/>
      <c r="I140" s="385"/>
      <c r="J140" s="80"/>
      <c r="K140" s="79"/>
      <c r="L140" s="79"/>
      <c r="M140" s="79"/>
    </row>
    <row r="141" spans="1:13" ht="15.75" customHeight="1" x14ac:dyDescent="0.25">
      <c r="A141" s="390" t="s">
        <v>356</v>
      </c>
      <c r="B141" s="385"/>
      <c r="C141" s="385"/>
      <c r="D141" s="385"/>
      <c r="E141" s="385"/>
      <c r="F141" s="385"/>
      <c r="G141" s="385"/>
      <c r="H141" s="385"/>
      <c r="I141" s="385"/>
      <c r="J141" s="80"/>
      <c r="K141" s="79"/>
      <c r="L141" s="79"/>
      <c r="M141" s="79"/>
    </row>
    <row r="142" spans="1:13" x14ac:dyDescent="0.25">
      <c r="A142" s="386" t="s">
        <v>61</v>
      </c>
      <c r="B142" s="386"/>
      <c r="C142" s="386"/>
      <c r="D142" s="386"/>
      <c r="E142" s="386"/>
      <c r="F142" s="386"/>
      <c r="G142" s="386"/>
      <c r="H142" s="386"/>
      <c r="I142" s="386"/>
      <c r="J142" s="79"/>
      <c r="K142" s="79"/>
      <c r="L142" s="79"/>
      <c r="M142" s="361"/>
    </row>
    <row r="143" spans="1:13" s="79" customFormat="1" x14ac:dyDescent="0.2">
      <c r="A143" s="386" t="s">
        <v>62</v>
      </c>
      <c r="B143" s="386"/>
      <c r="C143" s="386"/>
      <c r="D143" s="386"/>
      <c r="E143" s="386"/>
      <c r="F143" s="386"/>
      <c r="G143" s="386"/>
      <c r="H143" s="386"/>
      <c r="I143" s="386"/>
      <c r="M143" s="361"/>
    </row>
    <row r="144" spans="1:13" s="79" customFormat="1" x14ac:dyDescent="0.2">
      <c r="A144" s="387" t="s">
        <v>355</v>
      </c>
      <c r="B144" s="386"/>
      <c r="C144" s="386"/>
      <c r="D144" s="386"/>
      <c r="E144" s="386"/>
      <c r="F144" s="386"/>
      <c r="G144" s="386"/>
      <c r="H144" s="386"/>
      <c r="I144" s="386"/>
    </row>
    <row r="145" spans="1:9" s="79" customFormat="1" x14ac:dyDescent="0.2">
      <c r="A145" s="387" t="s">
        <v>357</v>
      </c>
      <c r="B145" s="386"/>
      <c r="C145" s="386"/>
      <c r="D145" s="386"/>
      <c r="E145" s="386"/>
      <c r="F145" s="386"/>
      <c r="G145" s="386"/>
      <c r="H145" s="386"/>
      <c r="I145" s="386"/>
    </row>
    <row r="146" spans="1:9" s="79" customFormat="1" x14ac:dyDescent="0.2">
      <c r="A146" s="391" t="s">
        <v>314</v>
      </c>
      <c r="B146" s="386"/>
      <c r="C146" s="386"/>
      <c r="D146" s="386"/>
      <c r="E146" s="386"/>
      <c r="F146" s="386"/>
      <c r="G146" s="386"/>
      <c r="H146" s="386"/>
      <c r="I146" s="386"/>
    </row>
    <row r="147" spans="1:9" s="79" customFormat="1" ht="15.75" customHeight="1" x14ac:dyDescent="0.2">
      <c r="A147" s="387" t="s">
        <v>406</v>
      </c>
      <c r="B147" s="386"/>
      <c r="C147" s="386"/>
      <c r="D147" s="386"/>
      <c r="E147" s="386"/>
      <c r="F147" s="386"/>
      <c r="G147" s="386"/>
      <c r="H147" s="386"/>
      <c r="I147" s="386"/>
    </row>
    <row r="148" spans="1:9" s="79" customFormat="1" x14ac:dyDescent="0.2">
      <c r="A148" s="391" t="s">
        <v>407</v>
      </c>
      <c r="B148" s="386"/>
      <c r="C148" s="386"/>
      <c r="D148" s="386"/>
      <c r="E148" s="386"/>
      <c r="F148" s="386"/>
      <c r="G148" s="386"/>
      <c r="H148" s="386"/>
      <c r="I148" s="386"/>
    </row>
    <row r="149" spans="1:9" s="79" customFormat="1" x14ac:dyDescent="0.2">
      <c r="A149" s="387" t="s">
        <v>315</v>
      </c>
      <c r="B149" s="386"/>
      <c r="C149" s="386"/>
      <c r="D149" s="386"/>
      <c r="E149" s="386"/>
      <c r="F149" s="386"/>
      <c r="G149" s="386"/>
      <c r="H149" s="386"/>
      <c r="I149" s="386"/>
    </row>
    <row r="150" spans="1:9" s="79" customFormat="1" ht="15.75" customHeight="1" x14ac:dyDescent="0.2">
      <c r="A150" s="391" t="s">
        <v>316</v>
      </c>
      <c r="B150" s="386"/>
      <c r="C150" s="386"/>
      <c r="D150" s="386"/>
      <c r="E150" s="386"/>
      <c r="F150" s="386"/>
      <c r="G150" s="386"/>
      <c r="H150" s="386"/>
      <c r="I150" s="386"/>
    </row>
    <row r="151" spans="1:9" s="79" customFormat="1" x14ac:dyDescent="0.2">
      <c r="A151" s="387" t="s">
        <v>317</v>
      </c>
      <c r="B151" s="386"/>
      <c r="C151" s="386"/>
      <c r="D151" s="386"/>
      <c r="E151" s="386"/>
      <c r="F151" s="386"/>
      <c r="G151" s="386"/>
      <c r="H151" s="386"/>
      <c r="I151" s="386"/>
    </row>
    <row r="152" spans="1:9" s="79" customFormat="1" x14ac:dyDescent="0.2">
      <c r="A152" s="387" t="s">
        <v>346</v>
      </c>
      <c r="B152" s="386"/>
      <c r="C152" s="386"/>
      <c r="D152" s="386"/>
      <c r="E152" s="386"/>
      <c r="F152" s="386"/>
      <c r="G152" s="386"/>
      <c r="H152" s="386"/>
      <c r="I152" s="386"/>
    </row>
    <row r="153" spans="1:9" s="79" customFormat="1" x14ac:dyDescent="0.2">
      <c r="A153" s="392" t="s">
        <v>318</v>
      </c>
      <c r="B153" s="386"/>
      <c r="C153" s="386"/>
      <c r="D153" s="386"/>
      <c r="E153" s="386"/>
      <c r="F153" s="386"/>
      <c r="G153" s="386"/>
      <c r="H153" s="386"/>
      <c r="I153" s="386"/>
    </row>
    <row r="154" spans="1:9" s="79" customFormat="1" x14ac:dyDescent="0.2">
      <c r="A154" s="392" t="s">
        <v>319</v>
      </c>
      <c r="B154" s="386"/>
      <c r="C154" s="386"/>
      <c r="D154" s="386"/>
      <c r="E154" s="386"/>
      <c r="F154" s="386"/>
      <c r="G154" s="386"/>
      <c r="H154" s="386"/>
      <c r="I154" s="386"/>
    </row>
    <row r="155" spans="1:9" s="79" customFormat="1" x14ac:dyDescent="0.2">
      <c r="A155" s="387" t="s">
        <v>347</v>
      </c>
      <c r="B155" s="386"/>
      <c r="C155" s="386"/>
      <c r="D155" s="386"/>
      <c r="E155" s="386"/>
      <c r="F155" s="386"/>
      <c r="G155" s="386"/>
      <c r="H155" s="386"/>
      <c r="I155" s="386"/>
    </row>
    <row r="156" spans="1:9" s="79" customFormat="1" x14ac:dyDescent="0.2">
      <c r="A156" s="387" t="s">
        <v>348</v>
      </c>
      <c r="B156" s="386"/>
      <c r="C156" s="386"/>
      <c r="D156" s="386"/>
      <c r="E156" s="386"/>
      <c r="F156" s="386"/>
      <c r="G156" s="386"/>
      <c r="H156" s="386"/>
      <c r="I156" s="386"/>
    </row>
    <row r="157" spans="1:9" s="79" customFormat="1" ht="15.75" customHeight="1" x14ac:dyDescent="0.2">
      <c r="A157" s="392" t="s">
        <v>320</v>
      </c>
      <c r="B157" s="386"/>
      <c r="C157" s="386"/>
      <c r="D157" s="386"/>
      <c r="E157" s="386"/>
      <c r="F157" s="386"/>
      <c r="G157" s="386"/>
      <c r="H157" s="386"/>
      <c r="I157" s="386"/>
    </row>
    <row r="158" spans="1:9" s="79" customFormat="1" x14ac:dyDescent="0.2">
      <c r="A158" s="387"/>
      <c r="B158" s="386"/>
      <c r="C158" s="386"/>
      <c r="D158" s="386"/>
      <c r="E158" s="386"/>
      <c r="F158" s="386"/>
      <c r="G158" s="386"/>
      <c r="H158" s="386"/>
      <c r="I158" s="386"/>
    </row>
    <row r="159" spans="1:9" s="79" customFormat="1" ht="15.75" customHeight="1" x14ac:dyDescent="0.2">
      <c r="A159" s="395" t="s">
        <v>92</v>
      </c>
      <c r="B159" s="386"/>
      <c r="C159" s="386"/>
      <c r="D159" s="386"/>
      <c r="E159" s="386"/>
      <c r="F159" s="386"/>
      <c r="G159" s="386"/>
      <c r="H159" s="386"/>
      <c r="I159" s="386"/>
    </row>
    <row r="160" spans="1:9" s="79" customFormat="1" ht="15.75" customHeight="1" x14ac:dyDescent="0.2">
      <c r="A160" s="388" t="s">
        <v>321</v>
      </c>
      <c r="B160" s="389"/>
      <c r="C160" s="389"/>
      <c r="D160" s="389"/>
      <c r="E160" s="389"/>
      <c r="F160" s="389"/>
      <c r="G160" s="389"/>
      <c r="H160" s="389"/>
      <c r="I160" s="389"/>
    </row>
    <row r="161" spans="1:13" s="79" customFormat="1" ht="15.75" customHeight="1" x14ac:dyDescent="0.2">
      <c r="A161" s="393" t="s">
        <v>358</v>
      </c>
      <c r="B161" s="396"/>
      <c r="C161" s="396"/>
      <c r="D161" s="396"/>
      <c r="E161" s="396"/>
      <c r="F161" s="396"/>
      <c r="G161" s="396"/>
      <c r="H161" s="396"/>
      <c r="I161" s="396"/>
    </row>
    <row r="162" spans="1:13" s="79" customFormat="1" ht="15.75" customHeight="1" x14ac:dyDescent="0.2">
      <c r="A162" s="393" t="s">
        <v>359</v>
      </c>
      <c r="B162" s="396"/>
      <c r="C162" s="396"/>
      <c r="D162" s="396"/>
      <c r="E162" s="396"/>
      <c r="F162" s="396"/>
      <c r="G162" s="396"/>
      <c r="H162" s="396"/>
      <c r="I162" s="396"/>
    </row>
    <row r="163" spans="1:13" s="79" customFormat="1" ht="15.75" customHeight="1" x14ac:dyDescent="0.2">
      <c r="A163" s="388"/>
      <c r="B163" s="396"/>
      <c r="C163" s="396"/>
      <c r="D163" s="396"/>
      <c r="E163" s="396"/>
      <c r="F163" s="396"/>
      <c r="G163" s="396"/>
      <c r="H163" s="396"/>
      <c r="I163" s="396"/>
    </row>
    <row r="164" spans="1:13" s="79" customFormat="1" ht="14.25" customHeight="1" x14ac:dyDescent="0.2">
      <c r="A164" s="388" t="s">
        <v>360</v>
      </c>
      <c r="B164" s="389"/>
      <c r="C164" s="389"/>
      <c r="D164" s="389"/>
      <c r="E164" s="389"/>
      <c r="F164" s="389"/>
      <c r="G164" s="389"/>
      <c r="H164" s="389"/>
      <c r="I164" s="389"/>
    </row>
    <row r="165" spans="1:13" s="79" customFormat="1" ht="15.75" customHeight="1" x14ac:dyDescent="0.25">
      <c r="A165" s="393" t="s">
        <v>358</v>
      </c>
      <c r="B165" s="389"/>
      <c r="C165" s="389"/>
      <c r="D165" s="389"/>
      <c r="E165" s="389"/>
      <c r="F165" s="389"/>
      <c r="G165" s="389"/>
      <c r="H165" s="389"/>
      <c r="I165" s="389"/>
      <c r="J165" s="3"/>
      <c r="K165" s="3"/>
      <c r="L165" s="3"/>
      <c r="M165" s="3"/>
    </row>
    <row r="166" spans="1:13" s="79" customFormat="1" ht="15.75" customHeight="1" x14ac:dyDescent="0.25">
      <c r="A166" s="393" t="s">
        <v>361</v>
      </c>
      <c r="B166" s="389"/>
      <c r="C166" s="389"/>
      <c r="D166" s="389"/>
      <c r="E166" s="389"/>
      <c r="F166" s="389"/>
      <c r="G166" s="389"/>
      <c r="H166" s="389"/>
      <c r="I166" s="389"/>
      <c r="J166" s="3"/>
      <c r="K166" s="3"/>
      <c r="L166" s="3"/>
      <c r="M166" s="3"/>
    </row>
    <row r="167" spans="1:13" s="79" customFormat="1" ht="15.75" customHeight="1" x14ac:dyDescent="0.25">
      <c r="A167" s="389"/>
      <c r="B167" s="389"/>
      <c r="C167" s="389"/>
      <c r="D167" s="389"/>
      <c r="E167" s="389"/>
      <c r="F167" s="389"/>
      <c r="G167" s="389"/>
      <c r="H167" s="389"/>
      <c r="I167" s="389"/>
      <c r="J167" s="3"/>
      <c r="K167" s="3"/>
      <c r="L167" s="3"/>
      <c r="M167" s="3"/>
    </row>
    <row r="168" spans="1:13" s="79" customFormat="1" ht="15.75" customHeight="1" x14ac:dyDescent="0.25">
      <c r="A168" s="395" t="s">
        <v>93</v>
      </c>
      <c r="B168" s="395"/>
      <c r="C168" s="395"/>
      <c r="D168" s="395"/>
      <c r="E168" s="395"/>
      <c r="F168" s="395"/>
      <c r="G168" s="395"/>
      <c r="H168" s="395"/>
      <c r="I168" s="395"/>
      <c r="J168" s="3"/>
      <c r="K168" s="3"/>
      <c r="L168" s="3"/>
      <c r="M168" s="3"/>
    </row>
    <row r="169" spans="1:13" s="79" customFormat="1" ht="15.75" customHeight="1" x14ac:dyDescent="0.25">
      <c r="A169" s="388" t="s">
        <v>322</v>
      </c>
      <c r="B169" s="389"/>
      <c r="C169" s="389"/>
      <c r="D169" s="389"/>
      <c r="E169" s="389"/>
      <c r="F169" s="389"/>
      <c r="G169" s="389"/>
      <c r="H169" s="389"/>
      <c r="I169" s="389"/>
      <c r="J169" s="3"/>
      <c r="K169" s="3"/>
      <c r="L169" s="3"/>
      <c r="M169" s="3"/>
    </row>
    <row r="170" spans="1:13" s="79" customFormat="1" ht="15.75" customHeight="1" x14ac:dyDescent="0.2">
      <c r="A170" s="393" t="s">
        <v>323</v>
      </c>
      <c r="B170" s="396"/>
      <c r="C170" s="396"/>
      <c r="D170" s="396"/>
      <c r="E170" s="396"/>
      <c r="F170" s="396"/>
      <c r="G170" s="396"/>
      <c r="H170" s="396"/>
      <c r="I170" s="396"/>
    </row>
    <row r="171" spans="1:13" ht="15.75" customHeight="1" x14ac:dyDescent="0.25">
      <c r="A171" s="389" t="s">
        <v>12</v>
      </c>
      <c r="B171" s="389"/>
      <c r="C171" s="389"/>
      <c r="D171" s="389"/>
      <c r="E171" s="389"/>
      <c r="F171" s="389"/>
      <c r="G171" s="389"/>
      <c r="H171" s="389"/>
      <c r="I171" s="389"/>
      <c r="J171" s="79"/>
      <c r="K171" s="79"/>
      <c r="L171" s="79"/>
      <c r="M171" s="79"/>
    </row>
    <row r="172" spans="1:13" ht="15.75" customHeight="1" x14ac:dyDescent="0.25">
      <c r="A172" s="328"/>
      <c r="B172" s="328"/>
      <c r="C172" s="328"/>
      <c r="D172" s="328"/>
      <c r="E172" s="328"/>
      <c r="F172" s="328"/>
      <c r="G172" s="328"/>
      <c r="H172" s="328"/>
      <c r="I172" s="328"/>
      <c r="J172" s="79"/>
      <c r="K172" s="79"/>
      <c r="L172" s="79"/>
      <c r="M172" s="79"/>
    </row>
    <row r="173" spans="1:13" ht="15.75" customHeight="1" x14ac:dyDescent="0.25">
      <c r="A173" s="328"/>
      <c r="B173" s="328"/>
      <c r="C173" s="328"/>
      <c r="D173" s="328"/>
      <c r="E173" s="328"/>
      <c r="F173" s="328"/>
      <c r="G173" s="328"/>
      <c r="H173" s="328"/>
      <c r="I173" s="328"/>
      <c r="J173" s="79"/>
      <c r="K173" s="79"/>
      <c r="L173" s="79"/>
      <c r="M173" s="79"/>
    </row>
    <row r="174" spans="1:13" s="79" customFormat="1" ht="15.75" customHeight="1" x14ac:dyDescent="0.25">
      <c r="A174" s="77"/>
      <c r="B174" s="3"/>
      <c r="C174" s="3"/>
      <c r="D174" s="3"/>
      <c r="E174" s="3"/>
      <c r="F174" s="3"/>
      <c r="G174" s="3"/>
      <c r="H174" s="3"/>
      <c r="I174" s="3"/>
    </row>
    <row r="175" spans="1:13" x14ac:dyDescent="0.25">
      <c r="A175" s="77"/>
    </row>
    <row r="176" spans="1:13" x14ac:dyDescent="0.25">
      <c r="A176" s="77"/>
    </row>
    <row r="177" spans="1:1" x14ac:dyDescent="0.25">
      <c r="A177" s="77"/>
    </row>
    <row r="178" spans="1:1" x14ac:dyDescent="0.25">
      <c r="A178" s="77"/>
    </row>
    <row r="179" spans="1:1" x14ac:dyDescent="0.25">
      <c r="A179" s="77"/>
    </row>
    <row r="180" spans="1:1" x14ac:dyDescent="0.25">
      <c r="A180" s="77"/>
    </row>
    <row r="181" spans="1:1" x14ac:dyDescent="0.25">
      <c r="A181" s="77"/>
    </row>
    <row r="182" spans="1:1" x14ac:dyDescent="0.25">
      <c r="A182" s="77"/>
    </row>
    <row r="183" spans="1:1" x14ac:dyDescent="0.25">
      <c r="A183" s="77"/>
    </row>
    <row r="184" spans="1:1" x14ac:dyDescent="0.25">
      <c r="A184" s="77"/>
    </row>
    <row r="185" spans="1:1" x14ac:dyDescent="0.25">
      <c r="A185" s="77"/>
    </row>
    <row r="186" spans="1:1" x14ac:dyDescent="0.25">
      <c r="A186" s="77"/>
    </row>
    <row r="187" spans="1:1" x14ac:dyDescent="0.25">
      <c r="A187" s="77"/>
    </row>
    <row r="188" spans="1:1" x14ac:dyDescent="0.25">
      <c r="A188" s="77"/>
    </row>
    <row r="189" spans="1:1" x14ac:dyDescent="0.25">
      <c r="A189" s="77"/>
    </row>
    <row r="190" spans="1:1" x14ac:dyDescent="0.25">
      <c r="A190" s="77"/>
    </row>
    <row r="191" spans="1:1" x14ac:dyDescent="0.25">
      <c r="A191" s="77"/>
    </row>
    <row r="192" spans="1:1" x14ac:dyDescent="0.25">
      <c r="A192" s="77"/>
    </row>
    <row r="193" spans="1:1" x14ac:dyDescent="0.25">
      <c r="A193" s="77"/>
    </row>
    <row r="194" spans="1:1" x14ac:dyDescent="0.25">
      <c r="A194" s="77"/>
    </row>
    <row r="195" spans="1:1" x14ac:dyDescent="0.25">
      <c r="A195" s="77"/>
    </row>
    <row r="196" spans="1:1" x14ac:dyDescent="0.25">
      <c r="A196" s="77"/>
    </row>
  </sheetData>
  <mergeCells count="104">
    <mergeCell ref="A119:G119"/>
    <mergeCell ref="A120:G120"/>
    <mergeCell ref="A113:C113"/>
    <mergeCell ref="F113:H113"/>
    <mergeCell ref="A115:H115"/>
    <mergeCell ref="A110:B110"/>
    <mergeCell ref="A109:B109"/>
    <mergeCell ref="A107:B107"/>
    <mergeCell ref="F107:G107"/>
    <mergeCell ref="F112:H112"/>
    <mergeCell ref="F109:G109"/>
    <mergeCell ref="C104:E104"/>
    <mergeCell ref="F105:G105"/>
    <mergeCell ref="A106:B106"/>
    <mergeCell ref="F106:G106"/>
    <mergeCell ref="A108:B108"/>
    <mergeCell ref="C88:D88"/>
    <mergeCell ref="C89:D89"/>
    <mergeCell ref="C90:D90"/>
    <mergeCell ref="C91:D91"/>
    <mergeCell ref="C92:D92"/>
    <mergeCell ref="F108:G108"/>
    <mergeCell ref="C93:D93"/>
    <mergeCell ref="A94:I94"/>
    <mergeCell ref="F96:I96"/>
    <mergeCell ref="A99:B99"/>
    <mergeCell ref="A100:B100"/>
    <mergeCell ref="A103:C103"/>
    <mergeCell ref="F103:I103"/>
    <mergeCell ref="A72:C72"/>
    <mergeCell ref="F73:H73"/>
    <mergeCell ref="A78:C78"/>
    <mergeCell ref="A79:C79"/>
    <mergeCell ref="A76:C76"/>
    <mergeCell ref="A77:C77"/>
    <mergeCell ref="A80:C80"/>
    <mergeCell ref="A85:C85"/>
    <mergeCell ref="A87:I87"/>
    <mergeCell ref="A62:B62"/>
    <mergeCell ref="D62:G62"/>
    <mergeCell ref="A64:I64"/>
    <mergeCell ref="A65:B65"/>
    <mergeCell ref="D65:G65"/>
    <mergeCell ref="A68:C68"/>
    <mergeCell ref="A69:C69"/>
    <mergeCell ref="A70:C70"/>
    <mergeCell ref="A71:C71"/>
    <mergeCell ref="A39:B39"/>
    <mergeCell ref="A40:B40"/>
    <mergeCell ref="A41:B41"/>
    <mergeCell ref="A42:B42"/>
    <mergeCell ref="A50:B58"/>
    <mergeCell ref="A59:B59"/>
    <mergeCell ref="F59:H59"/>
    <mergeCell ref="A60:I60"/>
    <mergeCell ref="A61:I61"/>
    <mergeCell ref="A28:B28"/>
    <mergeCell ref="F28:G28"/>
    <mergeCell ref="A29:B29"/>
    <mergeCell ref="F29:G29"/>
    <mergeCell ref="F30:G30"/>
    <mergeCell ref="A31:B31"/>
    <mergeCell ref="A36:B36"/>
    <mergeCell ref="A37:B37"/>
    <mergeCell ref="A38:B38"/>
    <mergeCell ref="A23:B23"/>
    <mergeCell ref="F23:G23"/>
    <mergeCell ref="A24:B24"/>
    <mergeCell ref="F24:G24"/>
    <mergeCell ref="A25:B25"/>
    <mergeCell ref="F25:G25"/>
    <mergeCell ref="A26:B26"/>
    <mergeCell ref="F26:G26"/>
    <mergeCell ref="A27:B27"/>
    <mergeCell ref="F27:G27"/>
    <mergeCell ref="A18:B18"/>
    <mergeCell ref="F18:G18"/>
    <mergeCell ref="A19:B19"/>
    <mergeCell ref="F19:G19"/>
    <mergeCell ref="A20:B20"/>
    <mergeCell ref="F20:G20"/>
    <mergeCell ref="A21:B21"/>
    <mergeCell ref="F21:G21"/>
    <mergeCell ref="A22:B22"/>
    <mergeCell ref="F22:G22"/>
    <mergeCell ref="A13:B13"/>
    <mergeCell ref="F13:G13"/>
    <mergeCell ref="A14:B14"/>
    <mergeCell ref="F14:G14"/>
    <mergeCell ref="A15:B15"/>
    <mergeCell ref="F15:G15"/>
    <mergeCell ref="A16:B16"/>
    <mergeCell ref="F16:G16"/>
    <mergeCell ref="A17:B17"/>
    <mergeCell ref="F17:G17"/>
    <mergeCell ref="B1:I1"/>
    <mergeCell ref="A4:B4"/>
    <mergeCell ref="C4:E4"/>
    <mergeCell ref="A7:I7"/>
    <mergeCell ref="F10:G10"/>
    <mergeCell ref="A11:B11"/>
    <mergeCell ref="F11:G11"/>
    <mergeCell ref="A12:B12"/>
    <mergeCell ref="F12:G12"/>
  </mergeCells>
  <conditionalFormatting sqref="J115:J118">
    <cfRule type="cellIs" dxfId="7" priority="7" stopIfTrue="1" operator="notEqual">
      <formula>0</formula>
    </cfRule>
    <cfRule type="cellIs" dxfId="6" priority="8" stopIfTrue="1" operator="equal">
      <formula>0</formula>
    </cfRule>
  </conditionalFormatting>
  <conditionalFormatting sqref="J124">
    <cfRule type="cellIs" dxfId="5" priority="5" stopIfTrue="1" operator="notEqual">
      <formula>0</formula>
    </cfRule>
    <cfRule type="cellIs" dxfId="4" priority="6" stopIfTrue="1" operator="equal">
      <formula>0</formula>
    </cfRule>
  </conditionalFormatting>
  <conditionalFormatting sqref="J132">
    <cfRule type="cellIs" dxfId="3" priority="3" stopIfTrue="1" operator="notEqual">
      <formula>0</formula>
    </cfRule>
    <cfRule type="cellIs" dxfId="2" priority="4" stopIfTrue="1" operator="equal">
      <formula>0</formula>
    </cfRule>
  </conditionalFormatting>
  <conditionalFormatting sqref="J93">
    <cfRule type="cellIs" dxfId="1" priority="1" stopIfTrue="1" operator="notEqual">
      <formula>0</formula>
    </cfRule>
    <cfRule type="cellIs" dxfId="0" priority="2" stopIfTrue="1" operator="equal">
      <formula>0</formula>
    </cfRule>
  </conditionalFormatting>
  <pageMargins left="0.75" right="0.1" top="0.5" bottom="0.5" header="0" footer="0.1"/>
  <pageSetup scale="65" fitToHeight="2" orientation="portrait" r:id="rId1"/>
  <headerFooter alignWithMargins="0">
    <oddFooter>&amp;L&amp;8&amp;Z&amp;F&amp;R&amp;8&amp;P / &amp;N</oddFooter>
  </headerFooter>
  <rowBreaks count="1" manualBreakCount="1">
    <brk id="85" max="16383" man="1"/>
  </rowBreaks>
  <colBreaks count="1" manualBreakCount="1">
    <brk id="9" max="1048575" man="1"/>
  </colBreaks>
  <legacyDrawing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6">
    <tabColor rgb="FFCCFFCC"/>
  </sheetPr>
  <dimension ref="A1:U206"/>
  <sheetViews>
    <sheetView showGridLines="0" zoomScaleNormal="100" workbookViewId="0">
      <pane ySplit="1" topLeftCell="A14" activePane="bottomLeft" state="frozen"/>
      <selection activeCell="I9" sqref="I9"/>
      <selection pane="bottomLeft" activeCell="D50" sqref="D50:D57"/>
    </sheetView>
  </sheetViews>
  <sheetFormatPr defaultRowHeight="15.75" x14ac:dyDescent="0.25"/>
  <cols>
    <col min="1" max="1" width="10.28515625" style="72"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72"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5">
        <v>50</v>
      </c>
      <c r="B1" s="441" t="s">
        <v>17</v>
      </c>
      <c r="C1" s="442"/>
      <c r="D1" s="442"/>
      <c r="E1" s="442"/>
      <c r="F1" s="442"/>
      <c r="G1" s="442"/>
      <c r="H1" s="442"/>
      <c r="I1" s="442"/>
      <c r="J1" s="157"/>
      <c r="K1" s="157"/>
      <c r="L1" s="157"/>
      <c r="N1" s="85">
        <f>A1</f>
        <v>50</v>
      </c>
      <c r="O1" s="527" t="s">
        <v>17</v>
      </c>
      <c r="P1" s="528"/>
      <c r="Q1" s="528"/>
      <c r="R1" s="528"/>
      <c r="S1" s="528"/>
      <c r="T1" s="528"/>
      <c r="U1" s="528"/>
    </row>
    <row r="2" spans="1:21" ht="21" x14ac:dyDescent="0.35">
      <c r="A2" s="1" t="s">
        <v>173</v>
      </c>
      <c r="B2" s="2"/>
      <c r="C2" s="2"/>
      <c r="D2" s="2"/>
      <c r="E2" s="2"/>
      <c r="F2" s="2"/>
      <c r="G2" s="2"/>
      <c r="H2" s="2"/>
      <c r="I2" s="2"/>
      <c r="N2" s="529" t="s">
        <v>23</v>
      </c>
      <c r="O2" s="529"/>
      <c r="P2" s="529"/>
      <c r="Q2" s="529"/>
      <c r="R2" s="529"/>
      <c r="S2" s="529"/>
      <c r="T2" s="529"/>
      <c r="U2" s="529"/>
    </row>
    <row r="3" spans="1:21" x14ac:dyDescent="0.25">
      <c r="A3" s="84" t="str">
        <f>'0664'!A3</f>
        <v>Based on the FLDOE 2022-23 FEFP Third Calculation</v>
      </c>
      <c r="N3" s="485" t="str">
        <f>A3</f>
        <v>Based on the FLDOE 2022-23 FEFP Third Calculation</v>
      </c>
      <c r="O3" s="485"/>
      <c r="P3" s="485"/>
      <c r="Q3" s="485"/>
      <c r="R3" s="485"/>
      <c r="S3" s="485"/>
      <c r="T3" s="485"/>
      <c r="U3" s="485"/>
    </row>
    <row r="4" spans="1:21" x14ac:dyDescent="0.25">
      <c r="A4" s="443" t="s">
        <v>0</v>
      </c>
      <c r="B4" s="443"/>
      <c r="C4" s="444" t="s">
        <v>9</v>
      </c>
      <c r="D4" s="444"/>
      <c r="E4" s="444"/>
      <c r="F4" s="4" t="str">
        <f>'0664'!F4</f>
        <v>Apr 2023</v>
      </c>
      <c r="G4" s="4"/>
      <c r="H4" s="4"/>
      <c r="I4" s="4"/>
      <c r="N4" s="530" t="s">
        <v>0</v>
      </c>
      <c r="O4" s="530"/>
      <c r="P4" s="531" t="str">
        <f>C4</f>
        <v>Palm Beach</v>
      </c>
      <c r="Q4" s="531"/>
      <c r="R4" s="5"/>
      <c r="S4" s="5"/>
      <c r="T4" s="5"/>
      <c r="U4" s="5"/>
    </row>
    <row r="5" spans="1:21" ht="12" customHeight="1" thickBot="1" x14ac:dyDescent="0.3">
      <c r="A5" s="262"/>
      <c r="B5" s="262"/>
      <c r="C5" s="253"/>
      <c r="D5" s="253"/>
      <c r="E5" s="253"/>
      <c r="F5" s="254"/>
      <c r="G5" s="254"/>
      <c r="H5" s="254"/>
      <c r="I5" s="254"/>
      <c r="N5" s="86"/>
      <c r="O5" s="86"/>
      <c r="P5" s="6"/>
      <c r="Q5" s="6"/>
      <c r="R5" s="5"/>
      <c r="S5" s="5"/>
      <c r="T5" s="5"/>
      <c r="U5" s="5"/>
    </row>
    <row r="6" spans="1:21" ht="12" customHeight="1" x14ac:dyDescent="0.25">
      <c r="A6" s="150"/>
      <c r="B6" s="150"/>
      <c r="C6" s="261"/>
      <c r="D6" s="261"/>
      <c r="E6" s="261"/>
      <c r="F6" s="4"/>
      <c r="G6" s="4"/>
      <c r="H6" s="4"/>
      <c r="I6" s="4"/>
      <c r="N6" s="86"/>
      <c r="O6" s="86"/>
      <c r="P6" s="6"/>
      <c r="Q6" s="6"/>
      <c r="R6" s="5"/>
      <c r="S6" s="5"/>
      <c r="T6" s="5"/>
      <c r="U6" s="5"/>
    </row>
    <row r="7" spans="1:21" x14ac:dyDescent="0.25">
      <c r="A7" s="445" t="str">
        <f>'0664'!A7:I7</f>
        <v>1.   2022-23 FEFP State and Local Funding</v>
      </c>
      <c r="B7" s="533"/>
      <c r="C7" s="533"/>
      <c r="D7" s="533"/>
      <c r="E7" s="533"/>
      <c r="F7" s="533"/>
      <c r="G7" s="533"/>
      <c r="H7" s="533"/>
      <c r="I7" s="533"/>
      <c r="N7" s="530" t="s">
        <v>86</v>
      </c>
      <c r="O7" s="530"/>
      <c r="P7" s="530"/>
      <c r="Q7" s="530"/>
      <c r="R7" s="530"/>
      <c r="S7" s="530"/>
      <c r="T7" s="530"/>
      <c r="U7" s="530"/>
    </row>
    <row r="8" spans="1:21" x14ac:dyDescent="0.25">
      <c r="A8" s="87"/>
      <c r="B8" s="88" t="s">
        <v>123</v>
      </c>
      <c r="C8" s="334">
        <f>'0664'!C8</f>
        <v>4587.3999999999996</v>
      </c>
      <c r="D8" s="89"/>
      <c r="E8" s="90"/>
      <c r="F8" s="87"/>
      <c r="G8" s="88" t="s">
        <v>122</v>
      </c>
      <c r="H8" s="320">
        <f>'0664'!H8</f>
        <v>1.0438000000000001</v>
      </c>
      <c r="I8" s="78"/>
      <c r="N8" s="534" t="s">
        <v>10</v>
      </c>
      <c r="O8" s="534"/>
      <c r="P8" s="535">
        <v>4154.45</v>
      </c>
      <c r="Q8" s="535"/>
      <c r="R8" s="518" t="s">
        <v>11</v>
      </c>
      <c r="S8" s="518"/>
      <c r="T8" s="519">
        <f>H8</f>
        <v>1.0438000000000001</v>
      </c>
      <c r="U8" s="519"/>
    </row>
    <row r="9" spans="1:21" x14ac:dyDescent="0.25">
      <c r="A9" s="7"/>
      <c r="B9" s="44" t="s">
        <v>370</v>
      </c>
      <c r="C9" s="372" t="s">
        <v>370</v>
      </c>
      <c r="D9" s="372" t="s">
        <v>370</v>
      </c>
      <c r="E9" s="8"/>
      <c r="F9" s="9"/>
      <c r="G9" s="9"/>
      <c r="H9" s="10"/>
      <c r="I9" s="340" t="str">
        <f>'0664'!I9</f>
        <v>2022-23</v>
      </c>
      <c r="N9" s="12"/>
      <c r="O9" s="12"/>
      <c r="P9" s="13"/>
      <c r="Q9" s="13"/>
      <c r="R9" s="14"/>
      <c r="S9" s="14"/>
      <c r="T9" s="15"/>
      <c r="U9" s="405" t="s">
        <v>405</v>
      </c>
    </row>
    <row r="10" spans="1:21" x14ac:dyDescent="0.25">
      <c r="A10" s="7"/>
      <c r="B10" s="7"/>
      <c r="C10" s="91" t="s">
        <v>463</v>
      </c>
      <c r="D10" s="371" t="s">
        <v>464</v>
      </c>
      <c r="E10" s="92" t="s">
        <v>8</v>
      </c>
      <c r="F10" s="446" t="s">
        <v>1</v>
      </c>
      <c r="G10" s="446"/>
      <c r="H10" s="10" t="s">
        <v>73</v>
      </c>
      <c r="I10" s="11" t="s">
        <v>36</v>
      </c>
      <c r="N10" s="12"/>
      <c r="O10" s="12"/>
      <c r="P10" s="13"/>
      <c r="Q10" s="13"/>
      <c r="R10" s="520" t="s">
        <v>1</v>
      </c>
      <c r="S10" s="520"/>
      <c r="T10" s="15" t="s">
        <v>73</v>
      </c>
      <c r="U10" s="16" t="s">
        <v>36</v>
      </c>
    </row>
    <row r="11" spans="1:21" x14ac:dyDescent="0.25">
      <c r="A11" s="447" t="s">
        <v>1</v>
      </c>
      <c r="B11" s="447"/>
      <c r="C11" s="362" t="s">
        <v>2</v>
      </c>
      <c r="D11" s="362" t="s">
        <v>2</v>
      </c>
      <c r="E11" s="362" t="s">
        <v>2</v>
      </c>
      <c r="F11" s="448" t="s">
        <v>76</v>
      </c>
      <c r="G11" s="448"/>
      <c r="H11" s="17" t="s">
        <v>72</v>
      </c>
      <c r="I11" s="18" t="s">
        <v>75</v>
      </c>
      <c r="N11" s="510" t="s">
        <v>1</v>
      </c>
      <c r="O11" s="510"/>
      <c r="P11" s="521" t="s">
        <v>24</v>
      </c>
      <c r="Q11" s="521"/>
      <c r="R11" s="522" t="s">
        <v>76</v>
      </c>
      <c r="S11" s="522"/>
      <c r="T11" s="19" t="s">
        <v>72</v>
      </c>
      <c r="U11" s="20" t="s">
        <v>75</v>
      </c>
    </row>
    <row r="12" spans="1:21" x14ac:dyDescent="0.25">
      <c r="A12" s="449" t="s">
        <v>47</v>
      </c>
      <c r="B12" s="449"/>
      <c r="C12" s="94"/>
      <c r="D12" s="94"/>
      <c r="E12" s="95" t="s">
        <v>48</v>
      </c>
      <c r="F12" s="450" t="s">
        <v>49</v>
      </c>
      <c r="G12" s="450"/>
      <c r="H12" s="21" t="s">
        <v>50</v>
      </c>
      <c r="I12" s="22" t="s">
        <v>51</v>
      </c>
      <c r="N12" s="523" t="s">
        <v>47</v>
      </c>
      <c r="O12" s="523"/>
      <c r="P12" s="524" t="s">
        <v>48</v>
      </c>
      <c r="Q12" s="524"/>
      <c r="R12" s="525" t="s">
        <v>49</v>
      </c>
      <c r="S12" s="525"/>
      <c r="T12" s="23" t="s">
        <v>50</v>
      </c>
      <c r="U12" s="24" t="s">
        <v>51</v>
      </c>
    </row>
    <row r="13" spans="1:21" x14ac:dyDescent="0.25">
      <c r="A13" s="451" t="s">
        <v>29</v>
      </c>
      <c r="B13" s="451"/>
      <c r="C13" s="165">
        <v>57.3</v>
      </c>
      <c r="D13" s="163">
        <v>57.85</v>
      </c>
      <c r="E13" s="210">
        <f>IF(D$29=0,C13*2,C13+D13)</f>
        <v>115.15</v>
      </c>
      <c r="F13" s="537">
        <f>'0664'!F13:G13</f>
        <v>1.1259999999999999</v>
      </c>
      <c r="G13" s="537"/>
      <c r="H13" s="167">
        <f>ROUND(E13*F13,4)</f>
        <v>129.65889999999999</v>
      </c>
      <c r="I13" s="119">
        <f t="shared" ref="I13:I28" si="0">ROUND(ROUND(H13*$C$8,4)*($H$8),2)</f>
        <v>620849.36</v>
      </c>
      <c r="N13" s="512" t="s">
        <v>29</v>
      </c>
      <c r="O13" s="512"/>
      <c r="P13" s="513">
        <f t="shared" ref="P13:P28" si="1">IF($H$120=1,E13,0)</f>
        <v>0</v>
      </c>
      <c r="Q13" s="513"/>
      <c r="R13" s="526">
        <v>1</v>
      </c>
      <c r="S13" s="526"/>
      <c r="T13" s="98">
        <f>ROUND(P13*R13,4)</f>
        <v>0</v>
      </c>
      <c r="U13" s="99">
        <f t="shared" ref="U13:U28" si="2">ROUND(ROUND(T13*$C$8,4)*($H$8),0)</f>
        <v>0</v>
      </c>
    </row>
    <row r="14" spans="1:21" x14ac:dyDescent="0.25">
      <c r="A14" s="453" t="s">
        <v>30</v>
      </c>
      <c r="B14" s="453"/>
      <c r="C14" s="165">
        <v>4.5</v>
      </c>
      <c r="D14" s="165">
        <v>4.5</v>
      </c>
      <c r="E14" s="125">
        <f t="shared" ref="E14:E28" si="3">IF(D$29=0,C14*2,C14+D14)</f>
        <v>9</v>
      </c>
      <c r="F14" s="532">
        <f>'0664'!F14:G14</f>
        <v>1.1259999999999999</v>
      </c>
      <c r="G14" s="532"/>
      <c r="H14" s="83">
        <f t="shared" ref="H14:H28" si="4">ROUND(E14*F14,4)</f>
        <v>10.134</v>
      </c>
      <c r="I14" s="104">
        <f t="shared" si="0"/>
        <v>48524.92</v>
      </c>
      <c r="J14" s="68" t="str">
        <f>IF(ROUND(E14,2)=ROUND(SUM(E50:E52),2)," ","CHECK PK-3 LINES BELOW")</f>
        <v xml:space="preserve"> </v>
      </c>
      <c r="N14" s="479" t="s">
        <v>30</v>
      </c>
      <c r="O14" s="479"/>
      <c r="P14" s="513">
        <f t="shared" si="1"/>
        <v>0</v>
      </c>
      <c r="Q14" s="513"/>
      <c r="R14" s="517">
        <v>1</v>
      </c>
      <c r="S14" s="517"/>
      <c r="T14" s="98">
        <f t="shared" ref="T14:T28" si="5">ROUND(P14*R14,4)</f>
        <v>0</v>
      </c>
      <c r="U14" s="99">
        <f t="shared" si="2"/>
        <v>0</v>
      </c>
    </row>
    <row r="15" spans="1:21" x14ac:dyDescent="0.25">
      <c r="A15" s="453" t="s">
        <v>31</v>
      </c>
      <c r="B15" s="453"/>
      <c r="C15" s="165">
        <v>86.32</v>
      </c>
      <c r="D15" s="165">
        <v>87.01</v>
      </c>
      <c r="E15" s="125">
        <f t="shared" si="3"/>
        <v>173.32999999999998</v>
      </c>
      <c r="F15" s="532">
        <f>'0664'!F15:G15</f>
        <v>1</v>
      </c>
      <c r="G15" s="532"/>
      <c r="H15" s="83">
        <f t="shared" si="4"/>
        <v>173.33</v>
      </c>
      <c r="I15" s="104">
        <f t="shared" si="0"/>
        <v>829960.91</v>
      </c>
      <c r="N15" s="479" t="s">
        <v>31</v>
      </c>
      <c r="O15" s="479"/>
      <c r="P15" s="513">
        <f t="shared" si="1"/>
        <v>0</v>
      </c>
      <c r="Q15" s="513"/>
      <c r="R15" s="517">
        <v>1</v>
      </c>
      <c r="S15" s="517"/>
      <c r="T15" s="98">
        <f t="shared" si="5"/>
        <v>0</v>
      </c>
      <c r="U15" s="99">
        <f t="shared" si="2"/>
        <v>0</v>
      </c>
    </row>
    <row r="16" spans="1:21" x14ac:dyDescent="0.25">
      <c r="A16" s="453" t="s">
        <v>32</v>
      </c>
      <c r="B16" s="453"/>
      <c r="C16" s="165">
        <v>13.44</v>
      </c>
      <c r="D16" s="165">
        <v>13.68</v>
      </c>
      <c r="E16" s="125">
        <f t="shared" si="3"/>
        <v>27.119999999999997</v>
      </c>
      <c r="F16" s="532">
        <f>'0664'!F16:G16</f>
        <v>1</v>
      </c>
      <c r="G16" s="532"/>
      <c r="H16" s="83">
        <f t="shared" si="4"/>
        <v>27.12</v>
      </c>
      <c r="I16" s="104">
        <f t="shared" si="0"/>
        <v>129859.46</v>
      </c>
      <c r="J16" s="68" t="str">
        <f>IF(ROUND(E16,2)=ROUND(SUM(E53:E55),2)," ","CHECK 4-8 LINES BELOW")</f>
        <v xml:space="preserve"> </v>
      </c>
      <c r="N16" s="479" t="s">
        <v>32</v>
      </c>
      <c r="O16" s="479"/>
      <c r="P16" s="513">
        <f t="shared" si="1"/>
        <v>0</v>
      </c>
      <c r="Q16" s="513"/>
      <c r="R16" s="517">
        <v>1</v>
      </c>
      <c r="S16" s="517"/>
      <c r="T16" s="98">
        <f t="shared" si="5"/>
        <v>0</v>
      </c>
      <c r="U16" s="99">
        <f t="shared" si="2"/>
        <v>0</v>
      </c>
    </row>
    <row r="17" spans="1:21" x14ac:dyDescent="0.25">
      <c r="A17" s="453" t="s">
        <v>33</v>
      </c>
      <c r="B17" s="453"/>
      <c r="C17" s="165">
        <v>0</v>
      </c>
      <c r="D17" s="165">
        <v>0</v>
      </c>
      <c r="E17" s="125">
        <f t="shared" si="3"/>
        <v>0</v>
      </c>
      <c r="F17" s="532">
        <f>'0664'!F17:G17</f>
        <v>0.999</v>
      </c>
      <c r="G17" s="532"/>
      <c r="H17" s="83">
        <f t="shared" si="4"/>
        <v>0</v>
      </c>
      <c r="I17" s="104">
        <f t="shared" si="0"/>
        <v>0</v>
      </c>
      <c r="N17" s="479" t="s">
        <v>33</v>
      </c>
      <c r="O17" s="479"/>
      <c r="P17" s="513">
        <f t="shared" si="1"/>
        <v>0</v>
      </c>
      <c r="Q17" s="513"/>
      <c r="R17" s="517">
        <v>1</v>
      </c>
      <c r="S17" s="517"/>
      <c r="T17" s="98">
        <f t="shared" si="5"/>
        <v>0</v>
      </c>
      <c r="U17" s="99">
        <f t="shared" si="2"/>
        <v>0</v>
      </c>
    </row>
    <row r="18" spans="1:21" x14ac:dyDescent="0.25">
      <c r="A18" s="453" t="s">
        <v>34</v>
      </c>
      <c r="B18" s="453"/>
      <c r="C18" s="165">
        <v>0</v>
      </c>
      <c r="D18" s="165">
        <v>0</v>
      </c>
      <c r="E18" s="125">
        <f t="shared" si="3"/>
        <v>0</v>
      </c>
      <c r="F18" s="532">
        <f>'0664'!F18:G18</f>
        <v>0.999</v>
      </c>
      <c r="G18" s="532"/>
      <c r="H18" s="83">
        <f t="shared" si="4"/>
        <v>0</v>
      </c>
      <c r="I18" s="104">
        <f t="shared" si="0"/>
        <v>0</v>
      </c>
      <c r="J18" s="68" t="str">
        <f>IF(ROUND(E18,2)=ROUND(SUM(E56:E58),2)," ","CHECK 4-8 LINES BELOW")</f>
        <v xml:space="preserve"> </v>
      </c>
      <c r="N18" s="479" t="s">
        <v>34</v>
      </c>
      <c r="O18" s="479"/>
      <c r="P18" s="513">
        <f t="shared" si="1"/>
        <v>0</v>
      </c>
      <c r="Q18" s="513"/>
      <c r="R18" s="517">
        <v>1</v>
      </c>
      <c r="S18" s="517"/>
      <c r="T18" s="98">
        <f t="shared" si="5"/>
        <v>0</v>
      </c>
      <c r="U18" s="101">
        <f t="shared" si="2"/>
        <v>0</v>
      </c>
    </row>
    <row r="19" spans="1:21" x14ac:dyDescent="0.25">
      <c r="A19" s="453" t="s">
        <v>108</v>
      </c>
      <c r="B19" s="453"/>
      <c r="C19" s="165">
        <v>0</v>
      </c>
      <c r="D19" s="165">
        <v>0</v>
      </c>
      <c r="E19" s="125">
        <f t="shared" si="3"/>
        <v>0</v>
      </c>
      <c r="F19" s="532">
        <f>'0664'!F19:G19</f>
        <v>3.6739999999999999</v>
      </c>
      <c r="G19" s="532"/>
      <c r="H19" s="83">
        <f t="shared" si="4"/>
        <v>0</v>
      </c>
      <c r="I19" s="104">
        <f t="shared" si="0"/>
        <v>0</v>
      </c>
      <c r="N19" s="479" t="s">
        <v>108</v>
      </c>
      <c r="O19" s="479"/>
      <c r="P19" s="513">
        <f t="shared" si="1"/>
        <v>0</v>
      </c>
      <c r="Q19" s="513"/>
      <c r="R19" s="517">
        <v>1</v>
      </c>
      <c r="S19" s="517"/>
      <c r="T19" s="98">
        <f t="shared" si="5"/>
        <v>0</v>
      </c>
      <c r="U19" s="99">
        <f t="shared" si="2"/>
        <v>0</v>
      </c>
    </row>
    <row r="20" spans="1:21" x14ac:dyDescent="0.25">
      <c r="A20" s="453" t="s">
        <v>109</v>
      </c>
      <c r="B20" s="453"/>
      <c r="C20" s="165">
        <v>0</v>
      </c>
      <c r="D20" s="165">
        <v>0</v>
      </c>
      <c r="E20" s="125">
        <f t="shared" si="3"/>
        <v>0</v>
      </c>
      <c r="F20" s="532">
        <f>'0664'!F20:G20</f>
        <v>3.6739999999999999</v>
      </c>
      <c r="G20" s="532"/>
      <c r="H20" s="83">
        <f t="shared" si="4"/>
        <v>0</v>
      </c>
      <c r="I20" s="104">
        <f t="shared" si="0"/>
        <v>0</v>
      </c>
      <c r="N20" s="479" t="s">
        <v>109</v>
      </c>
      <c r="O20" s="479"/>
      <c r="P20" s="513">
        <f t="shared" si="1"/>
        <v>0</v>
      </c>
      <c r="Q20" s="513"/>
      <c r="R20" s="517">
        <v>1</v>
      </c>
      <c r="S20" s="517"/>
      <c r="T20" s="98">
        <f t="shared" si="5"/>
        <v>0</v>
      </c>
      <c r="U20" s="99">
        <f t="shared" si="2"/>
        <v>0</v>
      </c>
    </row>
    <row r="21" spans="1:21" x14ac:dyDescent="0.25">
      <c r="A21" s="453" t="s">
        <v>110</v>
      </c>
      <c r="B21" s="453"/>
      <c r="C21" s="165">
        <v>0</v>
      </c>
      <c r="D21" s="165">
        <v>0</v>
      </c>
      <c r="E21" s="125">
        <f t="shared" si="3"/>
        <v>0</v>
      </c>
      <c r="F21" s="532">
        <f>'0664'!F21:G21</f>
        <v>3.6739999999999999</v>
      </c>
      <c r="G21" s="532"/>
      <c r="H21" s="83">
        <f t="shared" si="4"/>
        <v>0</v>
      </c>
      <c r="I21" s="104">
        <f t="shared" si="0"/>
        <v>0</v>
      </c>
      <c r="N21" s="479" t="s">
        <v>110</v>
      </c>
      <c r="O21" s="479"/>
      <c r="P21" s="513">
        <f t="shared" si="1"/>
        <v>0</v>
      </c>
      <c r="Q21" s="513"/>
      <c r="R21" s="517">
        <v>1</v>
      </c>
      <c r="S21" s="517"/>
      <c r="T21" s="98">
        <f t="shared" si="5"/>
        <v>0</v>
      </c>
      <c r="U21" s="99">
        <f t="shared" si="2"/>
        <v>0</v>
      </c>
    </row>
    <row r="22" spans="1:21" x14ac:dyDescent="0.25">
      <c r="A22" s="453" t="s">
        <v>111</v>
      </c>
      <c r="B22" s="453"/>
      <c r="C22" s="165">
        <v>0</v>
      </c>
      <c r="D22" s="165">
        <v>0</v>
      </c>
      <c r="E22" s="125">
        <f t="shared" si="3"/>
        <v>0</v>
      </c>
      <c r="F22" s="532">
        <f>'0664'!F22:G22</f>
        <v>5.4009999999999998</v>
      </c>
      <c r="G22" s="532"/>
      <c r="H22" s="83">
        <f t="shared" si="4"/>
        <v>0</v>
      </c>
      <c r="I22" s="104">
        <f t="shared" si="0"/>
        <v>0</v>
      </c>
      <c r="N22" s="479" t="s">
        <v>111</v>
      </c>
      <c r="O22" s="479"/>
      <c r="P22" s="513">
        <f t="shared" si="1"/>
        <v>0</v>
      </c>
      <c r="Q22" s="513"/>
      <c r="R22" s="517">
        <v>1</v>
      </c>
      <c r="S22" s="517"/>
      <c r="T22" s="98">
        <f t="shared" si="5"/>
        <v>0</v>
      </c>
      <c r="U22" s="99">
        <f t="shared" si="2"/>
        <v>0</v>
      </c>
    </row>
    <row r="23" spans="1:21" x14ac:dyDescent="0.25">
      <c r="A23" s="453" t="s">
        <v>112</v>
      </c>
      <c r="B23" s="453"/>
      <c r="C23" s="165">
        <v>0</v>
      </c>
      <c r="D23" s="165">
        <v>0</v>
      </c>
      <c r="E23" s="125">
        <f t="shared" si="3"/>
        <v>0</v>
      </c>
      <c r="F23" s="532">
        <f>'0664'!F23:G23</f>
        <v>5.4009999999999998</v>
      </c>
      <c r="G23" s="532"/>
      <c r="H23" s="83">
        <f t="shared" si="4"/>
        <v>0</v>
      </c>
      <c r="I23" s="104">
        <f t="shared" si="0"/>
        <v>0</v>
      </c>
      <c r="N23" s="479" t="s">
        <v>112</v>
      </c>
      <c r="O23" s="479"/>
      <c r="P23" s="513">
        <f t="shared" si="1"/>
        <v>0</v>
      </c>
      <c r="Q23" s="513"/>
      <c r="R23" s="517">
        <v>1</v>
      </c>
      <c r="S23" s="517"/>
      <c r="T23" s="98">
        <f t="shared" si="5"/>
        <v>0</v>
      </c>
      <c r="U23" s="99">
        <f t="shared" si="2"/>
        <v>0</v>
      </c>
    </row>
    <row r="24" spans="1:21" x14ac:dyDescent="0.25">
      <c r="A24" s="453" t="s">
        <v>113</v>
      </c>
      <c r="B24" s="453"/>
      <c r="C24" s="165">
        <v>0</v>
      </c>
      <c r="D24" s="165">
        <v>0</v>
      </c>
      <c r="E24" s="125">
        <f t="shared" si="3"/>
        <v>0</v>
      </c>
      <c r="F24" s="532">
        <f>'0664'!F24:G24</f>
        <v>5.4009999999999998</v>
      </c>
      <c r="G24" s="532"/>
      <c r="H24" s="83">
        <f t="shared" si="4"/>
        <v>0</v>
      </c>
      <c r="I24" s="104">
        <f t="shared" si="0"/>
        <v>0</v>
      </c>
      <c r="N24" s="479" t="s">
        <v>113</v>
      </c>
      <c r="O24" s="479"/>
      <c r="P24" s="513">
        <f t="shared" si="1"/>
        <v>0</v>
      </c>
      <c r="Q24" s="513"/>
      <c r="R24" s="517">
        <v>1</v>
      </c>
      <c r="S24" s="517"/>
      <c r="T24" s="98">
        <f t="shared" si="5"/>
        <v>0</v>
      </c>
      <c r="U24" s="99">
        <f t="shared" si="2"/>
        <v>0</v>
      </c>
    </row>
    <row r="25" spans="1:21" x14ac:dyDescent="0.25">
      <c r="A25" s="453" t="s">
        <v>114</v>
      </c>
      <c r="B25" s="453"/>
      <c r="C25" s="165">
        <v>6.7</v>
      </c>
      <c r="D25" s="165">
        <v>6.7</v>
      </c>
      <c r="E25" s="125">
        <f t="shared" si="3"/>
        <v>13.4</v>
      </c>
      <c r="F25" s="532">
        <f>'0664'!F25:G25</f>
        <v>1.206</v>
      </c>
      <c r="G25" s="532"/>
      <c r="H25" s="83">
        <f t="shared" si="4"/>
        <v>16.160399999999999</v>
      </c>
      <c r="I25" s="104">
        <f t="shared" si="0"/>
        <v>77381.3</v>
      </c>
      <c r="N25" s="479" t="s">
        <v>114</v>
      </c>
      <c r="O25" s="479"/>
      <c r="P25" s="513">
        <f t="shared" si="1"/>
        <v>0</v>
      </c>
      <c r="Q25" s="513"/>
      <c r="R25" s="517">
        <v>1</v>
      </c>
      <c r="S25" s="517"/>
      <c r="T25" s="98">
        <f t="shared" si="5"/>
        <v>0</v>
      </c>
      <c r="U25" s="99">
        <f t="shared" si="2"/>
        <v>0</v>
      </c>
    </row>
    <row r="26" spans="1:21" x14ac:dyDescent="0.25">
      <c r="A26" s="453" t="s">
        <v>115</v>
      </c>
      <c r="B26" s="453"/>
      <c r="C26" s="165">
        <v>3.21</v>
      </c>
      <c r="D26" s="165">
        <v>3.21</v>
      </c>
      <c r="E26" s="125">
        <f t="shared" si="3"/>
        <v>6.42</v>
      </c>
      <c r="F26" s="532">
        <f>'0664'!F26:G26</f>
        <v>1.206</v>
      </c>
      <c r="G26" s="532"/>
      <c r="H26" s="83">
        <f t="shared" si="4"/>
        <v>7.7424999999999997</v>
      </c>
      <c r="I26" s="104">
        <f t="shared" si="0"/>
        <v>37073.629999999997</v>
      </c>
      <c r="N26" s="479" t="s">
        <v>115</v>
      </c>
      <c r="O26" s="479"/>
      <c r="P26" s="513">
        <f t="shared" si="1"/>
        <v>0</v>
      </c>
      <c r="Q26" s="513"/>
      <c r="R26" s="517">
        <v>1</v>
      </c>
      <c r="S26" s="517"/>
      <c r="T26" s="98">
        <f t="shared" si="5"/>
        <v>0</v>
      </c>
      <c r="U26" s="99">
        <f t="shared" si="2"/>
        <v>0</v>
      </c>
    </row>
    <row r="27" spans="1:21" x14ac:dyDescent="0.25">
      <c r="A27" s="453" t="s">
        <v>116</v>
      </c>
      <c r="B27" s="453"/>
      <c r="C27" s="165">
        <v>0</v>
      </c>
      <c r="D27" s="165">
        <v>0</v>
      </c>
      <c r="E27" s="125">
        <f t="shared" si="3"/>
        <v>0</v>
      </c>
      <c r="F27" s="532">
        <f>'0664'!F27:G27</f>
        <v>1.206</v>
      </c>
      <c r="G27" s="532"/>
      <c r="H27" s="83">
        <f t="shared" si="4"/>
        <v>0</v>
      </c>
      <c r="I27" s="104">
        <f t="shared" si="0"/>
        <v>0</v>
      </c>
      <c r="N27" s="479" t="s">
        <v>116</v>
      </c>
      <c r="O27" s="479"/>
      <c r="P27" s="513">
        <f t="shared" si="1"/>
        <v>0</v>
      </c>
      <c r="Q27" s="513"/>
      <c r="R27" s="517">
        <v>1</v>
      </c>
      <c r="S27" s="517"/>
      <c r="T27" s="98">
        <f t="shared" si="5"/>
        <v>0</v>
      </c>
      <c r="U27" s="99">
        <f t="shared" si="2"/>
        <v>0</v>
      </c>
    </row>
    <row r="28" spans="1:21" x14ac:dyDescent="0.25">
      <c r="A28" s="453" t="s">
        <v>117</v>
      </c>
      <c r="B28" s="453"/>
      <c r="C28" s="116">
        <v>0</v>
      </c>
      <c r="D28" s="116">
        <v>0</v>
      </c>
      <c r="E28" s="177">
        <f t="shared" si="3"/>
        <v>0</v>
      </c>
      <c r="F28" s="532">
        <f>'0664'!F28:G28</f>
        <v>0.999</v>
      </c>
      <c r="G28" s="532"/>
      <c r="H28" s="96">
        <f t="shared" si="4"/>
        <v>0</v>
      </c>
      <c r="I28" s="97">
        <f t="shared" si="0"/>
        <v>0</v>
      </c>
      <c r="N28" s="482" t="s">
        <v>117</v>
      </c>
      <c r="O28" s="482"/>
      <c r="P28" s="513">
        <f t="shared" si="1"/>
        <v>0</v>
      </c>
      <c r="Q28" s="513"/>
      <c r="R28" s="514">
        <v>1</v>
      </c>
      <c r="S28" s="514"/>
      <c r="T28" s="98">
        <f t="shared" si="5"/>
        <v>0</v>
      </c>
      <c r="U28" s="99">
        <f t="shared" si="2"/>
        <v>0</v>
      </c>
    </row>
    <row r="29" spans="1:21" x14ac:dyDescent="0.25">
      <c r="A29" s="461" t="s">
        <v>5</v>
      </c>
      <c r="B29" s="461"/>
      <c r="C29" s="97">
        <f>SUM(C13:C28)</f>
        <v>171.47</v>
      </c>
      <c r="D29" s="97">
        <f>SUM(D13:D28)</f>
        <v>172.95000000000002</v>
      </c>
      <c r="E29" s="97">
        <f>SUM(E13:E28)</f>
        <v>344.42</v>
      </c>
      <c r="F29" s="457"/>
      <c r="G29" s="457"/>
      <c r="H29" s="102">
        <f>SUM(H13:H28)</f>
        <v>364.14579999999995</v>
      </c>
      <c r="I29" s="97">
        <f>SUM(I13:I28)</f>
        <v>1743649.5799999998</v>
      </c>
      <c r="N29" s="515" t="s">
        <v>5</v>
      </c>
      <c r="O29" s="515"/>
      <c r="P29" s="516">
        <f>SUM(P13:P28)</f>
        <v>0</v>
      </c>
      <c r="Q29" s="516"/>
      <c r="R29" s="508"/>
      <c r="S29" s="508"/>
      <c r="T29" s="103">
        <f>SUM(T13:T28)</f>
        <v>0</v>
      </c>
      <c r="U29" s="99">
        <f>SUM(U13:U28)</f>
        <v>0</v>
      </c>
    </row>
    <row r="30" spans="1:21" x14ac:dyDescent="0.25">
      <c r="A30" s="27"/>
      <c r="B30" s="27"/>
      <c r="C30" s="104"/>
      <c r="D30" s="104"/>
      <c r="E30" s="104"/>
      <c r="F30" s="28"/>
      <c r="G30" s="28"/>
      <c r="H30" s="83"/>
      <c r="I30" s="104"/>
      <c r="N30" s="29"/>
      <c r="O30" s="29"/>
      <c r="P30" s="30"/>
      <c r="Q30" s="30"/>
      <c r="R30" s="31"/>
      <c r="S30" s="31"/>
      <c r="T30" s="105"/>
      <c r="U30" s="106"/>
    </row>
    <row r="31" spans="1:21" x14ac:dyDescent="0.25">
      <c r="A31" s="168" t="s">
        <v>97</v>
      </c>
      <c r="B31" s="27"/>
      <c r="C31" s="104"/>
      <c r="D31" s="104"/>
      <c r="E31" s="104"/>
      <c r="F31" s="28"/>
      <c r="G31" s="28"/>
      <c r="H31" s="83"/>
      <c r="I31" s="104"/>
      <c r="N31" s="29"/>
      <c r="O31" s="29"/>
      <c r="P31" s="30"/>
      <c r="Q31" s="30"/>
      <c r="R31" s="31"/>
      <c r="S31" s="31"/>
      <c r="T31" s="105"/>
      <c r="U31" s="106"/>
    </row>
    <row r="32" spans="1:21" hidden="1" x14ac:dyDescent="0.25">
      <c r="A32" s="168"/>
      <c r="B32" s="27"/>
      <c r="C32" s="104"/>
      <c r="D32" s="104"/>
      <c r="E32" s="104"/>
      <c r="F32" s="28"/>
      <c r="G32" s="28"/>
      <c r="H32" s="83"/>
      <c r="I32" s="104"/>
      <c r="N32" s="29"/>
      <c r="O32" s="29"/>
      <c r="P32" s="30"/>
      <c r="Q32" s="30"/>
      <c r="R32" s="31"/>
      <c r="S32" s="31"/>
      <c r="T32" s="105"/>
      <c r="U32" s="106"/>
    </row>
    <row r="33" spans="1:21" hidden="1" x14ac:dyDescent="0.25">
      <c r="A33" s="168"/>
      <c r="B33" s="27"/>
      <c r="C33" s="104"/>
      <c r="D33" s="104"/>
      <c r="E33" s="104"/>
      <c r="F33" s="541" t="s">
        <v>282</v>
      </c>
      <c r="G33" s="541"/>
      <c r="H33" s="541"/>
      <c r="I33" s="104"/>
      <c r="N33" s="29"/>
      <c r="O33" s="29"/>
      <c r="P33" s="30"/>
      <c r="Q33" s="30"/>
      <c r="R33" s="31"/>
      <c r="S33" s="31"/>
      <c r="T33" s="105"/>
      <c r="U33" s="106"/>
    </row>
    <row r="34" spans="1:21" hidden="1" x14ac:dyDescent="0.25">
      <c r="A34" s="3"/>
      <c r="B34" s="72"/>
      <c r="C34" s="72"/>
      <c r="D34" s="72"/>
      <c r="E34" s="72"/>
      <c r="F34" s="541"/>
      <c r="G34" s="541"/>
      <c r="H34" s="541"/>
      <c r="I34" s="25" t="s">
        <v>74</v>
      </c>
      <c r="N34" s="485" t="s">
        <v>35</v>
      </c>
      <c r="O34" s="485"/>
      <c r="P34" s="485"/>
      <c r="Q34" s="485"/>
      <c r="R34" s="485"/>
      <c r="S34" s="485"/>
      <c r="T34" s="485"/>
      <c r="U34" s="26" t="s">
        <v>74</v>
      </c>
    </row>
    <row r="35" spans="1:21" hidden="1" x14ac:dyDescent="0.25">
      <c r="A35" s="27"/>
      <c r="B35" s="27"/>
      <c r="C35" s="91" t="s">
        <v>124</v>
      </c>
      <c r="D35" s="91" t="s">
        <v>125</v>
      </c>
      <c r="E35" s="92" t="s">
        <v>8</v>
      </c>
      <c r="F35" s="541"/>
      <c r="G35" s="541"/>
      <c r="H35" s="541"/>
      <c r="I35" s="25" t="s">
        <v>36</v>
      </c>
      <c r="N35" s="29"/>
      <c r="O35" s="29"/>
      <c r="P35" s="30"/>
      <c r="Q35" s="30"/>
      <c r="R35" s="31"/>
      <c r="S35" s="31"/>
      <c r="T35" s="105"/>
      <c r="U35" s="26" t="s">
        <v>36</v>
      </c>
    </row>
    <row r="36" spans="1:21" hidden="1" x14ac:dyDescent="0.25">
      <c r="A36" s="447" t="s">
        <v>63</v>
      </c>
      <c r="B36" s="447"/>
      <c r="C36" s="93" t="s">
        <v>2</v>
      </c>
      <c r="D36" s="93" t="s">
        <v>2</v>
      </c>
      <c r="E36" s="93" t="s">
        <v>2</v>
      </c>
      <c r="F36" s="542"/>
      <c r="G36" s="542"/>
      <c r="H36" s="542"/>
      <c r="I36" s="32" t="s">
        <v>75</v>
      </c>
      <c r="N36" s="510" t="s">
        <v>63</v>
      </c>
      <c r="O36" s="510"/>
      <c r="P36" s="511" t="s">
        <v>24</v>
      </c>
      <c r="Q36" s="511"/>
      <c r="R36" s="511"/>
      <c r="S36" s="511"/>
      <c r="T36" s="511"/>
      <c r="U36" s="20" t="s">
        <v>75</v>
      </c>
    </row>
    <row r="37" spans="1:21" hidden="1" x14ac:dyDescent="0.25">
      <c r="A37" s="451" t="s">
        <v>56</v>
      </c>
      <c r="B37" s="451"/>
      <c r="C37" s="169">
        <v>0</v>
      </c>
      <c r="D37" s="169">
        <v>0</v>
      </c>
      <c r="E37" s="210">
        <f t="shared" ref="E37:E42" si="6">IF(D$43=0,C37*2,C37+D37)</f>
        <v>0</v>
      </c>
      <c r="F37" s="170"/>
      <c r="G37" s="170"/>
      <c r="H37" s="170"/>
      <c r="I37" s="119">
        <f t="shared" ref="I37:I42" si="7">ROUND(ROUND(E37*$C$8,4)*($H$8),2)</f>
        <v>0</v>
      </c>
      <c r="N37" s="512" t="s">
        <v>56</v>
      </c>
      <c r="O37" s="512"/>
      <c r="P37" s="483">
        <f t="shared" ref="P37:P42" si="8">IF($H$120=1,E37,0)</f>
        <v>0</v>
      </c>
      <c r="Q37" s="483"/>
      <c r="R37" s="483"/>
      <c r="S37" s="483"/>
      <c r="T37" s="483"/>
      <c r="U37" s="101">
        <f t="shared" ref="U37:U42" si="9">ROUND(ROUND(P37*$C$8,4)*($H$8),0)</f>
        <v>0</v>
      </c>
    </row>
    <row r="38" spans="1:21" hidden="1" x14ac:dyDescent="0.25">
      <c r="A38" s="453" t="s">
        <v>57</v>
      </c>
      <c r="B38" s="453"/>
      <c r="C38" s="172">
        <v>0</v>
      </c>
      <c r="D38" s="172">
        <v>0</v>
      </c>
      <c r="E38" s="125">
        <f t="shared" si="6"/>
        <v>0</v>
      </c>
      <c r="F38" s="173"/>
      <c r="G38" s="173"/>
      <c r="H38" s="173"/>
      <c r="I38" s="104">
        <f t="shared" si="7"/>
        <v>0</v>
      </c>
      <c r="N38" s="479" t="s">
        <v>57</v>
      </c>
      <c r="O38" s="479"/>
      <c r="P38" s="483">
        <f t="shared" si="8"/>
        <v>0</v>
      </c>
      <c r="Q38" s="483"/>
      <c r="R38" s="483"/>
      <c r="S38" s="483"/>
      <c r="T38" s="483"/>
      <c r="U38" s="101">
        <f t="shared" si="9"/>
        <v>0</v>
      </c>
    </row>
    <row r="39" spans="1:21" hidden="1" x14ac:dyDescent="0.25">
      <c r="A39" s="458" t="s">
        <v>58</v>
      </c>
      <c r="B39" s="458"/>
      <c r="C39" s="172">
        <v>0</v>
      </c>
      <c r="D39" s="172">
        <v>0</v>
      </c>
      <c r="E39" s="125">
        <f t="shared" si="6"/>
        <v>0</v>
      </c>
      <c r="F39" s="173"/>
      <c r="G39" s="173"/>
      <c r="H39" s="173"/>
      <c r="I39" s="104">
        <f t="shared" si="7"/>
        <v>0</v>
      </c>
      <c r="N39" s="509" t="s">
        <v>58</v>
      </c>
      <c r="O39" s="509"/>
      <c r="P39" s="483">
        <f t="shared" si="8"/>
        <v>0</v>
      </c>
      <c r="Q39" s="483"/>
      <c r="R39" s="483"/>
      <c r="S39" s="483"/>
      <c r="T39" s="483"/>
      <c r="U39" s="101">
        <f t="shared" si="9"/>
        <v>0</v>
      </c>
    </row>
    <row r="40" spans="1:21" hidden="1" x14ac:dyDescent="0.25">
      <c r="A40" s="453" t="s">
        <v>59</v>
      </c>
      <c r="B40" s="453"/>
      <c r="C40" s="172">
        <v>0</v>
      </c>
      <c r="D40" s="172">
        <v>0</v>
      </c>
      <c r="E40" s="125">
        <f t="shared" si="6"/>
        <v>0</v>
      </c>
      <c r="F40" s="173"/>
      <c r="G40" s="173"/>
      <c r="H40" s="173"/>
      <c r="I40" s="104">
        <f t="shared" si="7"/>
        <v>0</v>
      </c>
      <c r="N40" s="479" t="s">
        <v>59</v>
      </c>
      <c r="O40" s="479"/>
      <c r="P40" s="483">
        <f t="shared" si="8"/>
        <v>0</v>
      </c>
      <c r="Q40" s="483"/>
      <c r="R40" s="483"/>
      <c r="S40" s="483"/>
      <c r="T40" s="483"/>
      <c r="U40" s="101">
        <f t="shared" si="9"/>
        <v>0</v>
      </c>
    </row>
    <row r="41" spans="1:21" hidden="1" x14ac:dyDescent="0.25">
      <c r="A41" s="453" t="s">
        <v>60</v>
      </c>
      <c r="B41" s="453"/>
      <c r="C41" s="172">
        <v>0</v>
      </c>
      <c r="D41" s="172">
        <v>0</v>
      </c>
      <c r="E41" s="125">
        <f t="shared" si="6"/>
        <v>0</v>
      </c>
      <c r="F41" s="173"/>
      <c r="G41" s="173"/>
      <c r="H41" s="173"/>
      <c r="I41" s="104">
        <f t="shared" si="7"/>
        <v>0</v>
      </c>
      <c r="N41" s="479" t="s">
        <v>60</v>
      </c>
      <c r="O41" s="479"/>
      <c r="P41" s="483">
        <f t="shared" si="8"/>
        <v>0</v>
      </c>
      <c r="Q41" s="483"/>
      <c r="R41" s="483"/>
      <c r="S41" s="483"/>
      <c r="T41" s="483"/>
      <c r="U41" s="101">
        <f t="shared" si="9"/>
        <v>0</v>
      </c>
    </row>
    <row r="42" spans="1:21" hidden="1" x14ac:dyDescent="0.25">
      <c r="A42" s="453" t="s">
        <v>52</v>
      </c>
      <c r="B42" s="453"/>
      <c r="C42" s="171">
        <v>0</v>
      </c>
      <c r="D42" s="171">
        <v>0</v>
      </c>
      <c r="E42" s="177">
        <f t="shared" si="6"/>
        <v>0</v>
      </c>
      <c r="F42" s="173"/>
      <c r="G42" s="173"/>
      <c r="H42" s="173"/>
      <c r="I42" s="97">
        <f t="shared" si="7"/>
        <v>0</v>
      </c>
      <c r="N42" s="482" t="s">
        <v>52</v>
      </c>
      <c r="O42" s="482"/>
      <c r="P42" s="483">
        <f t="shared" si="8"/>
        <v>0</v>
      </c>
      <c r="Q42" s="483"/>
      <c r="R42" s="483"/>
      <c r="S42" s="483"/>
      <c r="T42" s="483"/>
      <c r="U42" s="101">
        <f t="shared" si="9"/>
        <v>0</v>
      </c>
    </row>
    <row r="43" spans="1:21" hidden="1" x14ac:dyDescent="0.25">
      <c r="A43" s="3"/>
      <c r="B43" s="55" t="s">
        <v>126</v>
      </c>
      <c r="C43" s="100">
        <f>SUM(C37:C42)</f>
        <v>0</v>
      </c>
      <c r="D43" s="100">
        <f>SUM(D37:D42)</f>
        <v>0</v>
      </c>
      <c r="E43" s="100">
        <f>SUM(E37:E42)</f>
        <v>0</v>
      </c>
      <c r="F43" s="33"/>
      <c r="G43" s="109"/>
      <c r="H43" s="110" t="s">
        <v>128</v>
      </c>
      <c r="I43" s="100">
        <f>SUM(I37:I42)</f>
        <v>0</v>
      </c>
      <c r="N43" s="480" t="s">
        <v>54</v>
      </c>
      <c r="O43" s="480"/>
      <c r="P43" s="480"/>
      <c r="Q43" s="480"/>
      <c r="R43" s="34">
        <f>SUM(P37:R42)</f>
        <v>0</v>
      </c>
      <c r="S43" s="508" t="s">
        <v>64</v>
      </c>
      <c r="T43" s="508"/>
      <c r="U43" s="106">
        <f>SUM(U37:U42)</f>
        <v>0</v>
      </c>
    </row>
    <row r="44" spans="1:21" ht="16.5" hidden="1" thickBot="1" x14ac:dyDescent="0.3">
      <c r="A44" s="3"/>
      <c r="B44" s="55"/>
      <c r="C44" s="104"/>
      <c r="D44" s="104"/>
      <c r="E44" s="119"/>
      <c r="F44" s="33"/>
      <c r="G44" s="109"/>
      <c r="H44" s="110"/>
      <c r="I44" s="104"/>
      <c r="N44" s="29"/>
      <c r="O44" s="29"/>
      <c r="P44" s="29"/>
      <c r="Q44" s="29"/>
      <c r="R44" s="34"/>
      <c r="S44" s="31"/>
      <c r="T44" s="31"/>
      <c r="U44" s="106"/>
    </row>
    <row r="45" spans="1:21" ht="16.5" hidden="1" thickBot="1" x14ac:dyDescent="0.3">
      <c r="A45" s="3"/>
      <c r="B45" s="55" t="s">
        <v>127</v>
      </c>
      <c r="E45" s="174">
        <f>H29+E43</f>
        <v>364.14579999999995</v>
      </c>
      <c r="F45" s="35"/>
      <c r="G45" s="109"/>
      <c r="H45" s="110" t="s">
        <v>129</v>
      </c>
      <c r="I45" s="97">
        <f>SUM(I43,I29)</f>
        <v>1743649.5799999998</v>
      </c>
      <c r="N45" s="480" t="s">
        <v>55</v>
      </c>
      <c r="O45" s="480"/>
      <c r="P45" s="480"/>
      <c r="Q45" s="480"/>
      <c r="R45" s="36">
        <f>R43+T29</f>
        <v>0</v>
      </c>
      <c r="S45" s="508" t="s">
        <v>53</v>
      </c>
      <c r="T45" s="508"/>
      <c r="U45" s="111">
        <f>SUM(U43,U29)</f>
        <v>0</v>
      </c>
    </row>
    <row r="46" spans="1:21" hidden="1" x14ac:dyDescent="0.25">
      <c r="A46" s="27"/>
      <c r="B46" s="27"/>
      <c r="C46" s="27"/>
      <c r="D46" s="27"/>
      <c r="E46" s="27"/>
      <c r="F46" s="35"/>
      <c r="G46" s="28"/>
      <c r="H46" s="28"/>
      <c r="I46" s="104"/>
      <c r="N46" s="29"/>
      <c r="O46" s="29"/>
      <c r="P46" s="29"/>
      <c r="Q46" s="29"/>
      <c r="R46" s="36"/>
      <c r="S46" s="31"/>
      <c r="T46" s="31"/>
      <c r="U46" s="106"/>
    </row>
    <row r="47" spans="1:21" x14ac:dyDescent="0.25">
      <c r="A47" s="27"/>
      <c r="B47" s="55" t="s">
        <v>370</v>
      </c>
      <c r="C47" s="372" t="s">
        <v>370</v>
      </c>
      <c r="D47" s="372" t="s">
        <v>370</v>
      </c>
      <c r="E47" s="27"/>
      <c r="F47" s="35"/>
      <c r="G47" s="28"/>
      <c r="H47" s="28"/>
      <c r="I47" s="104"/>
      <c r="N47" s="29"/>
      <c r="O47" s="29"/>
      <c r="P47" s="29"/>
      <c r="Q47" s="29"/>
      <c r="R47" s="36"/>
      <c r="S47" s="31"/>
      <c r="T47" s="31"/>
      <c r="U47" s="106"/>
    </row>
    <row r="48" spans="1:21" x14ac:dyDescent="0.25">
      <c r="A48" s="27"/>
      <c r="B48" s="27"/>
      <c r="C48" s="91" t="s">
        <v>463</v>
      </c>
      <c r="D48" s="371" t="s">
        <v>464</v>
      </c>
      <c r="E48" s="92" t="s">
        <v>8</v>
      </c>
      <c r="F48" s="49" t="s">
        <v>130</v>
      </c>
      <c r="G48" s="112" t="s">
        <v>132</v>
      </c>
      <c r="H48" s="113" t="s">
        <v>133</v>
      </c>
      <c r="I48" s="104"/>
      <c r="N48" s="29"/>
      <c r="O48" s="29"/>
      <c r="P48" s="29"/>
      <c r="Q48" s="29"/>
      <c r="R48" s="36"/>
      <c r="S48" s="31"/>
      <c r="T48" s="31"/>
      <c r="U48" s="106"/>
    </row>
    <row r="49" spans="1:21" x14ac:dyDescent="0.25">
      <c r="A49" s="37" t="s">
        <v>87</v>
      </c>
      <c r="B49" s="37"/>
      <c r="C49" s="362" t="s">
        <v>2</v>
      </c>
      <c r="D49" s="362" t="s">
        <v>2</v>
      </c>
      <c r="E49" s="362" t="s">
        <v>2</v>
      </c>
      <c r="F49" s="95" t="s">
        <v>131</v>
      </c>
      <c r="G49" s="62" t="s">
        <v>131</v>
      </c>
      <c r="H49" s="114" t="s">
        <v>134</v>
      </c>
      <c r="I49" s="37"/>
      <c r="N49" s="482" t="s">
        <v>87</v>
      </c>
      <c r="O49" s="482"/>
      <c r="P49" s="503" t="s">
        <v>2</v>
      </c>
      <c r="Q49" s="503"/>
      <c r="R49" s="38" t="s">
        <v>25</v>
      </c>
      <c r="S49" s="63" t="s">
        <v>26</v>
      </c>
      <c r="T49" s="115" t="s">
        <v>27</v>
      </c>
      <c r="U49" s="38"/>
    </row>
    <row r="50" spans="1:21" x14ac:dyDescent="0.25">
      <c r="A50" s="459" t="s">
        <v>98</v>
      </c>
      <c r="B50" s="459"/>
      <c r="C50" s="165">
        <v>3</v>
      </c>
      <c r="D50" s="165">
        <v>3</v>
      </c>
      <c r="E50" s="125">
        <f>IF(D$59=0,C50*2,C50+D50)</f>
        <v>6</v>
      </c>
      <c r="F50" s="39" t="s">
        <v>21</v>
      </c>
      <c r="G50" s="39">
        <v>251</v>
      </c>
      <c r="H50" s="321">
        <f>'0664'!H50</f>
        <v>1047</v>
      </c>
      <c r="I50" s="104">
        <f>ROUND(E50*H50,2)</f>
        <v>6282</v>
      </c>
      <c r="N50" s="504" t="s">
        <v>28</v>
      </c>
      <c r="O50" s="504"/>
      <c r="P50" s="505"/>
      <c r="Q50" s="505"/>
      <c r="R50" s="40" t="s">
        <v>21</v>
      </c>
      <c r="S50" s="40">
        <v>251</v>
      </c>
      <c r="T50" s="117">
        <f>H50</f>
        <v>1047</v>
      </c>
      <c r="U50" s="118">
        <f>ROUND(P50*T50,0)</f>
        <v>0</v>
      </c>
    </row>
    <row r="51" spans="1:21" x14ac:dyDescent="0.25">
      <c r="A51" s="460"/>
      <c r="B51" s="460"/>
      <c r="C51" s="165">
        <v>1.5</v>
      </c>
      <c r="D51" s="165">
        <v>1.5</v>
      </c>
      <c r="E51" s="125">
        <f t="shared" ref="E51:E58" si="10">IF(D$59=0,C51*2,C51+D51)</f>
        <v>3</v>
      </c>
      <c r="F51" s="39" t="s">
        <v>21</v>
      </c>
      <c r="G51" s="39">
        <v>252</v>
      </c>
      <c r="H51" s="321">
        <f>'0664'!H51</f>
        <v>3380</v>
      </c>
      <c r="I51" s="104">
        <f t="shared" ref="I51:I58" si="11">ROUND(E51*H51,2)</f>
        <v>10140</v>
      </c>
      <c r="N51" s="504"/>
      <c r="O51" s="504"/>
      <c r="P51" s="506"/>
      <c r="Q51" s="506"/>
      <c r="R51" s="40" t="s">
        <v>21</v>
      </c>
      <c r="S51" s="40">
        <v>252</v>
      </c>
      <c r="T51" s="117">
        <f t="shared" ref="T51:T58" si="12">H51</f>
        <v>3380</v>
      </c>
      <c r="U51" s="118">
        <f t="shared" ref="U51:U58" si="13">ROUND(P51*T51,0)</f>
        <v>0</v>
      </c>
    </row>
    <row r="52" spans="1:21" x14ac:dyDescent="0.25">
      <c r="A52" s="460"/>
      <c r="B52" s="460"/>
      <c r="C52" s="165">
        <v>0</v>
      </c>
      <c r="D52" s="165">
        <v>0</v>
      </c>
      <c r="E52" s="125">
        <f t="shared" si="10"/>
        <v>0</v>
      </c>
      <c r="F52" s="39" t="s">
        <v>21</v>
      </c>
      <c r="G52" s="39">
        <v>253</v>
      </c>
      <c r="H52" s="321">
        <f>'0664'!H52</f>
        <v>6896</v>
      </c>
      <c r="I52" s="104">
        <f t="shared" si="11"/>
        <v>0</v>
      </c>
      <c r="N52" s="504"/>
      <c r="O52" s="504"/>
      <c r="P52" s="506"/>
      <c r="Q52" s="506"/>
      <c r="R52" s="40" t="s">
        <v>21</v>
      </c>
      <c r="S52" s="40">
        <v>253</v>
      </c>
      <c r="T52" s="117">
        <f t="shared" si="12"/>
        <v>6896</v>
      </c>
      <c r="U52" s="118">
        <f t="shared" si="13"/>
        <v>0</v>
      </c>
    </row>
    <row r="53" spans="1:21" x14ac:dyDescent="0.25">
      <c r="A53" s="460"/>
      <c r="B53" s="460"/>
      <c r="C53" s="165">
        <v>12.94</v>
      </c>
      <c r="D53" s="165">
        <v>13.17</v>
      </c>
      <c r="E53" s="125">
        <f t="shared" si="10"/>
        <v>26.11</v>
      </c>
      <c r="F53" s="41" t="s">
        <v>14</v>
      </c>
      <c r="G53" s="39">
        <v>251</v>
      </c>
      <c r="H53" s="321">
        <f>'0664'!H53</f>
        <v>1173</v>
      </c>
      <c r="I53" s="104">
        <f t="shared" si="11"/>
        <v>30627.03</v>
      </c>
      <c r="N53" s="504"/>
      <c r="O53" s="504"/>
      <c r="P53" s="506"/>
      <c r="Q53" s="506"/>
      <c r="R53" s="42" t="s">
        <v>14</v>
      </c>
      <c r="S53" s="40">
        <v>251</v>
      </c>
      <c r="T53" s="117">
        <f t="shared" si="12"/>
        <v>1173</v>
      </c>
      <c r="U53" s="118">
        <f t="shared" si="13"/>
        <v>0</v>
      </c>
    </row>
    <row r="54" spans="1:21" x14ac:dyDescent="0.25">
      <c r="A54" s="460"/>
      <c r="B54" s="460"/>
      <c r="C54" s="165">
        <v>0.5</v>
      </c>
      <c r="D54" s="165">
        <v>0.51</v>
      </c>
      <c r="E54" s="125">
        <f t="shared" si="10"/>
        <v>1.01</v>
      </c>
      <c r="F54" s="41" t="s">
        <v>14</v>
      </c>
      <c r="G54" s="39">
        <v>252</v>
      </c>
      <c r="H54" s="321">
        <f>'0664'!H54</f>
        <v>3506</v>
      </c>
      <c r="I54" s="104">
        <f t="shared" si="11"/>
        <v>3541.06</v>
      </c>
      <c r="N54" s="504"/>
      <c r="O54" s="504"/>
      <c r="P54" s="506"/>
      <c r="Q54" s="506"/>
      <c r="R54" s="42" t="s">
        <v>14</v>
      </c>
      <c r="S54" s="40">
        <v>252</v>
      </c>
      <c r="T54" s="117">
        <f t="shared" si="12"/>
        <v>3506</v>
      </c>
      <c r="U54" s="118">
        <f t="shared" si="13"/>
        <v>0</v>
      </c>
    </row>
    <row r="55" spans="1:21" x14ac:dyDescent="0.25">
      <c r="A55" s="460"/>
      <c r="B55" s="460"/>
      <c r="C55" s="165">
        <v>0</v>
      </c>
      <c r="D55" s="165">
        <v>0</v>
      </c>
      <c r="E55" s="125">
        <f t="shared" si="10"/>
        <v>0</v>
      </c>
      <c r="F55" s="41" t="s">
        <v>14</v>
      </c>
      <c r="G55" s="39">
        <v>253</v>
      </c>
      <c r="H55" s="321">
        <f>'0664'!H55</f>
        <v>7023</v>
      </c>
      <c r="I55" s="104">
        <f t="shared" si="11"/>
        <v>0</v>
      </c>
      <c r="N55" s="504"/>
      <c r="O55" s="504"/>
      <c r="P55" s="506"/>
      <c r="Q55" s="506"/>
      <c r="R55" s="42" t="s">
        <v>14</v>
      </c>
      <c r="S55" s="40">
        <v>253</v>
      </c>
      <c r="T55" s="117">
        <f t="shared" si="12"/>
        <v>7023</v>
      </c>
      <c r="U55" s="118">
        <f t="shared" si="13"/>
        <v>0</v>
      </c>
    </row>
    <row r="56" spans="1:21" x14ac:dyDescent="0.25">
      <c r="A56" s="460"/>
      <c r="B56" s="460"/>
      <c r="C56" s="165">
        <v>0</v>
      </c>
      <c r="D56" s="165">
        <v>0</v>
      </c>
      <c r="E56" s="125">
        <f t="shared" si="10"/>
        <v>0</v>
      </c>
      <c r="F56" s="41" t="s">
        <v>15</v>
      </c>
      <c r="G56" s="39">
        <v>251</v>
      </c>
      <c r="H56" s="321">
        <f>'0664'!H56</f>
        <v>835</v>
      </c>
      <c r="I56" s="104">
        <f t="shared" si="11"/>
        <v>0</v>
      </c>
      <c r="N56" s="504"/>
      <c r="O56" s="504"/>
      <c r="P56" s="506"/>
      <c r="Q56" s="506"/>
      <c r="R56" s="42" t="s">
        <v>15</v>
      </c>
      <c r="S56" s="40">
        <v>251</v>
      </c>
      <c r="T56" s="117">
        <f t="shared" si="12"/>
        <v>835</v>
      </c>
      <c r="U56" s="118">
        <f t="shared" si="13"/>
        <v>0</v>
      </c>
    </row>
    <row r="57" spans="1:21" x14ac:dyDescent="0.25">
      <c r="A57" s="460"/>
      <c r="B57" s="460"/>
      <c r="C57" s="165">
        <v>0</v>
      </c>
      <c r="D57" s="165">
        <v>0</v>
      </c>
      <c r="E57" s="125">
        <f t="shared" si="10"/>
        <v>0</v>
      </c>
      <c r="F57" s="41" t="s">
        <v>15</v>
      </c>
      <c r="G57" s="39">
        <v>252</v>
      </c>
      <c r="H57" s="321">
        <f>'0664'!H57</f>
        <v>3168</v>
      </c>
      <c r="I57" s="104">
        <f t="shared" si="11"/>
        <v>0</v>
      </c>
      <c r="N57" s="504"/>
      <c r="O57" s="504"/>
      <c r="P57" s="506"/>
      <c r="Q57" s="506"/>
      <c r="R57" s="42" t="s">
        <v>15</v>
      </c>
      <c r="S57" s="40">
        <v>252</v>
      </c>
      <c r="T57" s="117">
        <f t="shared" si="12"/>
        <v>3168</v>
      </c>
      <c r="U57" s="118">
        <f t="shared" si="13"/>
        <v>0</v>
      </c>
    </row>
    <row r="58" spans="1:21" ht="16.5" thickBot="1" x14ac:dyDescent="0.3">
      <c r="A58" s="460"/>
      <c r="B58" s="460"/>
      <c r="C58" s="165">
        <v>0</v>
      </c>
      <c r="D58" s="165">
        <v>0</v>
      </c>
      <c r="E58" s="125">
        <f t="shared" si="10"/>
        <v>0</v>
      </c>
      <c r="F58" s="41" t="s">
        <v>15</v>
      </c>
      <c r="G58" s="39">
        <v>253</v>
      </c>
      <c r="H58" s="321">
        <f>'0664'!H58</f>
        <v>6685</v>
      </c>
      <c r="I58" s="104">
        <f t="shared" si="11"/>
        <v>0</v>
      </c>
      <c r="N58" s="504"/>
      <c r="O58" s="504"/>
      <c r="P58" s="507"/>
      <c r="Q58" s="507"/>
      <c r="R58" s="42" t="s">
        <v>15</v>
      </c>
      <c r="S58" s="40">
        <v>253</v>
      </c>
      <c r="T58" s="117">
        <f t="shared" si="12"/>
        <v>6685</v>
      </c>
      <c r="U58" s="120">
        <f t="shared" si="13"/>
        <v>0</v>
      </c>
    </row>
    <row r="59" spans="1:21" ht="16.5" thickBot="1" x14ac:dyDescent="0.3">
      <c r="A59" s="461" t="s">
        <v>16</v>
      </c>
      <c r="B59" s="461"/>
      <c r="C59" s="100">
        <f>SUM(C50:C58)</f>
        <v>17.939999999999998</v>
      </c>
      <c r="D59" s="100">
        <f>SUM(D50:D58)</f>
        <v>18.180000000000003</v>
      </c>
      <c r="E59" s="100">
        <f>SUM(E50:E58)</f>
        <v>36.119999999999997</v>
      </c>
      <c r="F59" s="461" t="s">
        <v>77</v>
      </c>
      <c r="G59" s="461"/>
      <c r="H59" s="461"/>
      <c r="I59" s="100">
        <f>SUM(I50:I58)</f>
        <v>50590.09</v>
      </c>
      <c r="N59" s="480" t="s">
        <v>16</v>
      </c>
      <c r="O59" s="480"/>
      <c r="P59" s="502">
        <f>SUM(P50:P58)</f>
        <v>0</v>
      </c>
      <c r="Q59" s="502"/>
      <c r="R59" s="480" t="s">
        <v>77</v>
      </c>
      <c r="S59" s="480"/>
      <c r="T59" s="480"/>
      <c r="U59" s="111">
        <f>SUM(U50:U58)</f>
        <v>0</v>
      </c>
    </row>
    <row r="60" spans="1:21" x14ac:dyDescent="0.25">
      <c r="A60" s="462"/>
      <c r="B60" s="462"/>
      <c r="C60" s="462"/>
      <c r="D60" s="462"/>
      <c r="E60" s="462"/>
      <c r="F60" s="462"/>
      <c r="G60" s="462"/>
      <c r="H60" s="462"/>
      <c r="I60" s="462"/>
      <c r="N60" s="484"/>
      <c r="O60" s="484"/>
      <c r="P60" s="484"/>
      <c r="Q60" s="484"/>
      <c r="R60" s="484"/>
      <c r="S60" s="484"/>
      <c r="T60" s="484"/>
      <c r="U60" s="484"/>
    </row>
    <row r="61" spans="1:21" x14ac:dyDescent="0.25">
      <c r="A61" s="463" t="s">
        <v>136</v>
      </c>
      <c r="B61" s="453"/>
      <c r="C61" s="453"/>
      <c r="D61" s="453"/>
      <c r="E61" s="453"/>
      <c r="F61" s="453"/>
      <c r="G61" s="453"/>
      <c r="H61" s="453"/>
      <c r="I61" s="453"/>
      <c r="N61" s="479" t="s">
        <v>88</v>
      </c>
      <c r="O61" s="479"/>
      <c r="P61" s="479"/>
      <c r="Q61" s="479"/>
      <c r="R61" s="479"/>
      <c r="S61" s="479"/>
      <c r="T61" s="479"/>
      <c r="U61" s="479"/>
    </row>
    <row r="62" spans="1:21" x14ac:dyDescent="0.25">
      <c r="A62" s="463" t="s">
        <v>138</v>
      </c>
      <c r="B62" s="453"/>
      <c r="C62" s="121">
        <f>E29</f>
        <v>344.42</v>
      </c>
      <c r="D62" s="464" t="s">
        <v>135</v>
      </c>
      <c r="E62" s="464"/>
      <c r="F62" s="464"/>
      <c r="G62" s="464"/>
      <c r="H62" s="335">
        <f>'0664'!H62</f>
        <v>193340.76</v>
      </c>
      <c r="I62" s="122"/>
      <c r="N62" s="478" t="s">
        <v>312</v>
      </c>
      <c r="O62" s="479"/>
      <c r="P62" s="43">
        <f>P29</f>
        <v>0</v>
      </c>
      <c r="Q62" s="498" t="s">
        <v>78</v>
      </c>
      <c r="R62" s="498"/>
      <c r="S62" s="498"/>
      <c r="T62" s="497">
        <f>H62</f>
        <v>193340.76</v>
      </c>
      <c r="U62" s="497"/>
    </row>
    <row r="63" spans="1:21" x14ac:dyDescent="0.25">
      <c r="B63" s="72"/>
      <c r="G63" s="44" t="s">
        <v>13</v>
      </c>
      <c r="H63" s="123">
        <f>ROUND(C62/H62,6)</f>
        <v>1.781E-3</v>
      </c>
      <c r="I63" s="124"/>
      <c r="N63" s="479" t="s">
        <v>19</v>
      </c>
      <c r="O63" s="479"/>
      <c r="P63" s="479"/>
      <c r="Q63" s="479"/>
      <c r="R63" s="479"/>
      <c r="S63" s="479"/>
      <c r="T63" s="501">
        <f>ROUND(P62/T62,6)</f>
        <v>0</v>
      </c>
      <c r="U63" s="501"/>
    </row>
    <row r="64" spans="1:21" x14ac:dyDescent="0.25">
      <c r="A64" s="463" t="s">
        <v>137</v>
      </c>
      <c r="B64" s="453"/>
      <c r="C64" s="453"/>
      <c r="D64" s="453"/>
      <c r="E64" s="453"/>
      <c r="F64" s="453"/>
      <c r="G64" s="453"/>
      <c r="H64" s="453"/>
      <c r="I64" s="453"/>
      <c r="N64" s="479" t="s">
        <v>89</v>
      </c>
      <c r="O64" s="479"/>
      <c r="P64" s="479"/>
      <c r="Q64" s="479"/>
      <c r="R64" s="479"/>
      <c r="S64" s="479"/>
      <c r="T64" s="479"/>
      <c r="U64" s="479"/>
    </row>
    <row r="65" spans="1:21" x14ac:dyDescent="0.25">
      <c r="A65" s="463" t="s">
        <v>139</v>
      </c>
      <c r="B65" s="453"/>
      <c r="C65" s="121">
        <f>E45</f>
        <v>364.14579999999995</v>
      </c>
      <c r="D65" s="464" t="s">
        <v>140</v>
      </c>
      <c r="E65" s="464"/>
      <c r="F65" s="464"/>
      <c r="G65" s="464"/>
      <c r="H65" s="336">
        <f>'0664'!H65</f>
        <v>216845.88</v>
      </c>
      <c r="I65" s="125"/>
      <c r="N65" s="479" t="s">
        <v>80</v>
      </c>
      <c r="O65" s="479"/>
      <c r="P65" s="43">
        <f>R45</f>
        <v>0</v>
      </c>
      <c r="Q65" s="498" t="s">
        <v>79</v>
      </c>
      <c r="R65" s="498"/>
      <c r="S65" s="498"/>
      <c r="T65" s="497">
        <f>H65</f>
        <v>216845.88</v>
      </c>
      <c r="U65" s="497"/>
    </row>
    <row r="66" spans="1:21" s="37" customFormat="1" x14ac:dyDescent="0.25">
      <c r="A66" s="126"/>
      <c r="G66" s="45" t="s">
        <v>13</v>
      </c>
      <c r="H66" s="127">
        <f>ROUND(C65/H65,6)</f>
        <v>1.6789999999999999E-3</v>
      </c>
      <c r="I66" s="127"/>
      <c r="N66" s="482" t="s">
        <v>20</v>
      </c>
      <c r="O66" s="482"/>
      <c r="P66" s="482"/>
      <c r="Q66" s="482"/>
      <c r="R66" s="482"/>
      <c r="S66" s="482"/>
      <c r="T66" s="500">
        <f>ROUND(P65/T65,6)</f>
        <v>0</v>
      </c>
      <c r="U66" s="500"/>
    </row>
    <row r="67" spans="1:21" x14ac:dyDescent="0.25">
      <c r="G67" s="44"/>
      <c r="H67" s="123"/>
      <c r="I67" s="123"/>
      <c r="N67" s="48"/>
      <c r="O67" s="48"/>
      <c r="P67" s="48"/>
      <c r="Q67" s="48"/>
      <c r="R67" s="128"/>
      <c r="S67" s="48"/>
      <c r="T67" s="129"/>
      <c r="U67" s="130"/>
    </row>
    <row r="68" spans="1:21" x14ac:dyDescent="0.25">
      <c r="A68" s="453" t="s">
        <v>85</v>
      </c>
      <c r="B68" s="453"/>
      <c r="C68" s="453"/>
      <c r="D68" s="72"/>
      <c r="E68" s="46" t="s">
        <v>3</v>
      </c>
      <c r="F68" s="337">
        <f>'0664'!F68</f>
        <v>42465042</v>
      </c>
      <c r="G68" s="39" t="s">
        <v>6</v>
      </c>
      <c r="H68" s="131">
        <f>H63</f>
        <v>1.781E-3</v>
      </c>
      <c r="I68" s="104">
        <f>ROUND(F68*H68,2)</f>
        <v>75630.240000000005</v>
      </c>
      <c r="N68" s="479" t="s">
        <v>85</v>
      </c>
      <c r="O68" s="479"/>
      <c r="P68" s="479"/>
      <c r="Q68" s="47"/>
      <c r="R68" s="132">
        <f>F68</f>
        <v>42465042</v>
      </c>
      <c r="S68" s="40" t="s">
        <v>6</v>
      </c>
      <c r="T68" s="133">
        <f>T63</f>
        <v>0</v>
      </c>
      <c r="U68" s="99">
        <f>ROUND(R68*T68,0)</f>
        <v>0</v>
      </c>
    </row>
    <row r="69" spans="1:21" x14ac:dyDescent="0.25">
      <c r="A69" s="458" t="s">
        <v>96</v>
      </c>
      <c r="B69" s="453"/>
      <c r="C69" s="453"/>
      <c r="D69" s="72"/>
      <c r="E69" s="46"/>
      <c r="F69" s="136"/>
      <c r="G69" s="39"/>
      <c r="H69" s="131"/>
      <c r="I69" s="104"/>
      <c r="N69" s="479" t="s">
        <v>84</v>
      </c>
      <c r="O69" s="479"/>
      <c r="P69" s="479"/>
      <c r="Q69" s="54"/>
      <c r="R69" s="54"/>
      <c r="S69" s="54"/>
      <c r="T69" s="54"/>
      <c r="U69" s="54"/>
    </row>
    <row r="70" spans="1:21" x14ac:dyDescent="0.25">
      <c r="A70" s="465" t="s">
        <v>141</v>
      </c>
      <c r="B70" s="453"/>
      <c r="C70" s="453"/>
      <c r="D70" s="72"/>
      <c r="E70" s="46" t="s">
        <v>3</v>
      </c>
      <c r="F70" s="337">
        <f>'0664'!F70</f>
        <v>0</v>
      </c>
      <c r="G70" s="39" t="s">
        <v>6</v>
      </c>
      <c r="H70" s="131">
        <f>H63</f>
        <v>1.781E-3</v>
      </c>
      <c r="I70" s="104">
        <f>ROUND(F70*H70,2)</f>
        <v>0</v>
      </c>
      <c r="N70" s="48"/>
      <c r="O70" s="48"/>
      <c r="P70" s="48"/>
      <c r="Q70" s="47"/>
      <c r="R70" s="132">
        <f>F70</f>
        <v>0</v>
      </c>
      <c r="S70" s="40" t="s">
        <v>6</v>
      </c>
      <c r="T70" s="133">
        <f>T63</f>
        <v>0</v>
      </c>
      <c r="U70" s="99">
        <f>ROUND(R70*T70,0)</f>
        <v>0</v>
      </c>
    </row>
    <row r="71" spans="1:21" x14ac:dyDescent="0.25">
      <c r="A71" s="463" t="s">
        <v>433</v>
      </c>
      <c r="B71" s="453"/>
      <c r="C71" s="453"/>
      <c r="D71" s="72"/>
      <c r="E71" s="46" t="s">
        <v>3</v>
      </c>
      <c r="F71" s="337">
        <f>'0664'!F71</f>
        <v>13414654</v>
      </c>
      <c r="G71" s="39" t="s">
        <v>6</v>
      </c>
      <c r="H71" s="131">
        <f>H63</f>
        <v>1.781E-3</v>
      </c>
      <c r="I71" s="104">
        <f>ROUND(F71*H71,2)</f>
        <v>23891.5</v>
      </c>
      <c r="N71" s="479" t="s">
        <v>83</v>
      </c>
      <c r="O71" s="479"/>
      <c r="P71" s="479"/>
      <c r="Q71" s="47"/>
      <c r="R71" s="132">
        <f>F71</f>
        <v>13414654</v>
      </c>
      <c r="S71" s="40" t="s">
        <v>6</v>
      </c>
      <c r="T71" s="133">
        <f>T63</f>
        <v>0</v>
      </c>
      <c r="U71" s="99">
        <f>ROUND(R71*T71,0)</f>
        <v>0</v>
      </c>
    </row>
    <row r="72" spans="1:21" x14ac:dyDescent="0.25">
      <c r="A72" s="463" t="s">
        <v>434</v>
      </c>
      <c r="B72" s="453"/>
      <c r="C72" s="453"/>
      <c r="D72" s="72"/>
      <c r="E72" s="46" t="s">
        <v>3</v>
      </c>
      <c r="F72" s="337">
        <f>'0664'!F72</f>
        <v>14708421</v>
      </c>
      <c r="G72" s="39" t="s">
        <v>6</v>
      </c>
      <c r="H72" s="131">
        <f>H63</f>
        <v>1.781E-3</v>
      </c>
      <c r="I72" s="104">
        <f>ROUND(F72*H72,2)</f>
        <v>26195.7</v>
      </c>
      <c r="N72" s="479" t="s">
        <v>82</v>
      </c>
      <c r="O72" s="479"/>
      <c r="P72" s="479"/>
      <c r="Q72" s="47"/>
      <c r="R72" s="134">
        <f>F72</f>
        <v>14708421</v>
      </c>
      <c r="S72" s="40" t="s">
        <v>6</v>
      </c>
      <c r="T72" s="133">
        <f>T63</f>
        <v>0</v>
      </c>
      <c r="U72" s="99">
        <f>ROUND(R72*T72,0)</f>
        <v>0</v>
      </c>
    </row>
    <row r="73" spans="1:21" x14ac:dyDescent="0.25">
      <c r="A73" s="263" t="s">
        <v>99</v>
      </c>
      <c r="D73" s="72"/>
      <c r="E73" s="41" t="s">
        <v>353</v>
      </c>
      <c r="F73" s="466"/>
      <c r="G73" s="466"/>
      <c r="H73" s="466"/>
      <c r="I73" s="104">
        <v>0</v>
      </c>
      <c r="N73" s="499" t="s">
        <v>118</v>
      </c>
      <c r="O73" s="499"/>
      <c r="P73" s="499"/>
      <c r="Q73" s="499"/>
      <c r="R73" s="499"/>
      <c r="S73" s="499"/>
      <c r="T73" s="499"/>
      <c r="U73" s="99">
        <f>IF($H$120=1,I73,0)</f>
        <v>0</v>
      </c>
    </row>
    <row r="74" spans="1:21" x14ac:dyDescent="0.25">
      <c r="A74" s="264" t="s">
        <v>142</v>
      </c>
      <c r="I74" s="104"/>
      <c r="N74" s="499" t="s">
        <v>43</v>
      </c>
      <c r="O74" s="499"/>
      <c r="P74" s="499"/>
      <c r="Q74" s="499"/>
      <c r="R74" s="499"/>
      <c r="S74" s="499"/>
      <c r="T74" s="499"/>
      <c r="U74" s="99">
        <f>IF($H$120=1,I74,0)</f>
        <v>0</v>
      </c>
    </row>
    <row r="75" spans="1:21" x14ac:dyDescent="0.25">
      <c r="A75" s="324" t="s">
        <v>101</v>
      </c>
      <c r="B75" s="72"/>
      <c r="C75" s="72"/>
      <c r="D75" s="72"/>
      <c r="E75" s="72"/>
      <c r="F75" s="72"/>
      <c r="G75" s="72"/>
      <c r="H75" s="72"/>
      <c r="I75" s="135"/>
      <c r="N75" s="382" t="s">
        <v>44</v>
      </c>
      <c r="O75" s="48"/>
      <c r="P75" s="48"/>
      <c r="Q75" s="48"/>
      <c r="R75" s="48"/>
      <c r="S75" s="48"/>
      <c r="T75" s="48"/>
      <c r="U75" s="106"/>
    </row>
    <row r="76" spans="1:21" x14ac:dyDescent="0.25">
      <c r="A76" s="463" t="s">
        <v>435</v>
      </c>
      <c r="B76" s="453"/>
      <c r="C76" s="453"/>
      <c r="D76" s="72"/>
      <c r="E76" s="46" t="s">
        <v>3</v>
      </c>
      <c r="F76" s="337">
        <f>'0664'!F76</f>
        <v>8720092</v>
      </c>
      <c r="G76" s="39" t="s">
        <v>6</v>
      </c>
      <c r="H76" s="131">
        <f>H63</f>
        <v>1.781E-3</v>
      </c>
      <c r="I76" s="104">
        <f t="shared" ref="I76:I85" si="14">ROUND(F76*H76,2)</f>
        <v>15530.48</v>
      </c>
      <c r="N76" s="478" t="s">
        <v>366</v>
      </c>
      <c r="O76" s="479"/>
      <c r="P76" s="479"/>
      <c r="Q76" s="47"/>
      <c r="R76" s="134">
        <f t="shared" ref="R76:R85" si="15">F76</f>
        <v>8720092</v>
      </c>
      <c r="S76" s="40" t="s">
        <v>6</v>
      </c>
      <c r="T76" s="133">
        <f>T63</f>
        <v>0</v>
      </c>
      <c r="U76" s="99">
        <f t="shared" ref="U76:U85" si="16">ROUND(R76*T76,0)</f>
        <v>0</v>
      </c>
    </row>
    <row r="77" spans="1:21" x14ac:dyDescent="0.25">
      <c r="A77" s="463" t="s">
        <v>436</v>
      </c>
      <c r="B77" s="453"/>
      <c r="C77" s="453"/>
      <c r="D77" s="72"/>
      <c r="E77" s="46" t="s">
        <v>3</v>
      </c>
      <c r="F77" s="337">
        <f>'0664'!F77</f>
        <v>0</v>
      </c>
      <c r="G77" s="39" t="s">
        <v>6</v>
      </c>
      <c r="H77" s="131">
        <f>H63</f>
        <v>1.781E-3</v>
      </c>
      <c r="I77" s="104">
        <f t="shared" si="14"/>
        <v>0</v>
      </c>
      <c r="N77" s="479" t="s">
        <v>367</v>
      </c>
      <c r="O77" s="479"/>
      <c r="P77" s="479"/>
      <c r="Q77" s="47"/>
      <c r="R77" s="134">
        <f t="shared" si="15"/>
        <v>0</v>
      </c>
      <c r="S77" s="40" t="s">
        <v>6</v>
      </c>
      <c r="T77" s="133">
        <f>T63</f>
        <v>0</v>
      </c>
      <c r="U77" s="99">
        <f t="shared" si="16"/>
        <v>0</v>
      </c>
    </row>
    <row r="78" spans="1:21" x14ac:dyDescent="0.25">
      <c r="A78" s="463" t="s">
        <v>437</v>
      </c>
      <c r="B78" s="453"/>
      <c r="C78" s="453"/>
      <c r="D78" s="72"/>
      <c r="E78" s="46" t="s">
        <v>4</v>
      </c>
      <c r="F78" s="337">
        <f>'0664'!F78</f>
        <v>0</v>
      </c>
      <c r="G78" s="39" t="s">
        <v>6</v>
      </c>
      <c r="H78" s="131">
        <f>H66</f>
        <v>1.6789999999999999E-3</v>
      </c>
      <c r="I78" s="104">
        <f t="shared" si="14"/>
        <v>0</v>
      </c>
      <c r="N78" s="478" t="s">
        <v>392</v>
      </c>
      <c r="O78" s="479"/>
      <c r="P78" s="479"/>
      <c r="Q78" s="47"/>
      <c r="R78" s="134">
        <f t="shared" si="15"/>
        <v>0</v>
      </c>
      <c r="S78" s="40" t="s">
        <v>6</v>
      </c>
      <c r="T78" s="133">
        <f>T66</f>
        <v>0</v>
      </c>
      <c r="U78" s="99">
        <f t="shared" si="16"/>
        <v>0</v>
      </c>
    </row>
    <row r="79" spans="1:21" x14ac:dyDescent="0.25">
      <c r="A79" s="463" t="s">
        <v>438</v>
      </c>
      <c r="B79" s="453"/>
      <c r="C79" s="453"/>
      <c r="D79" s="72"/>
      <c r="E79" s="46" t="s">
        <v>4</v>
      </c>
      <c r="F79" s="337">
        <f>'0664'!F79</f>
        <v>11278687</v>
      </c>
      <c r="G79" s="39" t="s">
        <v>6</v>
      </c>
      <c r="H79" s="131">
        <f>H66</f>
        <v>1.6789999999999999E-3</v>
      </c>
      <c r="I79" s="104">
        <f t="shared" si="14"/>
        <v>18936.919999999998</v>
      </c>
      <c r="N79" s="478" t="s">
        <v>393</v>
      </c>
      <c r="O79" s="479"/>
      <c r="P79" s="479"/>
      <c r="Q79" s="47"/>
      <c r="R79" s="134">
        <f t="shared" si="15"/>
        <v>11278687</v>
      </c>
      <c r="S79" s="40" t="s">
        <v>6</v>
      </c>
      <c r="T79" s="133">
        <f>T66</f>
        <v>0</v>
      </c>
      <c r="U79" s="99">
        <f t="shared" si="16"/>
        <v>0</v>
      </c>
    </row>
    <row r="80" spans="1:21" x14ac:dyDescent="0.25">
      <c r="A80" s="463" t="s">
        <v>439</v>
      </c>
      <c r="B80" s="453"/>
      <c r="C80" s="453"/>
      <c r="D80" s="72"/>
      <c r="E80" s="46" t="s">
        <v>4</v>
      </c>
      <c r="F80" s="337">
        <f>'0664'!F80</f>
        <v>206284749</v>
      </c>
      <c r="G80" s="39" t="s">
        <v>6</v>
      </c>
      <c r="H80" s="131">
        <f>H66</f>
        <v>1.6789999999999999E-3</v>
      </c>
      <c r="I80" s="104">
        <f t="shared" si="14"/>
        <v>346352.09</v>
      </c>
      <c r="N80" s="478" t="s">
        <v>397</v>
      </c>
      <c r="O80" s="479"/>
      <c r="P80" s="479"/>
      <c r="Q80" s="47"/>
      <c r="R80" s="134">
        <f t="shared" si="15"/>
        <v>206284749</v>
      </c>
      <c r="S80" s="40" t="s">
        <v>6</v>
      </c>
      <c r="T80" s="133">
        <f>T66</f>
        <v>0</v>
      </c>
      <c r="U80" s="99">
        <f t="shared" si="16"/>
        <v>0</v>
      </c>
    </row>
    <row r="81" spans="1:21" x14ac:dyDescent="0.25">
      <c r="A81" s="84" t="s">
        <v>440</v>
      </c>
      <c r="B81" s="72"/>
      <c r="C81" s="72"/>
      <c r="D81" s="72"/>
      <c r="E81" s="46"/>
      <c r="F81" s="337"/>
      <c r="G81" s="39"/>
      <c r="H81" s="131"/>
      <c r="I81" s="104"/>
      <c r="N81" s="419" t="s">
        <v>440</v>
      </c>
      <c r="O81" s="48"/>
      <c r="P81" s="48"/>
      <c r="Q81" s="47"/>
      <c r="R81" s="423"/>
      <c r="S81" s="40"/>
      <c r="T81" s="133"/>
      <c r="U81" s="120"/>
    </row>
    <row r="82" spans="1:21" x14ac:dyDescent="0.25">
      <c r="A82" s="264" t="s">
        <v>441</v>
      </c>
      <c r="B82" s="72"/>
      <c r="C82" s="72"/>
      <c r="D82" s="72"/>
      <c r="E82" s="46" t="s">
        <v>442</v>
      </c>
      <c r="F82" s="337">
        <f>'0664'!F82</f>
        <v>0</v>
      </c>
      <c r="G82" s="39" t="s">
        <v>6</v>
      </c>
      <c r="H82" s="131">
        <f>H66</f>
        <v>1.6789999999999999E-3</v>
      </c>
      <c r="I82" s="104">
        <v>58551.79</v>
      </c>
      <c r="N82" s="422" t="s">
        <v>441</v>
      </c>
      <c r="O82" s="48"/>
      <c r="P82" s="48"/>
      <c r="Q82" s="47"/>
      <c r="R82" s="134">
        <f t="shared" si="15"/>
        <v>0</v>
      </c>
      <c r="S82" s="40"/>
      <c r="T82" s="133"/>
      <c r="U82" s="99">
        <f t="shared" si="16"/>
        <v>0</v>
      </c>
    </row>
    <row r="83" spans="1:21" x14ac:dyDescent="0.25">
      <c r="A83" s="264" t="s">
        <v>443</v>
      </c>
      <c r="B83" s="72"/>
      <c r="C83" s="72"/>
      <c r="D83" s="72"/>
      <c r="E83" s="46" t="s">
        <v>442</v>
      </c>
      <c r="F83" s="337">
        <f>'0664'!F83</f>
        <v>0</v>
      </c>
      <c r="G83" s="39" t="s">
        <v>6</v>
      </c>
      <c r="H83" s="131">
        <f>H66</f>
        <v>1.6789999999999999E-3</v>
      </c>
      <c r="I83" s="104">
        <v>26614.45</v>
      </c>
      <c r="N83" s="422" t="s">
        <v>443</v>
      </c>
      <c r="O83" s="48"/>
      <c r="P83" s="48"/>
      <c r="Q83" s="47"/>
      <c r="R83" s="134">
        <f t="shared" si="15"/>
        <v>0</v>
      </c>
      <c r="S83" s="40"/>
      <c r="T83" s="133"/>
      <c r="U83" s="99">
        <f t="shared" si="16"/>
        <v>0</v>
      </c>
    </row>
    <row r="84" spans="1:21" x14ac:dyDescent="0.25">
      <c r="A84" s="420" t="s">
        <v>444</v>
      </c>
      <c r="B84" s="72"/>
      <c r="C84" s="72"/>
      <c r="D84" s="72"/>
      <c r="E84" s="46"/>
      <c r="F84" s="337"/>
      <c r="G84" s="39"/>
      <c r="H84" s="131"/>
      <c r="I84" s="104">
        <f>I82+I83</f>
        <v>85166.24</v>
      </c>
      <c r="N84" s="421" t="s">
        <v>444</v>
      </c>
      <c r="O84" s="48"/>
      <c r="P84" s="48"/>
      <c r="Q84" s="47"/>
      <c r="R84" s="423"/>
      <c r="S84" s="40"/>
      <c r="T84" s="133"/>
      <c r="U84" s="99">
        <f>U82+U83</f>
        <v>0</v>
      </c>
    </row>
    <row r="85" spans="1:21" x14ac:dyDescent="0.25">
      <c r="A85" s="463" t="s">
        <v>398</v>
      </c>
      <c r="B85" s="453"/>
      <c r="C85" s="453"/>
      <c r="D85" s="72"/>
      <c r="E85" s="46" t="s">
        <v>4</v>
      </c>
      <c r="F85" s="337">
        <f>'0664'!F85</f>
        <v>0</v>
      </c>
      <c r="G85" s="39" t="s">
        <v>6</v>
      </c>
      <c r="H85" s="131">
        <f>H66</f>
        <v>1.6789999999999999E-3</v>
      </c>
      <c r="I85" s="104">
        <f t="shared" si="14"/>
        <v>0</v>
      </c>
      <c r="N85" s="478" t="s">
        <v>398</v>
      </c>
      <c r="O85" s="479"/>
      <c r="P85" s="479"/>
      <c r="Q85" s="47"/>
      <c r="R85" s="132">
        <f t="shared" si="15"/>
        <v>0</v>
      </c>
      <c r="S85" s="40" t="s">
        <v>6</v>
      </c>
      <c r="T85" s="133">
        <f>T66</f>
        <v>0</v>
      </c>
      <c r="U85" s="99">
        <f t="shared" si="16"/>
        <v>0</v>
      </c>
    </row>
    <row r="86" spans="1:21" x14ac:dyDescent="0.25">
      <c r="B86" s="72"/>
      <c r="C86" s="72"/>
      <c r="D86" s="72"/>
      <c r="E86" s="46"/>
      <c r="F86" s="136"/>
      <c r="G86" s="39"/>
      <c r="H86" s="131"/>
      <c r="I86" s="104"/>
      <c r="N86" s="48"/>
      <c r="O86" s="48"/>
      <c r="P86" s="48"/>
      <c r="Q86" s="47"/>
      <c r="R86" s="137"/>
      <c r="S86" s="40"/>
      <c r="T86" s="133"/>
      <c r="U86" s="106"/>
    </row>
    <row r="87" spans="1:21" x14ac:dyDescent="0.25">
      <c r="A87" s="463" t="s">
        <v>445</v>
      </c>
      <c r="B87" s="453"/>
      <c r="C87" s="453"/>
      <c r="D87" s="453"/>
      <c r="E87" s="453"/>
      <c r="F87" s="453"/>
      <c r="G87" s="453"/>
      <c r="H87" s="453"/>
      <c r="I87" s="453"/>
      <c r="N87" s="478" t="s">
        <v>429</v>
      </c>
      <c r="O87" s="479"/>
      <c r="P87" s="479"/>
      <c r="Q87" s="479"/>
      <c r="R87" s="479"/>
      <c r="S87" s="479"/>
      <c r="T87" s="479"/>
      <c r="U87" s="479"/>
    </row>
    <row r="88" spans="1:21" x14ac:dyDescent="0.25">
      <c r="B88" s="72"/>
      <c r="C88" s="466" t="s">
        <v>73</v>
      </c>
      <c r="D88" s="466"/>
      <c r="E88" s="72"/>
      <c r="F88" s="41" t="s">
        <v>37</v>
      </c>
      <c r="G88" s="72"/>
      <c r="H88" s="72"/>
      <c r="I88" s="72"/>
      <c r="N88" s="48"/>
      <c r="O88" s="48"/>
      <c r="P88" s="48"/>
      <c r="Q88" s="48"/>
      <c r="R88" s="48"/>
      <c r="S88" s="48"/>
      <c r="T88" s="48"/>
      <c r="U88" s="48"/>
    </row>
    <row r="89" spans="1:21" x14ac:dyDescent="0.25">
      <c r="A89" s="3"/>
      <c r="B89" s="138"/>
      <c r="C89" s="462" t="s">
        <v>144</v>
      </c>
      <c r="D89" s="462"/>
      <c r="E89" s="139" t="s">
        <v>150</v>
      </c>
      <c r="F89" s="140" t="s">
        <v>149</v>
      </c>
      <c r="G89" s="141"/>
      <c r="H89" s="141"/>
      <c r="I89" s="141"/>
      <c r="N89" s="495" t="s">
        <v>46</v>
      </c>
      <c r="O89" s="495"/>
      <c r="P89" s="496" t="s">
        <v>119</v>
      </c>
      <c r="Q89" s="496"/>
      <c r="R89" s="497" t="s">
        <v>40</v>
      </c>
      <c r="S89" s="497"/>
      <c r="T89" s="497"/>
      <c r="U89" s="497"/>
    </row>
    <row r="90" spans="1:21" x14ac:dyDescent="0.25">
      <c r="A90" s="27"/>
      <c r="B90" s="55" t="s">
        <v>148</v>
      </c>
      <c r="C90" s="467">
        <f>H13+H14+H19+H22+H25</f>
        <v>155.95329999999998</v>
      </c>
      <c r="D90" s="467"/>
      <c r="E90" s="49">
        <f>H8</f>
        <v>1.0438000000000001</v>
      </c>
      <c r="F90" s="338">
        <f>'0664'!F90</f>
        <v>957.94</v>
      </c>
      <c r="G90" s="41" t="s">
        <v>13</v>
      </c>
      <c r="H90" s="104">
        <f>ROUND(C90*E90*F90,2)</f>
        <v>155937.35999999999</v>
      </c>
      <c r="I90" s="107"/>
      <c r="N90" s="29" t="s">
        <v>22</v>
      </c>
      <c r="O90" s="50">
        <f>T13+T14+T19+T22+T25</f>
        <v>0</v>
      </c>
      <c r="P90" s="490">
        <f>T8</f>
        <v>1.0438000000000001</v>
      </c>
      <c r="Q90" s="490"/>
      <c r="R90" s="51">
        <f>F90</f>
        <v>957.94</v>
      </c>
      <c r="S90" s="42" t="s">
        <v>13</v>
      </c>
      <c r="T90" s="134">
        <f>ROUND(O90*P90*R90,0)</f>
        <v>0</v>
      </c>
      <c r="U90" s="105"/>
    </row>
    <row r="91" spans="1:21" x14ac:dyDescent="0.25">
      <c r="A91" s="52"/>
      <c r="B91" s="52" t="s">
        <v>147</v>
      </c>
      <c r="C91" s="467">
        <f>H15+H16+H20+H23+H26</f>
        <v>208.19250000000002</v>
      </c>
      <c r="D91" s="467"/>
      <c r="E91" s="49">
        <f>H8</f>
        <v>1.0438000000000001</v>
      </c>
      <c r="F91" s="338">
        <f>'0664'!F91</f>
        <v>914.63</v>
      </c>
      <c r="G91" s="41" t="s">
        <v>13</v>
      </c>
      <c r="H91" s="104">
        <f>ROUND(C91*E91*F91,2)</f>
        <v>198759.46</v>
      </c>
      <c r="N91" s="53" t="s">
        <v>14</v>
      </c>
      <c r="O91" s="50">
        <f>T15+T16+T20+T23+T26</f>
        <v>0</v>
      </c>
      <c r="P91" s="490">
        <f>T8</f>
        <v>1.0438000000000001</v>
      </c>
      <c r="Q91" s="490"/>
      <c r="R91" s="51">
        <f>F91</f>
        <v>914.63</v>
      </c>
      <c r="S91" s="42" t="s">
        <v>13</v>
      </c>
      <c r="T91" s="134">
        <f>ROUND(O91*P91*R91,0)</f>
        <v>0</v>
      </c>
      <c r="U91" s="54"/>
    </row>
    <row r="92" spans="1:21" ht="16.5" thickBot="1" x14ac:dyDescent="0.3">
      <c r="A92" s="55"/>
      <c r="B92" s="55" t="s">
        <v>146</v>
      </c>
      <c r="C92" s="467">
        <f>H17+H18+H21+H24+H27+H28</f>
        <v>0</v>
      </c>
      <c r="D92" s="467"/>
      <c r="E92" s="49">
        <f>H8</f>
        <v>1.0438000000000001</v>
      </c>
      <c r="F92" s="338">
        <f>'0664'!F92</f>
        <v>916.84</v>
      </c>
      <c r="G92" s="41" t="s">
        <v>13</v>
      </c>
      <c r="H92" s="97">
        <f>ROUND(C92*E92*F92,2)</f>
        <v>0</v>
      </c>
      <c r="N92" s="56" t="s">
        <v>15</v>
      </c>
      <c r="O92" s="57">
        <f>T17+T18+T21+T24+T27+T28</f>
        <v>0</v>
      </c>
      <c r="P92" s="490">
        <f>T8</f>
        <v>1.0438000000000001</v>
      </c>
      <c r="Q92" s="490"/>
      <c r="R92" s="51">
        <f>F92</f>
        <v>916.84</v>
      </c>
      <c r="S92" s="42" t="s">
        <v>13</v>
      </c>
      <c r="T92" s="134">
        <f>ROUND(O92*P92*R92,0)</f>
        <v>0</v>
      </c>
      <c r="U92" s="54"/>
    </row>
    <row r="93" spans="1:21" ht="16.5" thickBot="1" x14ac:dyDescent="0.3">
      <c r="A93" s="58"/>
      <c r="B93" s="142" t="s">
        <v>145</v>
      </c>
      <c r="C93" s="469">
        <f>SUM(C90:C92)</f>
        <v>364.14580000000001</v>
      </c>
      <c r="D93" s="469"/>
      <c r="E93" s="143"/>
      <c r="F93" s="143"/>
      <c r="G93" s="143"/>
      <c r="H93" s="144" t="s">
        <v>143</v>
      </c>
      <c r="I93" s="104">
        <f>IF(A1=75,0,H92+H91+H90)</f>
        <v>354696.81999999995</v>
      </c>
      <c r="N93" s="59" t="s">
        <v>120</v>
      </c>
      <c r="O93" s="60">
        <f>SUM(O90:O92)</f>
        <v>0</v>
      </c>
      <c r="P93" s="491" t="s">
        <v>18</v>
      </c>
      <c r="Q93" s="492"/>
      <c r="R93" s="492"/>
      <c r="S93" s="492"/>
      <c r="T93" s="492"/>
      <c r="U93" s="99">
        <f>IF(N1=75,0,T92+T91+T90)</f>
        <v>0</v>
      </c>
    </row>
    <row r="94" spans="1:21" ht="16.5" thickTop="1" x14ac:dyDescent="0.25">
      <c r="A94" s="540" t="s">
        <v>90</v>
      </c>
      <c r="B94" s="540"/>
      <c r="C94" s="540"/>
      <c r="D94" s="540"/>
      <c r="E94" s="540"/>
      <c r="F94" s="540"/>
      <c r="G94" s="540"/>
      <c r="H94" s="540"/>
      <c r="I94" s="540"/>
      <c r="N94" s="493" t="s">
        <v>90</v>
      </c>
      <c r="O94" s="493"/>
      <c r="P94" s="493"/>
      <c r="Q94" s="493"/>
      <c r="R94" s="493"/>
      <c r="S94" s="493"/>
      <c r="T94" s="493"/>
      <c r="U94" s="493"/>
    </row>
    <row r="95" spans="1:21" x14ac:dyDescent="0.25">
      <c r="A95" s="145"/>
      <c r="B95" s="145"/>
      <c r="C95" s="145"/>
      <c r="D95" s="145"/>
      <c r="E95" s="145"/>
      <c r="F95" s="145"/>
      <c r="G95" s="145"/>
      <c r="H95" s="145"/>
      <c r="I95" s="145"/>
      <c r="N95" s="146"/>
      <c r="O95" s="146"/>
      <c r="P95" s="146"/>
      <c r="Q95" s="146"/>
      <c r="R95" s="146"/>
      <c r="S95" s="146"/>
      <c r="T95" s="146"/>
      <c r="U95" s="146"/>
    </row>
    <row r="96" spans="1:21" x14ac:dyDescent="0.25">
      <c r="A96" s="84" t="s">
        <v>446</v>
      </c>
      <c r="C96" s="46"/>
      <c r="D96" s="72"/>
      <c r="E96" s="46" t="s">
        <v>100</v>
      </c>
      <c r="F96" s="471"/>
      <c r="G96" s="471"/>
      <c r="H96" s="471"/>
      <c r="I96" s="471"/>
      <c r="N96" s="478" t="s">
        <v>426</v>
      </c>
      <c r="O96" s="479"/>
      <c r="P96" s="479"/>
      <c r="Q96" s="494"/>
      <c r="R96" s="494"/>
      <c r="S96" s="494"/>
      <c r="T96" s="494"/>
      <c r="U96" s="106"/>
    </row>
    <row r="97" spans="1:21" x14ac:dyDescent="0.25">
      <c r="B97" s="72"/>
      <c r="C97" s="91" t="s">
        <v>409</v>
      </c>
      <c r="D97" s="371" t="s">
        <v>410</v>
      </c>
      <c r="E97" s="92" t="s">
        <v>151</v>
      </c>
      <c r="F97" s="46"/>
      <c r="G97" s="46"/>
      <c r="H97" s="46"/>
      <c r="I97" s="46"/>
      <c r="N97" s="48"/>
      <c r="O97" s="48"/>
      <c r="P97" s="48"/>
      <c r="Q97" s="147"/>
      <c r="R97" s="147"/>
      <c r="S97" s="147"/>
      <c r="T97" s="147"/>
      <c r="U97" s="106"/>
    </row>
    <row r="98" spans="1:21" x14ac:dyDescent="0.25">
      <c r="B98" s="72"/>
      <c r="C98" s="362" t="s">
        <v>2</v>
      </c>
      <c r="D98" s="362" t="s">
        <v>2</v>
      </c>
      <c r="E98" s="362" t="s">
        <v>2</v>
      </c>
      <c r="F98" s="46"/>
      <c r="G98" s="46"/>
      <c r="H98" s="46"/>
      <c r="I98" s="46"/>
      <c r="N98" s="48"/>
      <c r="O98" s="48"/>
      <c r="P98" s="48"/>
      <c r="Q98" s="147"/>
      <c r="R98" s="147"/>
      <c r="S98" s="147"/>
      <c r="T98" s="147"/>
      <c r="U98" s="106"/>
    </row>
    <row r="99" spans="1:21" x14ac:dyDescent="0.25">
      <c r="A99" s="536" t="s">
        <v>470</v>
      </c>
      <c r="B99" s="461"/>
      <c r="C99" s="165">
        <v>2</v>
      </c>
      <c r="D99" s="165">
        <v>0</v>
      </c>
      <c r="E99" s="125">
        <f>C99</f>
        <v>2</v>
      </c>
      <c r="F99" s="148" t="s">
        <v>39</v>
      </c>
      <c r="G99" s="339">
        <f>'0664'!G99</f>
        <v>558</v>
      </c>
      <c r="I99" s="104">
        <f>ROUND(G99*E99,2)</f>
        <v>1116</v>
      </c>
      <c r="N99" s="488" t="s">
        <v>65</v>
      </c>
      <c r="O99" s="488"/>
      <c r="P99" s="489">
        <f>IF(H120=1,E99,0)</f>
        <v>0</v>
      </c>
      <c r="Q99" s="489"/>
      <c r="R99" s="489"/>
      <c r="S99" s="86" t="s">
        <v>39</v>
      </c>
      <c r="T99" s="61">
        <f>G99</f>
        <v>558</v>
      </c>
      <c r="U99" s="99">
        <f>ROUND(T99*P99,0)</f>
        <v>0</v>
      </c>
    </row>
    <row r="100" spans="1:21" x14ac:dyDescent="0.25">
      <c r="A100" s="536" t="s">
        <v>471</v>
      </c>
      <c r="B100" s="461"/>
      <c r="C100" s="165">
        <v>0</v>
      </c>
      <c r="D100" s="165">
        <v>0</v>
      </c>
      <c r="E100" s="125">
        <f>C100</f>
        <v>0</v>
      </c>
      <c r="F100" s="148" t="s">
        <v>39</v>
      </c>
      <c r="G100" s="339">
        <f>'0664'!G100</f>
        <v>1707</v>
      </c>
      <c r="I100" s="104">
        <f>ROUND(G100*E100,2)</f>
        <v>0</v>
      </c>
      <c r="N100" s="488" t="s">
        <v>81</v>
      </c>
      <c r="O100" s="488"/>
      <c r="P100" s="483"/>
      <c r="Q100" s="483"/>
      <c r="R100" s="483"/>
      <c r="S100" s="86" t="s">
        <v>39</v>
      </c>
      <c r="T100" s="61">
        <f>G100</f>
        <v>1707</v>
      </c>
      <c r="U100" s="99">
        <f>ROUND(T100*P100,0)</f>
        <v>0</v>
      </c>
    </row>
    <row r="101" spans="1:21" x14ac:dyDescent="0.25">
      <c r="A101" s="149"/>
      <c r="B101" s="149"/>
      <c r="C101" s="68"/>
      <c r="D101" s="68"/>
      <c r="E101" s="68"/>
      <c r="F101" s="68"/>
      <c r="G101" s="150"/>
      <c r="H101" s="151"/>
      <c r="I101" s="104"/>
      <c r="N101" s="152"/>
      <c r="O101" s="152"/>
      <c r="P101" s="153"/>
      <c r="Q101" s="153"/>
      <c r="R101" s="153"/>
      <c r="S101" s="86"/>
      <c r="T101" s="61"/>
      <c r="U101" s="106"/>
    </row>
    <row r="102" spans="1:21" x14ac:dyDescent="0.25">
      <c r="A102" s="149"/>
      <c r="B102" s="149"/>
      <c r="C102" s="68"/>
      <c r="D102" s="68"/>
      <c r="E102" s="68"/>
      <c r="F102" s="68"/>
      <c r="G102" s="150"/>
      <c r="H102" s="151"/>
      <c r="I102" s="104"/>
      <c r="N102" s="152"/>
      <c r="O102" s="152"/>
      <c r="P102" s="153"/>
      <c r="Q102" s="153"/>
      <c r="R102" s="153"/>
      <c r="S102" s="86"/>
      <c r="T102" s="61"/>
      <c r="U102" s="106"/>
    </row>
    <row r="103" spans="1:21" hidden="1" x14ac:dyDescent="0.25">
      <c r="A103" s="463" t="s">
        <v>447</v>
      </c>
      <c r="B103" s="453"/>
      <c r="C103" s="453"/>
      <c r="D103" s="72"/>
      <c r="E103" s="41" t="s">
        <v>41</v>
      </c>
      <c r="F103" s="466"/>
      <c r="G103" s="466"/>
      <c r="H103" s="466"/>
      <c r="I103" s="466"/>
      <c r="N103" s="478" t="s">
        <v>362</v>
      </c>
      <c r="O103" s="479"/>
      <c r="P103" s="479"/>
      <c r="Q103" s="479"/>
      <c r="R103" s="479"/>
      <c r="S103" s="479"/>
      <c r="T103" s="479"/>
      <c r="U103" s="479"/>
    </row>
    <row r="104" spans="1:21" hidden="1" x14ac:dyDescent="0.25">
      <c r="B104" s="72"/>
      <c r="C104" s="462" t="s">
        <v>91</v>
      </c>
      <c r="D104" s="462"/>
      <c r="E104" s="462"/>
      <c r="F104" s="39"/>
      <c r="G104" s="39"/>
      <c r="H104" s="41" t="s">
        <v>152</v>
      </c>
      <c r="I104" s="39"/>
      <c r="N104" s="48"/>
      <c r="O104" s="48"/>
      <c r="P104" s="48"/>
      <c r="Q104" s="48"/>
      <c r="R104" s="48"/>
      <c r="S104" s="48"/>
      <c r="T104" s="48"/>
      <c r="U104" s="48"/>
    </row>
    <row r="105" spans="1:21" hidden="1" x14ac:dyDescent="0.25">
      <c r="B105" s="72"/>
      <c r="C105" s="91" t="s">
        <v>371</v>
      </c>
      <c r="D105" s="91" t="s">
        <v>351</v>
      </c>
      <c r="E105" s="159" t="s">
        <v>8</v>
      </c>
      <c r="F105" s="464" t="s">
        <v>153</v>
      </c>
      <c r="G105" s="466"/>
      <c r="H105" s="39" t="s">
        <v>38</v>
      </c>
      <c r="I105" s="39"/>
      <c r="N105" s="48"/>
      <c r="O105" s="48"/>
      <c r="P105" s="48"/>
      <c r="Q105" s="48"/>
      <c r="R105" s="48"/>
      <c r="S105" s="48"/>
      <c r="T105" s="48"/>
      <c r="U105" s="48"/>
    </row>
    <row r="106" spans="1:21" hidden="1" x14ac:dyDescent="0.25">
      <c r="A106" s="462" t="s">
        <v>94</v>
      </c>
      <c r="B106" s="462"/>
      <c r="C106" s="93" t="s">
        <v>2</v>
      </c>
      <c r="D106" s="93" t="s">
        <v>2</v>
      </c>
      <c r="E106" s="62" t="s">
        <v>2</v>
      </c>
      <c r="F106" s="462" t="s">
        <v>37</v>
      </c>
      <c r="G106" s="462"/>
      <c r="H106" s="62" t="s">
        <v>37</v>
      </c>
      <c r="I106" s="62" t="s">
        <v>8</v>
      </c>
      <c r="N106" s="484" t="s">
        <v>66</v>
      </c>
      <c r="O106" s="484"/>
      <c r="P106" s="489" t="s">
        <v>91</v>
      </c>
      <c r="Q106" s="489"/>
      <c r="R106" s="484" t="s">
        <v>67</v>
      </c>
      <c r="S106" s="484"/>
      <c r="T106" s="63" t="s">
        <v>68</v>
      </c>
      <c r="U106" s="63" t="s">
        <v>8</v>
      </c>
    </row>
    <row r="107" spans="1:21" hidden="1" x14ac:dyDescent="0.25">
      <c r="A107" s="473" t="s">
        <v>69</v>
      </c>
      <c r="B107" s="473"/>
      <c r="C107" s="163">
        <v>0</v>
      </c>
      <c r="D107" s="163">
        <v>0</v>
      </c>
      <c r="E107" s="210">
        <f>IF(D$59=0,C107*2,C107+D107)</f>
        <v>0</v>
      </c>
      <c r="F107" s="474">
        <v>0</v>
      </c>
      <c r="G107" s="474"/>
      <c r="H107" s="250">
        <f>IF(C107=0,0,125)</f>
        <v>0</v>
      </c>
      <c r="I107" s="104">
        <f>ROUND((H107+F107)*E107,2)</f>
        <v>0</v>
      </c>
      <c r="N107" s="479" t="s">
        <v>69</v>
      </c>
      <c r="O107" s="479"/>
      <c r="P107" s="483">
        <f>IF(H$120=1,C107,0)</f>
        <v>0</v>
      </c>
      <c r="Q107" s="483"/>
      <c r="R107" s="486">
        <f>F107</f>
        <v>0</v>
      </c>
      <c r="S107" s="486"/>
      <c r="T107" s="65">
        <f>H107</f>
        <v>0</v>
      </c>
      <c r="U107" s="99">
        <f>ROUND((T107+R107)*P107,0)</f>
        <v>0</v>
      </c>
    </row>
    <row r="108" spans="1:21" hidden="1" x14ac:dyDescent="0.25">
      <c r="A108" s="456" t="s">
        <v>70</v>
      </c>
      <c r="B108" s="456"/>
      <c r="C108" s="165">
        <v>0</v>
      </c>
      <c r="D108" s="165">
        <v>0</v>
      </c>
      <c r="E108" s="125">
        <f>IF(D$59=0,C108*2,C108+D108)</f>
        <v>0</v>
      </c>
      <c r="F108" s="468">
        <f>ROUND(F107/2,2)</f>
        <v>0</v>
      </c>
      <c r="G108" s="468"/>
      <c r="H108" s="250">
        <f>IF(C108=0,0,62.5)</f>
        <v>0</v>
      </c>
      <c r="I108" s="104">
        <f>ROUND((H108+F108)*E108,2)</f>
        <v>0</v>
      </c>
      <c r="N108" s="479" t="s">
        <v>70</v>
      </c>
      <c r="O108" s="479"/>
      <c r="P108" s="483">
        <f>IF(H$120=1,C108,0)</f>
        <v>0</v>
      </c>
      <c r="Q108" s="483"/>
      <c r="R108" s="487">
        <f>ROUND(R107/2,2)</f>
        <v>0</v>
      </c>
      <c r="S108" s="487"/>
      <c r="T108" s="65">
        <f>H108</f>
        <v>0</v>
      </c>
      <c r="U108" s="99">
        <f>ROUND((T108+R108)*P108,0)</f>
        <v>0</v>
      </c>
    </row>
    <row r="109" spans="1:21" ht="16.5" hidden="1" thickBot="1" x14ac:dyDescent="0.3">
      <c r="A109" s="456" t="s">
        <v>71</v>
      </c>
      <c r="B109" s="456"/>
      <c r="C109" s="165">
        <v>0</v>
      </c>
      <c r="D109" s="165">
        <v>0</v>
      </c>
      <c r="E109" s="125">
        <f>IF(D$59=0,C109*2,C109+D109)</f>
        <v>0</v>
      </c>
      <c r="F109" s="475"/>
      <c r="G109" s="475"/>
      <c r="H109" s="251">
        <f>IF(H107&gt;0,436,0)</f>
        <v>0</v>
      </c>
      <c r="I109" s="104">
        <f>ROUND(H109*E109,2)</f>
        <v>0</v>
      </c>
      <c r="N109" s="482" t="s">
        <v>71</v>
      </c>
      <c r="O109" s="482"/>
      <c r="P109" s="483">
        <f>IF(H$120=1,C109,0)</f>
        <v>0</v>
      </c>
      <c r="Q109" s="483"/>
      <c r="R109" s="484"/>
      <c r="S109" s="484"/>
      <c r="T109" s="67">
        <f>H109</f>
        <v>0</v>
      </c>
      <c r="U109" s="106">
        <f>ROUND(T109*P109,0)</f>
        <v>0</v>
      </c>
    </row>
    <row r="110" spans="1:21" ht="16.5" hidden="1" thickBot="1" x14ac:dyDescent="0.3">
      <c r="A110" s="466" t="s">
        <v>8</v>
      </c>
      <c r="B110" s="466"/>
      <c r="C110" s="68"/>
      <c r="D110" s="68"/>
      <c r="E110" s="68"/>
      <c r="F110" s="68"/>
      <c r="G110" s="68"/>
      <c r="H110" s="68"/>
      <c r="I110" s="100">
        <f>SUM(I107:I109)</f>
        <v>0</v>
      </c>
      <c r="N110" s="485" t="s">
        <v>8</v>
      </c>
      <c r="O110" s="485"/>
      <c r="P110" s="69"/>
      <c r="Q110" s="69"/>
      <c r="R110" s="69"/>
      <c r="S110" s="69"/>
      <c r="T110" s="69"/>
      <c r="U110" s="70">
        <f>SUM(U107:U109)</f>
        <v>0</v>
      </c>
    </row>
    <row r="111" spans="1:21" hidden="1" x14ac:dyDescent="0.25">
      <c r="A111" s="39"/>
      <c r="B111" s="39"/>
      <c r="C111" s="68"/>
      <c r="D111" s="68"/>
      <c r="E111" s="68"/>
      <c r="F111" s="68"/>
      <c r="G111" s="68"/>
      <c r="H111" s="68"/>
      <c r="I111" s="104"/>
      <c r="N111" s="40"/>
      <c r="O111" s="40"/>
      <c r="P111" s="69"/>
      <c r="Q111" s="69"/>
      <c r="R111" s="69"/>
      <c r="S111" s="69"/>
      <c r="T111" s="69"/>
      <c r="U111" s="160"/>
    </row>
    <row r="112" spans="1:21" x14ac:dyDescent="0.25">
      <c r="A112" s="463" t="s">
        <v>448</v>
      </c>
      <c r="B112" s="453"/>
      <c r="C112" s="453"/>
      <c r="D112" s="72"/>
      <c r="E112" s="71" t="s">
        <v>354</v>
      </c>
      <c r="F112" s="472"/>
      <c r="G112" s="472"/>
      <c r="H112" s="472"/>
      <c r="I112" s="125">
        <v>0</v>
      </c>
      <c r="N112" s="478" t="s">
        <v>427</v>
      </c>
      <c r="O112" s="479"/>
      <c r="P112" s="479"/>
      <c r="Q112" s="341"/>
      <c r="R112" s="341"/>
      <c r="S112" s="341"/>
      <c r="T112" s="341"/>
      <c r="U112" s="99">
        <f>IF($H$120=1,I112,0)</f>
        <v>0</v>
      </c>
    </row>
    <row r="113" spans="1:21" x14ac:dyDescent="0.25">
      <c r="A113" s="463" t="s">
        <v>449</v>
      </c>
      <c r="B113" s="453"/>
      <c r="C113" s="453"/>
      <c r="D113" s="72"/>
      <c r="E113" s="71" t="s">
        <v>45</v>
      </c>
      <c r="F113" s="472"/>
      <c r="G113" s="472"/>
      <c r="H113" s="472"/>
      <c r="I113" s="177">
        <v>0</v>
      </c>
      <c r="N113" s="478" t="s">
        <v>428</v>
      </c>
      <c r="O113" s="479"/>
      <c r="P113" s="479"/>
      <c r="Q113" s="341"/>
      <c r="R113" s="341"/>
      <c r="S113" s="341"/>
      <c r="T113" s="341"/>
      <c r="U113" s="99">
        <f>IF($H$120=1,I113,0)</f>
        <v>0</v>
      </c>
    </row>
    <row r="114" spans="1:21" ht="16.5" thickBot="1" x14ac:dyDescent="0.3">
      <c r="B114" s="72"/>
      <c r="C114" s="72"/>
      <c r="D114" s="72"/>
      <c r="E114" s="71"/>
      <c r="F114" s="71"/>
      <c r="G114" s="71"/>
      <c r="H114" s="71"/>
      <c r="I114" s="125"/>
      <c r="N114" s="480" t="s">
        <v>42</v>
      </c>
      <c r="O114" s="480"/>
      <c r="P114" s="480"/>
      <c r="Q114" s="480"/>
      <c r="R114" s="480"/>
      <c r="S114" s="480"/>
      <c r="T114" s="480"/>
      <c r="U114" s="154">
        <f>SUM(U112,U110,U100,U99,U93,U77,U76,U74,U73,U72,U71,U70,U68,U59,U45,U78,U79,U80,U85,U113)</f>
        <v>0</v>
      </c>
    </row>
    <row r="115" spans="1:21" ht="16.5" thickTop="1" x14ac:dyDescent="0.25">
      <c r="A115" s="461" t="s">
        <v>8</v>
      </c>
      <c r="B115" s="461"/>
      <c r="C115" s="461"/>
      <c r="D115" s="461"/>
      <c r="E115" s="461"/>
      <c r="F115" s="461"/>
      <c r="G115" s="461"/>
      <c r="H115" s="461"/>
      <c r="I115" s="97">
        <f>SUM(I113,I112,I110,I100,I99,I93,I85,I84,I80,I79,I78,I77,I76,I74,I73,I72,I71,I70,I68,I59,I45)</f>
        <v>2741755.6599999997</v>
      </c>
      <c r="N115" s="29"/>
      <c r="O115" s="29"/>
      <c r="P115" s="29"/>
      <c r="Q115" s="29"/>
      <c r="R115" s="29"/>
      <c r="S115" s="29"/>
      <c r="T115" s="29"/>
      <c r="U115" s="160"/>
    </row>
    <row r="116" spans="1:21" x14ac:dyDescent="0.25">
      <c r="A116" s="27"/>
      <c r="B116" s="27"/>
      <c r="C116" s="27"/>
      <c r="D116" s="27"/>
      <c r="E116" s="27"/>
      <c r="F116" s="27"/>
      <c r="G116" s="27"/>
      <c r="H116" s="27"/>
      <c r="I116" s="104"/>
      <c r="N116" s="29"/>
      <c r="O116" s="29"/>
      <c r="P116" s="29"/>
      <c r="Q116" s="29"/>
      <c r="R116" s="29"/>
      <c r="S116" s="29"/>
      <c r="T116" s="29"/>
      <c r="U116" s="160"/>
    </row>
    <row r="117" spans="1:21" x14ac:dyDescent="0.25">
      <c r="A117" s="432" t="s">
        <v>467</v>
      </c>
      <c r="B117" s="27"/>
      <c r="C117" s="27"/>
      <c r="D117" s="27"/>
      <c r="E117" s="27"/>
      <c r="F117" s="27"/>
      <c r="G117" s="27"/>
      <c r="H117" s="27"/>
      <c r="I117" s="104">
        <f>I115-I84</f>
        <v>2656589.4199999995</v>
      </c>
      <c r="N117" s="29"/>
      <c r="O117" s="29"/>
      <c r="P117" s="29"/>
      <c r="Q117" s="29"/>
      <c r="R117" s="29"/>
      <c r="S117" s="29"/>
      <c r="T117" s="29"/>
      <c r="U117" s="160"/>
    </row>
    <row r="118" spans="1:21" x14ac:dyDescent="0.25">
      <c r="A118" s="27"/>
      <c r="B118" s="27"/>
      <c r="C118" s="27"/>
      <c r="D118" s="27"/>
      <c r="E118" s="27"/>
      <c r="F118" s="27"/>
      <c r="G118" s="27"/>
      <c r="H118" s="27"/>
      <c r="I118" s="104"/>
      <c r="N118" s="29"/>
      <c r="O118" s="29"/>
      <c r="P118" s="29"/>
      <c r="Q118" s="29"/>
      <c r="R118" s="29"/>
      <c r="S118" s="29"/>
      <c r="T118" s="29"/>
      <c r="U118" s="160"/>
    </row>
    <row r="119" spans="1:21" x14ac:dyDescent="0.25">
      <c r="A119" s="463" t="s">
        <v>468</v>
      </c>
      <c r="B119" s="453"/>
      <c r="C119" s="453"/>
      <c r="D119" s="453"/>
      <c r="E119" s="453"/>
      <c r="F119" s="453"/>
      <c r="G119" s="453"/>
      <c r="H119" s="84" t="s">
        <v>394</v>
      </c>
      <c r="I119" s="156"/>
      <c r="N119" s="481"/>
      <c r="O119" s="481"/>
      <c r="P119" s="481"/>
      <c r="Q119" s="481"/>
      <c r="R119" s="481"/>
      <c r="S119" s="481"/>
      <c r="T119" s="481"/>
      <c r="U119" s="481"/>
    </row>
    <row r="120" spans="1:21" x14ac:dyDescent="0.25">
      <c r="A120" s="453" t="s">
        <v>95</v>
      </c>
      <c r="B120" s="453"/>
      <c r="C120" s="453"/>
      <c r="D120" s="453"/>
      <c r="E120" s="453"/>
      <c r="F120" s="453"/>
      <c r="G120" s="453"/>
      <c r="H120" s="73" t="str">
        <f>IF(E29=0,"",IF((E14+E16+SUM(E18:E24))/E29&gt;0.75,1,""))</f>
        <v/>
      </c>
      <c r="I120" s="125">
        <f>U114</f>
        <v>0</v>
      </c>
      <c r="N120" s="476" t="s">
        <v>7</v>
      </c>
      <c r="O120" s="476"/>
      <c r="P120" s="476"/>
      <c r="Q120" s="476"/>
      <c r="R120" s="476"/>
      <c r="S120" s="476"/>
      <c r="T120" s="476"/>
      <c r="U120" s="476"/>
    </row>
    <row r="121" spans="1:21" x14ac:dyDescent="0.25">
      <c r="B121" s="72"/>
      <c r="C121" s="72"/>
      <c r="D121" s="72"/>
      <c r="E121" s="72"/>
      <c r="F121" s="72"/>
      <c r="G121" s="72"/>
      <c r="H121" s="68"/>
      <c r="I121" s="104"/>
      <c r="N121" s="74" t="s">
        <v>106</v>
      </c>
      <c r="O121" s="74"/>
      <c r="P121" s="74"/>
      <c r="Q121" s="74"/>
      <c r="R121" s="74"/>
      <c r="S121" s="74"/>
      <c r="T121" s="74"/>
      <c r="U121" s="74"/>
    </row>
    <row r="122" spans="1:21" x14ac:dyDescent="0.25">
      <c r="A122" s="3" t="s">
        <v>102</v>
      </c>
      <c r="B122" s="72"/>
      <c r="C122" s="72"/>
      <c r="D122" s="72"/>
      <c r="E122" s="72"/>
      <c r="F122" s="72"/>
      <c r="G122" s="287" t="s">
        <v>290</v>
      </c>
      <c r="H122" s="161">
        <f>IF(H120=1,I120,I117)</f>
        <v>2656589.4199999995</v>
      </c>
      <c r="I122" s="97">
        <f>ROUND(IF(E29=0,0,IF(E29&gt;250,-(((250/E29)*H122)*IF(G122="H",0.02,0.05)),IF(G122="H",-0.02*H122,-0.05*H122))),2)</f>
        <v>-38566.129999999997</v>
      </c>
      <c r="N122" s="75" t="s">
        <v>107</v>
      </c>
      <c r="O122" s="74"/>
      <c r="P122" s="74"/>
      <c r="Q122" s="74"/>
      <c r="R122" s="74"/>
      <c r="S122" s="74"/>
      <c r="T122" s="74"/>
      <c r="U122" s="74"/>
    </row>
    <row r="123" spans="1:21" x14ac:dyDescent="0.25">
      <c r="B123" s="72"/>
      <c r="C123" s="72"/>
      <c r="D123" s="72"/>
      <c r="E123" s="72"/>
      <c r="F123" s="72"/>
      <c r="G123" s="72"/>
      <c r="H123" s="68"/>
      <c r="I123" s="104"/>
      <c r="N123" s="76"/>
      <c r="O123" s="76"/>
      <c r="P123" s="76"/>
      <c r="Q123" s="76"/>
      <c r="R123" s="76"/>
      <c r="S123" s="76"/>
      <c r="T123" s="76"/>
      <c r="U123" s="76"/>
    </row>
    <row r="124" spans="1:21" x14ac:dyDescent="0.25">
      <c r="A124" s="345" t="s">
        <v>103</v>
      </c>
      <c r="B124" s="346"/>
      <c r="C124" s="346"/>
      <c r="D124" s="346"/>
      <c r="E124" s="346"/>
      <c r="F124" s="346"/>
      <c r="G124" s="346"/>
      <c r="H124" s="347"/>
      <c r="I124" s="348">
        <f>I115+I122</f>
        <v>2703189.53</v>
      </c>
      <c r="N124" s="76"/>
      <c r="O124" s="76"/>
      <c r="P124" s="76"/>
      <c r="Q124" s="76"/>
      <c r="R124" s="76"/>
      <c r="S124" s="76"/>
      <c r="T124" s="76"/>
      <c r="U124" s="76"/>
    </row>
    <row r="125" spans="1:21" x14ac:dyDescent="0.25">
      <c r="B125" s="72"/>
      <c r="C125" s="72"/>
      <c r="D125" s="72"/>
      <c r="E125" s="72"/>
      <c r="F125" s="72"/>
      <c r="G125" s="72"/>
      <c r="H125" s="68"/>
      <c r="I125" s="104"/>
      <c r="N125" s="76"/>
      <c r="O125" s="76"/>
      <c r="P125" s="76"/>
      <c r="Q125" s="76"/>
      <c r="R125" s="76"/>
      <c r="S125" s="76"/>
      <c r="T125" s="76"/>
      <c r="U125" s="76"/>
    </row>
    <row r="126" spans="1:21" x14ac:dyDescent="0.25">
      <c r="A126" s="3" t="s">
        <v>104</v>
      </c>
      <c r="B126" s="72"/>
      <c r="C126" s="162"/>
      <c r="D126" s="72"/>
      <c r="F126" s="72"/>
      <c r="G126" s="72"/>
      <c r="H126" s="68"/>
      <c r="I126" s="302">
        <v>-1963690.22</v>
      </c>
      <c r="N126" s="76"/>
      <c r="O126" s="76"/>
      <c r="P126" s="76"/>
      <c r="Q126" s="76"/>
      <c r="R126" s="76"/>
      <c r="S126" s="76"/>
      <c r="T126" s="76"/>
      <c r="U126" s="76"/>
    </row>
    <row r="127" spans="1:21" x14ac:dyDescent="0.25">
      <c r="B127" s="72"/>
      <c r="C127" s="72"/>
      <c r="D127" s="72"/>
      <c r="E127" s="72"/>
      <c r="F127" s="72"/>
      <c r="G127" s="72"/>
      <c r="H127" s="68"/>
      <c r="I127" s="104"/>
      <c r="N127" s="76"/>
      <c r="O127" s="76"/>
      <c r="P127" s="76"/>
      <c r="Q127" s="76"/>
      <c r="R127" s="76"/>
      <c r="S127" s="76"/>
      <c r="T127" s="76"/>
      <c r="U127" s="76"/>
    </row>
    <row r="128" spans="1:21" x14ac:dyDescent="0.25">
      <c r="A128" s="84" t="s">
        <v>297</v>
      </c>
      <c r="B128" s="72"/>
      <c r="C128" s="72"/>
      <c r="D128" s="72"/>
      <c r="E128" s="72"/>
      <c r="F128" s="72"/>
      <c r="G128" s="72"/>
      <c r="H128" s="68"/>
      <c r="I128" s="104">
        <f>I124+I126</f>
        <v>739499.30999999982</v>
      </c>
      <c r="N128" s="76"/>
      <c r="O128" s="76"/>
      <c r="P128" s="76"/>
      <c r="Q128" s="76"/>
      <c r="R128" s="76"/>
      <c r="S128" s="76"/>
      <c r="T128" s="76"/>
      <c r="U128" s="76"/>
    </row>
    <row r="129" spans="1:21" x14ac:dyDescent="0.25">
      <c r="A129" s="84"/>
      <c r="B129" s="72"/>
      <c r="C129" s="72"/>
      <c r="D129" s="72"/>
      <c r="E129" s="72"/>
      <c r="F129" s="72"/>
      <c r="G129" s="72"/>
      <c r="H129" s="68"/>
      <c r="I129" s="104"/>
      <c r="N129" s="76"/>
      <c r="O129" s="76"/>
      <c r="P129" s="76"/>
      <c r="Q129" s="76"/>
      <c r="R129" s="76"/>
      <c r="S129" s="76"/>
      <c r="T129" s="76"/>
      <c r="U129" s="76"/>
    </row>
    <row r="130" spans="1:21" x14ac:dyDescent="0.25">
      <c r="A130" s="84" t="s">
        <v>298</v>
      </c>
      <c r="B130" s="72"/>
      <c r="C130" s="72"/>
      <c r="D130" s="72"/>
      <c r="E130" s="72"/>
      <c r="F130" s="72"/>
      <c r="G130" s="72"/>
      <c r="H130" s="68"/>
      <c r="I130" s="303">
        <f>'0664'!I130</f>
        <v>3</v>
      </c>
      <c r="N130" s="76"/>
      <c r="O130" s="76"/>
      <c r="P130" s="76"/>
      <c r="Q130" s="76"/>
      <c r="R130" s="76"/>
      <c r="S130" s="76"/>
      <c r="T130" s="76"/>
      <c r="U130" s="76"/>
    </row>
    <row r="131" spans="1:21" x14ac:dyDescent="0.25">
      <c r="B131" s="72"/>
      <c r="C131" s="72"/>
      <c r="D131" s="72"/>
      <c r="E131" s="72"/>
      <c r="F131" s="72"/>
      <c r="G131" s="72"/>
      <c r="H131" s="68"/>
      <c r="I131" s="104"/>
      <c r="N131" s="76"/>
      <c r="O131" s="76"/>
      <c r="P131" s="76"/>
      <c r="Q131" s="76"/>
      <c r="R131" s="76"/>
      <c r="S131" s="76"/>
      <c r="T131" s="76"/>
      <c r="U131" s="76"/>
    </row>
    <row r="132" spans="1:21" ht="16.5" thickBot="1" x14ac:dyDescent="0.3">
      <c r="A132" s="3" t="s">
        <v>105</v>
      </c>
      <c r="B132" s="72"/>
      <c r="C132" s="72"/>
      <c r="D132" s="72"/>
      <c r="E132" s="72"/>
      <c r="F132" s="72"/>
      <c r="G132" s="72"/>
      <c r="H132" s="68"/>
      <c r="I132" s="178">
        <f>ROUND(I128/I130,2)</f>
        <v>246499.77</v>
      </c>
      <c r="N132" s="76"/>
      <c r="O132" s="76"/>
      <c r="P132" s="76"/>
      <c r="Q132" s="76"/>
      <c r="R132" s="76"/>
      <c r="S132" s="76"/>
      <c r="T132" s="76"/>
      <c r="U132" s="76"/>
    </row>
    <row r="133" spans="1:21" ht="16.5" thickTop="1" x14ac:dyDescent="0.25">
      <c r="B133" s="72"/>
      <c r="C133" s="72"/>
      <c r="D133" s="72"/>
      <c r="E133" s="72"/>
      <c r="F133" s="72"/>
      <c r="G133" s="72"/>
      <c r="H133" s="68"/>
      <c r="I133" s="104"/>
      <c r="N133" s="76"/>
      <c r="O133" s="76"/>
      <c r="P133" s="76"/>
      <c r="Q133" s="76"/>
      <c r="R133" s="76"/>
      <c r="S133" s="76"/>
      <c r="T133" s="76"/>
      <c r="U133" s="76"/>
    </row>
    <row r="134" spans="1:21" ht="16.5" thickBot="1" x14ac:dyDescent="0.3">
      <c r="A134" s="3" t="s">
        <v>121</v>
      </c>
      <c r="B134" s="72"/>
      <c r="C134" s="72"/>
      <c r="D134" s="72"/>
      <c r="E134" s="72"/>
      <c r="F134" s="72"/>
      <c r="G134" s="72"/>
      <c r="H134" s="68"/>
      <c r="I134" s="155">
        <f>ROUND(IF(G122="H",(H122*0.02)+I122,(H122*0.05)+I122),2)</f>
        <v>14565.66</v>
      </c>
      <c r="N134" s="76"/>
      <c r="O134" s="76"/>
      <c r="P134" s="76"/>
      <c r="Q134" s="76"/>
      <c r="R134" s="76"/>
      <c r="S134" s="76"/>
      <c r="T134" s="76"/>
      <c r="U134" s="76"/>
    </row>
    <row r="135" spans="1:21" ht="16.5" thickTop="1" x14ac:dyDescent="0.25">
      <c r="B135" s="72"/>
      <c r="C135" s="72"/>
      <c r="D135" s="72"/>
      <c r="E135" s="72"/>
      <c r="F135" s="72"/>
      <c r="G135" s="72"/>
      <c r="H135" s="68"/>
      <c r="I135" s="156"/>
      <c r="N135" s="76"/>
      <c r="O135" s="76"/>
      <c r="P135" s="76"/>
      <c r="Q135" s="76"/>
      <c r="R135" s="76"/>
      <c r="S135" s="76"/>
      <c r="T135" s="76"/>
      <c r="U135" s="76"/>
    </row>
    <row r="136" spans="1:21" x14ac:dyDescent="0.25">
      <c r="B136" s="72"/>
      <c r="C136" s="72"/>
      <c r="D136" s="72"/>
      <c r="E136" s="72"/>
      <c r="F136" s="72"/>
      <c r="G136" s="72"/>
      <c r="H136" s="68"/>
      <c r="I136" s="104"/>
      <c r="N136" s="76"/>
      <c r="O136" s="76"/>
      <c r="P136" s="76"/>
      <c r="Q136" s="76"/>
      <c r="R136" s="76"/>
      <c r="S136" s="76"/>
      <c r="T136" s="76"/>
      <c r="U136" s="76"/>
    </row>
    <row r="137" spans="1:21" x14ac:dyDescent="0.25">
      <c r="B137" s="72"/>
      <c r="C137" s="72"/>
      <c r="D137" s="72"/>
      <c r="E137" s="72"/>
      <c r="F137" s="72"/>
      <c r="G137" s="72"/>
      <c r="H137" s="68"/>
      <c r="I137" s="156"/>
      <c r="N137" s="76"/>
      <c r="O137" s="76"/>
      <c r="P137" s="76"/>
      <c r="Q137" s="76"/>
      <c r="R137" s="76"/>
      <c r="S137" s="76"/>
      <c r="T137" s="76"/>
      <c r="U137" s="76"/>
    </row>
    <row r="138" spans="1:21" x14ac:dyDescent="0.25">
      <c r="A138" s="281" t="s">
        <v>7</v>
      </c>
      <c r="B138" s="281"/>
      <c r="C138" s="281"/>
      <c r="D138" s="281"/>
      <c r="E138" s="281"/>
      <c r="F138" s="281"/>
      <c r="G138" s="281"/>
      <c r="H138" s="281"/>
      <c r="I138" s="281"/>
      <c r="J138" s="156"/>
      <c r="N138" s="76"/>
      <c r="O138" s="76"/>
      <c r="P138" s="76"/>
      <c r="Q138" s="76"/>
      <c r="R138" s="76"/>
      <c r="S138" s="76"/>
      <c r="T138" s="76"/>
      <c r="U138" s="76"/>
    </row>
    <row r="139" spans="1:21" ht="15.75" customHeight="1" x14ac:dyDescent="0.25">
      <c r="A139" s="356" t="str">
        <f>'0664'!A139</f>
        <v>(a) Additional FTE includes FTE earned through Advanced Placement, International Baccalaureate, Advanced International Certificate of Education, Industry Certified Career</v>
      </c>
      <c r="B139" s="357"/>
      <c r="C139" s="357"/>
      <c r="D139" s="357"/>
      <c r="E139" s="357"/>
      <c r="F139" s="357"/>
      <c r="G139" s="357"/>
      <c r="H139" s="357"/>
      <c r="I139" s="357"/>
      <c r="J139" s="80"/>
      <c r="K139" s="79"/>
      <c r="L139" s="79"/>
      <c r="M139" s="79"/>
      <c r="N139" s="477"/>
      <c r="O139" s="477"/>
      <c r="P139" s="477"/>
      <c r="Q139" s="477"/>
      <c r="R139" s="477"/>
      <c r="S139" s="477"/>
      <c r="T139" s="477"/>
      <c r="U139" s="477"/>
    </row>
    <row r="140" spans="1:21" ht="15.75" customHeight="1" x14ac:dyDescent="0.25">
      <c r="A140" s="390" t="str">
        <f>'0664'!A140</f>
        <v xml:space="preserve">Education (CAPE), Early High School Graduation and the small district ESE Supplement, pursuant to s. 1011.62(1)(l-p), F.S. </v>
      </c>
      <c r="B140" s="357"/>
      <c r="C140" s="357"/>
      <c r="D140" s="357"/>
      <c r="E140" s="357"/>
      <c r="F140" s="357"/>
      <c r="G140" s="357"/>
      <c r="H140" s="357"/>
      <c r="I140" s="357"/>
      <c r="J140" s="80"/>
      <c r="K140" s="79"/>
      <c r="L140" s="79"/>
      <c r="M140" s="79"/>
      <c r="N140" s="76"/>
      <c r="O140" s="76"/>
      <c r="P140" s="76"/>
      <c r="Q140" s="76"/>
      <c r="R140" s="76"/>
      <c r="S140" s="76"/>
      <c r="T140" s="76"/>
      <c r="U140" s="76"/>
    </row>
    <row r="141" spans="1:21" x14ac:dyDescent="0.25">
      <c r="A141" s="356" t="str">
        <f>'0664'!A141</f>
        <v>(b) District allocations multiplied by percentage from item 3A.</v>
      </c>
      <c r="B141" s="281"/>
      <c r="C141" s="281"/>
      <c r="D141" s="281"/>
      <c r="E141" s="281"/>
      <c r="F141" s="281"/>
      <c r="G141" s="281"/>
      <c r="H141" s="281"/>
      <c r="I141" s="281"/>
      <c r="J141" s="79"/>
      <c r="K141" s="79"/>
      <c r="L141" s="79"/>
      <c r="M141" s="79"/>
      <c r="N141" s="81"/>
      <c r="O141" s="82"/>
      <c r="P141" s="82"/>
      <c r="Q141" s="82"/>
      <c r="R141" s="82"/>
      <c r="S141" s="82"/>
      <c r="T141" s="82"/>
      <c r="U141" s="82"/>
    </row>
    <row r="142" spans="1:21" s="79" customFormat="1" x14ac:dyDescent="0.2">
      <c r="A142" s="356" t="str">
        <f>'0664'!A142</f>
        <v>(c) District allocations multiplied by percentage from item 3B.</v>
      </c>
      <c r="B142" s="281"/>
      <c r="C142" s="281"/>
      <c r="D142" s="281"/>
      <c r="E142" s="281"/>
      <c r="F142" s="281"/>
      <c r="G142" s="281"/>
      <c r="H142" s="281"/>
      <c r="I142" s="281"/>
      <c r="N142" s="81"/>
    </row>
    <row r="143" spans="1:21" s="79" customFormat="1" ht="15.75" customHeight="1" x14ac:dyDescent="0.2">
      <c r="A143" s="356" t="str">
        <f>'0664'!A143</f>
        <v>(d) The Digital Classroom Allocation is provided pursuant to s. 1011.62(12), F.S.</v>
      </c>
      <c r="B143" s="281"/>
      <c r="C143" s="281"/>
      <c r="D143" s="281"/>
      <c r="E143" s="281"/>
      <c r="F143" s="281"/>
      <c r="G143" s="281"/>
      <c r="H143" s="281"/>
      <c r="I143" s="281"/>
      <c r="N143" s="81"/>
    </row>
    <row r="144" spans="1:21" s="79" customFormat="1" ht="15.75" customHeight="1" x14ac:dyDescent="0.2">
      <c r="A144" s="356" t="str">
        <f>'0664'!A144</f>
        <v>(e) School districts are required to pay for instructional materials used for the instruction of public high school students who are earning credit toward high school</v>
      </c>
      <c r="B144" s="281"/>
      <c r="C144" s="281"/>
      <c r="D144" s="281"/>
      <c r="E144" s="281"/>
      <c r="F144" s="281"/>
      <c r="G144" s="281"/>
      <c r="H144" s="281"/>
      <c r="I144" s="281"/>
      <c r="N144" s="81"/>
    </row>
    <row r="145" spans="1:14" s="79" customFormat="1" ht="15.75" customHeight="1" x14ac:dyDescent="0.2">
      <c r="A145" s="390" t="str">
        <f>'0664'!A145</f>
        <v xml:space="preserve">graduation under the dual enrollment program as provided in s. 1011.62(l)(i), F.S.  </v>
      </c>
      <c r="B145" s="281"/>
      <c r="C145" s="281"/>
      <c r="D145" s="281"/>
      <c r="E145" s="281"/>
      <c r="F145" s="281"/>
      <c r="G145" s="281"/>
      <c r="H145" s="281"/>
      <c r="I145" s="281"/>
      <c r="N145" s="81"/>
    </row>
    <row r="146" spans="1:14" s="79" customFormat="1" x14ac:dyDescent="0.2">
      <c r="A146" s="356" t="str">
        <f>'0664'!A146</f>
        <v>(f) This allocation will be frozen as of the 2021-22 FEFP Second Calculation and will not be recalculated throughout the year. Charter school allocations should be</v>
      </c>
      <c r="B146" s="281"/>
      <c r="C146" s="281"/>
      <c r="D146" s="281"/>
      <c r="E146" s="281"/>
      <c r="F146" s="281"/>
      <c r="G146" s="281"/>
      <c r="H146" s="281"/>
      <c r="I146" s="281"/>
      <c r="N146" s="81"/>
    </row>
    <row r="147" spans="1:14" s="79" customFormat="1" x14ac:dyDescent="0.2">
      <c r="A147" s="358" t="str">
        <f>'0664'!A147</f>
        <v xml:space="preserve">distributed on weighted FTE (or base funding as is done in the FEFP) and should not be recalculated with fluctuations in student enrollment later in the year. </v>
      </c>
      <c r="B147" s="281"/>
      <c r="C147" s="281"/>
      <c r="D147" s="281"/>
      <c r="E147" s="281"/>
      <c r="F147" s="281"/>
      <c r="G147" s="281"/>
      <c r="H147" s="281"/>
      <c r="I147" s="281"/>
      <c r="N147" s="81"/>
    </row>
    <row r="148" spans="1:14" s="79" customFormat="1" x14ac:dyDescent="0.2">
      <c r="A148" s="356" t="str">
        <f>'0664'!A148</f>
        <v>(g) Numbers entered here will be multiplied by the district level transportation funding per rider. "All Adjusted Fundable Riders" should include both basic and ESE Riders.</v>
      </c>
      <c r="B148" s="281"/>
      <c r="C148" s="281"/>
      <c r="D148" s="281"/>
      <c r="E148" s="281"/>
      <c r="F148" s="281"/>
      <c r="G148" s="281"/>
      <c r="H148" s="281"/>
      <c r="I148" s="281"/>
      <c r="N148" s="81"/>
    </row>
    <row r="149" spans="1:14" s="79" customFormat="1" x14ac:dyDescent="0.2">
      <c r="A149" s="390" t="str">
        <f>'0664'!A149</f>
        <v>"All Adjusted ESE Riders" should include only ESE Riders.</v>
      </c>
      <c r="B149" s="281"/>
      <c r="C149" s="281"/>
      <c r="D149" s="281"/>
      <c r="E149" s="281"/>
      <c r="F149" s="281"/>
      <c r="G149" s="281"/>
      <c r="H149" s="281"/>
      <c r="I149" s="281"/>
      <c r="N149" s="81"/>
    </row>
    <row r="150" spans="1:14" s="79" customFormat="1" x14ac:dyDescent="0.2">
      <c r="A150" s="356" t="str">
        <f>'0664'!A150</f>
        <v xml:space="preserve">(h) The Federally Connected Student Supplement provides additional funding for students on federal lands that receive Section 8003 impact aide pursuant to s. 1011.62(13), F.S. </v>
      </c>
      <c r="B150" s="281"/>
      <c r="C150" s="281"/>
      <c r="D150" s="281"/>
      <c r="E150" s="281"/>
      <c r="F150" s="281"/>
      <c r="G150" s="281"/>
      <c r="H150" s="281"/>
      <c r="I150" s="281"/>
      <c r="N150" s="81"/>
    </row>
    <row r="151" spans="1:14" s="79" customFormat="1" x14ac:dyDescent="0.2">
      <c r="A151" s="356" t="str">
        <f>'0664'!A151</f>
        <v>(i) Teacher Classroom Supply Assistance Program allocation pursuant to s. 1012.71, F.S., for certified teachers employed by a public school district or public charter school</v>
      </c>
      <c r="B151" s="281"/>
      <c r="C151" s="281"/>
      <c r="D151" s="281"/>
      <c r="E151" s="281"/>
      <c r="F151" s="281"/>
      <c r="G151" s="281"/>
      <c r="H151" s="281"/>
      <c r="I151" s="281"/>
      <c r="N151" s="81"/>
    </row>
    <row r="152" spans="1:14" s="79" customFormat="1" x14ac:dyDescent="0.2">
      <c r="A152" s="358" t="str">
        <f>'0664'!A152</f>
        <v xml:space="preserve">before September 1 of each year whose full-time or job-share responsibility is the classroom instruction of students in prekindergarten through grade 12, including </v>
      </c>
      <c r="B152" s="281"/>
      <c r="C152" s="281"/>
      <c r="D152" s="281"/>
      <c r="E152" s="281"/>
      <c r="F152" s="281"/>
      <c r="G152" s="281"/>
      <c r="H152" s="281"/>
      <c r="I152" s="281"/>
      <c r="N152" s="81"/>
    </row>
    <row r="153" spans="1:14" s="79" customFormat="1" ht="15.75" customHeight="1" x14ac:dyDescent="0.2">
      <c r="A153" s="358" t="str">
        <f>'0664'!A153</f>
        <v>full-time media specialists and certified school counselors serving students in prekindergarten through grade 12, who are funded through the FEFP.</v>
      </c>
      <c r="B153" s="281"/>
      <c r="C153" s="281"/>
      <c r="D153" s="281"/>
      <c r="E153" s="281"/>
      <c r="F153" s="281"/>
      <c r="G153" s="281"/>
      <c r="H153" s="281"/>
      <c r="I153" s="281"/>
      <c r="N153" s="81"/>
    </row>
    <row r="154" spans="1:14" s="79" customFormat="1" ht="15.75" customHeight="1" x14ac:dyDescent="0.2">
      <c r="A154" s="356" t="str">
        <f>'0664'!A154</f>
        <v xml:space="preserve">(j) Funding based on student eligibility and meals provided, if participating in the National School Lunch Program. </v>
      </c>
      <c r="B154" s="328"/>
      <c r="C154" s="328"/>
      <c r="D154" s="328"/>
      <c r="E154" s="328"/>
      <c r="F154" s="328"/>
      <c r="G154" s="328"/>
      <c r="H154" s="328"/>
      <c r="I154" s="328"/>
      <c r="N154" s="81"/>
    </row>
    <row r="155" spans="1:14" s="79" customFormat="1" ht="15.75" customHeight="1" x14ac:dyDescent="0.2">
      <c r="A155" s="356" t="str">
        <f>'0664'!A155</f>
        <v>(k) Consistent with s. 1002.33(20)(a), F.S., for charter schools with a population of 75% or more ESE students, the administrative fee shall be calculated based on</v>
      </c>
      <c r="B155" s="381"/>
      <c r="C155" s="381"/>
      <c r="D155" s="381"/>
      <c r="E155" s="381"/>
      <c r="F155" s="381"/>
      <c r="G155" s="381"/>
      <c r="H155" s="381"/>
      <c r="I155" s="381"/>
      <c r="N155" s="81"/>
    </row>
    <row r="156" spans="1:14" s="79" customFormat="1" ht="15.75" customHeight="1" x14ac:dyDescent="0.2">
      <c r="A156" s="390" t="str">
        <f>'0664'!A156</f>
        <v xml:space="preserve">unweighted full-time equivalent students. </v>
      </c>
      <c r="B156" s="381"/>
      <c r="C156" s="381"/>
      <c r="D156" s="381"/>
      <c r="E156" s="381"/>
      <c r="F156" s="381"/>
      <c r="G156" s="381"/>
      <c r="H156" s="381"/>
      <c r="I156" s="381"/>
      <c r="N156" s="81"/>
    </row>
    <row r="157" spans="1:14" s="79" customFormat="1" ht="15.75" customHeight="1" x14ac:dyDescent="0.2">
      <c r="A157" s="356"/>
      <c r="B157" s="381"/>
      <c r="C157" s="381"/>
      <c r="D157" s="381"/>
      <c r="E157" s="381"/>
      <c r="F157" s="381"/>
      <c r="G157" s="381"/>
      <c r="H157" s="381"/>
      <c r="I157" s="381"/>
      <c r="N157" s="81"/>
    </row>
    <row r="158" spans="1:14" s="79" customFormat="1" ht="15.75" customHeight="1" x14ac:dyDescent="0.25">
      <c r="A158" s="398" t="str">
        <f>'0664'!A158</f>
        <v>Administrative fees:</v>
      </c>
      <c r="B158" s="328"/>
      <c r="C158" s="328"/>
      <c r="D158" s="328"/>
      <c r="E158" s="328"/>
      <c r="F158" s="328"/>
      <c r="G158" s="328"/>
      <c r="H158" s="328"/>
      <c r="I158" s="328"/>
      <c r="J158" s="3"/>
      <c r="K158" s="3"/>
      <c r="L158" s="3"/>
      <c r="M158" s="3"/>
      <c r="N158" s="81"/>
    </row>
    <row r="159" spans="1:14" s="79" customFormat="1" ht="15.75" customHeight="1" x14ac:dyDescent="0.25">
      <c r="A159" s="399" t="str">
        <f>'0664'!A159</f>
        <v xml:space="preserve">Administrative fees charged by the school district pursuant to s. 1002.33(20)(a), F.S., shall be calculated based upon 5% of available funds from the FEFP and categorical </v>
      </c>
      <c r="B159" s="328"/>
      <c r="C159" s="328"/>
      <c r="D159" s="328"/>
      <c r="E159" s="328"/>
      <c r="F159" s="328"/>
      <c r="G159" s="328"/>
      <c r="H159" s="328"/>
      <c r="I159" s="328"/>
      <c r="J159" s="3"/>
      <c r="K159" s="3"/>
      <c r="L159" s="3"/>
      <c r="M159" s="3"/>
      <c r="N159" s="81"/>
    </row>
    <row r="160" spans="1:14" s="79" customFormat="1" ht="15.75" customHeight="1" x14ac:dyDescent="0.25">
      <c r="A160" s="400" t="str">
        <f>'0664'!A160</f>
        <v>funding for which charter students may be eligible.  To calculate the administrative fee to be withheld for schools with more than 250 students, divide the school</v>
      </c>
      <c r="B160" s="328"/>
      <c r="C160" s="328"/>
      <c r="D160" s="328"/>
      <c r="E160" s="328"/>
      <c r="F160" s="328"/>
      <c r="G160" s="328"/>
      <c r="H160" s="328"/>
      <c r="I160" s="328"/>
      <c r="J160" s="3"/>
      <c r="K160" s="3"/>
      <c r="L160" s="3"/>
      <c r="M160" s="3"/>
      <c r="N160" s="81"/>
    </row>
    <row r="161" spans="1:21" s="79" customFormat="1" ht="15.75" customHeight="1" x14ac:dyDescent="0.25">
      <c r="A161" s="400" t="str">
        <f>'0664'!A161</f>
        <v xml:space="preserve">population into 250. Multiply that fraction times the funds available, then times 5%.  </v>
      </c>
      <c r="B161" s="328"/>
      <c r="C161" s="328"/>
      <c r="D161" s="328"/>
      <c r="E161" s="328"/>
      <c r="F161" s="328"/>
      <c r="G161" s="328"/>
      <c r="H161" s="328"/>
      <c r="I161" s="328"/>
      <c r="J161" s="3"/>
      <c r="K161" s="3"/>
      <c r="L161" s="3"/>
      <c r="M161" s="3"/>
      <c r="N161" s="81"/>
    </row>
    <row r="162" spans="1:21" s="79" customFormat="1" ht="15.75" customHeight="1" x14ac:dyDescent="0.25">
      <c r="A162" s="399"/>
      <c r="B162" s="394"/>
      <c r="C162" s="394"/>
      <c r="D162" s="394"/>
      <c r="E162" s="394"/>
      <c r="F162" s="394"/>
      <c r="G162" s="394"/>
      <c r="H162" s="394"/>
      <c r="I162" s="394"/>
      <c r="N162" s="77"/>
      <c r="O162" s="3"/>
      <c r="P162" s="3"/>
      <c r="Q162" s="3"/>
      <c r="R162" s="3"/>
      <c r="S162" s="3"/>
      <c r="T162" s="3"/>
      <c r="U162" s="3"/>
    </row>
    <row r="163" spans="1:21" ht="15.75" customHeight="1" x14ac:dyDescent="0.25">
      <c r="A163" s="399" t="str">
        <f>'0664'!A163</f>
        <v xml:space="preserve">For high performing charter schools, administrative fees charged by the school district shall be calculated based upon 2% of available funds from the FEFP and categorical </v>
      </c>
      <c r="B163" s="328"/>
      <c r="C163" s="328"/>
      <c r="D163" s="328"/>
      <c r="E163" s="328"/>
      <c r="F163" s="328"/>
      <c r="G163" s="328"/>
      <c r="H163" s="328"/>
      <c r="I163" s="328"/>
      <c r="J163" s="79"/>
      <c r="K163" s="79"/>
      <c r="L163" s="79"/>
      <c r="M163" s="79"/>
      <c r="N163" s="81"/>
      <c r="O163" s="79"/>
      <c r="P163" s="79"/>
      <c r="Q163" s="79"/>
      <c r="R163" s="79"/>
      <c r="S163" s="79"/>
      <c r="T163" s="79"/>
      <c r="U163" s="79"/>
    </row>
    <row r="164" spans="1:21" ht="15.75" customHeight="1" x14ac:dyDescent="0.25">
      <c r="A164" s="400" t="str">
        <f>'0664'!A164</f>
        <v>funding for which charter students may be eligible.  To calculate the administrative fee to be withheld for schools with more than 250 students, divide the school</v>
      </c>
      <c r="B164" s="381"/>
      <c r="C164" s="381"/>
      <c r="D164" s="381"/>
      <c r="E164" s="381"/>
      <c r="F164" s="381"/>
      <c r="G164" s="381"/>
      <c r="H164" s="381"/>
      <c r="I164" s="381"/>
      <c r="J164" s="79"/>
      <c r="K164" s="79"/>
      <c r="L164" s="79"/>
      <c r="M164" s="79"/>
      <c r="N164" s="81"/>
      <c r="O164" s="79"/>
      <c r="P164" s="79"/>
      <c r="Q164" s="79"/>
      <c r="R164" s="79"/>
      <c r="S164" s="79"/>
      <c r="T164" s="79"/>
      <c r="U164" s="79"/>
    </row>
    <row r="165" spans="1:21" s="79" customFormat="1" ht="15.75" customHeight="1" x14ac:dyDescent="0.2">
      <c r="A165" s="400" t="str">
        <f>'0664'!A165</f>
        <v xml:space="preserve">population into 250. Multiply that fraction times the funds available, then times 2%.  </v>
      </c>
      <c r="B165" s="328"/>
      <c r="C165" s="328"/>
      <c r="D165" s="328"/>
      <c r="E165" s="328"/>
      <c r="F165" s="328"/>
      <c r="G165" s="328"/>
      <c r="H165" s="328"/>
      <c r="I165" s="328"/>
      <c r="N165" s="81"/>
    </row>
    <row r="166" spans="1:21" x14ac:dyDescent="0.25">
      <c r="A166" s="356"/>
      <c r="N166" s="77"/>
    </row>
    <row r="167" spans="1:21" x14ac:dyDescent="0.25">
      <c r="A167" s="398" t="str">
        <f>'0664'!A167</f>
        <v>Other:</v>
      </c>
      <c r="N167" s="77"/>
    </row>
    <row r="168" spans="1:21" x14ac:dyDescent="0.25">
      <c r="A168" s="399" t="str">
        <f>'0664'!A168</f>
        <v>FEFP and categorical funding are recalculated during the year to reflect the revised number of full-time equivalent students reported during the survey periods designated</v>
      </c>
      <c r="N168" s="77"/>
    </row>
    <row r="169" spans="1:21" x14ac:dyDescent="0.25">
      <c r="A169" s="402" t="str">
        <f>'0664'!A169</f>
        <v>by the Commissioner of Education.</v>
      </c>
      <c r="N169" s="77"/>
    </row>
    <row r="170" spans="1:21" x14ac:dyDescent="0.25">
      <c r="A170" s="399" t="str">
        <f>'0664'!A170</f>
        <v>Revenues flow to districts from state sources and from county tax collectors on various distribution schedules.</v>
      </c>
      <c r="N170" s="77"/>
    </row>
    <row r="171" spans="1:21" x14ac:dyDescent="0.25">
      <c r="A171" s="77"/>
      <c r="N171" s="77"/>
    </row>
    <row r="172" spans="1:21" x14ac:dyDescent="0.25">
      <c r="A172" s="77"/>
      <c r="N172" s="77"/>
    </row>
    <row r="173" spans="1:21" x14ac:dyDescent="0.25">
      <c r="A173" s="77"/>
      <c r="N173" s="77"/>
    </row>
    <row r="174" spans="1:21" x14ac:dyDescent="0.25">
      <c r="A174" s="77"/>
      <c r="N174" s="77"/>
    </row>
    <row r="175" spans="1:21" x14ac:dyDescent="0.25">
      <c r="A175" s="77"/>
      <c r="N175" s="77"/>
    </row>
    <row r="176" spans="1:21" x14ac:dyDescent="0.25">
      <c r="A176" s="77"/>
      <c r="N176" s="77"/>
    </row>
    <row r="177" spans="1:14" x14ac:dyDescent="0.25">
      <c r="A177" s="77"/>
      <c r="N177" s="77"/>
    </row>
    <row r="178" spans="1:14" x14ac:dyDescent="0.25">
      <c r="A178" s="77"/>
      <c r="N178" s="77"/>
    </row>
    <row r="179" spans="1:14" x14ac:dyDescent="0.25">
      <c r="A179" s="77"/>
      <c r="N179" s="77"/>
    </row>
    <row r="180" spans="1:14" x14ac:dyDescent="0.25">
      <c r="A180" s="77"/>
      <c r="N180" s="77"/>
    </row>
    <row r="181" spans="1:14" x14ac:dyDescent="0.25">
      <c r="A181" s="77"/>
      <c r="N181" s="77"/>
    </row>
    <row r="182" spans="1:14" x14ac:dyDescent="0.25">
      <c r="A182" s="77"/>
      <c r="N182" s="77"/>
    </row>
    <row r="183" spans="1:14" x14ac:dyDescent="0.25">
      <c r="A183" s="77"/>
      <c r="N183" s="77"/>
    </row>
    <row r="184" spans="1:14" x14ac:dyDescent="0.25">
      <c r="A184" s="77"/>
      <c r="N184" s="77"/>
    </row>
    <row r="185" spans="1:14" x14ac:dyDescent="0.25">
      <c r="A185" s="77"/>
      <c r="N185" s="77"/>
    </row>
    <row r="186" spans="1:14" x14ac:dyDescent="0.25">
      <c r="A186" s="77"/>
      <c r="N186" s="77"/>
    </row>
    <row r="187" spans="1:14" x14ac:dyDescent="0.25">
      <c r="A187" s="77"/>
      <c r="N187" s="77"/>
    </row>
    <row r="188" spans="1:14" x14ac:dyDescent="0.25">
      <c r="A188" s="77"/>
    </row>
    <row r="189" spans="1:14" x14ac:dyDescent="0.25">
      <c r="A189" s="77"/>
    </row>
    <row r="190" spans="1:14" x14ac:dyDescent="0.25">
      <c r="A190" s="77"/>
    </row>
    <row r="191" spans="1:14" x14ac:dyDescent="0.25">
      <c r="A191" s="77"/>
    </row>
    <row r="192" spans="1:14" x14ac:dyDescent="0.25">
      <c r="A192" s="77"/>
    </row>
    <row r="193" spans="1:1" x14ac:dyDescent="0.25">
      <c r="A193" s="77"/>
    </row>
    <row r="194" spans="1:1" x14ac:dyDescent="0.25">
      <c r="A194" s="77"/>
    </row>
    <row r="195" spans="1:1" x14ac:dyDescent="0.25">
      <c r="A195" s="77"/>
    </row>
    <row r="196" spans="1:1" x14ac:dyDescent="0.25">
      <c r="A196" s="77"/>
    </row>
    <row r="197" spans="1:1" x14ac:dyDescent="0.25">
      <c r="A197" s="77"/>
    </row>
    <row r="198" spans="1:1" x14ac:dyDescent="0.25">
      <c r="A198" s="77"/>
    </row>
    <row r="199" spans="1:1" x14ac:dyDescent="0.25">
      <c r="A199" s="77"/>
    </row>
    <row r="200" spans="1:1" x14ac:dyDescent="0.25">
      <c r="A200" s="77"/>
    </row>
    <row r="201" spans="1:1" x14ac:dyDescent="0.25">
      <c r="A201" s="77"/>
    </row>
    <row r="202" spans="1:1" x14ac:dyDescent="0.25">
      <c r="A202" s="77"/>
    </row>
    <row r="203" spans="1:1" x14ac:dyDescent="0.25">
      <c r="A203" s="77"/>
    </row>
    <row r="204" spans="1:1" x14ac:dyDescent="0.25">
      <c r="A204" s="77"/>
    </row>
    <row r="205" spans="1:1" x14ac:dyDescent="0.25">
      <c r="A205" s="77"/>
    </row>
    <row r="206" spans="1:1" x14ac:dyDescent="0.25">
      <c r="A206" s="77"/>
    </row>
  </sheetData>
  <mergeCells count="266">
    <mergeCell ref="A112:C112"/>
    <mergeCell ref="F112:H112"/>
    <mergeCell ref="N112:P112"/>
    <mergeCell ref="A109:B109"/>
    <mergeCell ref="F109:G109"/>
    <mergeCell ref="N109:O109"/>
    <mergeCell ref="P109:Q109"/>
    <mergeCell ref="N139:U139"/>
    <mergeCell ref="N119:U119"/>
    <mergeCell ref="N113:P113"/>
    <mergeCell ref="A113:C113"/>
    <mergeCell ref="F113:H113"/>
    <mergeCell ref="N114:T114"/>
    <mergeCell ref="A115:H115"/>
    <mergeCell ref="A119:G119"/>
    <mergeCell ref="N120:U120"/>
    <mergeCell ref="A120:G120"/>
    <mergeCell ref="R109:S109"/>
    <mergeCell ref="A110:B110"/>
    <mergeCell ref="N110:O110"/>
    <mergeCell ref="A107:B107"/>
    <mergeCell ref="F107:G107"/>
    <mergeCell ref="N107:O107"/>
    <mergeCell ref="P107:Q107"/>
    <mergeCell ref="R107:S107"/>
    <mergeCell ref="A108:B108"/>
    <mergeCell ref="F108:G108"/>
    <mergeCell ref="N108:O108"/>
    <mergeCell ref="P108:Q108"/>
    <mergeCell ref="R108:S108"/>
    <mergeCell ref="A103:C103"/>
    <mergeCell ref="F103:I103"/>
    <mergeCell ref="N103:U103"/>
    <mergeCell ref="C104:E104"/>
    <mergeCell ref="F105:G105"/>
    <mergeCell ref="A106:B106"/>
    <mergeCell ref="F106:G106"/>
    <mergeCell ref="N106:O106"/>
    <mergeCell ref="P106:Q106"/>
    <mergeCell ref="R106:S106"/>
    <mergeCell ref="A99:B99"/>
    <mergeCell ref="N99:O99"/>
    <mergeCell ref="P99:R99"/>
    <mergeCell ref="A100:B100"/>
    <mergeCell ref="N100:O100"/>
    <mergeCell ref="P100:R100"/>
    <mergeCell ref="C91:D91"/>
    <mergeCell ref="P91:Q91"/>
    <mergeCell ref="C92:D92"/>
    <mergeCell ref="P92:Q92"/>
    <mergeCell ref="C93:D93"/>
    <mergeCell ref="P93:T93"/>
    <mergeCell ref="A94:I94"/>
    <mergeCell ref="N94:U94"/>
    <mergeCell ref="F96:I96"/>
    <mergeCell ref="N96:P96"/>
    <mergeCell ref="Q96:T96"/>
    <mergeCell ref="A87:I87"/>
    <mergeCell ref="N87:U87"/>
    <mergeCell ref="C88:D88"/>
    <mergeCell ref="C89:D89"/>
    <mergeCell ref="N89:O89"/>
    <mergeCell ref="P89:Q89"/>
    <mergeCell ref="R89:U89"/>
    <mergeCell ref="C90:D90"/>
    <mergeCell ref="P90:Q90"/>
    <mergeCell ref="A80:C80"/>
    <mergeCell ref="N80:P80"/>
    <mergeCell ref="A85:C85"/>
    <mergeCell ref="N85:P85"/>
    <mergeCell ref="F73:H73"/>
    <mergeCell ref="N73:T73"/>
    <mergeCell ref="N74:T74"/>
    <mergeCell ref="A78:C78"/>
    <mergeCell ref="N78:P78"/>
    <mergeCell ref="A79:C79"/>
    <mergeCell ref="A69:C69"/>
    <mergeCell ref="N69:P69"/>
    <mergeCell ref="N79:P79"/>
    <mergeCell ref="A76:C76"/>
    <mergeCell ref="N76:P76"/>
    <mergeCell ref="A77:C77"/>
    <mergeCell ref="A70:C70"/>
    <mergeCell ref="A71:C71"/>
    <mergeCell ref="N71:P71"/>
    <mergeCell ref="A72:C72"/>
    <mergeCell ref="N77:P77"/>
    <mergeCell ref="N72:P72"/>
    <mergeCell ref="A65:B65"/>
    <mergeCell ref="D65:G65"/>
    <mergeCell ref="N65:O65"/>
    <mergeCell ref="Q65:S65"/>
    <mergeCell ref="T65:U65"/>
    <mergeCell ref="N66:S66"/>
    <mergeCell ref="T66:U66"/>
    <mergeCell ref="A68:C68"/>
    <mergeCell ref="N68:P68"/>
    <mergeCell ref="A62:B62"/>
    <mergeCell ref="D62:G62"/>
    <mergeCell ref="N62:O62"/>
    <mergeCell ref="Q62:S62"/>
    <mergeCell ref="T62:U62"/>
    <mergeCell ref="N63:S63"/>
    <mergeCell ref="T63:U63"/>
    <mergeCell ref="A64:I64"/>
    <mergeCell ref="N64:U64"/>
    <mergeCell ref="A59:B59"/>
    <mergeCell ref="F59:H59"/>
    <mergeCell ref="N59:O59"/>
    <mergeCell ref="P59:Q59"/>
    <mergeCell ref="R59:T59"/>
    <mergeCell ref="A60:I60"/>
    <mergeCell ref="N60:U60"/>
    <mergeCell ref="A61:I61"/>
    <mergeCell ref="N61:U61"/>
    <mergeCell ref="A50:B58"/>
    <mergeCell ref="N50:O58"/>
    <mergeCell ref="P50:Q50"/>
    <mergeCell ref="P51:Q51"/>
    <mergeCell ref="P52:Q52"/>
    <mergeCell ref="P53:Q53"/>
    <mergeCell ref="P54:Q54"/>
    <mergeCell ref="P55:Q55"/>
    <mergeCell ref="P56:Q56"/>
    <mergeCell ref="P57:Q57"/>
    <mergeCell ref="P58:Q58"/>
    <mergeCell ref="A42:B42"/>
    <mergeCell ref="N42:O42"/>
    <mergeCell ref="P42:T42"/>
    <mergeCell ref="N43:Q43"/>
    <mergeCell ref="S43:T43"/>
    <mergeCell ref="N45:Q45"/>
    <mergeCell ref="S45:T45"/>
    <mergeCell ref="N49:O49"/>
    <mergeCell ref="P49:Q49"/>
    <mergeCell ref="A39:B39"/>
    <mergeCell ref="N39:O39"/>
    <mergeCell ref="P39:T39"/>
    <mergeCell ref="A40:B40"/>
    <mergeCell ref="N40:O40"/>
    <mergeCell ref="P40:T40"/>
    <mergeCell ref="A41:B41"/>
    <mergeCell ref="N41:O41"/>
    <mergeCell ref="P41:T41"/>
    <mergeCell ref="N34:T34"/>
    <mergeCell ref="A36:B36"/>
    <mergeCell ref="N36:O36"/>
    <mergeCell ref="P36:T36"/>
    <mergeCell ref="A37:B37"/>
    <mergeCell ref="N37:O37"/>
    <mergeCell ref="P37:T37"/>
    <mergeCell ref="F33:H36"/>
    <mergeCell ref="A38:B38"/>
    <mergeCell ref="N38:O38"/>
    <mergeCell ref="P38:T38"/>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A20:B20"/>
    <mergeCell ref="F20:G20"/>
    <mergeCell ref="N20:O20"/>
    <mergeCell ref="P20:Q20"/>
    <mergeCell ref="R20:S20"/>
    <mergeCell ref="A21:B21"/>
    <mergeCell ref="F21:G21"/>
    <mergeCell ref="N21:O21"/>
    <mergeCell ref="P21:Q21"/>
    <mergeCell ref="R21:S21"/>
    <mergeCell ref="A18:B18"/>
    <mergeCell ref="F18:G18"/>
    <mergeCell ref="N18:O18"/>
    <mergeCell ref="P18:Q18"/>
    <mergeCell ref="R18:S18"/>
    <mergeCell ref="A19:B19"/>
    <mergeCell ref="F19:G19"/>
    <mergeCell ref="N19:O19"/>
    <mergeCell ref="P19:Q19"/>
    <mergeCell ref="R19:S19"/>
    <mergeCell ref="A16:B16"/>
    <mergeCell ref="F16:G16"/>
    <mergeCell ref="N16:O16"/>
    <mergeCell ref="P16:Q16"/>
    <mergeCell ref="R16:S16"/>
    <mergeCell ref="A17:B17"/>
    <mergeCell ref="F17:G17"/>
    <mergeCell ref="N17:O17"/>
    <mergeCell ref="P17:Q17"/>
    <mergeCell ref="R17:S17"/>
    <mergeCell ref="A14:B14"/>
    <mergeCell ref="F14:G14"/>
    <mergeCell ref="N14:O14"/>
    <mergeCell ref="P14:Q14"/>
    <mergeCell ref="R14:S14"/>
    <mergeCell ref="P15:Q15"/>
    <mergeCell ref="R15:S15"/>
    <mergeCell ref="A15:B15"/>
    <mergeCell ref="F15:G15"/>
    <mergeCell ref="N15:O15"/>
    <mergeCell ref="B1:I1"/>
    <mergeCell ref="A7:I7"/>
    <mergeCell ref="A11:B11"/>
    <mergeCell ref="F11:G11"/>
    <mergeCell ref="O1:U1"/>
    <mergeCell ref="N2:U2"/>
    <mergeCell ref="N3:U3"/>
    <mergeCell ref="A4:B4"/>
    <mergeCell ref="C4:E4"/>
    <mergeCell ref="N4:O4"/>
    <mergeCell ref="P4:Q4"/>
    <mergeCell ref="P8:Q8"/>
    <mergeCell ref="R8:S8"/>
    <mergeCell ref="T8:U8"/>
    <mergeCell ref="F10:G10"/>
    <mergeCell ref="R10:S10"/>
    <mergeCell ref="N7:U7"/>
    <mergeCell ref="N8:O8"/>
    <mergeCell ref="R13:S13"/>
    <mergeCell ref="A13:B13"/>
    <mergeCell ref="F13:G13"/>
    <mergeCell ref="A12:B12"/>
    <mergeCell ref="F12:G12"/>
    <mergeCell ref="N13:O13"/>
    <mergeCell ref="P13:Q13"/>
    <mergeCell ref="N11:O11"/>
    <mergeCell ref="P11:Q11"/>
    <mergeCell ref="R11:S11"/>
    <mergeCell ref="N12:O12"/>
    <mergeCell ref="P12:Q12"/>
    <mergeCell ref="R12:S12"/>
  </mergeCells>
  <pageMargins left="0.1" right="0.1" top="0.5" bottom="0.5" header="0" footer="0.1"/>
  <pageSetup scale="70" fitToHeight="3" orientation="portrait" r:id="rId1"/>
  <headerFooter alignWithMargins="0">
    <oddFooter>&amp;R&amp;P of &amp;N</oddFooter>
  </headerFooter>
  <rowBreaks count="1" manualBreakCount="1">
    <brk id="138" max="16383" man="1"/>
  </rowBreaks>
  <colBreaks count="1" manualBreakCount="1">
    <brk id="9"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CCFFCC"/>
  </sheetPr>
  <dimension ref="A1:U206"/>
  <sheetViews>
    <sheetView showGridLines="0" zoomScaleNormal="100" workbookViewId="0">
      <pane ySplit="1" topLeftCell="A11" activePane="bottomLeft" state="frozen"/>
      <selection activeCell="I9" sqref="I9"/>
      <selection pane="bottomLeft" activeCell="D50" sqref="D50:D58"/>
    </sheetView>
  </sheetViews>
  <sheetFormatPr defaultRowHeight="15.75" x14ac:dyDescent="0.25"/>
  <cols>
    <col min="1" max="1" width="10.28515625" style="72"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72"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5">
        <v>50</v>
      </c>
      <c r="B1" s="441" t="s">
        <v>17</v>
      </c>
      <c r="C1" s="442"/>
      <c r="D1" s="442"/>
      <c r="E1" s="442"/>
      <c r="F1" s="442"/>
      <c r="G1" s="442"/>
      <c r="H1" s="442"/>
      <c r="I1" s="442"/>
      <c r="J1" s="157"/>
      <c r="K1" s="157"/>
      <c r="L1" s="157"/>
      <c r="N1" s="85">
        <f>A1</f>
        <v>50</v>
      </c>
      <c r="O1" s="527" t="s">
        <v>17</v>
      </c>
      <c r="P1" s="528"/>
      <c r="Q1" s="528"/>
      <c r="R1" s="528"/>
      <c r="S1" s="528"/>
      <c r="T1" s="528"/>
      <c r="U1" s="528"/>
    </row>
    <row r="2" spans="1:21" ht="21" x14ac:dyDescent="0.35">
      <c r="A2" s="1" t="s">
        <v>384</v>
      </c>
      <c r="B2" s="2"/>
      <c r="C2" s="2"/>
      <c r="D2" s="2"/>
      <c r="E2" s="2"/>
      <c r="F2" s="2"/>
      <c r="G2" s="2"/>
      <c r="H2" s="2"/>
      <c r="I2" s="2"/>
      <c r="N2" s="529" t="s">
        <v>23</v>
      </c>
      <c r="O2" s="529"/>
      <c r="P2" s="529"/>
      <c r="Q2" s="529"/>
      <c r="R2" s="529"/>
      <c r="S2" s="529"/>
      <c r="T2" s="529"/>
      <c r="U2" s="529"/>
    </row>
    <row r="3" spans="1:21" x14ac:dyDescent="0.25">
      <c r="A3" s="84" t="str">
        <f>'0664'!A3</f>
        <v>Based on the FLDOE 2022-23 FEFP Third Calculation</v>
      </c>
      <c r="N3" s="485" t="str">
        <f>A3</f>
        <v>Based on the FLDOE 2022-23 FEFP Third Calculation</v>
      </c>
      <c r="O3" s="485"/>
      <c r="P3" s="485"/>
      <c r="Q3" s="485"/>
      <c r="R3" s="485"/>
      <c r="S3" s="485"/>
      <c r="T3" s="485"/>
      <c r="U3" s="485"/>
    </row>
    <row r="4" spans="1:21" x14ac:dyDescent="0.25">
      <c r="A4" s="443" t="s">
        <v>0</v>
      </c>
      <c r="B4" s="443"/>
      <c r="C4" s="444" t="s">
        <v>9</v>
      </c>
      <c r="D4" s="444"/>
      <c r="E4" s="444"/>
      <c r="F4" s="4" t="str">
        <f>'0664'!F4</f>
        <v>Apr 2023</v>
      </c>
      <c r="G4" s="4"/>
      <c r="H4" s="4"/>
      <c r="I4" s="4"/>
      <c r="N4" s="530" t="s">
        <v>0</v>
      </c>
      <c r="O4" s="530"/>
      <c r="P4" s="531" t="str">
        <f>C4</f>
        <v>Palm Beach</v>
      </c>
      <c r="Q4" s="531"/>
      <c r="R4" s="5"/>
      <c r="S4" s="5"/>
      <c r="T4" s="5"/>
      <c r="U4" s="5"/>
    </row>
    <row r="5" spans="1:21" ht="12" customHeight="1" thickBot="1" x14ac:dyDescent="0.3">
      <c r="A5" s="262"/>
      <c r="B5" s="262"/>
      <c r="C5" s="253"/>
      <c r="D5" s="253"/>
      <c r="E5" s="253"/>
      <c r="F5" s="254"/>
      <c r="G5" s="254"/>
      <c r="H5" s="254"/>
      <c r="I5" s="254"/>
      <c r="N5" s="86"/>
      <c r="O5" s="86"/>
      <c r="P5" s="6"/>
      <c r="Q5" s="6"/>
      <c r="R5" s="5"/>
      <c r="S5" s="5"/>
      <c r="T5" s="5"/>
      <c r="U5" s="5"/>
    </row>
    <row r="6" spans="1:21" ht="12" customHeight="1" x14ac:dyDescent="0.25">
      <c r="A6" s="150"/>
      <c r="B6" s="150"/>
      <c r="C6" s="261"/>
      <c r="D6" s="261"/>
      <c r="E6" s="261"/>
      <c r="F6" s="4"/>
      <c r="G6" s="4"/>
      <c r="H6" s="4"/>
      <c r="I6" s="4"/>
      <c r="N6" s="86"/>
      <c r="O6" s="86"/>
      <c r="P6" s="6"/>
      <c r="Q6" s="6"/>
      <c r="R6" s="5"/>
      <c r="S6" s="5"/>
      <c r="T6" s="5"/>
      <c r="U6" s="5"/>
    </row>
    <row r="7" spans="1:21" x14ac:dyDescent="0.25">
      <c r="A7" s="445" t="str">
        <f>'0664'!A7:I7</f>
        <v>1.   2022-23 FEFP State and Local Funding</v>
      </c>
      <c r="B7" s="533"/>
      <c r="C7" s="533"/>
      <c r="D7" s="533"/>
      <c r="E7" s="533"/>
      <c r="F7" s="533"/>
      <c r="G7" s="533"/>
      <c r="H7" s="533"/>
      <c r="I7" s="533"/>
      <c r="N7" s="530" t="s">
        <v>86</v>
      </c>
      <c r="O7" s="530"/>
      <c r="P7" s="530"/>
      <c r="Q7" s="530"/>
      <c r="R7" s="530"/>
      <c r="S7" s="530"/>
      <c r="T7" s="530"/>
      <c r="U7" s="530"/>
    </row>
    <row r="8" spans="1:21" x14ac:dyDescent="0.25">
      <c r="A8" s="87"/>
      <c r="B8" s="88" t="s">
        <v>123</v>
      </c>
      <c r="C8" s="334">
        <f>'0664'!C8</f>
        <v>4587.3999999999996</v>
      </c>
      <c r="D8" s="89"/>
      <c r="E8" s="90"/>
      <c r="F8" s="87"/>
      <c r="G8" s="88" t="s">
        <v>122</v>
      </c>
      <c r="H8" s="320">
        <f>'0664'!H8</f>
        <v>1.0438000000000001</v>
      </c>
      <c r="I8" s="78"/>
      <c r="N8" s="534" t="s">
        <v>10</v>
      </c>
      <c r="O8" s="534"/>
      <c r="P8" s="535">
        <v>4154.45</v>
      </c>
      <c r="Q8" s="535"/>
      <c r="R8" s="518" t="s">
        <v>11</v>
      </c>
      <c r="S8" s="518"/>
      <c r="T8" s="519">
        <f>H8</f>
        <v>1.0438000000000001</v>
      </c>
      <c r="U8" s="519"/>
    </row>
    <row r="9" spans="1:21" x14ac:dyDescent="0.25">
      <c r="A9" s="7"/>
      <c r="B9" s="44" t="s">
        <v>370</v>
      </c>
      <c r="C9" s="372" t="s">
        <v>370</v>
      </c>
      <c r="D9" s="372" t="s">
        <v>370</v>
      </c>
      <c r="E9" s="8"/>
      <c r="F9" s="9"/>
      <c r="G9" s="9"/>
      <c r="H9" s="10"/>
      <c r="I9" s="340" t="str">
        <f>'0664'!I9</f>
        <v>2022-23</v>
      </c>
      <c r="N9" s="12"/>
      <c r="O9" s="12"/>
      <c r="P9" s="13"/>
      <c r="Q9" s="13"/>
      <c r="R9" s="14"/>
      <c r="S9" s="14"/>
      <c r="T9" s="15"/>
      <c r="U9" s="405" t="s">
        <v>405</v>
      </c>
    </row>
    <row r="10" spans="1:21" x14ac:dyDescent="0.25">
      <c r="A10" s="7"/>
      <c r="B10" s="7"/>
      <c r="C10" s="91" t="s">
        <v>463</v>
      </c>
      <c r="D10" s="371" t="s">
        <v>464</v>
      </c>
      <c r="E10" s="92" t="s">
        <v>8</v>
      </c>
      <c r="F10" s="446" t="s">
        <v>1</v>
      </c>
      <c r="G10" s="446"/>
      <c r="H10" s="10" t="s">
        <v>73</v>
      </c>
      <c r="I10" s="11" t="s">
        <v>36</v>
      </c>
      <c r="N10" s="12"/>
      <c r="O10" s="12"/>
      <c r="P10" s="13"/>
      <c r="Q10" s="13"/>
      <c r="R10" s="520" t="s">
        <v>1</v>
      </c>
      <c r="S10" s="520"/>
      <c r="T10" s="15" t="s">
        <v>73</v>
      </c>
      <c r="U10" s="16" t="s">
        <v>36</v>
      </c>
    </row>
    <row r="11" spans="1:21" x14ac:dyDescent="0.25">
      <c r="A11" s="447" t="s">
        <v>1</v>
      </c>
      <c r="B11" s="447"/>
      <c r="C11" s="362" t="s">
        <v>2</v>
      </c>
      <c r="D11" s="362" t="s">
        <v>2</v>
      </c>
      <c r="E11" s="362" t="s">
        <v>2</v>
      </c>
      <c r="F11" s="448" t="s">
        <v>76</v>
      </c>
      <c r="G11" s="448"/>
      <c r="H11" s="17" t="s">
        <v>72</v>
      </c>
      <c r="I11" s="18" t="s">
        <v>75</v>
      </c>
      <c r="N11" s="510" t="s">
        <v>1</v>
      </c>
      <c r="O11" s="510"/>
      <c r="P11" s="521" t="s">
        <v>24</v>
      </c>
      <c r="Q11" s="521"/>
      <c r="R11" s="522" t="s">
        <v>76</v>
      </c>
      <c r="S11" s="522"/>
      <c r="T11" s="19" t="s">
        <v>72</v>
      </c>
      <c r="U11" s="20" t="s">
        <v>75</v>
      </c>
    </row>
    <row r="12" spans="1:21" x14ac:dyDescent="0.25">
      <c r="A12" s="449" t="s">
        <v>47</v>
      </c>
      <c r="B12" s="449"/>
      <c r="C12" s="94"/>
      <c r="D12" s="94"/>
      <c r="E12" s="95" t="s">
        <v>48</v>
      </c>
      <c r="F12" s="450" t="s">
        <v>49</v>
      </c>
      <c r="G12" s="450"/>
      <c r="H12" s="21" t="s">
        <v>50</v>
      </c>
      <c r="I12" s="22" t="s">
        <v>51</v>
      </c>
      <c r="N12" s="523" t="s">
        <v>47</v>
      </c>
      <c r="O12" s="523"/>
      <c r="P12" s="524" t="s">
        <v>48</v>
      </c>
      <c r="Q12" s="524"/>
      <c r="R12" s="525" t="s">
        <v>49</v>
      </c>
      <c r="S12" s="525"/>
      <c r="T12" s="23" t="s">
        <v>50</v>
      </c>
      <c r="U12" s="24" t="s">
        <v>51</v>
      </c>
    </row>
    <row r="13" spans="1:21" x14ac:dyDescent="0.25">
      <c r="A13" s="451" t="s">
        <v>29</v>
      </c>
      <c r="B13" s="451"/>
      <c r="C13" s="165">
        <v>0</v>
      </c>
      <c r="D13" s="163">
        <v>0</v>
      </c>
      <c r="E13" s="210">
        <f>IF(D$29=0,C13*2,C13+D13)</f>
        <v>0</v>
      </c>
      <c r="F13" s="537">
        <f>'0664'!F13:G13</f>
        <v>1.1259999999999999</v>
      </c>
      <c r="G13" s="537"/>
      <c r="H13" s="167">
        <f>ROUND(E13*F13,4)</f>
        <v>0</v>
      </c>
      <c r="I13" s="119">
        <f t="shared" ref="I13:I28" si="0">ROUND(ROUND(H13*$C$8,4)*($H$8),2)</f>
        <v>0</v>
      </c>
      <c r="N13" s="512" t="s">
        <v>29</v>
      </c>
      <c r="O13" s="512"/>
      <c r="P13" s="513">
        <f t="shared" ref="P13:P28" si="1">IF($H$120=1,E13,0)</f>
        <v>0</v>
      </c>
      <c r="Q13" s="513"/>
      <c r="R13" s="526">
        <v>1</v>
      </c>
      <c r="S13" s="526"/>
      <c r="T13" s="98">
        <f>ROUND(P13*R13,4)</f>
        <v>0</v>
      </c>
      <c r="U13" s="99">
        <f t="shared" ref="U13:U28" si="2">ROUND(ROUND(T13*$C$8,4)*($H$8),0)</f>
        <v>0</v>
      </c>
    </row>
    <row r="14" spans="1:21" x14ac:dyDescent="0.25">
      <c r="A14" s="453" t="s">
        <v>30</v>
      </c>
      <c r="B14" s="453"/>
      <c r="C14" s="165">
        <v>0</v>
      </c>
      <c r="D14" s="165">
        <v>0</v>
      </c>
      <c r="E14" s="125">
        <f t="shared" ref="E14:E28" si="3">IF(D$29=0,C14*2,C14+D14)</f>
        <v>0</v>
      </c>
      <c r="F14" s="532">
        <f>'0664'!F14:G14</f>
        <v>1.1259999999999999</v>
      </c>
      <c r="G14" s="532"/>
      <c r="H14" s="83">
        <f t="shared" ref="H14:H28" si="4">ROUND(E14*F14,4)</f>
        <v>0</v>
      </c>
      <c r="I14" s="104">
        <f t="shared" si="0"/>
        <v>0</v>
      </c>
      <c r="J14" s="68" t="str">
        <f>IF(ROUND(E14,2)=ROUND(SUM(E50:E52),2)," ","CHECK PK-3 LINES BELOW")</f>
        <v xml:space="preserve"> </v>
      </c>
      <c r="N14" s="479" t="s">
        <v>30</v>
      </c>
      <c r="O14" s="479"/>
      <c r="P14" s="513">
        <f t="shared" si="1"/>
        <v>0</v>
      </c>
      <c r="Q14" s="513"/>
      <c r="R14" s="517">
        <v>1</v>
      </c>
      <c r="S14" s="517"/>
      <c r="T14" s="98">
        <f t="shared" ref="T14:T28" si="5">ROUND(P14*R14,4)</f>
        <v>0</v>
      </c>
      <c r="U14" s="99">
        <f t="shared" si="2"/>
        <v>0</v>
      </c>
    </row>
    <row r="15" spans="1:21" x14ac:dyDescent="0.25">
      <c r="A15" s="453" t="s">
        <v>31</v>
      </c>
      <c r="B15" s="453"/>
      <c r="C15" s="165">
        <v>0</v>
      </c>
      <c r="D15" s="165">
        <v>0</v>
      </c>
      <c r="E15" s="125">
        <f t="shared" si="3"/>
        <v>0</v>
      </c>
      <c r="F15" s="532">
        <f>'0664'!F15:G15</f>
        <v>1</v>
      </c>
      <c r="G15" s="532"/>
      <c r="H15" s="83">
        <f t="shared" si="4"/>
        <v>0</v>
      </c>
      <c r="I15" s="104">
        <f t="shared" si="0"/>
        <v>0</v>
      </c>
      <c r="N15" s="479" t="s">
        <v>31</v>
      </c>
      <c r="O15" s="479"/>
      <c r="P15" s="513">
        <f t="shared" si="1"/>
        <v>0</v>
      </c>
      <c r="Q15" s="513"/>
      <c r="R15" s="517">
        <v>1</v>
      </c>
      <c r="S15" s="517"/>
      <c r="T15" s="98">
        <f t="shared" si="5"/>
        <v>0</v>
      </c>
      <c r="U15" s="99">
        <f t="shared" si="2"/>
        <v>0</v>
      </c>
    </row>
    <row r="16" spans="1:21" x14ac:dyDescent="0.25">
      <c r="A16" s="453" t="s">
        <v>32</v>
      </c>
      <c r="B16" s="453"/>
      <c r="C16" s="165">
        <v>0</v>
      </c>
      <c r="D16" s="165">
        <v>0</v>
      </c>
      <c r="E16" s="125">
        <f t="shared" si="3"/>
        <v>0</v>
      </c>
      <c r="F16" s="532">
        <f>'0664'!F16:G16</f>
        <v>1</v>
      </c>
      <c r="G16" s="532"/>
      <c r="H16" s="83">
        <f t="shared" si="4"/>
        <v>0</v>
      </c>
      <c r="I16" s="104">
        <f t="shared" si="0"/>
        <v>0</v>
      </c>
      <c r="J16" s="68" t="str">
        <f>IF(ROUND(E16,2)=ROUND(SUM(E53:E55),2)," ","CHECK 4-8 LINES BELOW")</f>
        <v xml:space="preserve"> </v>
      </c>
      <c r="N16" s="479" t="s">
        <v>32</v>
      </c>
      <c r="O16" s="479"/>
      <c r="P16" s="513">
        <f t="shared" si="1"/>
        <v>0</v>
      </c>
      <c r="Q16" s="513"/>
      <c r="R16" s="517">
        <v>1</v>
      </c>
      <c r="S16" s="517"/>
      <c r="T16" s="98">
        <f t="shared" si="5"/>
        <v>0</v>
      </c>
      <c r="U16" s="99">
        <f t="shared" si="2"/>
        <v>0</v>
      </c>
    </row>
    <row r="17" spans="1:21" x14ac:dyDescent="0.25">
      <c r="A17" s="453" t="s">
        <v>33</v>
      </c>
      <c r="B17" s="453"/>
      <c r="C17" s="165">
        <v>207.31</v>
      </c>
      <c r="D17" s="165">
        <v>228.38</v>
      </c>
      <c r="E17" s="125">
        <f t="shared" si="3"/>
        <v>435.69</v>
      </c>
      <c r="F17" s="532">
        <f>'0664'!F17:G17</f>
        <v>0.999</v>
      </c>
      <c r="G17" s="532"/>
      <c r="H17" s="83">
        <f t="shared" si="4"/>
        <v>435.2543</v>
      </c>
      <c r="I17" s="104">
        <f t="shared" si="0"/>
        <v>2084140.4</v>
      </c>
      <c r="N17" s="479" t="s">
        <v>33</v>
      </c>
      <c r="O17" s="479"/>
      <c r="P17" s="513">
        <f t="shared" si="1"/>
        <v>0</v>
      </c>
      <c r="Q17" s="513"/>
      <c r="R17" s="517">
        <v>1</v>
      </c>
      <c r="S17" s="517"/>
      <c r="T17" s="98">
        <f t="shared" si="5"/>
        <v>0</v>
      </c>
      <c r="U17" s="99">
        <f t="shared" si="2"/>
        <v>0</v>
      </c>
    </row>
    <row r="18" spans="1:21" x14ac:dyDescent="0.25">
      <c r="A18" s="453" t="s">
        <v>34</v>
      </c>
      <c r="B18" s="453"/>
      <c r="C18" s="165">
        <v>51</v>
      </c>
      <c r="D18" s="165">
        <v>60.07</v>
      </c>
      <c r="E18" s="125">
        <f t="shared" si="3"/>
        <v>111.07</v>
      </c>
      <c r="F18" s="532">
        <f>'0664'!F18:G18</f>
        <v>0.999</v>
      </c>
      <c r="G18" s="532"/>
      <c r="H18" s="83">
        <f t="shared" si="4"/>
        <v>110.9589</v>
      </c>
      <c r="I18" s="104">
        <f t="shared" si="0"/>
        <v>531307.62</v>
      </c>
      <c r="J18" s="68" t="str">
        <f>IF(ROUND(E18,2)=ROUND(SUM(E56:E58),2)," ","CHECK 4-8 LINES BELOW")</f>
        <v xml:space="preserve"> </v>
      </c>
      <c r="N18" s="479" t="s">
        <v>34</v>
      </c>
      <c r="O18" s="479"/>
      <c r="P18" s="513">
        <f t="shared" si="1"/>
        <v>0</v>
      </c>
      <c r="Q18" s="513"/>
      <c r="R18" s="517">
        <v>1</v>
      </c>
      <c r="S18" s="517"/>
      <c r="T18" s="98">
        <f t="shared" si="5"/>
        <v>0</v>
      </c>
      <c r="U18" s="101">
        <f t="shared" si="2"/>
        <v>0</v>
      </c>
    </row>
    <row r="19" spans="1:21" x14ac:dyDescent="0.25">
      <c r="A19" s="453" t="s">
        <v>108</v>
      </c>
      <c r="B19" s="453"/>
      <c r="C19" s="165">
        <v>0</v>
      </c>
      <c r="D19" s="165">
        <v>0</v>
      </c>
      <c r="E19" s="125">
        <f t="shared" si="3"/>
        <v>0</v>
      </c>
      <c r="F19" s="532">
        <f>'0664'!F19:G19</f>
        <v>3.6739999999999999</v>
      </c>
      <c r="G19" s="532"/>
      <c r="H19" s="83">
        <f t="shared" si="4"/>
        <v>0</v>
      </c>
      <c r="I19" s="104">
        <f t="shared" si="0"/>
        <v>0</v>
      </c>
      <c r="N19" s="479" t="s">
        <v>108</v>
      </c>
      <c r="O19" s="479"/>
      <c r="P19" s="513">
        <f t="shared" si="1"/>
        <v>0</v>
      </c>
      <c r="Q19" s="513"/>
      <c r="R19" s="517">
        <v>1</v>
      </c>
      <c r="S19" s="517"/>
      <c r="T19" s="98">
        <f t="shared" si="5"/>
        <v>0</v>
      </c>
      <c r="U19" s="99">
        <f t="shared" si="2"/>
        <v>0</v>
      </c>
    </row>
    <row r="20" spans="1:21" x14ac:dyDescent="0.25">
      <c r="A20" s="453" t="s">
        <v>109</v>
      </c>
      <c r="B20" s="453"/>
      <c r="C20" s="165">
        <v>0</v>
      </c>
      <c r="D20" s="165">
        <v>0</v>
      </c>
      <c r="E20" s="125">
        <f t="shared" si="3"/>
        <v>0</v>
      </c>
      <c r="F20" s="532">
        <f>'0664'!F20:G20</f>
        <v>3.6739999999999999</v>
      </c>
      <c r="G20" s="532"/>
      <c r="H20" s="83">
        <f t="shared" si="4"/>
        <v>0</v>
      </c>
      <c r="I20" s="104">
        <f t="shared" si="0"/>
        <v>0</v>
      </c>
      <c r="N20" s="479" t="s">
        <v>109</v>
      </c>
      <c r="O20" s="479"/>
      <c r="P20" s="513">
        <f t="shared" si="1"/>
        <v>0</v>
      </c>
      <c r="Q20" s="513"/>
      <c r="R20" s="517">
        <v>1</v>
      </c>
      <c r="S20" s="517"/>
      <c r="T20" s="98">
        <f t="shared" si="5"/>
        <v>0</v>
      </c>
      <c r="U20" s="99">
        <f t="shared" si="2"/>
        <v>0</v>
      </c>
    </row>
    <row r="21" spans="1:21" x14ac:dyDescent="0.25">
      <c r="A21" s="453" t="s">
        <v>110</v>
      </c>
      <c r="B21" s="453"/>
      <c r="C21" s="165">
        <v>0</v>
      </c>
      <c r="D21" s="165">
        <v>0</v>
      </c>
      <c r="E21" s="125">
        <f t="shared" si="3"/>
        <v>0</v>
      </c>
      <c r="F21" s="532">
        <f>'0664'!F21:G21</f>
        <v>3.6739999999999999</v>
      </c>
      <c r="G21" s="532"/>
      <c r="H21" s="83">
        <f t="shared" si="4"/>
        <v>0</v>
      </c>
      <c r="I21" s="104">
        <f t="shared" si="0"/>
        <v>0</v>
      </c>
      <c r="N21" s="479" t="s">
        <v>110</v>
      </c>
      <c r="O21" s="479"/>
      <c r="P21" s="513">
        <f t="shared" si="1"/>
        <v>0</v>
      </c>
      <c r="Q21" s="513"/>
      <c r="R21" s="517">
        <v>1</v>
      </c>
      <c r="S21" s="517"/>
      <c r="T21" s="98">
        <f t="shared" si="5"/>
        <v>0</v>
      </c>
      <c r="U21" s="99">
        <f t="shared" si="2"/>
        <v>0</v>
      </c>
    </row>
    <row r="22" spans="1:21" x14ac:dyDescent="0.25">
      <c r="A22" s="453" t="s">
        <v>111</v>
      </c>
      <c r="B22" s="453"/>
      <c r="C22" s="165">
        <v>0</v>
      </c>
      <c r="D22" s="165">
        <v>0</v>
      </c>
      <c r="E22" s="125">
        <f t="shared" si="3"/>
        <v>0</v>
      </c>
      <c r="F22" s="532">
        <f>'0664'!F22:G22</f>
        <v>5.4009999999999998</v>
      </c>
      <c r="G22" s="532"/>
      <c r="H22" s="83">
        <f t="shared" si="4"/>
        <v>0</v>
      </c>
      <c r="I22" s="104">
        <f t="shared" si="0"/>
        <v>0</v>
      </c>
      <c r="N22" s="479" t="s">
        <v>111</v>
      </c>
      <c r="O22" s="479"/>
      <c r="P22" s="513">
        <f t="shared" si="1"/>
        <v>0</v>
      </c>
      <c r="Q22" s="513"/>
      <c r="R22" s="517">
        <v>1</v>
      </c>
      <c r="S22" s="517"/>
      <c r="T22" s="98">
        <f t="shared" si="5"/>
        <v>0</v>
      </c>
      <c r="U22" s="99">
        <f t="shared" si="2"/>
        <v>0</v>
      </c>
    </row>
    <row r="23" spans="1:21" x14ac:dyDescent="0.25">
      <c r="A23" s="453" t="s">
        <v>112</v>
      </c>
      <c r="B23" s="453"/>
      <c r="C23" s="165">
        <v>0</v>
      </c>
      <c r="D23" s="165">
        <v>0</v>
      </c>
      <c r="E23" s="125">
        <f t="shared" si="3"/>
        <v>0</v>
      </c>
      <c r="F23" s="532">
        <f>'0664'!F23:G23</f>
        <v>5.4009999999999998</v>
      </c>
      <c r="G23" s="532"/>
      <c r="H23" s="83">
        <f t="shared" si="4"/>
        <v>0</v>
      </c>
      <c r="I23" s="104">
        <f t="shared" si="0"/>
        <v>0</v>
      </c>
      <c r="N23" s="479" t="s">
        <v>112</v>
      </c>
      <c r="O23" s="479"/>
      <c r="P23" s="513">
        <f t="shared" si="1"/>
        <v>0</v>
      </c>
      <c r="Q23" s="513"/>
      <c r="R23" s="517">
        <v>1</v>
      </c>
      <c r="S23" s="517"/>
      <c r="T23" s="98">
        <f t="shared" si="5"/>
        <v>0</v>
      </c>
      <c r="U23" s="99">
        <f t="shared" si="2"/>
        <v>0</v>
      </c>
    </row>
    <row r="24" spans="1:21" x14ac:dyDescent="0.25">
      <c r="A24" s="453" t="s">
        <v>113</v>
      </c>
      <c r="B24" s="453"/>
      <c r="C24" s="165">
        <v>0</v>
      </c>
      <c r="D24" s="165">
        <v>0</v>
      </c>
      <c r="E24" s="125">
        <f t="shared" si="3"/>
        <v>0</v>
      </c>
      <c r="F24" s="532">
        <f>'0664'!F24:G24</f>
        <v>5.4009999999999998</v>
      </c>
      <c r="G24" s="532"/>
      <c r="H24" s="83">
        <f t="shared" si="4"/>
        <v>0</v>
      </c>
      <c r="I24" s="104">
        <f t="shared" si="0"/>
        <v>0</v>
      </c>
      <c r="N24" s="479" t="s">
        <v>113</v>
      </c>
      <c r="O24" s="479"/>
      <c r="P24" s="513">
        <f t="shared" si="1"/>
        <v>0</v>
      </c>
      <c r="Q24" s="513"/>
      <c r="R24" s="517">
        <v>1</v>
      </c>
      <c r="S24" s="517"/>
      <c r="T24" s="98">
        <f t="shared" si="5"/>
        <v>0</v>
      </c>
      <c r="U24" s="99">
        <f t="shared" si="2"/>
        <v>0</v>
      </c>
    </row>
    <row r="25" spans="1:21" x14ac:dyDescent="0.25">
      <c r="A25" s="453" t="s">
        <v>114</v>
      </c>
      <c r="B25" s="453"/>
      <c r="C25" s="165">
        <v>0</v>
      </c>
      <c r="D25" s="165">
        <v>0</v>
      </c>
      <c r="E25" s="125">
        <f t="shared" si="3"/>
        <v>0</v>
      </c>
      <c r="F25" s="532">
        <f>'0664'!F25:G25</f>
        <v>1.206</v>
      </c>
      <c r="G25" s="532"/>
      <c r="H25" s="83">
        <f t="shared" si="4"/>
        <v>0</v>
      </c>
      <c r="I25" s="104">
        <f t="shared" si="0"/>
        <v>0</v>
      </c>
      <c r="N25" s="479" t="s">
        <v>114</v>
      </c>
      <c r="O25" s="479"/>
      <c r="P25" s="513">
        <f t="shared" si="1"/>
        <v>0</v>
      </c>
      <c r="Q25" s="513"/>
      <c r="R25" s="517">
        <v>1</v>
      </c>
      <c r="S25" s="517"/>
      <c r="T25" s="98">
        <f t="shared" si="5"/>
        <v>0</v>
      </c>
      <c r="U25" s="99">
        <f t="shared" si="2"/>
        <v>0</v>
      </c>
    </row>
    <row r="26" spans="1:21" x14ac:dyDescent="0.25">
      <c r="A26" s="453" t="s">
        <v>115</v>
      </c>
      <c r="B26" s="453"/>
      <c r="C26" s="165">
        <v>0</v>
      </c>
      <c r="D26" s="165">
        <v>0</v>
      </c>
      <c r="E26" s="125">
        <f t="shared" si="3"/>
        <v>0</v>
      </c>
      <c r="F26" s="532">
        <f>'0664'!F26:G26</f>
        <v>1.206</v>
      </c>
      <c r="G26" s="532"/>
      <c r="H26" s="83">
        <f t="shared" si="4"/>
        <v>0</v>
      </c>
      <c r="I26" s="104">
        <f t="shared" si="0"/>
        <v>0</v>
      </c>
      <c r="N26" s="479" t="s">
        <v>115</v>
      </c>
      <c r="O26" s="479"/>
      <c r="P26" s="513">
        <f t="shared" si="1"/>
        <v>0</v>
      </c>
      <c r="Q26" s="513"/>
      <c r="R26" s="517">
        <v>1</v>
      </c>
      <c r="S26" s="517"/>
      <c r="T26" s="98">
        <f t="shared" si="5"/>
        <v>0</v>
      </c>
      <c r="U26" s="99">
        <f t="shared" si="2"/>
        <v>0</v>
      </c>
    </row>
    <row r="27" spans="1:21" x14ac:dyDescent="0.25">
      <c r="A27" s="453" t="s">
        <v>116</v>
      </c>
      <c r="B27" s="453"/>
      <c r="C27" s="165">
        <v>16</v>
      </c>
      <c r="D27" s="165">
        <v>20.21</v>
      </c>
      <c r="E27" s="125">
        <f t="shared" si="3"/>
        <v>36.21</v>
      </c>
      <c r="F27" s="532">
        <f>'0664'!F27:G27</f>
        <v>1.206</v>
      </c>
      <c r="G27" s="532"/>
      <c r="H27" s="83">
        <f t="shared" si="4"/>
        <v>43.6693</v>
      </c>
      <c r="I27" s="104">
        <f t="shared" si="0"/>
        <v>209102.94</v>
      </c>
      <c r="N27" s="479" t="s">
        <v>116</v>
      </c>
      <c r="O27" s="479"/>
      <c r="P27" s="513">
        <f t="shared" si="1"/>
        <v>0</v>
      </c>
      <c r="Q27" s="513"/>
      <c r="R27" s="517">
        <v>1</v>
      </c>
      <c r="S27" s="517"/>
      <c r="T27" s="98">
        <f t="shared" si="5"/>
        <v>0</v>
      </c>
      <c r="U27" s="99">
        <f t="shared" si="2"/>
        <v>0</v>
      </c>
    </row>
    <row r="28" spans="1:21" x14ac:dyDescent="0.25">
      <c r="A28" s="453" t="s">
        <v>117</v>
      </c>
      <c r="B28" s="453"/>
      <c r="C28" s="116">
        <v>0</v>
      </c>
      <c r="D28" s="116">
        <v>0</v>
      </c>
      <c r="E28" s="177">
        <f t="shared" si="3"/>
        <v>0</v>
      </c>
      <c r="F28" s="532">
        <f>'0664'!F28:G28</f>
        <v>0.999</v>
      </c>
      <c r="G28" s="532"/>
      <c r="H28" s="96">
        <f t="shared" si="4"/>
        <v>0</v>
      </c>
      <c r="I28" s="97">
        <f t="shared" si="0"/>
        <v>0</v>
      </c>
      <c r="N28" s="482" t="s">
        <v>117</v>
      </c>
      <c r="O28" s="482"/>
      <c r="P28" s="513">
        <f t="shared" si="1"/>
        <v>0</v>
      </c>
      <c r="Q28" s="513"/>
      <c r="R28" s="514">
        <v>1</v>
      </c>
      <c r="S28" s="514"/>
      <c r="T28" s="98">
        <f t="shared" si="5"/>
        <v>0</v>
      </c>
      <c r="U28" s="99">
        <f t="shared" si="2"/>
        <v>0</v>
      </c>
    </row>
    <row r="29" spans="1:21" x14ac:dyDescent="0.25">
      <c r="A29" s="461" t="s">
        <v>5</v>
      </c>
      <c r="B29" s="461"/>
      <c r="C29" s="97">
        <f>SUM(C13:C28)</f>
        <v>274.31</v>
      </c>
      <c r="D29" s="97">
        <f>SUM(D13:D28)</f>
        <v>308.65999999999997</v>
      </c>
      <c r="E29" s="97">
        <f>SUM(E13:E28)</f>
        <v>582.97</v>
      </c>
      <c r="F29" s="457"/>
      <c r="G29" s="457"/>
      <c r="H29" s="102">
        <f>SUM(H13:H28)</f>
        <v>589.88250000000005</v>
      </c>
      <c r="I29" s="97">
        <f>SUM(I13:I28)</f>
        <v>2824550.96</v>
      </c>
      <c r="N29" s="515" t="s">
        <v>5</v>
      </c>
      <c r="O29" s="515"/>
      <c r="P29" s="516">
        <f>SUM(P13:P28)</f>
        <v>0</v>
      </c>
      <c r="Q29" s="516"/>
      <c r="R29" s="508"/>
      <c r="S29" s="508"/>
      <c r="T29" s="103">
        <f>SUM(T13:T28)</f>
        <v>0</v>
      </c>
      <c r="U29" s="99">
        <f>SUM(U13:U28)</f>
        <v>0</v>
      </c>
    </row>
    <row r="30" spans="1:21" x14ac:dyDescent="0.25">
      <c r="A30" s="27"/>
      <c r="B30" s="27"/>
      <c r="C30" s="104"/>
      <c r="D30" s="104"/>
      <c r="E30" s="104"/>
      <c r="F30" s="28"/>
      <c r="G30" s="28"/>
      <c r="H30" s="83"/>
      <c r="I30" s="104"/>
      <c r="N30" s="29"/>
      <c r="O30" s="29"/>
      <c r="P30" s="30"/>
      <c r="Q30" s="30"/>
      <c r="R30" s="31"/>
      <c r="S30" s="31"/>
      <c r="T30" s="105"/>
      <c r="U30" s="106"/>
    </row>
    <row r="31" spans="1:21" x14ac:dyDescent="0.25">
      <c r="A31" s="168" t="s">
        <v>97</v>
      </c>
      <c r="B31" s="27"/>
      <c r="C31" s="104"/>
      <c r="D31" s="104"/>
      <c r="E31" s="104"/>
      <c r="F31" s="28"/>
      <c r="G31" s="28"/>
      <c r="H31" s="83"/>
      <c r="I31" s="104"/>
      <c r="N31" s="29"/>
      <c r="O31" s="29"/>
      <c r="P31" s="30"/>
      <c r="Q31" s="30"/>
      <c r="R31" s="31"/>
      <c r="S31" s="31"/>
      <c r="T31" s="105"/>
      <c r="U31" s="106"/>
    </row>
    <row r="32" spans="1:21" hidden="1" x14ac:dyDescent="0.25">
      <c r="A32" s="168"/>
      <c r="B32" s="27"/>
      <c r="C32" s="104"/>
      <c r="D32" s="104"/>
      <c r="E32" s="104"/>
      <c r="F32" s="28"/>
      <c r="G32" s="28"/>
      <c r="H32" s="83"/>
      <c r="I32" s="104"/>
      <c r="N32" s="29"/>
      <c r="O32" s="29"/>
      <c r="P32" s="30"/>
      <c r="Q32" s="30"/>
      <c r="R32" s="31"/>
      <c r="S32" s="31"/>
      <c r="T32" s="105"/>
      <c r="U32" s="106"/>
    </row>
    <row r="33" spans="1:21" hidden="1" x14ac:dyDescent="0.25">
      <c r="A33" s="168"/>
      <c r="B33" s="27"/>
      <c r="C33" s="104"/>
      <c r="D33" s="104"/>
      <c r="E33" s="104"/>
      <c r="F33" s="541" t="s">
        <v>282</v>
      </c>
      <c r="G33" s="541"/>
      <c r="H33" s="541"/>
      <c r="I33" s="104"/>
      <c r="N33" s="29"/>
      <c r="O33" s="29"/>
      <c r="P33" s="30"/>
      <c r="Q33" s="30"/>
      <c r="R33" s="31"/>
      <c r="S33" s="31"/>
      <c r="T33" s="105"/>
      <c r="U33" s="106"/>
    </row>
    <row r="34" spans="1:21" hidden="1" x14ac:dyDescent="0.25">
      <c r="A34" s="3"/>
      <c r="B34" s="72"/>
      <c r="C34" s="72"/>
      <c r="D34" s="72"/>
      <c r="E34" s="72"/>
      <c r="F34" s="541"/>
      <c r="G34" s="541"/>
      <c r="H34" s="541"/>
      <c r="I34" s="25" t="s">
        <v>74</v>
      </c>
      <c r="N34" s="485" t="s">
        <v>35</v>
      </c>
      <c r="O34" s="485"/>
      <c r="P34" s="485"/>
      <c r="Q34" s="485"/>
      <c r="R34" s="485"/>
      <c r="S34" s="485"/>
      <c r="T34" s="485"/>
      <c r="U34" s="26" t="s">
        <v>74</v>
      </c>
    </row>
    <row r="35" spans="1:21" hidden="1" x14ac:dyDescent="0.25">
      <c r="A35" s="27"/>
      <c r="B35" s="27"/>
      <c r="C35" s="91" t="s">
        <v>124</v>
      </c>
      <c r="D35" s="91" t="s">
        <v>125</v>
      </c>
      <c r="E35" s="92" t="s">
        <v>8</v>
      </c>
      <c r="F35" s="541"/>
      <c r="G35" s="541"/>
      <c r="H35" s="541"/>
      <c r="I35" s="25" t="s">
        <v>36</v>
      </c>
      <c r="N35" s="29"/>
      <c r="O35" s="29"/>
      <c r="P35" s="30"/>
      <c r="Q35" s="30"/>
      <c r="R35" s="31"/>
      <c r="S35" s="31"/>
      <c r="T35" s="105"/>
      <c r="U35" s="26" t="s">
        <v>36</v>
      </c>
    </row>
    <row r="36" spans="1:21" hidden="1" x14ac:dyDescent="0.25">
      <c r="A36" s="447" t="s">
        <v>63</v>
      </c>
      <c r="B36" s="447"/>
      <c r="C36" s="93" t="s">
        <v>2</v>
      </c>
      <c r="D36" s="93" t="s">
        <v>2</v>
      </c>
      <c r="E36" s="93" t="s">
        <v>2</v>
      </c>
      <c r="F36" s="542"/>
      <c r="G36" s="542"/>
      <c r="H36" s="542"/>
      <c r="I36" s="32" t="s">
        <v>75</v>
      </c>
      <c r="N36" s="510" t="s">
        <v>63</v>
      </c>
      <c r="O36" s="510"/>
      <c r="P36" s="511" t="s">
        <v>24</v>
      </c>
      <c r="Q36" s="511"/>
      <c r="R36" s="511"/>
      <c r="S36" s="511"/>
      <c r="T36" s="511"/>
      <c r="U36" s="20" t="s">
        <v>75</v>
      </c>
    </row>
    <row r="37" spans="1:21" hidden="1" x14ac:dyDescent="0.25">
      <c r="A37" s="451" t="s">
        <v>56</v>
      </c>
      <c r="B37" s="451"/>
      <c r="C37" s="169">
        <v>0</v>
      </c>
      <c r="D37" s="169">
        <v>0</v>
      </c>
      <c r="E37" s="210">
        <f t="shared" ref="E37:E42" si="6">IF(D$43=0,C37*2,C37+D37)</f>
        <v>0</v>
      </c>
      <c r="F37" s="170"/>
      <c r="G37" s="170"/>
      <c r="H37" s="170"/>
      <c r="I37" s="119">
        <f t="shared" ref="I37:I42" si="7">ROUND(ROUND(E37*$C$8,4)*($H$8),2)</f>
        <v>0</v>
      </c>
      <c r="N37" s="512" t="s">
        <v>56</v>
      </c>
      <c r="O37" s="512"/>
      <c r="P37" s="483">
        <f t="shared" ref="P37:P42" si="8">IF($H$120=1,E37,0)</f>
        <v>0</v>
      </c>
      <c r="Q37" s="483"/>
      <c r="R37" s="483"/>
      <c r="S37" s="483"/>
      <c r="T37" s="483"/>
      <c r="U37" s="101">
        <f t="shared" ref="U37:U42" si="9">ROUND(ROUND(P37*$C$8,4)*($H$8),0)</f>
        <v>0</v>
      </c>
    </row>
    <row r="38" spans="1:21" hidden="1" x14ac:dyDescent="0.25">
      <c r="A38" s="453" t="s">
        <v>57</v>
      </c>
      <c r="B38" s="453"/>
      <c r="C38" s="172">
        <v>0</v>
      </c>
      <c r="D38" s="172">
        <v>0</v>
      </c>
      <c r="E38" s="125">
        <f t="shared" si="6"/>
        <v>0</v>
      </c>
      <c r="F38" s="173"/>
      <c r="G38" s="173"/>
      <c r="H38" s="173"/>
      <c r="I38" s="104">
        <f t="shared" si="7"/>
        <v>0</v>
      </c>
      <c r="N38" s="479" t="s">
        <v>57</v>
      </c>
      <c r="O38" s="479"/>
      <c r="P38" s="483">
        <f t="shared" si="8"/>
        <v>0</v>
      </c>
      <c r="Q38" s="483"/>
      <c r="R38" s="483"/>
      <c r="S38" s="483"/>
      <c r="T38" s="483"/>
      <c r="U38" s="101">
        <f t="shared" si="9"/>
        <v>0</v>
      </c>
    </row>
    <row r="39" spans="1:21" hidden="1" x14ac:dyDescent="0.25">
      <c r="A39" s="458" t="s">
        <v>58</v>
      </c>
      <c r="B39" s="458"/>
      <c r="C39" s="172">
        <v>0</v>
      </c>
      <c r="D39" s="172">
        <v>0</v>
      </c>
      <c r="E39" s="125">
        <f t="shared" si="6"/>
        <v>0</v>
      </c>
      <c r="F39" s="173"/>
      <c r="G39" s="173"/>
      <c r="H39" s="173"/>
      <c r="I39" s="104">
        <f t="shared" si="7"/>
        <v>0</v>
      </c>
      <c r="N39" s="509" t="s">
        <v>58</v>
      </c>
      <c r="O39" s="509"/>
      <c r="P39" s="483">
        <f t="shared" si="8"/>
        <v>0</v>
      </c>
      <c r="Q39" s="483"/>
      <c r="R39" s="483"/>
      <c r="S39" s="483"/>
      <c r="T39" s="483"/>
      <c r="U39" s="101">
        <f t="shared" si="9"/>
        <v>0</v>
      </c>
    </row>
    <row r="40" spans="1:21" hidden="1" x14ac:dyDescent="0.25">
      <c r="A40" s="453" t="s">
        <v>59</v>
      </c>
      <c r="B40" s="453"/>
      <c r="C40" s="172">
        <v>0</v>
      </c>
      <c r="D40" s="172">
        <v>0</v>
      </c>
      <c r="E40" s="125">
        <f t="shared" si="6"/>
        <v>0</v>
      </c>
      <c r="F40" s="173"/>
      <c r="G40" s="173"/>
      <c r="H40" s="173"/>
      <c r="I40" s="104">
        <f t="shared" si="7"/>
        <v>0</v>
      </c>
      <c r="N40" s="479" t="s">
        <v>59</v>
      </c>
      <c r="O40" s="479"/>
      <c r="P40" s="483">
        <f t="shared" si="8"/>
        <v>0</v>
      </c>
      <c r="Q40" s="483"/>
      <c r="R40" s="483"/>
      <c r="S40" s="483"/>
      <c r="T40" s="483"/>
      <c r="U40" s="101">
        <f t="shared" si="9"/>
        <v>0</v>
      </c>
    </row>
    <row r="41" spans="1:21" hidden="1" x14ac:dyDescent="0.25">
      <c r="A41" s="453" t="s">
        <v>60</v>
      </c>
      <c r="B41" s="453"/>
      <c r="C41" s="172">
        <v>0</v>
      </c>
      <c r="D41" s="172">
        <v>0</v>
      </c>
      <c r="E41" s="125">
        <f t="shared" si="6"/>
        <v>0</v>
      </c>
      <c r="F41" s="173"/>
      <c r="G41" s="173"/>
      <c r="H41" s="173"/>
      <c r="I41" s="104">
        <f t="shared" si="7"/>
        <v>0</v>
      </c>
      <c r="N41" s="479" t="s">
        <v>60</v>
      </c>
      <c r="O41" s="479"/>
      <c r="P41" s="483">
        <f t="shared" si="8"/>
        <v>0</v>
      </c>
      <c r="Q41" s="483"/>
      <c r="R41" s="483"/>
      <c r="S41" s="483"/>
      <c r="T41" s="483"/>
      <c r="U41" s="101">
        <f t="shared" si="9"/>
        <v>0</v>
      </c>
    </row>
    <row r="42" spans="1:21" hidden="1" x14ac:dyDescent="0.25">
      <c r="A42" s="453" t="s">
        <v>52</v>
      </c>
      <c r="B42" s="453"/>
      <c r="C42" s="171">
        <v>0</v>
      </c>
      <c r="D42" s="171">
        <v>0</v>
      </c>
      <c r="E42" s="177">
        <f t="shared" si="6"/>
        <v>0</v>
      </c>
      <c r="F42" s="173"/>
      <c r="G42" s="173"/>
      <c r="H42" s="173"/>
      <c r="I42" s="97">
        <f t="shared" si="7"/>
        <v>0</v>
      </c>
      <c r="N42" s="482" t="s">
        <v>52</v>
      </c>
      <c r="O42" s="482"/>
      <c r="P42" s="483">
        <f t="shared" si="8"/>
        <v>0</v>
      </c>
      <c r="Q42" s="483"/>
      <c r="R42" s="483"/>
      <c r="S42" s="483"/>
      <c r="T42" s="483"/>
      <c r="U42" s="101">
        <f t="shared" si="9"/>
        <v>0</v>
      </c>
    </row>
    <row r="43" spans="1:21" hidden="1" x14ac:dyDescent="0.25">
      <c r="A43" s="3"/>
      <c r="B43" s="55" t="s">
        <v>126</v>
      </c>
      <c r="C43" s="100">
        <f>SUM(C37:C42)</f>
        <v>0</v>
      </c>
      <c r="D43" s="100">
        <f>SUM(D37:D42)</f>
        <v>0</v>
      </c>
      <c r="E43" s="100">
        <f>SUM(E37:E42)</f>
        <v>0</v>
      </c>
      <c r="F43" s="33"/>
      <c r="G43" s="109"/>
      <c r="H43" s="110" t="s">
        <v>128</v>
      </c>
      <c r="I43" s="100">
        <f>SUM(I37:I42)</f>
        <v>0</v>
      </c>
      <c r="N43" s="480" t="s">
        <v>54</v>
      </c>
      <c r="O43" s="480"/>
      <c r="P43" s="480"/>
      <c r="Q43" s="480"/>
      <c r="R43" s="34">
        <f>SUM(P37:R42)</f>
        <v>0</v>
      </c>
      <c r="S43" s="508" t="s">
        <v>64</v>
      </c>
      <c r="T43" s="508"/>
      <c r="U43" s="106">
        <f>SUM(U37:U42)</f>
        <v>0</v>
      </c>
    </row>
    <row r="44" spans="1:21" ht="16.5" hidden="1" thickBot="1" x14ac:dyDescent="0.3">
      <c r="A44" s="3"/>
      <c r="B44" s="55"/>
      <c r="C44" s="104"/>
      <c r="D44" s="104"/>
      <c r="E44" s="119"/>
      <c r="F44" s="33"/>
      <c r="G44" s="109"/>
      <c r="H44" s="110"/>
      <c r="I44" s="104"/>
      <c r="N44" s="29"/>
      <c r="O44" s="29"/>
      <c r="P44" s="29"/>
      <c r="Q44" s="29"/>
      <c r="R44" s="34"/>
      <c r="S44" s="31"/>
      <c r="T44" s="31"/>
      <c r="U44" s="106"/>
    </row>
    <row r="45" spans="1:21" ht="16.5" hidden="1" thickBot="1" x14ac:dyDescent="0.3">
      <c r="A45" s="3"/>
      <c r="B45" s="55" t="s">
        <v>127</v>
      </c>
      <c r="E45" s="174">
        <f>H29+E43</f>
        <v>589.88250000000005</v>
      </c>
      <c r="F45" s="35"/>
      <c r="G45" s="109"/>
      <c r="H45" s="110" t="s">
        <v>129</v>
      </c>
      <c r="I45" s="97">
        <f>SUM(I43,I29)</f>
        <v>2824550.96</v>
      </c>
      <c r="N45" s="480" t="s">
        <v>55</v>
      </c>
      <c r="O45" s="480"/>
      <c r="P45" s="480"/>
      <c r="Q45" s="480"/>
      <c r="R45" s="36">
        <f>R43+T29</f>
        <v>0</v>
      </c>
      <c r="S45" s="508" t="s">
        <v>53</v>
      </c>
      <c r="T45" s="508"/>
      <c r="U45" s="111">
        <f>SUM(U43,U29)</f>
        <v>0</v>
      </c>
    </row>
    <row r="46" spans="1:21" hidden="1" x14ac:dyDescent="0.25">
      <c r="A46" s="27"/>
      <c r="B46" s="27"/>
      <c r="C46" s="27"/>
      <c r="D46" s="27"/>
      <c r="E46" s="27"/>
      <c r="F46" s="35"/>
      <c r="G46" s="28"/>
      <c r="H46" s="28"/>
      <c r="I46" s="104"/>
      <c r="N46" s="29"/>
      <c r="O46" s="29"/>
      <c r="P46" s="29"/>
      <c r="Q46" s="29"/>
      <c r="R46" s="36"/>
      <c r="S46" s="31"/>
      <c r="T46" s="31"/>
      <c r="U46" s="106"/>
    </row>
    <row r="47" spans="1:21" x14ac:dyDescent="0.25">
      <c r="A47" s="27"/>
      <c r="B47" s="55" t="s">
        <v>370</v>
      </c>
      <c r="C47" s="372" t="s">
        <v>370</v>
      </c>
      <c r="D47" s="372" t="s">
        <v>370</v>
      </c>
      <c r="E47" s="27"/>
      <c r="F47" s="35"/>
      <c r="G47" s="28"/>
      <c r="H47" s="28"/>
      <c r="I47" s="104"/>
      <c r="N47" s="29"/>
      <c r="O47" s="29"/>
      <c r="P47" s="29"/>
      <c r="Q47" s="29"/>
      <c r="R47" s="36"/>
      <c r="S47" s="31"/>
      <c r="T47" s="31"/>
      <c r="U47" s="106"/>
    </row>
    <row r="48" spans="1:21" x14ac:dyDescent="0.25">
      <c r="A48" s="27"/>
      <c r="B48" s="27"/>
      <c r="C48" s="91" t="s">
        <v>463</v>
      </c>
      <c r="D48" s="371" t="s">
        <v>464</v>
      </c>
      <c r="E48" s="92" t="s">
        <v>8</v>
      </c>
      <c r="F48" s="49" t="s">
        <v>130</v>
      </c>
      <c r="G48" s="112" t="s">
        <v>132</v>
      </c>
      <c r="H48" s="113" t="s">
        <v>133</v>
      </c>
      <c r="I48" s="104"/>
      <c r="N48" s="29"/>
      <c r="O48" s="29"/>
      <c r="P48" s="29"/>
      <c r="Q48" s="29"/>
      <c r="R48" s="36"/>
      <c r="S48" s="31"/>
      <c r="T48" s="31"/>
      <c r="U48" s="106"/>
    </row>
    <row r="49" spans="1:21" x14ac:dyDescent="0.25">
      <c r="A49" s="37" t="s">
        <v>87</v>
      </c>
      <c r="B49" s="37"/>
      <c r="C49" s="362" t="s">
        <v>2</v>
      </c>
      <c r="D49" s="362" t="s">
        <v>2</v>
      </c>
      <c r="E49" s="362" t="s">
        <v>2</v>
      </c>
      <c r="F49" s="95" t="s">
        <v>131</v>
      </c>
      <c r="G49" s="62" t="s">
        <v>131</v>
      </c>
      <c r="H49" s="114" t="s">
        <v>134</v>
      </c>
      <c r="I49" s="37"/>
      <c r="N49" s="482" t="s">
        <v>87</v>
      </c>
      <c r="O49" s="482"/>
      <c r="P49" s="503" t="s">
        <v>2</v>
      </c>
      <c r="Q49" s="503"/>
      <c r="R49" s="38" t="s">
        <v>25</v>
      </c>
      <c r="S49" s="63" t="s">
        <v>26</v>
      </c>
      <c r="T49" s="115" t="s">
        <v>27</v>
      </c>
      <c r="U49" s="38"/>
    </row>
    <row r="50" spans="1:21" x14ac:dyDescent="0.25">
      <c r="A50" s="459" t="s">
        <v>98</v>
      </c>
      <c r="B50" s="459"/>
      <c r="C50" s="165">
        <v>0</v>
      </c>
      <c r="D50" s="165">
        <v>0</v>
      </c>
      <c r="E50" s="125">
        <f>IF(D$59=0,C50*2,C50+D50)</f>
        <v>0</v>
      </c>
      <c r="F50" s="39" t="s">
        <v>21</v>
      </c>
      <c r="G50" s="39">
        <v>251</v>
      </c>
      <c r="H50" s="321">
        <f>'0664'!H50</f>
        <v>1047</v>
      </c>
      <c r="I50" s="104">
        <f>ROUND(E50*H50,2)</f>
        <v>0</v>
      </c>
      <c r="N50" s="504" t="s">
        <v>28</v>
      </c>
      <c r="O50" s="504"/>
      <c r="P50" s="505"/>
      <c r="Q50" s="505"/>
      <c r="R50" s="40" t="s">
        <v>21</v>
      </c>
      <c r="S50" s="40">
        <v>251</v>
      </c>
      <c r="T50" s="117">
        <f>H50</f>
        <v>1047</v>
      </c>
      <c r="U50" s="118">
        <f>ROUND(P50*T50,0)</f>
        <v>0</v>
      </c>
    </row>
    <row r="51" spans="1:21" x14ac:dyDescent="0.25">
      <c r="A51" s="460"/>
      <c r="B51" s="460"/>
      <c r="C51" s="165">
        <v>0</v>
      </c>
      <c r="D51" s="165">
        <v>0</v>
      </c>
      <c r="E51" s="125">
        <f t="shared" ref="E51:E58" si="10">IF(D$59=0,C51*2,C51+D51)</f>
        <v>0</v>
      </c>
      <c r="F51" s="39" t="s">
        <v>21</v>
      </c>
      <c r="G51" s="39">
        <v>252</v>
      </c>
      <c r="H51" s="321">
        <f>'0664'!H51</f>
        <v>3380</v>
      </c>
      <c r="I51" s="104">
        <f t="shared" ref="I51:I58" si="11">ROUND(E51*H51,2)</f>
        <v>0</v>
      </c>
      <c r="N51" s="504"/>
      <c r="O51" s="504"/>
      <c r="P51" s="506"/>
      <c r="Q51" s="506"/>
      <c r="R51" s="40" t="s">
        <v>21</v>
      </c>
      <c r="S51" s="40">
        <v>252</v>
      </c>
      <c r="T51" s="117">
        <f t="shared" ref="T51:T58" si="12">H51</f>
        <v>3380</v>
      </c>
      <c r="U51" s="118">
        <f t="shared" ref="U51:U58" si="13">ROUND(P51*T51,0)</f>
        <v>0</v>
      </c>
    </row>
    <row r="52" spans="1:21" x14ac:dyDescent="0.25">
      <c r="A52" s="460"/>
      <c r="B52" s="460"/>
      <c r="C52" s="165">
        <v>0</v>
      </c>
      <c r="D52" s="165">
        <v>0</v>
      </c>
      <c r="E52" s="125">
        <f t="shared" si="10"/>
        <v>0</v>
      </c>
      <c r="F52" s="39" t="s">
        <v>21</v>
      </c>
      <c r="G52" s="39">
        <v>253</v>
      </c>
      <c r="H52" s="321">
        <f>'0664'!H52</f>
        <v>6896</v>
      </c>
      <c r="I52" s="104">
        <f t="shared" si="11"/>
        <v>0</v>
      </c>
      <c r="N52" s="504"/>
      <c r="O52" s="504"/>
      <c r="P52" s="506"/>
      <c r="Q52" s="506"/>
      <c r="R52" s="40" t="s">
        <v>21</v>
      </c>
      <c r="S52" s="40">
        <v>253</v>
      </c>
      <c r="T52" s="117">
        <f t="shared" si="12"/>
        <v>6896</v>
      </c>
      <c r="U52" s="118">
        <f t="shared" si="13"/>
        <v>0</v>
      </c>
    </row>
    <row r="53" spans="1:21" x14ac:dyDescent="0.25">
      <c r="A53" s="460"/>
      <c r="B53" s="460"/>
      <c r="C53" s="165">
        <v>0</v>
      </c>
      <c r="D53" s="165">
        <v>0</v>
      </c>
      <c r="E53" s="125">
        <f t="shared" si="10"/>
        <v>0</v>
      </c>
      <c r="F53" s="41" t="s">
        <v>14</v>
      </c>
      <c r="G53" s="39">
        <v>251</v>
      </c>
      <c r="H53" s="321">
        <f>'0664'!H53</f>
        <v>1173</v>
      </c>
      <c r="I53" s="104">
        <f t="shared" si="11"/>
        <v>0</v>
      </c>
      <c r="N53" s="504"/>
      <c r="O53" s="504"/>
      <c r="P53" s="506"/>
      <c r="Q53" s="506"/>
      <c r="R53" s="42" t="s">
        <v>14</v>
      </c>
      <c r="S53" s="40">
        <v>251</v>
      </c>
      <c r="T53" s="117">
        <f t="shared" si="12"/>
        <v>1173</v>
      </c>
      <c r="U53" s="118">
        <f t="shared" si="13"/>
        <v>0</v>
      </c>
    </row>
    <row r="54" spans="1:21" x14ac:dyDescent="0.25">
      <c r="A54" s="460"/>
      <c r="B54" s="460"/>
      <c r="C54" s="165">
        <v>0</v>
      </c>
      <c r="D54" s="165">
        <v>0</v>
      </c>
      <c r="E54" s="125">
        <f t="shared" si="10"/>
        <v>0</v>
      </c>
      <c r="F54" s="41" t="s">
        <v>14</v>
      </c>
      <c r="G54" s="39">
        <v>252</v>
      </c>
      <c r="H54" s="321">
        <f>'0664'!H54</f>
        <v>3506</v>
      </c>
      <c r="I54" s="104">
        <f t="shared" si="11"/>
        <v>0</v>
      </c>
      <c r="N54" s="504"/>
      <c r="O54" s="504"/>
      <c r="P54" s="506"/>
      <c r="Q54" s="506"/>
      <c r="R54" s="42" t="s">
        <v>14</v>
      </c>
      <c r="S54" s="40">
        <v>252</v>
      </c>
      <c r="T54" s="117">
        <f t="shared" si="12"/>
        <v>3506</v>
      </c>
      <c r="U54" s="118">
        <f t="shared" si="13"/>
        <v>0</v>
      </c>
    </row>
    <row r="55" spans="1:21" x14ac:dyDescent="0.25">
      <c r="A55" s="460"/>
      <c r="B55" s="460"/>
      <c r="C55" s="165">
        <v>0</v>
      </c>
      <c r="D55" s="165">
        <v>0</v>
      </c>
      <c r="E55" s="125">
        <f t="shared" si="10"/>
        <v>0</v>
      </c>
      <c r="F55" s="41" t="s">
        <v>14</v>
      </c>
      <c r="G55" s="39">
        <v>253</v>
      </c>
      <c r="H55" s="321">
        <f>'0664'!H55</f>
        <v>7023</v>
      </c>
      <c r="I55" s="104">
        <f t="shared" si="11"/>
        <v>0</v>
      </c>
      <c r="N55" s="504"/>
      <c r="O55" s="504"/>
      <c r="P55" s="506"/>
      <c r="Q55" s="506"/>
      <c r="R55" s="42" t="s">
        <v>14</v>
      </c>
      <c r="S55" s="40">
        <v>253</v>
      </c>
      <c r="T55" s="117">
        <f t="shared" si="12"/>
        <v>7023</v>
      </c>
      <c r="U55" s="118">
        <f t="shared" si="13"/>
        <v>0</v>
      </c>
    </row>
    <row r="56" spans="1:21" x14ac:dyDescent="0.25">
      <c r="A56" s="460"/>
      <c r="B56" s="460"/>
      <c r="C56" s="165">
        <v>51</v>
      </c>
      <c r="D56" s="165">
        <v>60.07</v>
      </c>
      <c r="E56" s="125">
        <f t="shared" si="10"/>
        <v>111.07</v>
      </c>
      <c r="F56" s="41" t="s">
        <v>15</v>
      </c>
      <c r="G56" s="39">
        <v>251</v>
      </c>
      <c r="H56" s="321">
        <f>'0664'!H56</f>
        <v>835</v>
      </c>
      <c r="I56" s="104">
        <f t="shared" si="11"/>
        <v>92743.45</v>
      </c>
      <c r="N56" s="504"/>
      <c r="O56" s="504"/>
      <c r="P56" s="506"/>
      <c r="Q56" s="506"/>
      <c r="R56" s="42" t="s">
        <v>15</v>
      </c>
      <c r="S56" s="40">
        <v>251</v>
      </c>
      <c r="T56" s="117">
        <f t="shared" si="12"/>
        <v>835</v>
      </c>
      <c r="U56" s="118">
        <f t="shared" si="13"/>
        <v>0</v>
      </c>
    </row>
    <row r="57" spans="1:21" x14ac:dyDescent="0.25">
      <c r="A57" s="460"/>
      <c r="B57" s="460"/>
      <c r="C57" s="165">
        <v>0</v>
      </c>
      <c r="D57" s="165">
        <v>0</v>
      </c>
      <c r="E57" s="125">
        <f t="shared" si="10"/>
        <v>0</v>
      </c>
      <c r="F57" s="41" t="s">
        <v>15</v>
      </c>
      <c r="G57" s="39">
        <v>252</v>
      </c>
      <c r="H57" s="321">
        <f>'0664'!H57</f>
        <v>3168</v>
      </c>
      <c r="I57" s="104">
        <f t="shared" si="11"/>
        <v>0</v>
      </c>
      <c r="N57" s="504"/>
      <c r="O57" s="504"/>
      <c r="P57" s="506"/>
      <c r="Q57" s="506"/>
      <c r="R57" s="42" t="s">
        <v>15</v>
      </c>
      <c r="S57" s="40">
        <v>252</v>
      </c>
      <c r="T57" s="117">
        <f t="shared" si="12"/>
        <v>3168</v>
      </c>
      <c r="U57" s="118">
        <f t="shared" si="13"/>
        <v>0</v>
      </c>
    </row>
    <row r="58" spans="1:21" ht="16.5" thickBot="1" x14ac:dyDescent="0.3">
      <c r="A58" s="460"/>
      <c r="B58" s="460"/>
      <c r="C58" s="165">
        <v>0</v>
      </c>
      <c r="D58" s="165">
        <v>0</v>
      </c>
      <c r="E58" s="125">
        <f t="shared" si="10"/>
        <v>0</v>
      </c>
      <c r="F58" s="41" t="s">
        <v>15</v>
      </c>
      <c r="G58" s="39">
        <v>253</v>
      </c>
      <c r="H58" s="321">
        <f>'0664'!H58</f>
        <v>6685</v>
      </c>
      <c r="I58" s="104">
        <f t="shared" si="11"/>
        <v>0</v>
      </c>
      <c r="N58" s="504"/>
      <c r="O58" s="504"/>
      <c r="P58" s="507"/>
      <c r="Q58" s="507"/>
      <c r="R58" s="42" t="s">
        <v>15</v>
      </c>
      <c r="S58" s="40">
        <v>253</v>
      </c>
      <c r="T58" s="117">
        <f t="shared" si="12"/>
        <v>6685</v>
      </c>
      <c r="U58" s="120">
        <f t="shared" si="13"/>
        <v>0</v>
      </c>
    </row>
    <row r="59" spans="1:21" ht="16.5" thickBot="1" x14ac:dyDescent="0.3">
      <c r="A59" s="461" t="s">
        <v>16</v>
      </c>
      <c r="B59" s="461"/>
      <c r="C59" s="100">
        <f>SUM(C50:C58)</f>
        <v>51</v>
      </c>
      <c r="D59" s="100">
        <f>SUM(D50:D58)</f>
        <v>60.07</v>
      </c>
      <c r="E59" s="100">
        <f>SUM(E50:E58)</f>
        <v>111.07</v>
      </c>
      <c r="F59" s="461" t="s">
        <v>77</v>
      </c>
      <c r="G59" s="461"/>
      <c r="H59" s="461"/>
      <c r="I59" s="100">
        <f>SUM(I50:I58)</f>
        <v>92743.45</v>
      </c>
      <c r="N59" s="480" t="s">
        <v>16</v>
      </c>
      <c r="O59" s="480"/>
      <c r="P59" s="502">
        <f>SUM(P50:P58)</f>
        <v>0</v>
      </c>
      <c r="Q59" s="502"/>
      <c r="R59" s="480" t="s">
        <v>77</v>
      </c>
      <c r="S59" s="480"/>
      <c r="T59" s="480"/>
      <c r="U59" s="111">
        <f>SUM(U50:U58)</f>
        <v>0</v>
      </c>
    </row>
    <row r="60" spans="1:21" x14ac:dyDescent="0.25">
      <c r="A60" s="462"/>
      <c r="B60" s="462"/>
      <c r="C60" s="462"/>
      <c r="D60" s="462"/>
      <c r="E60" s="462"/>
      <c r="F60" s="462"/>
      <c r="G60" s="462"/>
      <c r="H60" s="462"/>
      <c r="I60" s="462"/>
      <c r="N60" s="484"/>
      <c r="O60" s="484"/>
      <c r="P60" s="484"/>
      <c r="Q60" s="484"/>
      <c r="R60" s="484"/>
      <c r="S60" s="484"/>
      <c r="T60" s="484"/>
      <c r="U60" s="484"/>
    </row>
    <row r="61" spans="1:21" x14ac:dyDescent="0.25">
      <c r="A61" s="463" t="s">
        <v>136</v>
      </c>
      <c r="B61" s="453"/>
      <c r="C61" s="453"/>
      <c r="D61" s="453"/>
      <c r="E61" s="453"/>
      <c r="F61" s="453"/>
      <c r="G61" s="453"/>
      <c r="H61" s="453"/>
      <c r="I61" s="453"/>
      <c r="N61" s="479" t="s">
        <v>88</v>
      </c>
      <c r="O61" s="479"/>
      <c r="P61" s="479"/>
      <c r="Q61" s="479"/>
      <c r="R61" s="479"/>
      <c r="S61" s="479"/>
      <c r="T61" s="479"/>
      <c r="U61" s="479"/>
    </row>
    <row r="62" spans="1:21" x14ac:dyDescent="0.25">
      <c r="A62" s="463" t="s">
        <v>138</v>
      </c>
      <c r="B62" s="453"/>
      <c r="C62" s="121">
        <f>E29</f>
        <v>582.97</v>
      </c>
      <c r="D62" s="464" t="s">
        <v>135</v>
      </c>
      <c r="E62" s="464"/>
      <c r="F62" s="464"/>
      <c r="G62" s="464"/>
      <c r="H62" s="335">
        <f>'0664'!H62</f>
        <v>193340.76</v>
      </c>
      <c r="I62" s="122"/>
      <c r="N62" s="478" t="s">
        <v>312</v>
      </c>
      <c r="O62" s="479"/>
      <c r="P62" s="43">
        <f>P29</f>
        <v>0</v>
      </c>
      <c r="Q62" s="498" t="s">
        <v>78</v>
      </c>
      <c r="R62" s="498"/>
      <c r="S62" s="498"/>
      <c r="T62" s="497">
        <f>H62</f>
        <v>193340.76</v>
      </c>
      <c r="U62" s="497"/>
    </row>
    <row r="63" spans="1:21" x14ac:dyDescent="0.25">
      <c r="B63" s="72"/>
      <c r="G63" s="44" t="s">
        <v>13</v>
      </c>
      <c r="H63" s="123">
        <f>ROUND(C62/H62,6)</f>
        <v>3.0149999999999999E-3</v>
      </c>
      <c r="I63" s="124"/>
      <c r="N63" s="479" t="s">
        <v>19</v>
      </c>
      <c r="O63" s="479"/>
      <c r="P63" s="479"/>
      <c r="Q63" s="479"/>
      <c r="R63" s="479"/>
      <c r="S63" s="479"/>
      <c r="T63" s="501">
        <f>ROUND(P62/T62,6)</f>
        <v>0</v>
      </c>
      <c r="U63" s="501"/>
    </row>
    <row r="64" spans="1:21" x14ac:dyDescent="0.25">
      <c r="A64" s="463" t="s">
        <v>137</v>
      </c>
      <c r="B64" s="453"/>
      <c r="C64" s="453"/>
      <c r="D64" s="453"/>
      <c r="E64" s="453"/>
      <c r="F64" s="453"/>
      <c r="G64" s="453"/>
      <c r="H64" s="453"/>
      <c r="I64" s="453"/>
      <c r="N64" s="479" t="s">
        <v>89</v>
      </c>
      <c r="O64" s="479"/>
      <c r="P64" s="479"/>
      <c r="Q64" s="479"/>
      <c r="R64" s="479"/>
      <c r="S64" s="479"/>
      <c r="T64" s="479"/>
      <c r="U64" s="479"/>
    </row>
    <row r="65" spans="1:21" x14ac:dyDescent="0.25">
      <c r="A65" s="463" t="s">
        <v>139</v>
      </c>
      <c r="B65" s="453"/>
      <c r="C65" s="121">
        <f>E45</f>
        <v>589.88250000000005</v>
      </c>
      <c r="D65" s="464" t="s">
        <v>140</v>
      </c>
      <c r="E65" s="464"/>
      <c r="F65" s="464"/>
      <c r="G65" s="464"/>
      <c r="H65" s="336">
        <f>'0664'!H65</f>
        <v>216845.88</v>
      </c>
      <c r="I65" s="125"/>
      <c r="N65" s="479" t="s">
        <v>80</v>
      </c>
      <c r="O65" s="479"/>
      <c r="P65" s="43">
        <f>R45</f>
        <v>0</v>
      </c>
      <c r="Q65" s="498" t="s">
        <v>79</v>
      </c>
      <c r="R65" s="498"/>
      <c r="S65" s="498"/>
      <c r="T65" s="497">
        <f>H65</f>
        <v>216845.88</v>
      </c>
      <c r="U65" s="497"/>
    </row>
    <row r="66" spans="1:21" s="37" customFormat="1" x14ac:dyDescent="0.25">
      <c r="A66" s="126"/>
      <c r="G66" s="45" t="s">
        <v>13</v>
      </c>
      <c r="H66" s="127">
        <f>ROUND(C65/H65,6)</f>
        <v>2.7200000000000002E-3</v>
      </c>
      <c r="I66" s="127"/>
      <c r="N66" s="482" t="s">
        <v>20</v>
      </c>
      <c r="O66" s="482"/>
      <c r="P66" s="482"/>
      <c r="Q66" s="482"/>
      <c r="R66" s="482"/>
      <c r="S66" s="482"/>
      <c r="T66" s="500">
        <f>ROUND(P65/T65,6)</f>
        <v>0</v>
      </c>
      <c r="U66" s="500"/>
    </row>
    <row r="67" spans="1:21" x14ac:dyDescent="0.25">
      <c r="G67" s="44"/>
      <c r="H67" s="123"/>
      <c r="I67" s="123"/>
      <c r="N67" s="48"/>
      <c r="O67" s="48"/>
      <c r="P67" s="48"/>
      <c r="Q67" s="48"/>
      <c r="R67" s="128"/>
      <c r="S67" s="48"/>
      <c r="T67" s="129"/>
      <c r="U67" s="130"/>
    </row>
    <row r="68" spans="1:21" x14ac:dyDescent="0.25">
      <c r="A68" s="453" t="s">
        <v>85</v>
      </c>
      <c r="B68" s="453"/>
      <c r="C68" s="453"/>
      <c r="D68" s="72"/>
      <c r="E68" s="46" t="s">
        <v>3</v>
      </c>
      <c r="F68" s="337">
        <f>'0664'!F68</f>
        <v>42465042</v>
      </c>
      <c r="G68" s="39" t="s">
        <v>6</v>
      </c>
      <c r="H68" s="131">
        <f>H63</f>
        <v>3.0149999999999999E-3</v>
      </c>
      <c r="I68" s="104">
        <f>ROUND(F68*H68,2)</f>
        <v>128032.1</v>
      </c>
      <c r="N68" s="479" t="s">
        <v>85</v>
      </c>
      <c r="O68" s="479"/>
      <c r="P68" s="479"/>
      <c r="Q68" s="47"/>
      <c r="R68" s="132">
        <f>F68</f>
        <v>42465042</v>
      </c>
      <c r="S68" s="40" t="s">
        <v>6</v>
      </c>
      <c r="T68" s="133">
        <f>T63</f>
        <v>0</v>
      </c>
      <c r="U68" s="99">
        <f>ROUND(R68*T68,0)</f>
        <v>0</v>
      </c>
    </row>
    <row r="69" spans="1:21" x14ac:dyDescent="0.25">
      <c r="A69" s="458" t="s">
        <v>96</v>
      </c>
      <c r="B69" s="453"/>
      <c r="C69" s="453"/>
      <c r="D69" s="72"/>
      <c r="E69" s="46"/>
      <c r="F69" s="136"/>
      <c r="G69" s="39"/>
      <c r="H69" s="131"/>
      <c r="I69" s="104"/>
      <c r="N69" s="479" t="s">
        <v>84</v>
      </c>
      <c r="O69" s="479"/>
      <c r="P69" s="479"/>
      <c r="Q69" s="54"/>
      <c r="R69" s="54"/>
      <c r="S69" s="54"/>
      <c r="T69" s="54"/>
      <c r="U69" s="54"/>
    </row>
    <row r="70" spans="1:21" x14ac:dyDescent="0.25">
      <c r="A70" s="465" t="s">
        <v>141</v>
      </c>
      <c r="B70" s="453"/>
      <c r="C70" s="453"/>
      <c r="D70" s="72"/>
      <c r="E70" s="46" t="s">
        <v>3</v>
      </c>
      <c r="F70" s="337">
        <f>'0664'!F70</f>
        <v>0</v>
      </c>
      <c r="G70" s="39" t="s">
        <v>6</v>
      </c>
      <c r="H70" s="131">
        <f>H63</f>
        <v>3.0149999999999999E-3</v>
      </c>
      <c r="I70" s="104">
        <f>ROUND(F70*H70,2)</f>
        <v>0</v>
      </c>
      <c r="N70" s="48"/>
      <c r="O70" s="48"/>
      <c r="P70" s="48"/>
      <c r="Q70" s="47"/>
      <c r="R70" s="132">
        <f>F70</f>
        <v>0</v>
      </c>
      <c r="S70" s="40" t="s">
        <v>6</v>
      </c>
      <c r="T70" s="133">
        <f>T63</f>
        <v>0</v>
      </c>
      <c r="U70" s="99">
        <f>ROUND(R70*T70,0)</f>
        <v>0</v>
      </c>
    </row>
    <row r="71" spans="1:21" x14ac:dyDescent="0.25">
      <c r="A71" s="463" t="s">
        <v>433</v>
      </c>
      <c r="B71" s="453"/>
      <c r="C71" s="453"/>
      <c r="D71" s="72"/>
      <c r="E71" s="46" t="s">
        <v>3</v>
      </c>
      <c r="F71" s="337">
        <f>'0664'!F71</f>
        <v>13414654</v>
      </c>
      <c r="G71" s="39" t="s">
        <v>6</v>
      </c>
      <c r="H71" s="131">
        <f>H63</f>
        <v>3.0149999999999999E-3</v>
      </c>
      <c r="I71" s="104">
        <f>ROUND(F71*H71,2)</f>
        <v>40445.18</v>
      </c>
      <c r="N71" s="479" t="s">
        <v>83</v>
      </c>
      <c r="O71" s="479"/>
      <c r="P71" s="479"/>
      <c r="Q71" s="47"/>
      <c r="R71" s="132">
        <f>F71</f>
        <v>13414654</v>
      </c>
      <c r="S71" s="40" t="s">
        <v>6</v>
      </c>
      <c r="T71" s="133">
        <f>T63</f>
        <v>0</v>
      </c>
      <c r="U71" s="99">
        <f>ROUND(R71*T71,0)</f>
        <v>0</v>
      </c>
    </row>
    <row r="72" spans="1:21" x14ac:dyDescent="0.25">
      <c r="A72" s="463" t="s">
        <v>434</v>
      </c>
      <c r="B72" s="453"/>
      <c r="C72" s="453"/>
      <c r="D72" s="72"/>
      <c r="E72" s="46" t="s">
        <v>3</v>
      </c>
      <c r="F72" s="337">
        <f>'0664'!F72</f>
        <v>14708421</v>
      </c>
      <c r="G72" s="39" t="s">
        <v>6</v>
      </c>
      <c r="H72" s="131">
        <f>H63</f>
        <v>3.0149999999999999E-3</v>
      </c>
      <c r="I72" s="104">
        <f>ROUND(F72*H72,2)</f>
        <v>44345.89</v>
      </c>
      <c r="N72" s="479" t="s">
        <v>82</v>
      </c>
      <c r="O72" s="479"/>
      <c r="P72" s="479"/>
      <c r="Q72" s="47"/>
      <c r="R72" s="134">
        <f>F72</f>
        <v>14708421</v>
      </c>
      <c r="S72" s="40" t="s">
        <v>6</v>
      </c>
      <c r="T72" s="133">
        <f>T63</f>
        <v>0</v>
      </c>
      <c r="U72" s="99">
        <f>ROUND(R72*T72,0)</f>
        <v>0</v>
      </c>
    </row>
    <row r="73" spans="1:21" x14ac:dyDescent="0.25">
      <c r="A73" s="263" t="s">
        <v>99</v>
      </c>
      <c r="D73" s="72"/>
      <c r="E73" s="41" t="s">
        <v>353</v>
      </c>
      <c r="F73" s="466"/>
      <c r="G73" s="466"/>
      <c r="H73" s="466"/>
      <c r="I73" s="104">
        <v>0</v>
      </c>
      <c r="N73" s="499" t="s">
        <v>118</v>
      </c>
      <c r="O73" s="499"/>
      <c r="P73" s="499"/>
      <c r="Q73" s="499"/>
      <c r="R73" s="499"/>
      <c r="S73" s="499"/>
      <c r="T73" s="499"/>
      <c r="U73" s="99">
        <f>IF($H$120=1,I73,0)</f>
        <v>0</v>
      </c>
    </row>
    <row r="74" spans="1:21" x14ac:dyDescent="0.25">
      <c r="A74" s="264" t="s">
        <v>142</v>
      </c>
      <c r="I74" s="104"/>
      <c r="N74" s="499" t="s">
        <v>43</v>
      </c>
      <c r="O74" s="499"/>
      <c r="P74" s="499"/>
      <c r="Q74" s="499"/>
      <c r="R74" s="499"/>
      <c r="S74" s="499"/>
      <c r="T74" s="499"/>
      <c r="U74" s="99">
        <f>IF($H$120=1,I74,0)</f>
        <v>0</v>
      </c>
    </row>
    <row r="75" spans="1:21" x14ac:dyDescent="0.25">
      <c r="A75" s="324" t="s">
        <v>101</v>
      </c>
      <c r="B75" s="72"/>
      <c r="C75" s="72"/>
      <c r="D75" s="72"/>
      <c r="E75" s="72"/>
      <c r="F75" s="72"/>
      <c r="G75" s="72"/>
      <c r="H75" s="72"/>
      <c r="I75" s="135"/>
      <c r="N75" s="382" t="s">
        <v>44</v>
      </c>
      <c r="O75" s="48"/>
      <c r="P75" s="48"/>
      <c r="Q75" s="48"/>
      <c r="R75" s="48"/>
      <c r="S75" s="48"/>
      <c r="T75" s="48"/>
      <c r="U75" s="106"/>
    </row>
    <row r="76" spans="1:21" x14ac:dyDescent="0.25">
      <c r="A76" s="463" t="s">
        <v>435</v>
      </c>
      <c r="B76" s="453"/>
      <c r="C76" s="453"/>
      <c r="D76" s="72"/>
      <c r="E76" s="46" t="s">
        <v>3</v>
      </c>
      <c r="F76" s="337">
        <f>'0664'!F76</f>
        <v>8720092</v>
      </c>
      <c r="G76" s="39" t="s">
        <v>6</v>
      </c>
      <c r="H76" s="131">
        <f>H63</f>
        <v>3.0149999999999999E-3</v>
      </c>
      <c r="I76" s="104">
        <f t="shared" ref="I76:I85" si="14">ROUND(F76*H76,2)</f>
        <v>26291.08</v>
      </c>
      <c r="N76" s="478" t="s">
        <v>366</v>
      </c>
      <c r="O76" s="479"/>
      <c r="P76" s="479"/>
      <c r="Q76" s="47"/>
      <c r="R76" s="134">
        <f t="shared" ref="R76:R85" si="15">F76</f>
        <v>8720092</v>
      </c>
      <c r="S76" s="40" t="s">
        <v>6</v>
      </c>
      <c r="T76" s="133">
        <f>T63</f>
        <v>0</v>
      </c>
      <c r="U76" s="99">
        <f t="shared" ref="U76:U85" si="16">ROUND(R76*T76,0)</f>
        <v>0</v>
      </c>
    </row>
    <row r="77" spans="1:21" x14ac:dyDescent="0.25">
      <c r="A77" s="463" t="s">
        <v>436</v>
      </c>
      <c r="B77" s="453"/>
      <c r="C77" s="453"/>
      <c r="D77" s="72"/>
      <c r="E77" s="46" t="s">
        <v>3</v>
      </c>
      <c r="F77" s="337">
        <f>'0664'!F77</f>
        <v>0</v>
      </c>
      <c r="G77" s="39" t="s">
        <v>6</v>
      </c>
      <c r="H77" s="131">
        <f>H63</f>
        <v>3.0149999999999999E-3</v>
      </c>
      <c r="I77" s="104">
        <f t="shared" si="14"/>
        <v>0</v>
      </c>
      <c r="N77" s="479" t="s">
        <v>367</v>
      </c>
      <c r="O77" s="479"/>
      <c r="P77" s="479"/>
      <c r="Q77" s="47"/>
      <c r="R77" s="134">
        <f t="shared" si="15"/>
        <v>0</v>
      </c>
      <c r="S77" s="40" t="s">
        <v>6</v>
      </c>
      <c r="T77" s="133">
        <f>T63</f>
        <v>0</v>
      </c>
      <c r="U77" s="99">
        <f t="shared" si="16"/>
        <v>0</v>
      </c>
    </row>
    <row r="78" spans="1:21" x14ac:dyDescent="0.25">
      <c r="A78" s="463" t="s">
        <v>437</v>
      </c>
      <c r="B78" s="453"/>
      <c r="C78" s="453"/>
      <c r="D78" s="72"/>
      <c r="E78" s="46" t="s">
        <v>4</v>
      </c>
      <c r="F78" s="337">
        <f>'0664'!F78</f>
        <v>0</v>
      </c>
      <c r="G78" s="39" t="s">
        <v>6</v>
      </c>
      <c r="H78" s="131">
        <f>H66</f>
        <v>2.7200000000000002E-3</v>
      </c>
      <c r="I78" s="104">
        <f t="shared" si="14"/>
        <v>0</v>
      </c>
      <c r="N78" s="478" t="s">
        <v>392</v>
      </c>
      <c r="O78" s="479"/>
      <c r="P78" s="479"/>
      <c r="Q78" s="47"/>
      <c r="R78" s="134">
        <f t="shared" si="15"/>
        <v>0</v>
      </c>
      <c r="S78" s="40" t="s">
        <v>6</v>
      </c>
      <c r="T78" s="133">
        <f>T66</f>
        <v>0</v>
      </c>
      <c r="U78" s="99">
        <f t="shared" si="16"/>
        <v>0</v>
      </c>
    </row>
    <row r="79" spans="1:21" x14ac:dyDescent="0.25">
      <c r="A79" s="463" t="s">
        <v>438</v>
      </c>
      <c r="B79" s="453"/>
      <c r="C79" s="453"/>
      <c r="D79" s="72"/>
      <c r="E79" s="46" t="s">
        <v>4</v>
      </c>
      <c r="F79" s="337">
        <f>'0664'!F79</f>
        <v>11278687</v>
      </c>
      <c r="G79" s="39" t="s">
        <v>6</v>
      </c>
      <c r="H79" s="131">
        <f>H66</f>
        <v>2.7200000000000002E-3</v>
      </c>
      <c r="I79" s="104">
        <f t="shared" si="14"/>
        <v>30678.03</v>
      </c>
      <c r="N79" s="478" t="s">
        <v>393</v>
      </c>
      <c r="O79" s="479"/>
      <c r="P79" s="479"/>
      <c r="Q79" s="47"/>
      <c r="R79" s="134">
        <f t="shared" si="15"/>
        <v>11278687</v>
      </c>
      <c r="S79" s="40" t="s">
        <v>6</v>
      </c>
      <c r="T79" s="133">
        <f>T66</f>
        <v>0</v>
      </c>
      <c r="U79" s="99">
        <f t="shared" si="16"/>
        <v>0</v>
      </c>
    </row>
    <row r="80" spans="1:21" x14ac:dyDescent="0.25">
      <c r="A80" s="463" t="s">
        <v>439</v>
      </c>
      <c r="B80" s="453"/>
      <c r="C80" s="453"/>
      <c r="D80" s="72"/>
      <c r="E80" s="46" t="s">
        <v>4</v>
      </c>
      <c r="F80" s="337">
        <f>'0664'!F80</f>
        <v>206284749</v>
      </c>
      <c r="G80" s="39" t="s">
        <v>6</v>
      </c>
      <c r="H80" s="131">
        <f>H66</f>
        <v>2.7200000000000002E-3</v>
      </c>
      <c r="I80" s="104">
        <f t="shared" si="14"/>
        <v>561094.52</v>
      </c>
      <c r="N80" s="478" t="s">
        <v>397</v>
      </c>
      <c r="O80" s="479"/>
      <c r="P80" s="479"/>
      <c r="Q80" s="47"/>
      <c r="R80" s="134">
        <f t="shared" si="15"/>
        <v>206284749</v>
      </c>
      <c r="S80" s="40" t="s">
        <v>6</v>
      </c>
      <c r="T80" s="133">
        <f>T66</f>
        <v>0</v>
      </c>
      <c r="U80" s="99">
        <f t="shared" si="16"/>
        <v>0</v>
      </c>
    </row>
    <row r="81" spans="1:21" x14ac:dyDescent="0.25">
      <c r="A81" s="84" t="s">
        <v>440</v>
      </c>
      <c r="B81" s="72"/>
      <c r="C81" s="72"/>
      <c r="D81" s="72"/>
      <c r="E81" s="46"/>
      <c r="F81" s="337"/>
      <c r="G81" s="39"/>
      <c r="H81" s="131"/>
      <c r="I81" s="104"/>
      <c r="N81" s="419" t="s">
        <v>440</v>
      </c>
      <c r="O81" s="48"/>
      <c r="P81" s="48"/>
      <c r="Q81" s="47"/>
      <c r="R81" s="423"/>
      <c r="S81" s="40"/>
      <c r="T81" s="133"/>
      <c r="U81" s="120"/>
    </row>
    <row r="82" spans="1:21" x14ac:dyDescent="0.25">
      <c r="A82" s="264" t="s">
        <v>441</v>
      </c>
      <c r="B82" s="72"/>
      <c r="C82" s="72"/>
      <c r="D82" s="72"/>
      <c r="E82" s="46" t="s">
        <v>442</v>
      </c>
      <c r="F82" s="337">
        <f>'0664'!F82</f>
        <v>0</v>
      </c>
      <c r="G82" s="39" t="s">
        <v>6</v>
      </c>
      <c r="H82" s="131">
        <f>H66</f>
        <v>2.7200000000000002E-3</v>
      </c>
      <c r="I82" s="104">
        <v>83971.11</v>
      </c>
      <c r="N82" s="422" t="s">
        <v>441</v>
      </c>
      <c r="O82" s="48"/>
      <c r="P82" s="48"/>
      <c r="Q82" s="47"/>
      <c r="R82" s="134">
        <f t="shared" si="15"/>
        <v>0</v>
      </c>
      <c r="S82" s="40"/>
      <c r="T82" s="133"/>
      <c r="U82" s="99">
        <f t="shared" si="16"/>
        <v>0</v>
      </c>
    </row>
    <row r="83" spans="1:21" x14ac:dyDescent="0.25">
      <c r="A83" s="264" t="s">
        <v>443</v>
      </c>
      <c r="B83" s="72"/>
      <c r="C83" s="72"/>
      <c r="D83" s="72"/>
      <c r="E83" s="46" t="s">
        <v>442</v>
      </c>
      <c r="F83" s="337">
        <f>'0664'!F83</f>
        <v>0</v>
      </c>
      <c r="G83" s="39" t="s">
        <v>6</v>
      </c>
      <c r="H83" s="131">
        <f>H66</f>
        <v>2.7200000000000002E-3</v>
      </c>
      <c r="I83" s="104">
        <v>38168.68</v>
      </c>
      <c r="N83" s="422" t="s">
        <v>443</v>
      </c>
      <c r="O83" s="48"/>
      <c r="P83" s="48"/>
      <c r="Q83" s="47"/>
      <c r="R83" s="134">
        <f t="shared" si="15"/>
        <v>0</v>
      </c>
      <c r="S83" s="40"/>
      <c r="T83" s="133"/>
      <c r="U83" s="99">
        <f t="shared" si="16"/>
        <v>0</v>
      </c>
    </row>
    <row r="84" spans="1:21" x14ac:dyDescent="0.25">
      <c r="A84" s="420" t="s">
        <v>444</v>
      </c>
      <c r="B84" s="72"/>
      <c r="C84" s="72"/>
      <c r="D84" s="72"/>
      <c r="E84" s="46"/>
      <c r="F84" s="337"/>
      <c r="G84" s="39"/>
      <c r="H84" s="131"/>
      <c r="I84" s="104">
        <f>I82+I83</f>
        <v>122139.79000000001</v>
      </c>
      <c r="N84" s="421" t="s">
        <v>444</v>
      </c>
      <c r="O84" s="48"/>
      <c r="P84" s="48"/>
      <c r="Q84" s="47"/>
      <c r="R84" s="423"/>
      <c r="S84" s="40"/>
      <c r="T84" s="133"/>
      <c r="U84" s="99">
        <f>U82+U83</f>
        <v>0</v>
      </c>
    </row>
    <row r="85" spans="1:21" x14ac:dyDescent="0.25">
      <c r="A85" s="463" t="s">
        <v>398</v>
      </c>
      <c r="B85" s="453"/>
      <c r="C85" s="453"/>
      <c r="D85" s="72"/>
      <c r="E85" s="46" t="s">
        <v>4</v>
      </c>
      <c r="F85" s="337">
        <f>'0664'!F85</f>
        <v>0</v>
      </c>
      <c r="G85" s="39" t="s">
        <v>6</v>
      </c>
      <c r="H85" s="131">
        <f>H66</f>
        <v>2.7200000000000002E-3</v>
      </c>
      <c r="I85" s="104">
        <f t="shared" si="14"/>
        <v>0</v>
      </c>
      <c r="N85" s="478" t="s">
        <v>398</v>
      </c>
      <c r="O85" s="479"/>
      <c r="P85" s="479"/>
      <c r="Q85" s="47"/>
      <c r="R85" s="132">
        <f t="shared" si="15"/>
        <v>0</v>
      </c>
      <c r="S85" s="40" t="s">
        <v>6</v>
      </c>
      <c r="T85" s="133">
        <f>T66</f>
        <v>0</v>
      </c>
      <c r="U85" s="99">
        <f t="shared" si="16"/>
        <v>0</v>
      </c>
    </row>
    <row r="86" spans="1:21" x14ac:dyDescent="0.25">
      <c r="B86" s="72"/>
      <c r="C86" s="72"/>
      <c r="D86" s="72"/>
      <c r="E86" s="46"/>
      <c r="F86" s="136"/>
      <c r="G86" s="39"/>
      <c r="H86" s="131"/>
      <c r="I86" s="104"/>
      <c r="N86" s="48"/>
      <c r="O86" s="48"/>
      <c r="P86" s="48"/>
      <c r="Q86" s="47"/>
      <c r="R86" s="137"/>
      <c r="S86" s="40"/>
      <c r="T86" s="133"/>
      <c r="U86" s="106"/>
    </row>
    <row r="87" spans="1:21" x14ac:dyDescent="0.25">
      <c r="A87" s="463" t="s">
        <v>445</v>
      </c>
      <c r="B87" s="453"/>
      <c r="C87" s="453"/>
      <c r="D87" s="453"/>
      <c r="E87" s="453"/>
      <c r="F87" s="453"/>
      <c r="G87" s="453"/>
      <c r="H87" s="453"/>
      <c r="I87" s="453"/>
      <c r="N87" s="478" t="s">
        <v>429</v>
      </c>
      <c r="O87" s="479"/>
      <c r="P87" s="479"/>
      <c r="Q87" s="479"/>
      <c r="R87" s="479"/>
      <c r="S87" s="479"/>
      <c r="T87" s="479"/>
      <c r="U87" s="479"/>
    </row>
    <row r="88" spans="1:21" x14ac:dyDescent="0.25">
      <c r="B88" s="72"/>
      <c r="C88" s="466" t="s">
        <v>73</v>
      </c>
      <c r="D88" s="466"/>
      <c r="E88" s="72"/>
      <c r="F88" s="41" t="s">
        <v>37</v>
      </c>
      <c r="G88" s="72"/>
      <c r="H88" s="72"/>
      <c r="I88" s="72"/>
      <c r="N88" s="48"/>
      <c r="O88" s="48"/>
      <c r="P88" s="48"/>
      <c r="Q88" s="48"/>
      <c r="R88" s="48"/>
      <c r="S88" s="48"/>
      <c r="T88" s="48"/>
      <c r="U88" s="48"/>
    </row>
    <row r="89" spans="1:21" x14ac:dyDescent="0.25">
      <c r="A89" s="3"/>
      <c r="B89" s="138"/>
      <c r="C89" s="462" t="s">
        <v>144</v>
      </c>
      <c r="D89" s="462"/>
      <c r="E89" s="139" t="s">
        <v>150</v>
      </c>
      <c r="F89" s="140" t="s">
        <v>149</v>
      </c>
      <c r="G89" s="141"/>
      <c r="H89" s="141"/>
      <c r="I89" s="141"/>
      <c r="N89" s="495" t="s">
        <v>46</v>
      </c>
      <c r="O89" s="495"/>
      <c r="P89" s="496" t="s">
        <v>119</v>
      </c>
      <c r="Q89" s="496"/>
      <c r="R89" s="497" t="s">
        <v>40</v>
      </c>
      <c r="S89" s="497"/>
      <c r="T89" s="497"/>
      <c r="U89" s="497"/>
    </row>
    <row r="90" spans="1:21" x14ac:dyDescent="0.25">
      <c r="A90" s="27"/>
      <c r="B90" s="55" t="s">
        <v>148</v>
      </c>
      <c r="C90" s="467">
        <f>H13+H14+H19+H22+H25</f>
        <v>0</v>
      </c>
      <c r="D90" s="467"/>
      <c r="E90" s="49">
        <f>H8</f>
        <v>1.0438000000000001</v>
      </c>
      <c r="F90" s="338">
        <f>'0664'!F90</f>
        <v>957.94</v>
      </c>
      <c r="G90" s="41" t="s">
        <v>13</v>
      </c>
      <c r="H90" s="104">
        <f>ROUND(C90*E90*F90,2)</f>
        <v>0</v>
      </c>
      <c r="I90" s="107"/>
      <c r="N90" s="29" t="s">
        <v>22</v>
      </c>
      <c r="O90" s="50">
        <f>T13+T14+T19+T22+T25</f>
        <v>0</v>
      </c>
      <c r="P90" s="490">
        <f>T8</f>
        <v>1.0438000000000001</v>
      </c>
      <c r="Q90" s="490"/>
      <c r="R90" s="51">
        <f>F90</f>
        <v>957.94</v>
      </c>
      <c r="S90" s="42" t="s">
        <v>13</v>
      </c>
      <c r="T90" s="134">
        <f>ROUND(O90*P90*R90,0)</f>
        <v>0</v>
      </c>
      <c r="U90" s="105"/>
    </row>
    <row r="91" spans="1:21" x14ac:dyDescent="0.25">
      <c r="A91" s="52"/>
      <c r="B91" s="52" t="s">
        <v>147</v>
      </c>
      <c r="C91" s="467">
        <f>H15+H16+H20+H23+H26</f>
        <v>0</v>
      </c>
      <c r="D91" s="467"/>
      <c r="E91" s="49">
        <f>H8</f>
        <v>1.0438000000000001</v>
      </c>
      <c r="F91" s="338">
        <f>'0664'!F91</f>
        <v>914.63</v>
      </c>
      <c r="G91" s="41" t="s">
        <v>13</v>
      </c>
      <c r="H91" s="104">
        <f>ROUND(C91*E91*F91,2)</f>
        <v>0</v>
      </c>
      <c r="N91" s="53" t="s">
        <v>14</v>
      </c>
      <c r="O91" s="50">
        <f>T15+T16+T20+T23+T26</f>
        <v>0</v>
      </c>
      <c r="P91" s="490">
        <f>T8</f>
        <v>1.0438000000000001</v>
      </c>
      <c r="Q91" s="490"/>
      <c r="R91" s="51">
        <f>F91</f>
        <v>914.63</v>
      </c>
      <c r="S91" s="42" t="s">
        <v>13</v>
      </c>
      <c r="T91" s="134">
        <f>ROUND(O91*P91*R91,0)</f>
        <v>0</v>
      </c>
      <c r="U91" s="54"/>
    </row>
    <row r="92" spans="1:21" ht="16.5" thickBot="1" x14ac:dyDescent="0.3">
      <c r="A92" s="55"/>
      <c r="B92" s="55" t="s">
        <v>146</v>
      </c>
      <c r="C92" s="467">
        <f>H17+H18+H21+H24+H27+H28</f>
        <v>589.88250000000005</v>
      </c>
      <c r="D92" s="467"/>
      <c r="E92" s="49">
        <f>H8</f>
        <v>1.0438000000000001</v>
      </c>
      <c r="F92" s="338">
        <f>'0664'!F92</f>
        <v>916.84</v>
      </c>
      <c r="G92" s="41" t="s">
        <v>13</v>
      </c>
      <c r="H92" s="97">
        <f>ROUND(C92*E92*F92,2)</f>
        <v>564516.13</v>
      </c>
      <c r="N92" s="56" t="s">
        <v>15</v>
      </c>
      <c r="O92" s="57">
        <f>T17+T18+T21+T24+T27+T28</f>
        <v>0</v>
      </c>
      <c r="P92" s="490">
        <f>T8</f>
        <v>1.0438000000000001</v>
      </c>
      <c r="Q92" s="490"/>
      <c r="R92" s="51">
        <f>F92</f>
        <v>916.84</v>
      </c>
      <c r="S92" s="42" t="s">
        <v>13</v>
      </c>
      <c r="T92" s="134">
        <f>ROUND(O92*P92*R92,0)</f>
        <v>0</v>
      </c>
      <c r="U92" s="54"/>
    </row>
    <row r="93" spans="1:21" ht="16.5" thickBot="1" x14ac:dyDescent="0.3">
      <c r="A93" s="58"/>
      <c r="B93" s="142" t="s">
        <v>145</v>
      </c>
      <c r="C93" s="469">
        <f>SUM(C90:C92)</f>
        <v>589.88250000000005</v>
      </c>
      <c r="D93" s="469"/>
      <c r="E93" s="143"/>
      <c r="F93" s="143"/>
      <c r="G93" s="143"/>
      <c r="H93" s="144" t="s">
        <v>143</v>
      </c>
      <c r="I93" s="104">
        <f>IF(A1=75,0,H92+H91+H90)</f>
        <v>564516.13</v>
      </c>
      <c r="N93" s="59" t="s">
        <v>120</v>
      </c>
      <c r="O93" s="60">
        <f>SUM(O90:O92)</f>
        <v>0</v>
      </c>
      <c r="P93" s="491" t="s">
        <v>18</v>
      </c>
      <c r="Q93" s="492"/>
      <c r="R93" s="492"/>
      <c r="S93" s="492"/>
      <c r="T93" s="492"/>
      <c r="U93" s="99">
        <f>IF(N1=75,0,T92+T91+T90)</f>
        <v>0</v>
      </c>
    </row>
    <row r="94" spans="1:21" ht="16.5" thickTop="1" x14ac:dyDescent="0.25">
      <c r="A94" s="540" t="s">
        <v>90</v>
      </c>
      <c r="B94" s="540"/>
      <c r="C94" s="540"/>
      <c r="D94" s="540"/>
      <c r="E94" s="540"/>
      <c r="F94" s="540"/>
      <c r="G94" s="540"/>
      <c r="H94" s="540"/>
      <c r="I94" s="540"/>
      <c r="N94" s="493" t="s">
        <v>90</v>
      </c>
      <c r="O94" s="493"/>
      <c r="P94" s="493"/>
      <c r="Q94" s="493"/>
      <c r="R94" s="493"/>
      <c r="S94" s="493"/>
      <c r="T94" s="493"/>
      <c r="U94" s="493"/>
    </row>
    <row r="95" spans="1:21" x14ac:dyDescent="0.25">
      <c r="A95" s="145"/>
      <c r="B95" s="145"/>
      <c r="C95" s="145"/>
      <c r="D95" s="145"/>
      <c r="E95" s="145"/>
      <c r="F95" s="145"/>
      <c r="G95" s="145"/>
      <c r="H95" s="145"/>
      <c r="I95" s="145"/>
      <c r="N95" s="146"/>
      <c r="O95" s="146"/>
      <c r="P95" s="146"/>
      <c r="Q95" s="146"/>
      <c r="R95" s="146"/>
      <c r="S95" s="146"/>
      <c r="T95" s="146"/>
      <c r="U95" s="146"/>
    </row>
    <row r="96" spans="1:21" x14ac:dyDescent="0.25">
      <c r="A96" s="84" t="s">
        <v>446</v>
      </c>
      <c r="C96" s="46"/>
      <c r="D96" s="72"/>
      <c r="E96" s="46" t="s">
        <v>100</v>
      </c>
      <c r="F96" s="471"/>
      <c r="G96" s="471"/>
      <c r="H96" s="471"/>
      <c r="I96" s="471"/>
      <c r="N96" s="478" t="s">
        <v>426</v>
      </c>
      <c r="O96" s="479"/>
      <c r="P96" s="479"/>
      <c r="Q96" s="494"/>
      <c r="R96" s="494"/>
      <c r="S96" s="494"/>
      <c r="T96" s="494"/>
      <c r="U96" s="106"/>
    </row>
    <row r="97" spans="1:21" x14ac:dyDescent="0.25">
      <c r="B97" s="72"/>
      <c r="C97" s="91" t="s">
        <v>409</v>
      </c>
      <c r="D97" s="371" t="s">
        <v>410</v>
      </c>
      <c r="E97" s="92" t="s">
        <v>151</v>
      </c>
      <c r="F97" s="46"/>
      <c r="G97" s="46"/>
      <c r="H97" s="46"/>
      <c r="I97" s="46"/>
      <c r="N97" s="48"/>
      <c r="O97" s="48"/>
      <c r="P97" s="48"/>
      <c r="Q97" s="147"/>
      <c r="R97" s="147"/>
      <c r="S97" s="147"/>
      <c r="T97" s="147"/>
      <c r="U97" s="106"/>
    </row>
    <row r="98" spans="1:21" x14ac:dyDescent="0.25">
      <c r="B98" s="72"/>
      <c r="C98" s="362" t="s">
        <v>2</v>
      </c>
      <c r="D98" s="362" t="s">
        <v>2</v>
      </c>
      <c r="E98" s="362" t="s">
        <v>2</v>
      </c>
      <c r="F98" s="46"/>
      <c r="G98" s="46"/>
      <c r="H98" s="46"/>
      <c r="I98" s="46"/>
      <c r="N98" s="48"/>
      <c r="O98" s="48"/>
      <c r="P98" s="48"/>
      <c r="Q98" s="147"/>
      <c r="R98" s="147"/>
      <c r="S98" s="147"/>
      <c r="T98" s="147"/>
      <c r="U98" s="106"/>
    </row>
    <row r="99" spans="1:21" x14ac:dyDescent="0.25">
      <c r="A99" s="536" t="s">
        <v>470</v>
      </c>
      <c r="B99" s="461"/>
      <c r="C99" s="165">
        <v>83</v>
      </c>
      <c r="D99" s="165">
        <v>0</v>
      </c>
      <c r="E99" s="125">
        <f>C99</f>
        <v>83</v>
      </c>
      <c r="F99" s="148" t="s">
        <v>39</v>
      </c>
      <c r="G99" s="339">
        <f>'0664'!G99</f>
        <v>558</v>
      </c>
      <c r="I99" s="104">
        <f>ROUND(G99*E99,2)</f>
        <v>46314</v>
      </c>
      <c r="N99" s="488" t="s">
        <v>65</v>
      </c>
      <c r="O99" s="488"/>
      <c r="P99" s="489">
        <f>IF(H120=1,E99,0)</f>
        <v>0</v>
      </c>
      <c r="Q99" s="489"/>
      <c r="R99" s="489"/>
      <c r="S99" s="86" t="s">
        <v>39</v>
      </c>
      <c r="T99" s="61">
        <f>G99</f>
        <v>558</v>
      </c>
      <c r="U99" s="99">
        <f>ROUND(T99*P99,0)</f>
        <v>0</v>
      </c>
    </row>
    <row r="100" spans="1:21" x14ac:dyDescent="0.25">
      <c r="A100" s="536" t="s">
        <v>471</v>
      </c>
      <c r="B100" s="461"/>
      <c r="C100" s="165">
        <v>0</v>
      </c>
      <c r="D100" s="165">
        <v>0</v>
      </c>
      <c r="E100" s="125">
        <f>C100</f>
        <v>0</v>
      </c>
      <c r="F100" s="148" t="s">
        <v>39</v>
      </c>
      <c r="G100" s="339">
        <f>'0664'!G100</f>
        <v>1707</v>
      </c>
      <c r="I100" s="104">
        <f>ROUND(G100*E100,2)</f>
        <v>0</v>
      </c>
      <c r="N100" s="488" t="s">
        <v>81</v>
      </c>
      <c r="O100" s="488"/>
      <c r="P100" s="483"/>
      <c r="Q100" s="483"/>
      <c r="R100" s="483"/>
      <c r="S100" s="86" t="s">
        <v>39</v>
      </c>
      <c r="T100" s="61">
        <f>G100</f>
        <v>1707</v>
      </c>
      <c r="U100" s="99">
        <f>ROUND(T100*P100,0)</f>
        <v>0</v>
      </c>
    </row>
    <row r="101" spans="1:21" x14ac:dyDescent="0.25">
      <c r="A101" s="149"/>
      <c r="B101" s="149"/>
      <c r="C101" s="68"/>
      <c r="D101" s="68"/>
      <c r="E101" s="68"/>
      <c r="F101" s="68"/>
      <c r="G101" s="150"/>
      <c r="H101" s="151"/>
      <c r="I101" s="104"/>
      <c r="N101" s="152"/>
      <c r="O101" s="152"/>
      <c r="P101" s="153"/>
      <c r="Q101" s="153"/>
      <c r="R101" s="153"/>
      <c r="S101" s="86"/>
      <c r="T101" s="61"/>
      <c r="U101" s="106"/>
    </row>
    <row r="102" spans="1:21" x14ac:dyDescent="0.25">
      <c r="A102" s="149"/>
      <c r="B102" s="149"/>
      <c r="C102" s="68"/>
      <c r="D102" s="68"/>
      <c r="E102" s="68"/>
      <c r="F102" s="68"/>
      <c r="G102" s="150"/>
      <c r="H102" s="151"/>
      <c r="I102" s="104"/>
      <c r="N102" s="152"/>
      <c r="O102" s="152"/>
      <c r="P102" s="153"/>
      <c r="Q102" s="153"/>
      <c r="R102" s="153"/>
      <c r="S102" s="86"/>
      <c r="T102" s="61"/>
      <c r="U102" s="106"/>
    </row>
    <row r="103" spans="1:21" hidden="1" x14ac:dyDescent="0.25">
      <c r="A103" s="463" t="s">
        <v>447</v>
      </c>
      <c r="B103" s="453"/>
      <c r="C103" s="453"/>
      <c r="D103" s="72"/>
      <c r="E103" s="41" t="s">
        <v>41</v>
      </c>
      <c r="F103" s="466"/>
      <c r="G103" s="466"/>
      <c r="H103" s="466"/>
      <c r="I103" s="466"/>
      <c r="N103" s="478" t="s">
        <v>362</v>
      </c>
      <c r="O103" s="479"/>
      <c r="P103" s="479"/>
      <c r="Q103" s="479"/>
      <c r="R103" s="479"/>
      <c r="S103" s="479"/>
      <c r="T103" s="479"/>
      <c r="U103" s="479"/>
    </row>
    <row r="104" spans="1:21" hidden="1" x14ac:dyDescent="0.25">
      <c r="B104" s="72"/>
      <c r="C104" s="462" t="s">
        <v>91</v>
      </c>
      <c r="D104" s="462"/>
      <c r="E104" s="462"/>
      <c r="F104" s="39"/>
      <c r="G104" s="39"/>
      <c r="H104" s="41" t="s">
        <v>152</v>
      </c>
      <c r="I104" s="39"/>
      <c r="N104" s="48"/>
      <c r="O104" s="48"/>
      <c r="P104" s="48"/>
      <c r="Q104" s="48"/>
      <c r="R104" s="48"/>
      <c r="S104" s="48"/>
      <c r="T104" s="48"/>
      <c r="U104" s="48"/>
    </row>
    <row r="105" spans="1:21" hidden="1" x14ac:dyDescent="0.25">
      <c r="B105" s="72"/>
      <c r="C105" s="91" t="s">
        <v>371</v>
      </c>
      <c r="D105" s="91" t="s">
        <v>351</v>
      </c>
      <c r="E105" s="159" t="s">
        <v>8</v>
      </c>
      <c r="F105" s="464" t="s">
        <v>153</v>
      </c>
      <c r="G105" s="466"/>
      <c r="H105" s="39" t="s">
        <v>38</v>
      </c>
      <c r="I105" s="39"/>
      <c r="N105" s="48"/>
      <c r="O105" s="48"/>
      <c r="P105" s="48"/>
      <c r="Q105" s="48"/>
      <c r="R105" s="48"/>
      <c r="S105" s="48"/>
      <c r="T105" s="48"/>
      <c r="U105" s="48"/>
    </row>
    <row r="106" spans="1:21" hidden="1" x14ac:dyDescent="0.25">
      <c r="A106" s="462" t="s">
        <v>94</v>
      </c>
      <c r="B106" s="462"/>
      <c r="C106" s="93" t="s">
        <v>2</v>
      </c>
      <c r="D106" s="93" t="s">
        <v>2</v>
      </c>
      <c r="E106" s="62" t="s">
        <v>2</v>
      </c>
      <c r="F106" s="462" t="s">
        <v>37</v>
      </c>
      <c r="G106" s="462"/>
      <c r="H106" s="62" t="s">
        <v>37</v>
      </c>
      <c r="I106" s="62" t="s">
        <v>8</v>
      </c>
      <c r="N106" s="484" t="s">
        <v>66</v>
      </c>
      <c r="O106" s="484"/>
      <c r="P106" s="489" t="s">
        <v>91</v>
      </c>
      <c r="Q106" s="489"/>
      <c r="R106" s="484" t="s">
        <v>67</v>
      </c>
      <c r="S106" s="484"/>
      <c r="T106" s="63" t="s">
        <v>68</v>
      </c>
      <c r="U106" s="63" t="s">
        <v>8</v>
      </c>
    </row>
    <row r="107" spans="1:21" hidden="1" x14ac:dyDescent="0.25">
      <c r="A107" s="473" t="s">
        <v>69</v>
      </c>
      <c r="B107" s="473"/>
      <c r="C107" s="163">
        <v>0</v>
      </c>
      <c r="D107" s="163">
        <v>0</v>
      </c>
      <c r="E107" s="210">
        <f>IF(D$59=0,C107*2,C107+D107)</f>
        <v>0</v>
      </c>
      <c r="F107" s="474">
        <v>0</v>
      </c>
      <c r="G107" s="474"/>
      <c r="H107" s="250">
        <f>IF(C107=0,0,125)</f>
        <v>0</v>
      </c>
      <c r="I107" s="104">
        <f>ROUND((H107+F107)*E107,2)</f>
        <v>0</v>
      </c>
      <c r="N107" s="479" t="s">
        <v>69</v>
      </c>
      <c r="O107" s="479"/>
      <c r="P107" s="483">
        <f>IF(H$120=1,C107,0)</f>
        <v>0</v>
      </c>
      <c r="Q107" s="483"/>
      <c r="R107" s="486">
        <f>F107</f>
        <v>0</v>
      </c>
      <c r="S107" s="486"/>
      <c r="T107" s="65">
        <f>H107</f>
        <v>0</v>
      </c>
      <c r="U107" s="99">
        <f>ROUND((T107+R107)*P107,0)</f>
        <v>0</v>
      </c>
    </row>
    <row r="108" spans="1:21" hidden="1" x14ac:dyDescent="0.25">
      <c r="A108" s="456" t="s">
        <v>70</v>
      </c>
      <c r="B108" s="456"/>
      <c r="C108" s="165">
        <v>0</v>
      </c>
      <c r="D108" s="165">
        <v>0</v>
      </c>
      <c r="E108" s="125">
        <f>IF(D$59=0,C108*2,C108+D108)</f>
        <v>0</v>
      </c>
      <c r="F108" s="468">
        <f>ROUND(F107/2,2)</f>
        <v>0</v>
      </c>
      <c r="G108" s="468"/>
      <c r="H108" s="250">
        <f>IF(C108=0,0,62.5)</f>
        <v>0</v>
      </c>
      <c r="I108" s="104">
        <f>ROUND((H108+F108)*E108,2)</f>
        <v>0</v>
      </c>
      <c r="N108" s="479" t="s">
        <v>70</v>
      </c>
      <c r="O108" s="479"/>
      <c r="P108" s="483">
        <f>IF(H$120=1,C108,0)</f>
        <v>0</v>
      </c>
      <c r="Q108" s="483"/>
      <c r="R108" s="487">
        <f>ROUND(R107/2,2)</f>
        <v>0</v>
      </c>
      <c r="S108" s="487"/>
      <c r="T108" s="65">
        <f>H108</f>
        <v>0</v>
      </c>
      <c r="U108" s="99">
        <f>ROUND((T108+R108)*P108,0)</f>
        <v>0</v>
      </c>
    </row>
    <row r="109" spans="1:21" ht="16.5" hidden="1" thickBot="1" x14ac:dyDescent="0.3">
      <c r="A109" s="456" t="s">
        <v>71</v>
      </c>
      <c r="B109" s="456"/>
      <c r="C109" s="165">
        <v>0</v>
      </c>
      <c r="D109" s="165">
        <v>0</v>
      </c>
      <c r="E109" s="125">
        <f>IF(D$59=0,C109*2,C109+D109)</f>
        <v>0</v>
      </c>
      <c r="F109" s="475"/>
      <c r="G109" s="475"/>
      <c r="H109" s="251">
        <f>IF(H107&gt;0,436,0)</f>
        <v>0</v>
      </c>
      <c r="I109" s="104">
        <f>ROUND(H109*E109,2)</f>
        <v>0</v>
      </c>
      <c r="N109" s="482" t="s">
        <v>71</v>
      </c>
      <c r="O109" s="482"/>
      <c r="P109" s="483">
        <f>IF(H$120=1,C109,0)</f>
        <v>0</v>
      </c>
      <c r="Q109" s="483"/>
      <c r="R109" s="484"/>
      <c r="S109" s="484"/>
      <c r="T109" s="67">
        <f>H109</f>
        <v>0</v>
      </c>
      <c r="U109" s="106">
        <f>ROUND(T109*P109,0)</f>
        <v>0</v>
      </c>
    </row>
    <row r="110" spans="1:21" ht="16.5" hidden="1" thickBot="1" x14ac:dyDescent="0.3">
      <c r="A110" s="466" t="s">
        <v>8</v>
      </c>
      <c r="B110" s="466"/>
      <c r="C110" s="68"/>
      <c r="D110" s="68"/>
      <c r="E110" s="68"/>
      <c r="F110" s="68"/>
      <c r="G110" s="68"/>
      <c r="H110" s="68"/>
      <c r="I110" s="100">
        <f>SUM(I107:I109)</f>
        <v>0</v>
      </c>
      <c r="N110" s="485" t="s">
        <v>8</v>
      </c>
      <c r="O110" s="485"/>
      <c r="P110" s="69"/>
      <c r="Q110" s="69"/>
      <c r="R110" s="69"/>
      <c r="S110" s="69"/>
      <c r="T110" s="69"/>
      <c r="U110" s="70">
        <f>SUM(U107:U109)</f>
        <v>0</v>
      </c>
    </row>
    <row r="111" spans="1:21" hidden="1" x14ac:dyDescent="0.25">
      <c r="A111" s="39"/>
      <c r="B111" s="39"/>
      <c r="C111" s="68"/>
      <c r="D111" s="68"/>
      <c r="E111" s="68"/>
      <c r="F111" s="68"/>
      <c r="G111" s="68"/>
      <c r="H111" s="68"/>
      <c r="I111" s="104"/>
      <c r="N111" s="40"/>
      <c r="O111" s="40"/>
      <c r="P111" s="69"/>
      <c r="Q111" s="69"/>
      <c r="R111" s="69"/>
      <c r="S111" s="69"/>
      <c r="T111" s="69"/>
      <c r="U111" s="160"/>
    </row>
    <row r="112" spans="1:21" x14ac:dyDescent="0.25">
      <c r="A112" s="463" t="s">
        <v>448</v>
      </c>
      <c r="B112" s="453"/>
      <c r="C112" s="453"/>
      <c r="D112" s="72"/>
      <c r="E112" s="71" t="s">
        <v>354</v>
      </c>
      <c r="F112" s="472"/>
      <c r="G112" s="472"/>
      <c r="H112" s="472"/>
      <c r="I112" s="125">
        <v>0</v>
      </c>
      <c r="N112" s="478" t="s">
        <v>427</v>
      </c>
      <c r="O112" s="479"/>
      <c r="P112" s="479"/>
      <c r="Q112" s="341"/>
      <c r="R112" s="341"/>
      <c r="S112" s="341"/>
      <c r="T112" s="341"/>
      <c r="U112" s="99">
        <f>IF($H$120=1,I112,0)</f>
        <v>0</v>
      </c>
    </row>
    <row r="113" spans="1:21" x14ac:dyDescent="0.25">
      <c r="A113" s="463" t="s">
        <v>449</v>
      </c>
      <c r="B113" s="453"/>
      <c r="C113" s="453"/>
      <c r="D113" s="72"/>
      <c r="E113" s="71" t="s">
        <v>45</v>
      </c>
      <c r="F113" s="472"/>
      <c r="G113" s="472"/>
      <c r="H113" s="472"/>
      <c r="I113" s="177">
        <v>0</v>
      </c>
      <c r="N113" s="478" t="s">
        <v>428</v>
      </c>
      <c r="O113" s="479"/>
      <c r="P113" s="479"/>
      <c r="Q113" s="341"/>
      <c r="R113" s="341"/>
      <c r="S113" s="341"/>
      <c r="T113" s="341"/>
      <c r="U113" s="99">
        <f>IF($H$120=1,I113,0)</f>
        <v>0</v>
      </c>
    </row>
    <row r="114" spans="1:21" ht="16.5" thickBot="1" x14ac:dyDescent="0.3">
      <c r="B114" s="72"/>
      <c r="C114" s="72"/>
      <c r="D114" s="72"/>
      <c r="E114" s="71"/>
      <c r="F114" s="71"/>
      <c r="G114" s="71"/>
      <c r="H114" s="71"/>
      <c r="I114" s="125"/>
      <c r="N114" s="480" t="s">
        <v>42</v>
      </c>
      <c r="O114" s="480"/>
      <c r="P114" s="480"/>
      <c r="Q114" s="480"/>
      <c r="R114" s="480"/>
      <c r="S114" s="480"/>
      <c r="T114" s="480"/>
      <c r="U114" s="154">
        <f>SUM(U112,U110,U100,U99,U93,U77,U76,U74,U73,U72,U71,U70,U68,U59,U45,U78,U79,U80,U85,U113)</f>
        <v>0</v>
      </c>
    </row>
    <row r="115" spans="1:21" ht="16.5" thickTop="1" x14ac:dyDescent="0.25">
      <c r="A115" s="461" t="s">
        <v>8</v>
      </c>
      <c r="B115" s="461"/>
      <c r="C115" s="461"/>
      <c r="D115" s="461"/>
      <c r="E115" s="461"/>
      <c r="F115" s="461"/>
      <c r="G115" s="461"/>
      <c r="H115" s="461"/>
      <c r="I115" s="97">
        <f>SUM(I113,I112,I110,I100,I99,I93,I85,I84,I80,I79,I78,I77,I76,I74,I73,I72,I71,I70,I68,I59,I45)</f>
        <v>4481151.13</v>
      </c>
      <c r="N115" s="29"/>
      <c r="O115" s="29"/>
      <c r="P115" s="29"/>
      <c r="Q115" s="29"/>
      <c r="R115" s="29"/>
      <c r="S115" s="29"/>
      <c r="T115" s="29"/>
      <c r="U115" s="160"/>
    </row>
    <row r="116" spans="1:21" x14ac:dyDescent="0.25">
      <c r="A116" s="27"/>
      <c r="B116" s="27"/>
      <c r="C116" s="27"/>
      <c r="D116" s="27"/>
      <c r="E116" s="27"/>
      <c r="F116" s="27"/>
      <c r="G116" s="27"/>
      <c r="H116" s="27"/>
      <c r="I116" s="104"/>
      <c r="N116" s="29"/>
      <c r="O116" s="29"/>
      <c r="P116" s="29"/>
      <c r="Q116" s="29"/>
      <c r="R116" s="29"/>
      <c r="S116" s="29"/>
      <c r="T116" s="29"/>
      <c r="U116" s="160"/>
    </row>
    <row r="117" spans="1:21" x14ac:dyDescent="0.25">
      <c r="A117" s="432" t="s">
        <v>467</v>
      </c>
      <c r="B117" s="27"/>
      <c r="C117" s="27"/>
      <c r="D117" s="27"/>
      <c r="E117" s="27"/>
      <c r="F117" s="27"/>
      <c r="G117" s="27"/>
      <c r="H117" s="27"/>
      <c r="I117" s="104">
        <f>I115-I84</f>
        <v>4359011.34</v>
      </c>
      <c r="N117" s="29"/>
      <c r="O117" s="29"/>
      <c r="P117" s="29"/>
      <c r="Q117" s="29"/>
      <c r="R117" s="29"/>
      <c r="S117" s="29"/>
      <c r="T117" s="29"/>
      <c r="U117" s="160"/>
    </row>
    <row r="118" spans="1:21" x14ac:dyDescent="0.25">
      <c r="A118" s="27"/>
      <c r="B118" s="27"/>
      <c r="C118" s="27"/>
      <c r="D118" s="27"/>
      <c r="E118" s="27"/>
      <c r="F118" s="27"/>
      <c r="G118" s="27"/>
      <c r="H118" s="27"/>
      <c r="I118" s="104"/>
      <c r="N118" s="29"/>
      <c r="O118" s="29"/>
      <c r="P118" s="29"/>
      <c r="Q118" s="29"/>
      <c r="R118" s="29"/>
      <c r="S118" s="29"/>
      <c r="T118" s="29"/>
      <c r="U118" s="160"/>
    </row>
    <row r="119" spans="1:21" x14ac:dyDescent="0.25">
      <c r="A119" s="463" t="s">
        <v>468</v>
      </c>
      <c r="B119" s="453"/>
      <c r="C119" s="453"/>
      <c r="D119" s="453"/>
      <c r="E119" s="453"/>
      <c r="F119" s="453"/>
      <c r="G119" s="453"/>
      <c r="H119" s="84" t="s">
        <v>394</v>
      </c>
      <c r="I119" s="156"/>
      <c r="N119" s="481"/>
      <c r="O119" s="481"/>
      <c r="P119" s="481"/>
      <c r="Q119" s="481"/>
      <c r="R119" s="481"/>
      <c r="S119" s="481"/>
      <c r="T119" s="481"/>
      <c r="U119" s="481"/>
    </row>
    <row r="120" spans="1:21" x14ac:dyDescent="0.25">
      <c r="A120" s="453" t="s">
        <v>95</v>
      </c>
      <c r="B120" s="453"/>
      <c r="C120" s="453"/>
      <c r="D120" s="453"/>
      <c r="E120" s="453"/>
      <c r="F120" s="453"/>
      <c r="G120" s="453"/>
      <c r="H120" s="73" t="str">
        <f>IF(E29=0,"",IF((E14+E16+SUM(E18:E24))/E29&gt;0.75,1,""))</f>
        <v/>
      </c>
      <c r="I120" s="125">
        <f>U114</f>
        <v>0</v>
      </c>
      <c r="N120" s="476" t="s">
        <v>7</v>
      </c>
      <c r="O120" s="476"/>
      <c r="P120" s="476"/>
      <c r="Q120" s="476"/>
      <c r="R120" s="476"/>
      <c r="S120" s="476"/>
      <c r="T120" s="476"/>
      <c r="U120" s="476"/>
    </row>
    <row r="121" spans="1:21" x14ac:dyDescent="0.25">
      <c r="B121" s="72"/>
      <c r="C121" s="72"/>
      <c r="D121" s="72"/>
      <c r="E121" s="72"/>
      <c r="F121" s="72"/>
      <c r="G121" s="72"/>
      <c r="H121" s="68"/>
      <c r="I121" s="104"/>
      <c r="N121" s="74" t="s">
        <v>106</v>
      </c>
      <c r="O121" s="74"/>
      <c r="P121" s="74"/>
      <c r="Q121" s="74"/>
      <c r="R121" s="74"/>
      <c r="S121" s="74"/>
      <c r="T121" s="74"/>
      <c r="U121" s="74"/>
    </row>
    <row r="122" spans="1:21" x14ac:dyDescent="0.25">
      <c r="A122" s="3" t="s">
        <v>102</v>
      </c>
      <c r="B122" s="72"/>
      <c r="C122" s="72"/>
      <c r="D122" s="72"/>
      <c r="E122" s="72"/>
      <c r="F122" s="72"/>
      <c r="G122" s="286"/>
      <c r="H122" s="161">
        <f>IF(H120=1,I120,I117)</f>
        <v>4359011.34</v>
      </c>
      <c r="I122" s="97">
        <f>ROUND(IF(E29=0,0,IF(E29&gt;250,-(((250/E29)*H122)*IF(G122="H",0.02,0.05)),IF(G122="H",-0.02*H122,-0.05*H122))),2)</f>
        <v>-93465.600000000006</v>
      </c>
      <c r="N122" s="75" t="s">
        <v>107</v>
      </c>
      <c r="O122" s="74"/>
      <c r="P122" s="74"/>
      <c r="Q122" s="74"/>
      <c r="R122" s="74"/>
      <c r="S122" s="74"/>
      <c r="T122" s="74"/>
      <c r="U122" s="74"/>
    </row>
    <row r="123" spans="1:21" x14ac:dyDescent="0.25">
      <c r="B123" s="72"/>
      <c r="C123" s="72"/>
      <c r="D123" s="72"/>
      <c r="E123" s="72"/>
      <c r="F123" s="72"/>
      <c r="G123" s="72"/>
      <c r="H123" s="68"/>
      <c r="I123" s="104"/>
      <c r="N123" s="76"/>
      <c r="O123" s="76"/>
      <c r="P123" s="76"/>
      <c r="Q123" s="76"/>
      <c r="R123" s="76"/>
      <c r="S123" s="76"/>
      <c r="T123" s="76"/>
      <c r="U123" s="76"/>
    </row>
    <row r="124" spans="1:21" x14ac:dyDescent="0.25">
      <c r="A124" s="345" t="s">
        <v>103</v>
      </c>
      <c r="B124" s="346"/>
      <c r="C124" s="346"/>
      <c r="D124" s="346"/>
      <c r="E124" s="346"/>
      <c r="F124" s="346"/>
      <c r="G124" s="346"/>
      <c r="H124" s="347"/>
      <c r="I124" s="348">
        <f>I115+I122</f>
        <v>4387685.53</v>
      </c>
      <c r="N124" s="76"/>
      <c r="O124" s="76"/>
      <c r="P124" s="76"/>
      <c r="Q124" s="76"/>
      <c r="R124" s="76"/>
      <c r="S124" s="76"/>
      <c r="T124" s="76"/>
      <c r="U124" s="76"/>
    </row>
    <row r="125" spans="1:21" x14ac:dyDescent="0.25">
      <c r="B125" s="72"/>
      <c r="C125" s="72"/>
      <c r="D125" s="72"/>
      <c r="E125" s="72"/>
      <c r="F125" s="72"/>
      <c r="G125" s="72"/>
      <c r="H125" s="68"/>
      <c r="I125" s="104"/>
      <c r="N125" s="76"/>
      <c r="O125" s="76"/>
      <c r="P125" s="76"/>
      <c r="Q125" s="76"/>
      <c r="R125" s="76"/>
      <c r="S125" s="76"/>
      <c r="T125" s="76"/>
      <c r="U125" s="76"/>
    </row>
    <row r="126" spans="1:21" x14ac:dyDescent="0.25">
      <c r="A126" s="3" t="s">
        <v>104</v>
      </c>
      <c r="B126" s="72"/>
      <c r="C126" s="162"/>
      <c r="D126" s="72"/>
      <c r="F126" s="72"/>
      <c r="G126" s="72"/>
      <c r="H126" s="68"/>
      <c r="I126" s="302">
        <v>-2938525.06</v>
      </c>
      <c r="N126" s="76"/>
      <c r="O126" s="76"/>
      <c r="P126" s="76"/>
      <c r="Q126" s="76"/>
      <c r="R126" s="76"/>
      <c r="S126" s="76"/>
      <c r="T126" s="76"/>
      <c r="U126" s="76"/>
    </row>
    <row r="127" spans="1:21" x14ac:dyDescent="0.25">
      <c r="B127" s="72"/>
      <c r="C127" s="72"/>
      <c r="D127" s="72"/>
      <c r="E127" s="72"/>
      <c r="F127" s="72"/>
      <c r="G127" s="72"/>
      <c r="H127" s="68"/>
      <c r="I127" s="104"/>
      <c r="N127" s="76"/>
      <c r="O127" s="76"/>
      <c r="P127" s="76"/>
      <c r="Q127" s="76"/>
      <c r="R127" s="76"/>
      <c r="S127" s="76"/>
      <c r="T127" s="76"/>
      <c r="U127" s="76"/>
    </row>
    <row r="128" spans="1:21" x14ac:dyDescent="0.25">
      <c r="A128" s="84" t="s">
        <v>297</v>
      </c>
      <c r="B128" s="72"/>
      <c r="C128" s="72"/>
      <c r="D128" s="72"/>
      <c r="E128" s="72"/>
      <c r="F128" s="72"/>
      <c r="G128" s="72"/>
      <c r="H128" s="68"/>
      <c r="I128" s="104">
        <f>I124+I126</f>
        <v>1449160.4700000002</v>
      </c>
      <c r="N128" s="76"/>
      <c r="O128" s="76"/>
      <c r="P128" s="76"/>
      <c r="Q128" s="76"/>
      <c r="R128" s="76"/>
      <c r="S128" s="76"/>
      <c r="T128" s="76"/>
      <c r="U128" s="76"/>
    </row>
    <row r="129" spans="1:21" x14ac:dyDescent="0.25">
      <c r="A129" s="84"/>
      <c r="B129" s="72"/>
      <c r="C129" s="72"/>
      <c r="D129" s="72"/>
      <c r="E129" s="72"/>
      <c r="F129" s="72"/>
      <c r="G129" s="72"/>
      <c r="H129" s="68"/>
      <c r="I129" s="104"/>
      <c r="N129" s="76"/>
      <c r="O129" s="76"/>
      <c r="P129" s="76"/>
      <c r="Q129" s="76"/>
      <c r="R129" s="76"/>
      <c r="S129" s="76"/>
      <c r="T129" s="76"/>
      <c r="U129" s="76"/>
    </row>
    <row r="130" spans="1:21" x14ac:dyDescent="0.25">
      <c r="A130" s="84" t="s">
        <v>298</v>
      </c>
      <c r="B130" s="72"/>
      <c r="C130" s="72"/>
      <c r="D130" s="72"/>
      <c r="E130" s="72"/>
      <c r="F130" s="72"/>
      <c r="G130" s="72"/>
      <c r="H130" s="68"/>
      <c r="I130" s="303">
        <f>'0664'!I130</f>
        <v>3</v>
      </c>
      <c r="N130" s="76"/>
      <c r="O130" s="76"/>
      <c r="P130" s="76"/>
      <c r="Q130" s="76"/>
      <c r="R130" s="76"/>
      <c r="S130" s="76"/>
      <c r="T130" s="76"/>
      <c r="U130" s="76"/>
    </row>
    <row r="131" spans="1:21" x14ac:dyDescent="0.25">
      <c r="B131" s="72"/>
      <c r="C131" s="72"/>
      <c r="D131" s="72"/>
      <c r="E131" s="72"/>
      <c r="F131" s="72"/>
      <c r="G131" s="72"/>
      <c r="H131" s="68"/>
      <c r="I131" s="104"/>
      <c r="N131" s="76"/>
      <c r="O131" s="76"/>
      <c r="P131" s="76"/>
      <c r="Q131" s="76"/>
      <c r="R131" s="76"/>
      <c r="S131" s="76"/>
      <c r="T131" s="76"/>
      <c r="U131" s="76"/>
    </row>
    <row r="132" spans="1:21" ht="16.5" thickBot="1" x14ac:dyDescent="0.3">
      <c r="A132" s="3" t="s">
        <v>105</v>
      </c>
      <c r="B132" s="72"/>
      <c r="C132" s="72"/>
      <c r="D132" s="72"/>
      <c r="E132" s="72"/>
      <c r="F132" s="72"/>
      <c r="G132" s="72"/>
      <c r="H132" s="68"/>
      <c r="I132" s="178">
        <f>ROUND(I128/I130,2)</f>
        <v>483053.49</v>
      </c>
      <c r="N132" s="76"/>
      <c r="O132" s="76"/>
      <c r="P132" s="76"/>
      <c r="Q132" s="76"/>
      <c r="R132" s="76"/>
      <c r="S132" s="76"/>
      <c r="T132" s="76"/>
      <c r="U132" s="76"/>
    </row>
    <row r="133" spans="1:21" ht="16.5" thickTop="1" x14ac:dyDescent="0.25">
      <c r="B133" s="72"/>
      <c r="C133" s="72"/>
      <c r="D133" s="72"/>
      <c r="E133" s="72"/>
      <c r="F133" s="72"/>
      <c r="G133" s="72"/>
      <c r="H133" s="68"/>
      <c r="I133" s="104"/>
      <c r="N133" s="76"/>
      <c r="O133" s="76"/>
      <c r="P133" s="76"/>
      <c r="Q133" s="76"/>
      <c r="R133" s="76"/>
      <c r="S133" s="76"/>
      <c r="T133" s="76"/>
      <c r="U133" s="76"/>
    </row>
    <row r="134" spans="1:21" ht="16.5" thickBot="1" x14ac:dyDescent="0.3">
      <c r="A134" s="3" t="s">
        <v>121</v>
      </c>
      <c r="B134" s="72"/>
      <c r="C134" s="72"/>
      <c r="D134" s="72"/>
      <c r="E134" s="72"/>
      <c r="F134" s="72"/>
      <c r="G134" s="72"/>
      <c r="H134" s="68"/>
      <c r="I134" s="155">
        <f>ROUND(IF(G122="H",(H122*0.02)+I122,(H122*0.05)+I122),2)</f>
        <v>124484.97</v>
      </c>
      <c r="N134" s="76"/>
      <c r="O134" s="76"/>
      <c r="P134" s="76"/>
      <c r="Q134" s="76"/>
      <c r="R134" s="76"/>
      <c r="S134" s="76"/>
      <c r="T134" s="76"/>
      <c r="U134" s="76"/>
    </row>
    <row r="135" spans="1:21" ht="16.5" thickTop="1" x14ac:dyDescent="0.25">
      <c r="B135" s="72"/>
      <c r="C135" s="72"/>
      <c r="D135" s="72"/>
      <c r="E135" s="72"/>
      <c r="F135" s="72"/>
      <c r="G135" s="72"/>
      <c r="H135" s="68"/>
      <c r="I135" s="156"/>
      <c r="N135" s="76"/>
      <c r="O135" s="76"/>
      <c r="P135" s="76"/>
      <c r="Q135" s="76"/>
      <c r="R135" s="76"/>
      <c r="S135" s="76"/>
      <c r="T135" s="76"/>
      <c r="U135" s="76"/>
    </row>
    <row r="136" spans="1:21" x14ac:dyDescent="0.25">
      <c r="B136" s="72"/>
      <c r="C136" s="72"/>
      <c r="D136" s="72"/>
      <c r="E136" s="72"/>
      <c r="F136" s="72"/>
      <c r="G136" s="72"/>
      <c r="H136" s="68"/>
      <c r="I136" s="104"/>
      <c r="N136" s="76"/>
      <c r="O136" s="76"/>
      <c r="P136" s="76"/>
      <c r="Q136" s="76"/>
      <c r="R136" s="76"/>
      <c r="S136" s="76"/>
      <c r="T136" s="76"/>
      <c r="U136" s="76"/>
    </row>
    <row r="137" spans="1:21" x14ac:dyDescent="0.25">
      <c r="B137" s="72"/>
      <c r="C137" s="72"/>
      <c r="D137" s="72"/>
      <c r="E137" s="72"/>
      <c r="F137" s="72"/>
      <c r="G137" s="72"/>
      <c r="H137" s="68"/>
      <c r="I137" s="156"/>
      <c r="N137" s="76"/>
      <c r="O137" s="76"/>
      <c r="P137" s="76"/>
      <c r="Q137" s="76"/>
      <c r="R137" s="76"/>
      <c r="S137" s="76"/>
      <c r="T137" s="76"/>
      <c r="U137" s="76"/>
    </row>
    <row r="138" spans="1:21" x14ac:dyDescent="0.25">
      <c r="A138" s="281" t="s">
        <v>7</v>
      </c>
      <c r="B138" s="281"/>
      <c r="C138" s="281"/>
      <c r="D138" s="281"/>
      <c r="E138" s="281"/>
      <c r="F138" s="281"/>
      <c r="G138" s="281"/>
      <c r="H138" s="281"/>
      <c r="I138" s="281"/>
      <c r="J138" s="156"/>
      <c r="N138" s="76"/>
      <c r="O138" s="76"/>
      <c r="P138" s="76"/>
      <c r="Q138" s="76"/>
      <c r="R138" s="76"/>
      <c r="S138" s="76"/>
      <c r="T138" s="76"/>
      <c r="U138" s="76"/>
    </row>
    <row r="139" spans="1:21" ht="15.75" customHeight="1" x14ac:dyDescent="0.25">
      <c r="A139" s="356" t="str">
        <f>'0664'!A139</f>
        <v>(a) Additional FTE includes FTE earned through Advanced Placement, International Baccalaureate, Advanced International Certificate of Education, Industry Certified Career</v>
      </c>
      <c r="B139" s="357"/>
      <c r="C139" s="357"/>
      <c r="D139" s="357"/>
      <c r="E139" s="357"/>
      <c r="F139" s="357"/>
      <c r="G139" s="357"/>
      <c r="H139" s="357"/>
      <c r="I139" s="357"/>
      <c r="J139" s="80"/>
      <c r="K139" s="79"/>
      <c r="L139" s="79"/>
      <c r="M139" s="79"/>
      <c r="N139" s="477"/>
      <c r="O139" s="477"/>
      <c r="P139" s="477"/>
      <c r="Q139" s="477"/>
      <c r="R139" s="477"/>
      <c r="S139" s="477"/>
      <c r="T139" s="477"/>
      <c r="U139" s="477"/>
    </row>
    <row r="140" spans="1:21" ht="15.75" customHeight="1" x14ac:dyDescent="0.25">
      <c r="A140" s="390" t="str">
        <f>'0664'!A140</f>
        <v xml:space="preserve">Education (CAPE), Early High School Graduation and the small district ESE Supplement, pursuant to s. 1011.62(1)(l-p), F.S. </v>
      </c>
      <c r="B140" s="357"/>
      <c r="C140" s="357"/>
      <c r="D140" s="357"/>
      <c r="E140" s="357"/>
      <c r="F140" s="357"/>
      <c r="G140" s="357"/>
      <c r="H140" s="357"/>
      <c r="I140" s="357"/>
      <c r="J140" s="80"/>
      <c r="K140" s="79"/>
      <c r="L140" s="79"/>
      <c r="M140" s="79"/>
      <c r="N140" s="76"/>
      <c r="O140" s="76"/>
      <c r="P140" s="76"/>
      <c r="Q140" s="76"/>
      <c r="R140" s="76"/>
      <c r="S140" s="76"/>
      <c r="T140" s="76"/>
      <c r="U140" s="76"/>
    </row>
    <row r="141" spans="1:21" x14ac:dyDescent="0.25">
      <c r="A141" s="356" t="str">
        <f>'0664'!A141</f>
        <v>(b) District allocations multiplied by percentage from item 3A.</v>
      </c>
      <c r="B141" s="281"/>
      <c r="C141" s="281"/>
      <c r="D141" s="281"/>
      <c r="E141" s="281"/>
      <c r="F141" s="281"/>
      <c r="G141" s="281"/>
      <c r="H141" s="281"/>
      <c r="I141" s="281"/>
      <c r="J141" s="79"/>
      <c r="K141" s="79"/>
      <c r="L141" s="79"/>
      <c r="M141" s="79"/>
      <c r="N141" s="81"/>
      <c r="O141" s="82"/>
      <c r="P141" s="82"/>
      <c r="Q141" s="82"/>
      <c r="R141" s="82"/>
      <c r="S141" s="82"/>
      <c r="T141" s="82"/>
      <c r="U141" s="82"/>
    </row>
    <row r="142" spans="1:21" s="79" customFormat="1" x14ac:dyDescent="0.2">
      <c r="A142" s="356" t="str">
        <f>'0664'!A142</f>
        <v>(c) District allocations multiplied by percentage from item 3B.</v>
      </c>
      <c r="B142" s="281"/>
      <c r="C142" s="281"/>
      <c r="D142" s="281"/>
      <c r="E142" s="281"/>
      <c r="F142" s="281"/>
      <c r="G142" s="281"/>
      <c r="H142" s="281"/>
      <c r="I142" s="281"/>
      <c r="N142" s="81"/>
    </row>
    <row r="143" spans="1:21" s="79" customFormat="1" ht="15.75" customHeight="1" x14ac:dyDescent="0.2">
      <c r="A143" s="356" t="str">
        <f>'0664'!A143</f>
        <v>(d) The Digital Classroom Allocation is provided pursuant to s. 1011.62(12), F.S.</v>
      </c>
      <c r="B143" s="281"/>
      <c r="C143" s="281"/>
      <c r="D143" s="281"/>
      <c r="E143" s="281"/>
      <c r="F143" s="281"/>
      <c r="G143" s="281"/>
      <c r="H143" s="281"/>
      <c r="I143" s="281"/>
      <c r="N143" s="81"/>
    </row>
    <row r="144" spans="1:21" s="79" customFormat="1" ht="15.75" customHeight="1" x14ac:dyDescent="0.2">
      <c r="A144" s="356" t="str">
        <f>'0664'!A144</f>
        <v>(e) School districts are required to pay for instructional materials used for the instruction of public high school students who are earning credit toward high school</v>
      </c>
      <c r="B144" s="281"/>
      <c r="C144" s="281"/>
      <c r="D144" s="281"/>
      <c r="E144" s="281"/>
      <c r="F144" s="281"/>
      <c r="G144" s="281"/>
      <c r="H144" s="281"/>
      <c r="I144" s="281"/>
      <c r="N144" s="81"/>
    </row>
    <row r="145" spans="1:14" s="79" customFormat="1" ht="15.75" customHeight="1" x14ac:dyDescent="0.2">
      <c r="A145" s="390" t="str">
        <f>'0664'!A145</f>
        <v xml:space="preserve">graduation under the dual enrollment program as provided in s. 1011.62(l)(i), F.S.  </v>
      </c>
      <c r="B145" s="281"/>
      <c r="C145" s="281"/>
      <c r="D145" s="281"/>
      <c r="E145" s="281"/>
      <c r="F145" s="281"/>
      <c r="G145" s="281"/>
      <c r="H145" s="281"/>
      <c r="I145" s="281"/>
      <c r="N145" s="81"/>
    </row>
    <row r="146" spans="1:14" s="79" customFormat="1" x14ac:dyDescent="0.2">
      <c r="A146" s="356" t="str">
        <f>'0664'!A146</f>
        <v>(f) This allocation will be frozen as of the 2021-22 FEFP Second Calculation and will not be recalculated throughout the year. Charter school allocations should be</v>
      </c>
      <c r="B146" s="281"/>
      <c r="C146" s="281"/>
      <c r="D146" s="281"/>
      <c r="E146" s="281"/>
      <c r="F146" s="281"/>
      <c r="G146" s="281"/>
      <c r="H146" s="281"/>
      <c r="I146" s="281"/>
      <c r="N146" s="81"/>
    </row>
    <row r="147" spans="1:14" s="79" customFormat="1" x14ac:dyDescent="0.2">
      <c r="A147" s="358" t="str">
        <f>'0664'!A147</f>
        <v xml:space="preserve">distributed on weighted FTE (or base funding as is done in the FEFP) and should not be recalculated with fluctuations in student enrollment later in the year. </v>
      </c>
      <c r="B147" s="281"/>
      <c r="C147" s="281"/>
      <c r="D147" s="281"/>
      <c r="E147" s="281"/>
      <c r="F147" s="281"/>
      <c r="G147" s="281"/>
      <c r="H147" s="281"/>
      <c r="I147" s="281"/>
      <c r="N147" s="81"/>
    </row>
    <row r="148" spans="1:14" s="79" customFormat="1" x14ac:dyDescent="0.2">
      <c r="A148" s="356" t="str">
        <f>'0664'!A148</f>
        <v>(g) Numbers entered here will be multiplied by the district level transportation funding per rider. "All Adjusted Fundable Riders" should include both basic and ESE Riders.</v>
      </c>
      <c r="B148" s="281"/>
      <c r="C148" s="281"/>
      <c r="D148" s="281"/>
      <c r="E148" s="281"/>
      <c r="F148" s="281"/>
      <c r="G148" s="281"/>
      <c r="H148" s="281"/>
      <c r="I148" s="281"/>
      <c r="N148" s="81"/>
    </row>
    <row r="149" spans="1:14" s="79" customFormat="1" x14ac:dyDescent="0.2">
      <c r="A149" s="390" t="str">
        <f>'0664'!A149</f>
        <v>"All Adjusted ESE Riders" should include only ESE Riders.</v>
      </c>
      <c r="B149" s="281"/>
      <c r="C149" s="281"/>
      <c r="D149" s="281"/>
      <c r="E149" s="281"/>
      <c r="F149" s="281"/>
      <c r="G149" s="281"/>
      <c r="H149" s="281"/>
      <c r="I149" s="281"/>
      <c r="N149" s="81"/>
    </row>
    <row r="150" spans="1:14" s="79" customFormat="1" x14ac:dyDescent="0.2">
      <c r="A150" s="356" t="str">
        <f>'0664'!A150</f>
        <v xml:space="preserve">(h) The Federally Connected Student Supplement provides additional funding for students on federal lands that receive Section 8003 impact aide pursuant to s. 1011.62(13), F.S. </v>
      </c>
      <c r="B150" s="281"/>
      <c r="C150" s="281"/>
      <c r="D150" s="281"/>
      <c r="E150" s="281"/>
      <c r="F150" s="281"/>
      <c r="G150" s="281"/>
      <c r="H150" s="281"/>
      <c r="I150" s="281"/>
      <c r="N150" s="81"/>
    </row>
    <row r="151" spans="1:14" s="79" customFormat="1" x14ac:dyDescent="0.2">
      <c r="A151" s="356" t="str">
        <f>'0664'!A151</f>
        <v>(i) Teacher Classroom Supply Assistance Program allocation pursuant to s. 1012.71, F.S., for certified teachers employed by a public school district or public charter school</v>
      </c>
      <c r="B151" s="281"/>
      <c r="C151" s="281"/>
      <c r="D151" s="281"/>
      <c r="E151" s="281"/>
      <c r="F151" s="281"/>
      <c r="G151" s="281"/>
      <c r="H151" s="281"/>
      <c r="I151" s="281"/>
      <c r="N151" s="81"/>
    </row>
    <row r="152" spans="1:14" s="79" customFormat="1" x14ac:dyDescent="0.2">
      <c r="A152" s="358" t="str">
        <f>'0664'!A152</f>
        <v xml:space="preserve">before September 1 of each year whose full-time or job-share responsibility is the classroom instruction of students in prekindergarten through grade 12, including </v>
      </c>
      <c r="B152" s="281"/>
      <c r="C152" s="281"/>
      <c r="D152" s="281"/>
      <c r="E152" s="281"/>
      <c r="F152" s="281"/>
      <c r="G152" s="281"/>
      <c r="H152" s="281"/>
      <c r="I152" s="281"/>
      <c r="N152" s="81"/>
    </row>
    <row r="153" spans="1:14" s="79" customFormat="1" ht="15.75" customHeight="1" x14ac:dyDescent="0.2">
      <c r="A153" s="358" t="str">
        <f>'0664'!A153</f>
        <v>full-time media specialists and certified school counselors serving students in prekindergarten through grade 12, who are funded through the FEFP.</v>
      </c>
      <c r="B153" s="281"/>
      <c r="C153" s="281"/>
      <c r="D153" s="281"/>
      <c r="E153" s="281"/>
      <c r="F153" s="281"/>
      <c r="G153" s="281"/>
      <c r="H153" s="281"/>
      <c r="I153" s="281"/>
      <c r="N153" s="81"/>
    </row>
    <row r="154" spans="1:14" s="79" customFormat="1" ht="15.75" customHeight="1" x14ac:dyDescent="0.2">
      <c r="A154" s="356" t="str">
        <f>'0664'!A154</f>
        <v xml:space="preserve">(j) Funding based on student eligibility and meals provided, if participating in the National School Lunch Program. </v>
      </c>
      <c r="B154" s="328"/>
      <c r="C154" s="328"/>
      <c r="D154" s="328"/>
      <c r="E154" s="328"/>
      <c r="F154" s="328"/>
      <c r="G154" s="328"/>
      <c r="H154" s="328"/>
      <c r="I154" s="328"/>
      <c r="N154" s="81"/>
    </row>
    <row r="155" spans="1:14" s="79" customFormat="1" ht="15.75" customHeight="1" x14ac:dyDescent="0.2">
      <c r="A155" s="356" t="str">
        <f>'0664'!A155</f>
        <v>(k) Consistent with s. 1002.33(20)(a), F.S., for charter schools with a population of 75% or more ESE students, the administrative fee shall be calculated based on</v>
      </c>
      <c r="B155" s="381"/>
      <c r="C155" s="381"/>
      <c r="D155" s="381"/>
      <c r="E155" s="381"/>
      <c r="F155" s="381"/>
      <c r="G155" s="381"/>
      <c r="H155" s="381"/>
      <c r="I155" s="381"/>
      <c r="N155" s="81"/>
    </row>
    <row r="156" spans="1:14" s="79" customFormat="1" ht="15.75" customHeight="1" x14ac:dyDescent="0.2">
      <c r="A156" s="390" t="str">
        <f>'0664'!A156</f>
        <v xml:space="preserve">unweighted full-time equivalent students. </v>
      </c>
      <c r="B156" s="381"/>
      <c r="C156" s="381"/>
      <c r="D156" s="381"/>
      <c r="E156" s="381"/>
      <c r="F156" s="381"/>
      <c r="G156" s="381"/>
      <c r="H156" s="381"/>
      <c r="I156" s="381"/>
      <c r="N156" s="81"/>
    </row>
    <row r="157" spans="1:14" s="79" customFormat="1" ht="15.75" customHeight="1" x14ac:dyDescent="0.2">
      <c r="A157" s="356"/>
      <c r="B157" s="381"/>
      <c r="C157" s="381"/>
      <c r="D157" s="381"/>
      <c r="E157" s="381"/>
      <c r="F157" s="381"/>
      <c r="G157" s="381"/>
      <c r="H157" s="381"/>
      <c r="I157" s="381"/>
      <c r="N157" s="81"/>
    </row>
    <row r="158" spans="1:14" s="79" customFormat="1" ht="15.75" customHeight="1" x14ac:dyDescent="0.25">
      <c r="A158" s="398" t="str">
        <f>'0664'!A158</f>
        <v>Administrative fees:</v>
      </c>
      <c r="B158" s="328"/>
      <c r="C158" s="328"/>
      <c r="D158" s="328"/>
      <c r="E158" s="328"/>
      <c r="F158" s="328"/>
      <c r="G158" s="328"/>
      <c r="H158" s="328"/>
      <c r="I158" s="328"/>
      <c r="J158" s="3"/>
      <c r="K158" s="3"/>
      <c r="L158" s="3"/>
      <c r="M158" s="3"/>
      <c r="N158" s="81"/>
    </row>
    <row r="159" spans="1:14" s="79" customFormat="1" ht="15.75" customHeight="1" x14ac:dyDescent="0.25">
      <c r="A159" s="399" t="str">
        <f>'0664'!A159</f>
        <v xml:space="preserve">Administrative fees charged by the school district pursuant to s. 1002.33(20)(a), F.S., shall be calculated based upon 5% of available funds from the FEFP and categorical </v>
      </c>
      <c r="B159" s="328"/>
      <c r="C159" s="328"/>
      <c r="D159" s="328"/>
      <c r="E159" s="328"/>
      <c r="F159" s="328"/>
      <c r="G159" s="328"/>
      <c r="H159" s="328"/>
      <c r="I159" s="328"/>
      <c r="J159" s="3"/>
      <c r="K159" s="3"/>
      <c r="L159" s="3"/>
      <c r="M159" s="3"/>
      <c r="N159" s="81"/>
    </row>
    <row r="160" spans="1:14" s="79" customFormat="1" ht="15.75" customHeight="1" x14ac:dyDescent="0.25">
      <c r="A160" s="400" t="str">
        <f>'0664'!A160</f>
        <v>funding for which charter students may be eligible.  To calculate the administrative fee to be withheld for schools with more than 250 students, divide the school</v>
      </c>
      <c r="B160" s="328"/>
      <c r="C160" s="328"/>
      <c r="D160" s="328"/>
      <c r="E160" s="328"/>
      <c r="F160" s="328"/>
      <c r="G160" s="328"/>
      <c r="H160" s="328"/>
      <c r="I160" s="328"/>
      <c r="J160" s="3"/>
      <c r="K160" s="3"/>
      <c r="L160" s="3"/>
      <c r="M160" s="3"/>
      <c r="N160" s="81"/>
    </row>
    <row r="161" spans="1:21" s="79" customFormat="1" ht="15.75" customHeight="1" x14ac:dyDescent="0.25">
      <c r="A161" s="400" t="str">
        <f>'0664'!A161</f>
        <v xml:space="preserve">population into 250. Multiply that fraction times the funds available, then times 5%.  </v>
      </c>
      <c r="B161" s="328"/>
      <c r="C161" s="328"/>
      <c r="D161" s="328"/>
      <c r="E161" s="328"/>
      <c r="F161" s="328"/>
      <c r="G161" s="328"/>
      <c r="H161" s="328"/>
      <c r="I161" s="328"/>
      <c r="J161" s="3"/>
      <c r="K161" s="3"/>
      <c r="L161" s="3"/>
      <c r="M161" s="3"/>
      <c r="N161" s="81"/>
    </row>
    <row r="162" spans="1:21" s="79" customFormat="1" ht="15.75" customHeight="1" x14ac:dyDescent="0.25">
      <c r="A162" s="399"/>
      <c r="B162" s="394"/>
      <c r="C162" s="394"/>
      <c r="D162" s="394"/>
      <c r="E162" s="394"/>
      <c r="F162" s="394"/>
      <c r="G162" s="394"/>
      <c r="H162" s="394"/>
      <c r="I162" s="394"/>
      <c r="N162" s="77"/>
      <c r="O162" s="3"/>
      <c r="P162" s="3"/>
      <c r="Q162" s="3"/>
      <c r="R162" s="3"/>
      <c r="S162" s="3"/>
      <c r="T162" s="3"/>
      <c r="U162" s="3"/>
    </row>
    <row r="163" spans="1:21" ht="15.75" customHeight="1" x14ac:dyDescent="0.25">
      <c r="A163" s="399" t="str">
        <f>'0664'!A163</f>
        <v xml:space="preserve">For high performing charter schools, administrative fees charged by the school district shall be calculated based upon 2% of available funds from the FEFP and categorical </v>
      </c>
      <c r="B163" s="328"/>
      <c r="C163" s="328"/>
      <c r="D163" s="328"/>
      <c r="E163" s="328"/>
      <c r="F163" s="328"/>
      <c r="G163" s="328"/>
      <c r="H163" s="328"/>
      <c r="I163" s="328"/>
      <c r="J163" s="79"/>
      <c r="K163" s="79"/>
      <c r="L163" s="79"/>
      <c r="M163" s="79"/>
      <c r="N163" s="81"/>
      <c r="O163" s="79"/>
      <c r="P163" s="79"/>
      <c r="Q163" s="79"/>
      <c r="R163" s="79"/>
      <c r="S163" s="79"/>
      <c r="T163" s="79"/>
      <c r="U163" s="79"/>
    </row>
    <row r="164" spans="1:21" ht="15.75" customHeight="1" x14ac:dyDescent="0.25">
      <c r="A164" s="400" t="str">
        <f>'0664'!A164</f>
        <v>funding for which charter students may be eligible.  To calculate the administrative fee to be withheld for schools with more than 250 students, divide the school</v>
      </c>
      <c r="B164" s="381"/>
      <c r="C164" s="381"/>
      <c r="D164" s="381"/>
      <c r="E164" s="381"/>
      <c r="F164" s="381"/>
      <c r="G164" s="381"/>
      <c r="H164" s="381"/>
      <c r="I164" s="381"/>
      <c r="J164" s="79"/>
      <c r="K164" s="79"/>
      <c r="L164" s="79"/>
      <c r="M164" s="79"/>
      <c r="N164" s="81"/>
      <c r="O164" s="79"/>
      <c r="P164" s="79"/>
      <c r="Q164" s="79"/>
      <c r="R164" s="79"/>
      <c r="S164" s="79"/>
      <c r="T164" s="79"/>
      <c r="U164" s="79"/>
    </row>
    <row r="165" spans="1:21" s="79" customFormat="1" ht="15.75" customHeight="1" x14ac:dyDescent="0.2">
      <c r="A165" s="400" t="str">
        <f>'0664'!A165</f>
        <v xml:space="preserve">population into 250. Multiply that fraction times the funds available, then times 2%.  </v>
      </c>
      <c r="B165" s="328"/>
      <c r="C165" s="328"/>
      <c r="D165" s="328"/>
      <c r="E165" s="328"/>
      <c r="F165" s="328"/>
      <c r="G165" s="328"/>
      <c r="H165" s="328"/>
      <c r="I165" s="328"/>
      <c r="N165" s="81"/>
    </row>
    <row r="166" spans="1:21" x14ac:dyDescent="0.25">
      <c r="A166" s="356"/>
      <c r="N166" s="77"/>
    </row>
    <row r="167" spans="1:21" x14ac:dyDescent="0.25">
      <c r="A167" s="398" t="str">
        <f>'0664'!A167</f>
        <v>Other:</v>
      </c>
      <c r="N167" s="77"/>
    </row>
    <row r="168" spans="1:21" x14ac:dyDescent="0.25">
      <c r="A168" s="399" t="str">
        <f>'0664'!A168</f>
        <v>FEFP and categorical funding are recalculated during the year to reflect the revised number of full-time equivalent students reported during the survey periods designated</v>
      </c>
      <c r="N168" s="77"/>
    </row>
    <row r="169" spans="1:21" x14ac:dyDescent="0.25">
      <c r="A169" s="402" t="str">
        <f>'0664'!A169</f>
        <v>by the Commissioner of Education.</v>
      </c>
      <c r="N169" s="77"/>
    </row>
    <row r="170" spans="1:21" x14ac:dyDescent="0.25">
      <c r="A170" s="399" t="str">
        <f>'0664'!A170</f>
        <v>Revenues flow to districts from state sources and from county tax collectors on various distribution schedules.</v>
      </c>
      <c r="N170" s="77"/>
    </row>
    <row r="171" spans="1:21" x14ac:dyDescent="0.25">
      <c r="A171" s="77"/>
      <c r="N171" s="77"/>
    </row>
    <row r="172" spans="1:21" x14ac:dyDescent="0.25">
      <c r="A172" s="77"/>
      <c r="N172" s="77"/>
    </row>
    <row r="173" spans="1:21" x14ac:dyDescent="0.25">
      <c r="A173" s="77"/>
      <c r="N173" s="77"/>
    </row>
    <row r="174" spans="1:21" x14ac:dyDescent="0.25">
      <c r="A174" s="77"/>
      <c r="N174" s="77"/>
    </row>
    <row r="175" spans="1:21" x14ac:dyDescent="0.25">
      <c r="A175" s="77"/>
      <c r="N175" s="77"/>
    </row>
    <row r="176" spans="1:21" x14ac:dyDescent="0.25">
      <c r="A176" s="77"/>
      <c r="N176" s="77"/>
    </row>
    <row r="177" spans="1:14" x14ac:dyDescent="0.25">
      <c r="A177" s="77"/>
      <c r="N177" s="77"/>
    </row>
    <row r="178" spans="1:14" x14ac:dyDescent="0.25">
      <c r="A178" s="77"/>
      <c r="N178" s="77"/>
    </row>
    <row r="179" spans="1:14" x14ac:dyDescent="0.25">
      <c r="A179" s="77"/>
      <c r="N179" s="77"/>
    </row>
    <row r="180" spans="1:14" x14ac:dyDescent="0.25">
      <c r="A180" s="77"/>
      <c r="N180" s="77"/>
    </row>
    <row r="181" spans="1:14" x14ac:dyDescent="0.25">
      <c r="A181" s="77"/>
      <c r="N181" s="77"/>
    </row>
    <row r="182" spans="1:14" x14ac:dyDescent="0.25">
      <c r="A182" s="77"/>
      <c r="N182" s="77"/>
    </row>
    <row r="183" spans="1:14" x14ac:dyDescent="0.25">
      <c r="A183" s="77"/>
      <c r="N183" s="77"/>
    </row>
    <row r="184" spans="1:14" x14ac:dyDescent="0.25">
      <c r="A184" s="77"/>
      <c r="N184" s="77"/>
    </row>
    <row r="185" spans="1:14" x14ac:dyDescent="0.25">
      <c r="A185" s="77"/>
      <c r="N185" s="77"/>
    </row>
    <row r="186" spans="1:14" x14ac:dyDescent="0.25">
      <c r="A186" s="77"/>
      <c r="N186" s="77"/>
    </row>
    <row r="187" spans="1:14" x14ac:dyDescent="0.25">
      <c r="A187" s="77"/>
      <c r="N187" s="77"/>
    </row>
    <row r="188" spans="1:14" x14ac:dyDescent="0.25">
      <c r="A188" s="77"/>
    </row>
    <row r="189" spans="1:14" x14ac:dyDescent="0.25">
      <c r="A189" s="77"/>
    </row>
    <row r="190" spans="1:14" x14ac:dyDescent="0.25">
      <c r="A190" s="77"/>
    </row>
    <row r="191" spans="1:14" x14ac:dyDescent="0.25">
      <c r="A191" s="77"/>
    </row>
    <row r="192" spans="1:14" x14ac:dyDescent="0.25">
      <c r="A192" s="77"/>
    </row>
    <row r="193" spans="1:1" x14ac:dyDescent="0.25">
      <c r="A193" s="77"/>
    </row>
    <row r="194" spans="1:1" x14ac:dyDescent="0.25">
      <c r="A194" s="77"/>
    </row>
    <row r="195" spans="1:1" x14ac:dyDescent="0.25">
      <c r="A195" s="77"/>
    </row>
    <row r="196" spans="1:1" x14ac:dyDescent="0.25">
      <c r="A196" s="77"/>
    </row>
    <row r="197" spans="1:1" x14ac:dyDescent="0.25">
      <c r="A197" s="77"/>
    </row>
    <row r="198" spans="1:1" x14ac:dyDescent="0.25">
      <c r="A198" s="77"/>
    </row>
    <row r="199" spans="1:1" x14ac:dyDescent="0.25">
      <c r="A199" s="77"/>
    </row>
    <row r="200" spans="1:1" x14ac:dyDescent="0.25">
      <c r="A200" s="77"/>
    </row>
    <row r="201" spans="1:1" x14ac:dyDescent="0.25">
      <c r="A201" s="77"/>
    </row>
    <row r="202" spans="1:1" x14ac:dyDescent="0.25">
      <c r="A202" s="77"/>
    </row>
    <row r="203" spans="1:1" x14ac:dyDescent="0.25">
      <c r="A203" s="77"/>
    </row>
    <row r="204" spans="1:1" x14ac:dyDescent="0.25">
      <c r="A204" s="77"/>
    </row>
    <row r="205" spans="1:1" x14ac:dyDescent="0.25">
      <c r="A205" s="77"/>
    </row>
    <row r="206" spans="1:1" x14ac:dyDescent="0.25">
      <c r="A206" s="77"/>
    </row>
  </sheetData>
  <mergeCells count="266">
    <mergeCell ref="A112:C112"/>
    <mergeCell ref="F112:H112"/>
    <mergeCell ref="N112:P112"/>
    <mergeCell ref="A109:B109"/>
    <mergeCell ref="F109:G109"/>
    <mergeCell ref="N109:O109"/>
    <mergeCell ref="P109:Q109"/>
    <mergeCell ref="N139:U139"/>
    <mergeCell ref="N119:U119"/>
    <mergeCell ref="N113:P113"/>
    <mergeCell ref="A113:C113"/>
    <mergeCell ref="F113:H113"/>
    <mergeCell ref="N114:T114"/>
    <mergeCell ref="A115:H115"/>
    <mergeCell ref="A119:G119"/>
    <mergeCell ref="N120:U120"/>
    <mergeCell ref="A120:G120"/>
    <mergeCell ref="R109:S109"/>
    <mergeCell ref="A110:B110"/>
    <mergeCell ref="N110:O110"/>
    <mergeCell ref="A107:B107"/>
    <mergeCell ref="F107:G107"/>
    <mergeCell ref="N107:O107"/>
    <mergeCell ref="P107:Q107"/>
    <mergeCell ref="R107:S107"/>
    <mergeCell ref="A108:B108"/>
    <mergeCell ref="F108:G108"/>
    <mergeCell ref="N108:O108"/>
    <mergeCell ref="P108:Q108"/>
    <mergeCell ref="R108:S108"/>
    <mergeCell ref="A103:C103"/>
    <mergeCell ref="F103:I103"/>
    <mergeCell ref="N103:U103"/>
    <mergeCell ref="C104:E104"/>
    <mergeCell ref="F105:G105"/>
    <mergeCell ref="A106:B106"/>
    <mergeCell ref="F106:G106"/>
    <mergeCell ref="N106:O106"/>
    <mergeCell ref="P106:Q106"/>
    <mergeCell ref="R106:S106"/>
    <mergeCell ref="A99:B99"/>
    <mergeCell ref="N99:O99"/>
    <mergeCell ref="P99:R99"/>
    <mergeCell ref="A100:B100"/>
    <mergeCell ref="N100:O100"/>
    <mergeCell ref="P100:R100"/>
    <mergeCell ref="C91:D91"/>
    <mergeCell ref="P91:Q91"/>
    <mergeCell ref="C92:D92"/>
    <mergeCell ref="P92:Q92"/>
    <mergeCell ref="C93:D93"/>
    <mergeCell ref="P93:T93"/>
    <mergeCell ref="A94:I94"/>
    <mergeCell ref="N94:U94"/>
    <mergeCell ref="F96:I96"/>
    <mergeCell ref="N96:P96"/>
    <mergeCell ref="Q96:T96"/>
    <mergeCell ref="A87:I87"/>
    <mergeCell ref="N87:U87"/>
    <mergeCell ref="C88:D88"/>
    <mergeCell ref="C89:D89"/>
    <mergeCell ref="N89:O89"/>
    <mergeCell ref="P89:Q89"/>
    <mergeCell ref="R89:U89"/>
    <mergeCell ref="C90:D90"/>
    <mergeCell ref="P90:Q90"/>
    <mergeCell ref="A80:C80"/>
    <mergeCell ref="N80:P80"/>
    <mergeCell ref="A85:C85"/>
    <mergeCell ref="N85:P85"/>
    <mergeCell ref="F73:H73"/>
    <mergeCell ref="N73:T73"/>
    <mergeCell ref="N74:T74"/>
    <mergeCell ref="A78:C78"/>
    <mergeCell ref="N78:P78"/>
    <mergeCell ref="A79:C79"/>
    <mergeCell ref="A69:C69"/>
    <mergeCell ref="N69:P69"/>
    <mergeCell ref="N79:P79"/>
    <mergeCell ref="A76:C76"/>
    <mergeCell ref="N76:P76"/>
    <mergeCell ref="A77:C77"/>
    <mergeCell ref="A70:C70"/>
    <mergeCell ref="A71:C71"/>
    <mergeCell ref="N71:P71"/>
    <mergeCell ref="A72:C72"/>
    <mergeCell ref="N77:P77"/>
    <mergeCell ref="N72:P72"/>
    <mergeCell ref="A65:B65"/>
    <mergeCell ref="D65:G65"/>
    <mergeCell ref="N65:O65"/>
    <mergeCell ref="Q65:S65"/>
    <mergeCell ref="T65:U65"/>
    <mergeCell ref="N66:S66"/>
    <mergeCell ref="T66:U66"/>
    <mergeCell ref="A68:C68"/>
    <mergeCell ref="N68:P68"/>
    <mergeCell ref="A62:B62"/>
    <mergeCell ref="D62:G62"/>
    <mergeCell ref="N62:O62"/>
    <mergeCell ref="Q62:S62"/>
    <mergeCell ref="T62:U62"/>
    <mergeCell ref="N63:S63"/>
    <mergeCell ref="T63:U63"/>
    <mergeCell ref="A64:I64"/>
    <mergeCell ref="N64:U64"/>
    <mergeCell ref="A59:B59"/>
    <mergeCell ref="F59:H59"/>
    <mergeCell ref="N59:O59"/>
    <mergeCell ref="P59:Q59"/>
    <mergeCell ref="R59:T59"/>
    <mergeCell ref="A60:I60"/>
    <mergeCell ref="N60:U60"/>
    <mergeCell ref="A61:I61"/>
    <mergeCell ref="N61:U61"/>
    <mergeCell ref="A50:B58"/>
    <mergeCell ref="N50:O58"/>
    <mergeCell ref="P50:Q50"/>
    <mergeCell ref="P51:Q51"/>
    <mergeCell ref="P52:Q52"/>
    <mergeCell ref="P53:Q53"/>
    <mergeCell ref="P54:Q54"/>
    <mergeCell ref="P55:Q55"/>
    <mergeCell ref="P56:Q56"/>
    <mergeCell ref="P57:Q57"/>
    <mergeCell ref="P58:Q58"/>
    <mergeCell ref="A42:B42"/>
    <mergeCell ref="N42:O42"/>
    <mergeCell ref="P42:T42"/>
    <mergeCell ref="N43:Q43"/>
    <mergeCell ref="S43:T43"/>
    <mergeCell ref="N45:Q45"/>
    <mergeCell ref="S45:T45"/>
    <mergeCell ref="N49:O49"/>
    <mergeCell ref="P49:Q49"/>
    <mergeCell ref="A39:B39"/>
    <mergeCell ref="N39:O39"/>
    <mergeCell ref="P39:T39"/>
    <mergeCell ref="A40:B40"/>
    <mergeCell ref="N40:O40"/>
    <mergeCell ref="P40:T40"/>
    <mergeCell ref="A41:B41"/>
    <mergeCell ref="N41:O41"/>
    <mergeCell ref="P41:T41"/>
    <mergeCell ref="N34:T34"/>
    <mergeCell ref="A36:B36"/>
    <mergeCell ref="N36:O36"/>
    <mergeCell ref="P36:T36"/>
    <mergeCell ref="A37:B37"/>
    <mergeCell ref="N37:O37"/>
    <mergeCell ref="P37:T37"/>
    <mergeCell ref="F33:H36"/>
    <mergeCell ref="A38:B38"/>
    <mergeCell ref="N38:O38"/>
    <mergeCell ref="P38:T38"/>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A20:B20"/>
    <mergeCell ref="F20:G20"/>
    <mergeCell ref="N20:O20"/>
    <mergeCell ref="P20:Q20"/>
    <mergeCell ref="R20:S20"/>
    <mergeCell ref="A21:B21"/>
    <mergeCell ref="F21:G21"/>
    <mergeCell ref="N21:O21"/>
    <mergeCell ref="P21:Q21"/>
    <mergeCell ref="R21:S21"/>
    <mergeCell ref="A18:B18"/>
    <mergeCell ref="F18:G18"/>
    <mergeCell ref="N18:O18"/>
    <mergeCell ref="P18:Q18"/>
    <mergeCell ref="R18:S18"/>
    <mergeCell ref="A19:B19"/>
    <mergeCell ref="F19:G19"/>
    <mergeCell ref="N19:O19"/>
    <mergeCell ref="P19:Q19"/>
    <mergeCell ref="R19:S19"/>
    <mergeCell ref="A16:B16"/>
    <mergeCell ref="F16:G16"/>
    <mergeCell ref="N16:O16"/>
    <mergeCell ref="P16:Q16"/>
    <mergeCell ref="R16:S16"/>
    <mergeCell ref="A17:B17"/>
    <mergeCell ref="F17:G17"/>
    <mergeCell ref="N17:O17"/>
    <mergeCell ref="P17:Q17"/>
    <mergeCell ref="R17:S17"/>
    <mergeCell ref="A14:B14"/>
    <mergeCell ref="F14:G14"/>
    <mergeCell ref="N14:O14"/>
    <mergeCell ref="P14:Q14"/>
    <mergeCell ref="R14:S14"/>
    <mergeCell ref="P15:Q15"/>
    <mergeCell ref="R15:S15"/>
    <mergeCell ref="A15:B15"/>
    <mergeCell ref="F15:G15"/>
    <mergeCell ref="N15:O15"/>
    <mergeCell ref="B1:I1"/>
    <mergeCell ref="A7:I7"/>
    <mergeCell ref="A11:B11"/>
    <mergeCell ref="F11:G11"/>
    <mergeCell ref="O1:U1"/>
    <mergeCell ref="N2:U2"/>
    <mergeCell ref="N3:U3"/>
    <mergeCell ref="A4:B4"/>
    <mergeCell ref="C4:E4"/>
    <mergeCell ref="N4:O4"/>
    <mergeCell ref="P4:Q4"/>
    <mergeCell ref="P8:Q8"/>
    <mergeCell ref="R8:S8"/>
    <mergeCell ref="T8:U8"/>
    <mergeCell ref="F10:G10"/>
    <mergeCell ref="R10:S10"/>
    <mergeCell ref="N7:U7"/>
    <mergeCell ref="N8:O8"/>
    <mergeCell ref="R13:S13"/>
    <mergeCell ref="A13:B13"/>
    <mergeCell ref="F13:G13"/>
    <mergeCell ref="A12:B12"/>
    <mergeCell ref="F12:G12"/>
    <mergeCell ref="N13:O13"/>
    <mergeCell ref="P13:Q13"/>
    <mergeCell ref="N11:O11"/>
    <mergeCell ref="P11:Q11"/>
    <mergeCell ref="R11:S11"/>
    <mergeCell ref="N12:O12"/>
    <mergeCell ref="P12:Q12"/>
    <mergeCell ref="R12:S12"/>
  </mergeCells>
  <pageMargins left="0.1" right="0.1" top="0.5" bottom="0.5" header="0" footer="0.1"/>
  <pageSetup scale="70" fitToHeight="3" orientation="portrait" r:id="rId1"/>
  <headerFooter alignWithMargins="0">
    <oddFooter>&amp;R&amp;P of &amp;N</oddFooter>
  </headerFooter>
  <rowBreaks count="1" manualBreakCount="1">
    <brk id="138" max="16383" man="1"/>
  </rowBreaks>
  <colBreaks count="1" manualBreakCount="1">
    <brk id="9" max="1048575" man="1"/>
  </col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9">
    <tabColor rgb="FFCCFFCC"/>
  </sheetPr>
  <dimension ref="A1:U206"/>
  <sheetViews>
    <sheetView showGridLines="0" zoomScaleNormal="100" workbookViewId="0">
      <pane ySplit="1" topLeftCell="A11" activePane="bottomLeft" state="frozen"/>
      <selection activeCell="I9" sqref="I9"/>
      <selection pane="bottomLeft" activeCell="A50" sqref="A50:B58"/>
    </sheetView>
  </sheetViews>
  <sheetFormatPr defaultRowHeight="15.75" x14ac:dyDescent="0.25"/>
  <cols>
    <col min="1" max="1" width="10.28515625" style="72"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72"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5">
        <v>50</v>
      </c>
      <c r="B1" s="441" t="s">
        <v>17</v>
      </c>
      <c r="C1" s="442"/>
      <c r="D1" s="442"/>
      <c r="E1" s="442"/>
      <c r="F1" s="442"/>
      <c r="G1" s="442"/>
      <c r="H1" s="442"/>
      <c r="I1" s="442"/>
      <c r="J1" s="157"/>
      <c r="K1" s="157"/>
      <c r="L1" s="157"/>
      <c r="N1" s="85">
        <f>A1</f>
        <v>50</v>
      </c>
      <c r="O1" s="527" t="s">
        <v>17</v>
      </c>
      <c r="P1" s="528"/>
      <c r="Q1" s="528"/>
      <c r="R1" s="528"/>
      <c r="S1" s="528"/>
      <c r="T1" s="528"/>
      <c r="U1" s="528"/>
    </row>
    <row r="2" spans="1:21" ht="21" x14ac:dyDescent="0.35">
      <c r="A2" s="1" t="s">
        <v>174</v>
      </c>
      <c r="B2" s="2"/>
      <c r="C2" s="2"/>
      <c r="D2" s="2"/>
      <c r="E2" s="2"/>
      <c r="F2" s="2"/>
      <c r="G2" s="2"/>
      <c r="H2" s="2"/>
      <c r="I2" s="2"/>
      <c r="N2" s="529" t="s">
        <v>23</v>
      </c>
      <c r="O2" s="529"/>
      <c r="P2" s="529"/>
      <c r="Q2" s="529"/>
      <c r="R2" s="529"/>
      <c r="S2" s="529"/>
      <c r="T2" s="529"/>
      <c r="U2" s="529"/>
    </row>
    <row r="3" spans="1:21" x14ac:dyDescent="0.25">
      <c r="A3" s="84" t="str">
        <f>'0664'!A3</f>
        <v>Based on the FLDOE 2022-23 FEFP Third Calculation</v>
      </c>
      <c r="N3" s="485" t="str">
        <f>A3</f>
        <v>Based on the FLDOE 2022-23 FEFP Third Calculation</v>
      </c>
      <c r="O3" s="485"/>
      <c r="P3" s="485"/>
      <c r="Q3" s="485"/>
      <c r="R3" s="485"/>
      <c r="S3" s="485"/>
      <c r="T3" s="485"/>
      <c r="U3" s="485"/>
    </row>
    <row r="4" spans="1:21" x14ac:dyDescent="0.25">
      <c r="A4" s="443" t="s">
        <v>0</v>
      </c>
      <c r="B4" s="443"/>
      <c r="C4" s="444" t="s">
        <v>9</v>
      </c>
      <c r="D4" s="444"/>
      <c r="E4" s="444"/>
      <c r="F4" s="4" t="str">
        <f>'0664'!F4</f>
        <v>Apr 2023</v>
      </c>
      <c r="G4" s="4"/>
      <c r="H4" s="4"/>
      <c r="I4" s="4"/>
      <c r="N4" s="530" t="s">
        <v>0</v>
      </c>
      <c r="O4" s="530"/>
      <c r="P4" s="531" t="str">
        <f>C4</f>
        <v>Palm Beach</v>
      </c>
      <c r="Q4" s="531"/>
      <c r="R4" s="5"/>
      <c r="S4" s="5"/>
      <c r="T4" s="5"/>
      <c r="U4" s="5"/>
    </row>
    <row r="5" spans="1:21" ht="12" customHeight="1" thickBot="1" x14ac:dyDescent="0.3">
      <c r="A5" s="262"/>
      <c r="B5" s="262"/>
      <c r="C5" s="253"/>
      <c r="D5" s="253"/>
      <c r="E5" s="253"/>
      <c r="F5" s="254"/>
      <c r="G5" s="254"/>
      <c r="H5" s="254"/>
      <c r="I5" s="254"/>
      <c r="N5" s="86"/>
      <c r="O5" s="86"/>
      <c r="P5" s="6"/>
      <c r="Q5" s="6"/>
      <c r="R5" s="5"/>
      <c r="S5" s="5"/>
      <c r="T5" s="5"/>
      <c r="U5" s="5"/>
    </row>
    <row r="6" spans="1:21" ht="12" customHeight="1" x14ac:dyDescent="0.25">
      <c r="A6" s="150"/>
      <c r="B6" s="150"/>
      <c r="C6" s="261"/>
      <c r="D6" s="261"/>
      <c r="E6" s="261"/>
      <c r="F6" s="4"/>
      <c r="G6" s="4"/>
      <c r="H6" s="4"/>
      <c r="I6" s="4"/>
      <c r="N6" s="86"/>
      <c r="O6" s="86"/>
      <c r="P6" s="6"/>
      <c r="Q6" s="6"/>
      <c r="R6" s="5"/>
      <c r="S6" s="5"/>
      <c r="T6" s="5"/>
      <c r="U6" s="5"/>
    </row>
    <row r="7" spans="1:21" x14ac:dyDescent="0.25">
      <c r="A7" s="445" t="str">
        <f>'0664'!A7:I7</f>
        <v>1.   2022-23 FEFP State and Local Funding</v>
      </c>
      <c r="B7" s="533"/>
      <c r="C7" s="533"/>
      <c r="D7" s="533"/>
      <c r="E7" s="533"/>
      <c r="F7" s="533"/>
      <c r="G7" s="533"/>
      <c r="H7" s="533"/>
      <c r="I7" s="533"/>
      <c r="N7" s="530" t="s">
        <v>86</v>
      </c>
      <c r="O7" s="530"/>
      <c r="P7" s="530"/>
      <c r="Q7" s="530"/>
      <c r="R7" s="530"/>
      <c r="S7" s="530"/>
      <c r="T7" s="530"/>
      <c r="U7" s="530"/>
    </row>
    <row r="8" spans="1:21" x14ac:dyDescent="0.25">
      <c r="A8" s="87"/>
      <c r="B8" s="88" t="s">
        <v>123</v>
      </c>
      <c r="C8" s="334">
        <f>'0664'!C8</f>
        <v>4587.3999999999996</v>
      </c>
      <c r="D8" s="89"/>
      <c r="E8" s="90"/>
      <c r="F8" s="87"/>
      <c r="G8" s="88" t="s">
        <v>122</v>
      </c>
      <c r="H8" s="320">
        <f>'0664'!H8</f>
        <v>1.0438000000000001</v>
      </c>
      <c r="I8" s="78"/>
      <c r="N8" s="534" t="s">
        <v>10</v>
      </c>
      <c r="O8" s="534"/>
      <c r="P8" s="535">
        <v>4154.45</v>
      </c>
      <c r="Q8" s="535"/>
      <c r="R8" s="518" t="s">
        <v>11</v>
      </c>
      <c r="S8" s="518"/>
      <c r="T8" s="519">
        <f>H8</f>
        <v>1.0438000000000001</v>
      </c>
      <c r="U8" s="519"/>
    </row>
    <row r="9" spans="1:21" x14ac:dyDescent="0.25">
      <c r="A9" s="7"/>
      <c r="B9" s="44" t="s">
        <v>370</v>
      </c>
      <c r="C9" s="41" t="s">
        <v>370</v>
      </c>
      <c r="D9" s="91" t="s">
        <v>370</v>
      </c>
      <c r="E9" s="8"/>
      <c r="F9" s="9"/>
      <c r="G9" s="9"/>
      <c r="H9" s="10"/>
      <c r="I9" s="340" t="str">
        <f>'0664'!I9</f>
        <v>2022-23</v>
      </c>
      <c r="N9" s="12"/>
      <c r="O9" s="12"/>
      <c r="P9" s="13"/>
      <c r="Q9" s="13"/>
      <c r="R9" s="14"/>
      <c r="S9" s="14"/>
      <c r="T9" s="15"/>
      <c r="U9" s="405" t="s">
        <v>405</v>
      </c>
    </row>
    <row r="10" spans="1:21" x14ac:dyDescent="0.25">
      <c r="A10" s="7"/>
      <c r="B10" s="7"/>
      <c r="C10" s="91" t="s">
        <v>463</v>
      </c>
      <c r="D10" s="371" t="s">
        <v>464</v>
      </c>
      <c r="E10" s="92" t="s">
        <v>8</v>
      </c>
      <c r="F10" s="446" t="s">
        <v>1</v>
      </c>
      <c r="G10" s="446"/>
      <c r="H10" s="10" t="s">
        <v>73</v>
      </c>
      <c r="I10" s="11" t="s">
        <v>36</v>
      </c>
      <c r="N10" s="12"/>
      <c r="O10" s="12"/>
      <c r="P10" s="13"/>
      <c r="Q10" s="13"/>
      <c r="R10" s="520" t="s">
        <v>1</v>
      </c>
      <c r="S10" s="520"/>
      <c r="T10" s="15" t="s">
        <v>73</v>
      </c>
      <c r="U10" s="16" t="s">
        <v>36</v>
      </c>
    </row>
    <row r="11" spans="1:21" x14ac:dyDescent="0.25">
      <c r="A11" s="447" t="s">
        <v>1</v>
      </c>
      <c r="B11" s="447"/>
      <c r="C11" s="362" t="s">
        <v>2</v>
      </c>
      <c r="D11" s="362" t="s">
        <v>2</v>
      </c>
      <c r="E11" s="362" t="s">
        <v>2</v>
      </c>
      <c r="F11" s="448" t="s">
        <v>76</v>
      </c>
      <c r="G11" s="448"/>
      <c r="H11" s="17" t="s">
        <v>72</v>
      </c>
      <c r="I11" s="18" t="s">
        <v>75</v>
      </c>
      <c r="N11" s="510" t="s">
        <v>1</v>
      </c>
      <c r="O11" s="510"/>
      <c r="P11" s="521" t="s">
        <v>24</v>
      </c>
      <c r="Q11" s="521"/>
      <c r="R11" s="522" t="s">
        <v>76</v>
      </c>
      <c r="S11" s="522"/>
      <c r="T11" s="19" t="s">
        <v>72</v>
      </c>
      <c r="U11" s="20" t="s">
        <v>75</v>
      </c>
    </row>
    <row r="12" spans="1:21" x14ac:dyDescent="0.25">
      <c r="A12" s="449" t="s">
        <v>47</v>
      </c>
      <c r="B12" s="449"/>
      <c r="C12" s="94"/>
      <c r="D12" s="94"/>
      <c r="E12" s="95" t="s">
        <v>48</v>
      </c>
      <c r="F12" s="450" t="s">
        <v>49</v>
      </c>
      <c r="G12" s="450"/>
      <c r="H12" s="21" t="s">
        <v>50</v>
      </c>
      <c r="I12" s="22" t="s">
        <v>51</v>
      </c>
      <c r="N12" s="523" t="s">
        <v>47</v>
      </c>
      <c r="O12" s="523"/>
      <c r="P12" s="524" t="s">
        <v>48</v>
      </c>
      <c r="Q12" s="524"/>
      <c r="R12" s="525" t="s">
        <v>49</v>
      </c>
      <c r="S12" s="525"/>
      <c r="T12" s="23" t="s">
        <v>50</v>
      </c>
      <c r="U12" s="24" t="s">
        <v>51</v>
      </c>
    </row>
    <row r="13" spans="1:21" x14ac:dyDescent="0.25">
      <c r="A13" s="451" t="s">
        <v>29</v>
      </c>
      <c r="B13" s="451"/>
      <c r="C13" s="165">
        <v>112.01</v>
      </c>
      <c r="D13" s="163">
        <v>107.48</v>
      </c>
      <c r="E13" s="210">
        <f>IF(D$29=0,C13*2,C13+D13)</f>
        <v>219.49</v>
      </c>
      <c r="F13" s="537">
        <f>'0664'!F13:G13</f>
        <v>1.1259999999999999</v>
      </c>
      <c r="G13" s="537"/>
      <c r="H13" s="167">
        <f>ROUND(E13*F13,4)</f>
        <v>247.14570000000001</v>
      </c>
      <c r="I13" s="119">
        <f t="shared" ref="I13:I28" si="0">ROUND(ROUND(H13*$C$8,4)*($H$8),2)</f>
        <v>1183414.71</v>
      </c>
      <c r="N13" s="512" t="s">
        <v>29</v>
      </c>
      <c r="O13" s="512"/>
      <c r="P13" s="513">
        <f t="shared" ref="P13:P28" si="1">IF($H$120=1,E13,0)</f>
        <v>0</v>
      </c>
      <c r="Q13" s="513"/>
      <c r="R13" s="526">
        <v>1</v>
      </c>
      <c r="S13" s="526"/>
      <c r="T13" s="98">
        <f>ROUND(P13*R13,4)</f>
        <v>0</v>
      </c>
      <c r="U13" s="99">
        <f t="shared" ref="U13:U28" si="2">ROUND(ROUND(T13*$C$8,4)*($H$8),0)</f>
        <v>0</v>
      </c>
    </row>
    <row r="14" spans="1:21" x14ac:dyDescent="0.25">
      <c r="A14" s="453" t="s">
        <v>30</v>
      </c>
      <c r="B14" s="453"/>
      <c r="C14" s="165">
        <v>9.5</v>
      </c>
      <c r="D14" s="165">
        <v>10.54</v>
      </c>
      <c r="E14" s="125">
        <f t="shared" ref="E14:E28" si="3">IF(D$29=0,C14*2,C14+D14)</f>
        <v>20.04</v>
      </c>
      <c r="F14" s="532">
        <f>'0664'!F14:G14</f>
        <v>1.1259999999999999</v>
      </c>
      <c r="G14" s="532"/>
      <c r="H14" s="83">
        <f t="shared" ref="H14:H28" si="4">ROUND(E14*F14,4)</f>
        <v>22.565000000000001</v>
      </c>
      <c r="I14" s="104">
        <f t="shared" si="0"/>
        <v>108048.62</v>
      </c>
      <c r="J14" s="68" t="str">
        <f>IF(ROUND(E14,2)=ROUND(SUM(E50:E52),2)," ","CHECK PK-3 LINES BELOW")</f>
        <v xml:space="preserve"> </v>
      </c>
      <c r="N14" s="479" t="s">
        <v>30</v>
      </c>
      <c r="O14" s="479"/>
      <c r="P14" s="513">
        <f t="shared" si="1"/>
        <v>0</v>
      </c>
      <c r="Q14" s="513"/>
      <c r="R14" s="517">
        <v>1</v>
      </c>
      <c r="S14" s="517"/>
      <c r="T14" s="98">
        <f t="shared" ref="T14:T28" si="5">ROUND(P14*R14,4)</f>
        <v>0</v>
      </c>
      <c r="U14" s="99">
        <f t="shared" si="2"/>
        <v>0</v>
      </c>
    </row>
    <row r="15" spans="1:21" x14ac:dyDescent="0.25">
      <c r="A15" s="453" t="s">
        <v>31</v>
      </c>
      <c r="B15" s="453"/>
      <c r="C15" s="165">
        <v>171.44</v>
      </c>
      <c r="D15" s="165">
        <v>175.71</v>
      </c>
      <c r="E15" s="125">
        <f t="shared" si="3"/>
        <v>347.15</v>
      </c>
      <c r="F15" s="532">
        <f>'0664'!F15:G15</f>
        <v>1</v>
      </c>
      <c r="G15" s="532"/>
      <c r="H15" s="83">
        <f t="shared" si="4"/>
        <v>347.15</v>
      </c>
      <c r="I15" s="104">
        <f t="shared" si="0"/>
        <v>1662268.11</v>
      </c>
      <c r="N15" s="479" t="s">
        <v>31</v>
      </c>
      <c r="O15" s="479"/>
      <c r="P15" s="513">
        <f t="shared" si="1"/>
        <v>0</v>
      </c>
      <c r="Q15" s="513"/>
      <c r="R15" s="517">
        <v>1</v>
      </c>
      <c r="S15" s="517"/>
      <c r="T15" s="98">
        <f t="shared" si="5"/>
        <v>0</v>
      </c>
      <c r="U15" s="99">
        <f t="shared" si="2"/>
        <v>0</v>
      </c>
    </row>
    <row r="16" spans="1:21" x14ac:dyDescent="0.25">
      <c r="A16" s="453" t="s">
        <v>32</v>
      </c>
      <c r="B16" s="453"/>
      <c r="C16" s="165">
        <v>23</v>
      </c>
      <c r="D16" s="165">
        <v>19</v>
      </c>
      <c r="E16" s="125">
        <f t="shared" si="3"/>
        <v>42</v>
      </c>
      <c r="F16" s="532">
        <f>'0664'!F16:G16</f>
        <v>1</v>
      </c>
      <c r="G16" s="532"/>
      <c r="H16" s="83">
        <f t="shared" si="4"/>
        <v>42</v>
      </c>
      <c r="I16" s="104">
        <f t="shared" si="0"/>
        <v>201109.78</v>
      </c>
      <c r="J16" s="68" t="str">
        <f>IF(ROUND(E16,2)=ROUND(SUM(E53:E55),2)," ","CHECK 4-8 LINES BELOW")</f>
        <v xml:space="preserve"> </v>
      </c>
      <c r="N16" s="479" t="s">
        <v>32</v>
      </c>
      <c r="O16" s="479"/>
      <c r="P16" s="513">
        <f t="shared" si="1"/>
        <v>0</v>
      </c>
      <c r="Q16" s="513"/>
      <c r="R16" s="517">
        <v>1</v>
      </c>
      <c r="S16" s="517"/>
      <c r="T16" s="98">
        <f t="shared" si="5"/>
        <v>0</v>
      </c>
      <c r="U16" s="99">
        <f t="shared" si="2"/>
        <v>0</v>
      </c>
    </row>
    <row r="17" spans="1:21" x14ac:dyDescent="0.25">
      <c r="A17" s="453" t="s">
        <v>33</v>
      </c>
      <c r="B17" s="453"/>
      <c r="C17" s="165">
        <v>0</v>
      </c>
      <c r="D17" s="165">
        <v>0</v>
      </c>
      <c r="E17" s="125">
        <f t="shared" si="3"/>
        <v>0</v>
      </c>
      <c r="F17" s="532">
        <f>'0664'!F17:G17</f>
        <v>0.999</v>
      </c>
      <c r="G17" s="532"/>
      <c r="H17" s="83">
        <f t="shared" si="4"/>
        <v>0</v>
      </c>
      <c r="I17" s="104">
        <f t="shared" si="0"/>
        <v>0</v>
      </c>
      <c r="N17" s="479" t="s">
        <v>33</v>
      </c>
      <c r="O17" s="479"/>
      <c r="P17" s="513">
        <f t="shared" si="1"/>
        <v>0</v>
      </c>
      <c r="Q17" s="513"/>
      <c r="R17" s="517">
        <v>1</v>
      </c>
      <c r="S17" s="517"/>
      <c r="T17" s="98">
        <f t="shared" si="5"/>
        <v>0</v>
      </c>
      <c r="U17" s="99">
        <f t="shared" si="2"/>
        <v>0</v>
      </c>
    </row>
    <row r="18" spans="1:21" x14ac:dyDescent="0.25">
      <c r="A18" s="453" t="s">
        <v>34</v>
      </c>
      <c r="B18" s="453"/>
      <c r="C18" s="165">
        <v>0</v>
      </c>
      <c r="D18" s="165">
        <v>0</v>
      </c>
      <c r="E18" s="125">
        <f t="shared" si="3"/>
        <v>0</v>
      </c>
      <c r="F18" s="532">
        <f>'0664'!F18:G18</f>
        <v>0.999</v>
      </c>
      <c r="G18" s="532"/>
      <c r="H18" s="83">
        <f t="shared" si="4"/>
        <v>0</v>
      </c>
      <c r="I18" s="104">
        <f t="shared" si="0"/>
        <v>0</v>
      </c>
      <c r="J18" s="68" t="str">
        <f>IF(ROUND(E18,2)=ROUND(SUM(E56:E58),2)," ","CHECK 4-8 LINES BELOW")</f>
        <v xml:space="preserve"> </v>
      </c>
      <c r="N18" s="479" t="s">
        <v>34</v>
      </c>
      <c r="O18" s="479"/>
      <c r="P18" s="513">
        <f t="shared" si="1"/>
        <v>0</v>
      </c>
      <c r="Q18" s="513"/>
      <c r="R18" s="517">
        <v>1</v>
      </c>
      <c r="S18" s="517"/>
      <c r="T18" s="98">
        <f t="shared" si="5"/>
        <v>0</v>
      </c>
      <c r="U18" s="101">
        <f t="shared" si="2"/>
        <v>0</v>
      </c>
    </row>
    <row r="19" spans="1:21" x14ac:dyDescent="0.25">
      <c r="A19" s="453" t="s">
        <v>108</v>
      </c>
      <c r="B19" s="453"/>
      <c r="C19" s="165">
        <v>0</v>
      </c>
      <c r="D19" s="165">
        <v>0</v>
      </c>
      <c r="E19" s="125">
        <f t="shared" si="3"/>
        <v>0</v>
      </c>
      <c r="F19" s="532">
        <f>'0664'!F19:G19</f>
        <v>3.6739999999999999</v>
      </c>
      <c r="G19" s="532"/>
      <c r="H19" s="83">
        <f t="shared" si="4"/>
        <v>0</v>
      </c>
      <c r="I19" s="104">
        <f t="shared" si="0"/>
        <v>0</v>
      </c>
      <c r="N19" s="479" t="s">
        <v>108</v>
      </c>
      <c r="O19" s="479"/>
      <c r="P19" s="513">
        <f t="shared" si="1"/>
        <v>0</v>
      </c>
      <c r="Q19" s="513"/>
      <c r="R19" s="517">
        <v>1</v>
      </c>
      <c r="S19" s="517"/>
      <c r="T19" s="98">
        <f t="shared" si="5"/>
        <v>0</v>
      </c>
      <c r="U19" s="99">
        <f t="shared" si="2"/>
        <v>0</v>
      </c>
    </row>
    <row r="20" spans="1:21" x14ac:dyDescent="0.25">
      <c r="A20" s="453" t="s">
        <v>109</v>
      </c>
      <c r="B20" s="453"/>
      <c r="C20" s="165">
        <v>0</v>
      </c>
      <c r="D20" s="165">
        <v>0</v>
      </c>
      <c r="E20" s="125">
        <f t="shared" si="3"/>
        <v>0</v>
      </c>
      <c r="F20" s="532">
        <f>'0664'!F20:G20</f>
        <v>3.6739999999999999</v>
      </c>
      <c r="G20" s="532"/>
      <c r="H20" s="83">
        <f t="shared" si="4"/>
        <v>0</v>
      </c>
      <c r="I20" s="104">
        <f t="shared" si="0"/>
        <v>0</v>
      </c>
      <c r="N20" s="479" t="s">
        <v>109</v>
      </c>
      <c r="O20" s="479"/>
      <c r="P20" s="513">
        <f t="shared" si="1"/>
        <v>0</v>
      </c>
      <c r="Q20" s="513"/>
      <c r="R20" s="517">
        <v>1</v>
      </c>
      <c r="S20" s="517"/>
      <c r="T20" s="98">
        <f t="shared" si="5"/>
        <v>0</v>
      </c>
      <c r="U20" s="99">
        <f t="shared" si="2"/>
        <v>0</v>
      </c>
    </row>
    <row r="21" spans="1:21" x14ac:dyDescent="0.25">
      <c r="A21" s="453" t="s">
        <v>110</v>
      </c>
      <c r="B21" s="453"/>
      <c r="C21" s="165">
        <v>0</v>
      </c>
      <c r="D21" s="165">
        <v>0</v>
      </c>
      <c r="E21" s="125">
        <f t="shared" si="3"/>
        <v>0</v>
      </c>
      <c r="F21" s="532">
        <f>'0664'!F21:G21</f>
        <v>3.6739999999999999</v>
      </c>
      <c r="G21" s="532"/>
      <c r="H21" s="83">
        <f t="shared" si="4"/>
        <v>0</v>
      </c>
      <c r="I21" s="104">
        <f t="shared" si="0"/>
        <v>0</v>
      </c>
      <c r="N21" s="479" t="s">
        <v>110</v>
      </c>
      <c r="O21" s="479"/>
      <c r="P21" s="513">
        <f t="shared" si="1"/>
        <v>0</v>
      </c>
      <c r="Q21" s="513"/>
      <c r="R21" s="517">
        <v>1</v>
      </c>
      <c r="S21" s="517"/>
      <c r="T21" s="98">
        <f t="shared" si="5"/>
        <v>0</v>
      </c>
      <c r="U21" s="99">
        <f t="shared" si="2"/>
        <v>0</v>
      </c>
    </row>
    <row r="22" spans="1:21" x14ac:dyDescent="0.25">
      <c r="A22" s="453" t="s">
        <v>111</v>
      </c>
      <c r="B22" s="453"/>
      <c r="C22" s="165">
        <v>0</v>
      </c>
      <c r="D22" s="165">
        <v>0</v>
      </c>
      <c r="E22" s="125">
        <f t="shared" si="3"/>
        <v>0</v>
      </c>
      <c r="F22" s="532">
        <f>'0664'!F22:G22</f>
        <v>5.4009999999999998</v>
      </c>
      <c r="G22" s="532"/>
      <c r="H22" s="83">
        <f t="shared" si="4"/>
        <v>0</v>
      </c>
      <c r="I22" s="104">
        <f t="shared" si="0"/>
        <v>0</v>
      </c>
      <c r="N22" s="479" t="s">
        <v>111</v>
      </c>
      <c r="O22" s="479"/>
      <c r="P22" s="513">
        <f t="shared" si="1"/>
        <v>0</v>
      </c>
      <c r="Q22" s="513"/>
      <c r="R22" s="517">
        <v>1</v>
      </c>
      <c r="S22" s="517"/>
      <c r="T22" s="98">
        <f t="shared" si="5"/>
        <v>0</v>
      </c>
      <c r="U22" s="99">
        <f t="shared" si="2"/>
        <v>0</v>
      </c>
    </row>
    <row r="23" spans="1:21" x14ac:dyDescent="0.25">
      <c r="A23" s="453" t="s">
        <v>112</v>
      </c>
      <c r="B23" s="453"/>
      <c r="C23" s="165">
        <v>0</v>
      </c>
      <c r="D23" s="165">
        <v>0</v>
      </c>
      <c r="E23" s="125">
        <f t="shared" si="3"/>
        <v>0</v>
      </c>
      <c r="F23" s="532">
        <f>'0664'!F23:G23</f>
        <v>5.4009999999999998</v>
      </c>
      <c r="G23" s="532"/>
      <c r="H23" s="83">
        <f t="shared" si="4"/>
        <v>0</v>
      </c>
      <c r="I23" s="104">
        <f t="shared" si="0"/>
        <v>0</v>
      </c>
      <c r="N23" s="479" t="s">
        <v>112</v>
      </c>
      <c r="O23" s="479"/>
      <c r="P23" s="513">
        <f t="shared" si="1"/>
        <v>0</v>
      </c>
      <c r="Q23" s="513"/>
      <c r="R23" s="517">
        <v>1</v>
      </c>
      <c r="S23" s="517"/>
      <c r="T23" s="98">
        <f t="shared" si="5"/>
        <v>0</v>
      </c>
      <c r="U23" s="99">
        <f t="shared" si="2"/>
        <v>0</v>
      </c>
    </row>
    <row r="24" spans="1:21" x14ac:dyDescent="0.25">
      <c r="A24" s="453" t="s">
        <v>113</v>
      </c>
      <c r="B24" s="453"/>
      <c r="C24" s="165">
        <v>0</v>
      </c>
      <c r="D24" s="165">
        <v>0</v>
      </c>
      <c r="E24" s="125">
        <f t="shared" si="3"/>
        <v>0</v>
      </c>
      <c r="F24" s="532">
        <f>'0664'!F24:G24</f>
        <v>5.4009999999999998</v>
      </c>
      <c r="G24" s="532"/>
      <c r="H24" s="83">
        <f t="shared" si="4"/>
        <v>0</v>
      </c>
      <c r="I24" s="104">
        <f t="shared" si="0"/>
        <v>0</v>
      </c>
      <c r="N24" s="479" t="s">
        <v>113</v>
      </c>
      <c r="O24" s="479"/>
      <c r="P24" s="513">
        <f t="shared" si="1"/>
        <v>0</v>
      </c>
      <c r="Q24" s="513"/>
      <c r="R24" s="517">
        <v>1</v>
      </c>
      <c r="S24" s="517"/>
      <c r="T24" s="98">
        <f t="shared" si="5"/>
        <v>0</v>
      </c>
      <c r="U24" s="99">
        <f t="shared" si="2"/>
        <v>0</v>
      </c>
    </row>
    <row r="25" spans="1:21" x14ac:dyDescent="0.25">
      <c r="A25" s="453" t="s">
        <v>114</v>
      </c>
      <c r="B25" s="453"/>
      <c r="C25" s="165">
        <v>22.25</v>
      </c>
      <c r="D25" s="165">
        <v>23.49</v>
      </c>
      <c r="E25" s="125">
        <f t="shared" si="3"/>
        <v>45.739999999999995</v>
      </c>
      <c r="F25" s="532">
        <f>'0664'!F25:G25</f>
        <v>1.206</v>
      </c>
      <c r="G25" s="532"/>
      <c r="H25" s="83">
        <f t="shared" si="4"/>
        <v>55.162399999999998</v>
      </c>
      <c r="I25" s="104">
        <f t="shared" si="0"/>
        <v>264135.67</v>
      </c>
      <c r="N25" s="479" t="s">
        <v>114</v>
      </c>
      <c r="O25" s="479"/>
      <c r="P25" s="513">
        <f t="shared" si="1"/>
        <v>0</v>
      </c>
      <c r="Q25" s="513"/>
      <c r="R25" s="517">
        <v>1</v>
      </c>
      <c r="S25" s="517"/>
      <c r="T25" s="98">
        <f t="shared" si="5"/>
        <v>0</v>
      </c>
      <c r="U25" s="99">
        <f t="shared" si="2"/>
        <v>0</v>
      </c>
    </row>
    <row r="26" spans="1:21" x14ac:dyDescent="0.25">
      <c r="A26" s="453" t="s">
        <v>115</v>
      </c>
      <c r="B26" s="453"/>
      <c r="C26" s="165">
        <v>18.32</v>
      </c>
      <c r="D26" s="165">
        <v>19.510000000000002</v>
      </c>
      <c r="E26" s="125">
        <f t="shared" si="3"/>
        <v>37.83</v>
      </c>
      <c r="F26" s="532">
        <f>'0664'!F26:G26</f>
        <v>1.206</v>
      </c>
      <c r="G26" s="532"/>
      <c r="H26" s="83">
        <f t="shared" si="4"/>
        <v>45.622999999999998</v>
      </c>
      <c r="I26" s="104">
        <f t="shared" si="0"/>
        <v>218457.89</v>
      </c>
      <c r="N26" s="479" t="s">
        <v>115</v>
      </c>
      <c r="O26" s="479"/>
      <c r="P26" s="513">
        <f t="shared" si="1"/>
        <v>0</v>
      </c>
      <c r="Q26" s="513"/>
      <c r="R26" s="517">
        <v>1</v>
      </c>
      <c r="S26" s="517"/>
      <c r="T26" s="98">
        <f t="shared" si="5"/>
        <v>0</v>
      </c>
      <c r="U26" s="99">
        <f t="shared" si="2"/>
        <v>0</v>
      </c>
    </row>
    <row r="27" spans="1:21" x14ac:dyDescent="0.25">
      <c r="A27" s="453" t="s">
        <v>116</v>
      </c>
      <c r="B27" s="453"/>
      <c r="C27" s="165">
        <v>0</v>
      </c>
      <c r="D27" s="165">
        <v>0</v>
      </c>
      <c r="E27" s="125">
        <f t="shared" si="3"/>
        <v>0</v>
      </c>
      <c r="F27" s="532">
        <f>'0664'!F27:G27</f>
        <v>1.206</v>
      </c>
      <c r="G27" s="532"/>
      <c r="H27" s="83">
        <f t="shared" si="4"/>
        <v>0</v>
      </c>
      <c r="I27" s="104">
        <f t="shared" si="0"/>
        <v>0</v>
      </c>
      <c r="N27" s="479" t="s">
        <v>116</v>
      </c>
      <c r="O27" s="479"/>
      <c r="P27" s="513">
        <f t="shared" si="1"/>
        <v>0</v>
      </c>
      <c r="Q27" s="513"/>
      <c r="R27" s="517">
        <v>1</v>
      </c>
      <c r="S27" s="517"/>
      <c r="T27" s="98">
        <f t="shared" si="5"/>
        <v>0</v>
      </c>
      <c r="U27" s="99">
        <f t="shared" si="2"/>
        <v>0</v>
      </c>
    </row>
    <row r="28" spans="1:21" x14ac:dyDescent="0.25">
      <c r="A28" s="453" t="s">
        <v>117</v>
      </c>
      <c r="B28" s="453"/>
      <c r="C28" s="116">
        <v>0</v>
      </c>
      <c r="D28" s="116">
        <v>0</v>
      </c>
      <c r="E28" s="177">
        <f t="shared" si="3"/>
        <v>0</v>
      </c>
      <c r="F28" s="532">
        <f>'0664'!F28:G28</f>
        <v>0.999</v>
      </c>
      <c r="G28" s="532"/>
      <c r="H28" s="96">
        <f t="shared" si="4"/>
        <v>0</v>
      </c>
      <c r="I28" s="97">
        <f t="shared" si="0"/>
        <v>0</v>
      </c>
      <c r="N28" s="482" t="s">
        <v>117</v>
      </c>
      <c r="O28" s="482"/>
      <c r="P28" s="513">
        <f t="shared" si="1"/>
        <v>0</v>
      </c>
      <c r="Q28" s="513"/>
      <c r="R28" s="514">
        <v>1</v>
      </c>
      <c r="S28" s="514"/>
      <c r="T28" s="98">
        <f t="shared" si="5"/>
        <v>0</v>
      </c>
      <c r="U28" s="99">
        <f t="shared" si="2"/>
        <v>0</v>
      </c>
    </row>
    <row r="29" spans="1:21" x14ac:dyDescent="0.25">
      <c r="A29" s="461" t="s">
        <v>5</v>
      </c>
      <c r="B29" s="461"/>
      <c r="C29" s="97">
        <f>SUM(C13:C28)</f>
        <v>356.52</v>
      </c>
      <c r="D29" s="97">
        <f>SUM(D13:D28)</f>
        <v>355.73</v>
      </c>
      <c r="E29" s="97">
        <f>SUM(E13:E28)</f>
        <v>712.25</v>
      </c>
      <c r="F29" s="457"/>
      <c r="G29" s="457"/>
      <c r="H29" s="102">
        <f>SUM(H13:H28)</f>
        <v>759.64610000000005</v>
      </c>
      <c r="I29" s="97">
        <f>SUM(I13:I28)</f>
        <v>3637434.7800000003</v>
      </c>
      <c r="N29" s="515" t="s">
        <v>5</v>
      </c>
      <c r="O29" s="515"/>
      <c r="P29" s="516">
        <f>SUM(P13:P28)</f>
        <v>0</v>
      </c>
      <c r="Q29" s="516"/>
      <c r="R29" s="508"/>
      <c r="S29" s="508"/>
      <c r="T29" s="103">
        <f>SUM(T13:T28)</f>
        <v>0</v>
      </c>
      <c r="U29" s="99">
        <f>SUM(U13:U28)</f>
        <v>0</v>
      </c>
    </row>
    <row r="30" spans="1:21" x14ac:dyDescent="0.25">
      <c r="A30" s="27"/>
      <c r="B30" s="27"/>
      <c r="C30" s="104"/>
      <c r="D30" s="104"/>
      <c r="E30" s="104"/>
      <c r="F30" s="28"/>
      <c r="G30" s="28"/>
      <c r="H30" s="83"/>
      <c r="I30" s="104"/>
      <c r="N30" s="29"/>
      <c r="O30" s="29"/>
      <c r="P30" s="30"/>
      <c r="Q30" s="30"/>
      <c r="R30" s="31"/>
      <c r="S30" s="31"/>
      <c r="T30" s="105"/>
      <c r="U30" s="106"/>
    </row>
    <row r="31" spans="1:21" x14ac:dyDescent="0.25">
      <c r="A31" s="168" t="s">
        <v>97</v>
      </c>
      <c r="B31" s="27"/>
      <c r="C31" s="104"/>
      <c r="D31" s="104"/>
      <c r="E31" s="104"/>
      <c r="F31" s="28"/>
      <c r="G31" s="28"/>
      <c r="H31" s="83"/>
      <c r="I31" s="104"/>
      <c r="N31" s="29"/>
      <c r="O31" s="29"/>
      <c r="P31" s="30"/>
      <c r="Q31" s="30"/>
      <c r="R31" s="31"/>
      <c r="S31" s="31"/>
      <c r="T31" s="105"/>
      <c r="U31" s="106"/>
    </row>
    <row r="32" spans="1:21" hidden="1" x14ac:dyDescent="0.25">
      <c r="A32" s="168"/>
      <c r="B32" s="27"/>
      <c r="C32" s="104"/>
      <c r="D32" s="104"/>
      <c r="E32" s="104"/>
      <c r="F32" s="28"/>
      <c r="G32" s="28"/>
      <c r="H32" s="83"/>
      <c r="I32" s="104"/>
      <c r="N32" s="29"/>
      <c r="O32" s="29"/>
      <c r="P32" s="30"/>
      <c r="Q32" s="30"/>
      <c r="R32" s="31"/>
      <c r="S32" s="31"/>
      <c r="T32" s="105"/>
      <c r="U32" s="106"/>
    </row>
    <row r="33" spans="1:21" hidden="1" x14ac:dyDescent="0.25">
      <c r="A33" s="168"/>
      <c r="B33" s="27"/>
      <c r="C33" s="104"/>
      <c r="D33" s="104"/>
      <c r="E33" s="104"/>
      <c r="F33" s="541" t="s">
        <v>282</v>
      </c>
      <c r="G33" s="541"/>
      <c r="H33" s="541"/>
      <c r="I33" s="104"/>
      <c r="N33" s="29"/>
      <c r="O33" s="29"/>
      <c r="P33" s="30"/>
      <c r="Q33" s="30"/>
      <c r="R33" s="31"/>
      <c r="S33" s="31"/>
      <c r="T33" s="105"/>
      <c r="U33" s="106"/>
    </row>
    <row r="34" spans="1:21" hidden="1" x14ac:dyDescent="0.25">
      <c r="A34" s="3"/>
      <c r="B34" s="72"/>
      <c r="C34" s="72"/>
      <c r="D34" s="72"/>
      <c r="E34" s="72"/>
      <c r="F34" s="541"/>
      <c r="G34" s="541"/>
      <c r="H34" s="541"/>
      <c r="I34" s="25" t="s">
        <v>74</v>
      </c>
      <c r="N34" s="485" t="s">
        <v>35</v>
      </c>
      <c r="O34" s="485"/>
      <c r="P34" s="485"/>
      <c r="Q34" s="485"/>
      <c r="R34" s="485"/>
      <c r="S34" s="485"/>
      <c r="T34" s="485"/>
      <c r="U34" s="26" t="s">
        <v>74</v>
      </c>
    </row>
    <row r="35" spans="1:21" hidden="1" x14ac:dyDescent="0.25">
      <c r="A35" s="27"/>
      <c r="B35" s="27"/>
      <c r="C35" s="91" t="s">
        <v>124</v>
      </c>
      <c r="D35" s="91" t="s">
        <v>125</v>
      </c>
      <c r="E35" s="92" t="s">
        <v>8</v>
      </c>
      <c r="F35" s="541"/>
      <c r="G35" s="541"/>
      <c r="H35" s="541"/>
      <c r="I35" s="25" t="s">
        <v>36</v>
      </c>
      <c r="N35" s="29"/>
      <c r="O35" s="29"/>
      <c r="P35" s="30"/>
      <c r="Q35" s="30"/>
      <c r="R35" s="31"/>
      <c r="S35" s="31"/>
      <c r="T35" s="105"/>
      <c r="U35" s="26" t="s">
        <v>36</v>
      </c>
    </row>
    <row r="36" spans="1:21" hidden="1" x14ac:dyDescent="0.25">
      <c r="A36" s="447" t="s">
        <v>63</v>
      </c>
      <c r="B36" s="447"/>
      <c r="C36" s="93" t="s">
        <v>2</v>
      </c>
      <c r="D36" s="93" t="s">
        <v>2</v>
      </c>
      <c r="E36" s="93" t="s">
        <v>2</v>
      </c>
      <c r="F36" s="542"/>
      <c r="G36" s="542"/>
      <c r="H36" s="542"/>
      <c r="I36" s="32" t="s">
        <v>75</v>
      </c>
      <c r="N36" s="510" t="s">
        <v>63</v>
      </c>
      <c r="O36" s="510"/>
      <c r="P36" s="511" t="s">
        <v>24</v>
      </c>
      <c r="Q36" s="511"/>
      <c r="R36" s="511"/>
      <c r="S36" s="511"/>
      <c r="T36" s="511"/>
      <c r="U36" s="20" t="s">
        <v>75</v>
      </c>
    </row>
    <row r="37" spans="1:21" hidden="1" x14ac:dyDescent="0.25">
      <c r="A37" s="451" t="s">
        <v>56</v>
      </c>
      <c r="B37" s="451"/>
      <c r="C37" s="169">
        <v>0</v>
      </c>
      <c r="D37" s="169">
        <v>0</v>
      </c>
      <c r="E37" s="210">
        <f t="shared" ref="E37:E42" si="6">IF(D$43=0,C37*2,C37+D37)</f>
        <v>0</v>
      </c>
      <c r="F37" s="170"/>
      <c r="G37" s="170"/>
      <c r="H37" s="170"/>
      <c r="I37" s="119">
        <f t="shared" ref="I37:I42" si="7">ROUND(ROUND(E37*$C$8,4)*($H$8),2)</f>
        <v>0</v>
      </c>
      <c r="N37" s="512" t="s">
        <v>56</v>
      </c>
      <c r="O37" s="512"/>
      <c r="P37" s="483">
        <f t="shared" ref="P37:P42" si="8">IF($H$120=1,E37,0)</f>
        <v>0</v>
      </c>
      <c r="Q37" s="483"/>
      <c r="R37" s="483"/>
      <c r="S37" s="483"/>
      <c r="T37" s="483"/>
      <c r="U37" s="101">
        <f t="shared" ref="U37:U42" si="9">ROUND(ROUND(P37*$C$8,4)*($H$8),0)</f>
        <v>0</v>
      </c>
    </row>
    <row r="38" spans="1:21" hidden="1" x14ac:dyDescent="0.25">
      <c r="A38" s="453" t="s">
        <v>57</v>
      </c>
      <c r="B38" s="453"/>
      <c r="C38" s="172">
        <v>0</v>
      </c>
      <c r="D38" s="172">
        <v>0</v>
      </c>
      <c r="E38" s="125">
        <f t="shared" si="6"/>
        <v>0</v>
      </c>
      <c r="F38" s="173"/>
      <c r="G38" s="173"/>
      <c r="H38" s="173"/>
      <c r="I38" s="104">
        <f t="shared" si="7"/>
        <v>0</v>
      </c>
      <c r="N38" s="479" t="s">
        <v>57</v>
      </c>
      <c r="O38" s="479"/>
      <c r="P38" s="483">
        <f t="shared" si="8"/>
        <v>0</v>
      </c>
      <c r="Q38" s="483"/>
      <c r="R38" s="483"/>
      <c r="S38" s="483"/>
      <c r="T38" s="483"/>
      <c r="U38" s="101">
        <f t="shared" si="9"/>
        <v>0</v>
      </c>
    </row>
    <row r="39" spans="1:21" hidden="1" x14ac:dyDescent="0.25">
      <c r="A39" s="458" t="s">
        <v>58</v>
      </c>
      <c r="B39" s="458"/>
      <c r="C39" s="172">
        <v>0</v>
      </c>
      <c r="D39" s="172">
        <v>0</v>
      </c>
      <c r="E39" s="125">
        <f t="shared" si="6"/>
        <v>0</v>
      </c>
      <c r="F39" s="173"/>
      <c r="G39" s="173"/>
      <c r="H39" s="173"/>
      <c r="I39" s="104">
        <f t="shared" si="7"/>
        <v>0</v>
      </c>
      <c r="N39" s="509" t="s">
        <v>58</v>
      </c>
      <c r="O39" s="509"/>
      <c r="P39" s="483">
        <f t="shared" si="8"/>
        <v>0</v>
      </c>
      <c r="Q39" s="483"/>
      <c r="R39" s="483"/>
      <c r="S39" s="483"/>
      <c r="T39" s="483"/>
      <c r="U39" s="101">
        <f t="shared" si="9"/>
        <v>0</v>
      </c>
    </row>
    <row r="40" spans="1:21" hidden="1" x14ac:dyDescent="0.25">
      <c r="A40" s="453" t="s">
        <v>59</v>
      </c>
      <c r="B40" s="453"/>
      <c r="C40" s="172">
        <v>0</v>
      </c>
      <c r="D40" s="172">
        <v>0</v>
      </c>
      <c r="E40" s="125">
        <f t="shared" si="6"/>
        <v>0</v>
      </c>
      <c r="F40" s="173"/>
      <c r="G40" s="173"/>
      <c r="H40" s="173"/>
      <c r="I40" s="104">
        <f t="shared" si="7"/>
        <v>0</v>
      </c>
      <c r="N40" s="479" t="s">
        <v>59</v>
      </c>
      <c r="O40" s="479"/>
      <c r="P40" s="483">
        <f t="shared" si="8"/>
        <v>0</v>
      </c>
      <c r="Q40" s="483"/>
      <c r="R40" s="483"/>
      <c r="S40" s="483"/>
      <c r="T40" s="483"/>
      <c r="U40" s="101">
        <f t="shared" si="9"/>
        <v>0</v>
      </c>
    </row>
    <row r="41" spans="1:21" hidden="1" x14ac:dyDescent="0.25">
      <c r="A41" s="453" t="s">
        <v>60</v>
      </c>
      <c r="B41" s="453"/>
      <c r="C41" s="172">
        <v>0</v>
      </c>
      <c r="D41" s="172">
        <v>0</v>
      </c>
      <c r="E41" s="125">
        <f t="shared" si="6"/>
        <v>0</v>
      </c>
      <c r="F41" s="173"/>
      <c r="G41" s="173"/>
      <c r="H41" s="173"/>
      <c r="I41" s="104">
        <f t="shared" si="7"/>
        <v>0</v>
      </c>
      <c r="N41" s="479" t="s">
        <v>60</v>
      </c>
      <c r="O41" s="479"/>
      <c r="P41" s="483">
        <f t="shared" si="8"/>
        <v>0</v>
      </c>
      <c r="Q41" s="483"/>
      <c r="R41" s="483"/>
      <c r="S41" s="483"/>
      <c r="T41" s="483"/>
      <c r="U41" s="101">
        <f t="shared" si="9"/>
        <v>0</v>
      </c>
    </row>
    <row r="42" spans="1:21" hidden="1" x14ac:dyDescent="0.25">
      <c r="A42" s="453" t="s">
        <v>52</v>
      </c>
      <c r="B42" s="453"/>
      <c r="C42" s="171">
        <v>0</v>
      </c>
      <c r="D42" s="171">
        <v>0</v>
      </c>
      <c r="E42" s="177">
        <f t="shared" si="6"/>
        <v>0</v>
      </c>
      <c r="F42" s="173"/>
      <c r="G42" s="173"/>
      <c r="H42" s="173"/>
      <c r="I42" s="97">
        <f t="shared" si="7"/>
        <v>0</v>
      </c>
      <c r="N42" s="482" t="s">
        <v>52</v>
      </c>
      <c r="O42" s="482"/>
      <c r="P42" s="483">
        <f t="shared" si="8"/>
        <v>0</v>
      </c>
      <c r="Q42" s="483"/>
      <c r="R42" s="483"/>
      <c r="S42" s="483"/>
      <c r="T42" s="483"/>
      <c r="U42" s="101">
        <f t="shared" si="9"/>
        <v>0</v>
      </c>
    </row>
    <row r="43" spans="1:21" hidden="1" x14ac:dyDescent="0.25">
      <c r="A43" s="3"/>
      <c r="B43" s="55" t="s">
        <v>126</v>
      </c>
      <c r="C43" s="100">
        <f>SUM(C37:C42)</f>
        <v>0</v>
      </c>
      <c r="D43" s="100">
        <f>SUM(D37:D42)</f>
        <v>0</v>
      </c>
      <c r="E43" s="100">
        <f>SUM(E37:E42)</f>
        <v>0</v>
      </c>
      <c r="F43" s="33"/>
      <c r="G43" s="109"/>
      <c r="H43" s="110" t="s">
        <v>128</v>
      </c>
      <c r="I43" s="100">
        <f>SUM(I37:I42)</f>
        <v>0</v>
      </c>
      <c r="N43" s="480" t="s">
        <v>54</v>
      </c>
      <c r="O43" s="480"/>
      <c r="P43" s="480"/>
      <c r="Q43" s="480"/>
      <c r="R43" s="34">
        <f>SUM(P37:R42)</f>
        <v>0</v>
      </c>
      <c r="S43" s="508" t="s">
        <v>64</v>
      </c>
      <c r="T43" s="508"/>
      <c r="U43" s="106">
        <f>SUM(U37:U42)</f>
        <v>0</v>
      </c>
    </row>
    <row r="44" spans="1:21" ht="16.5" hidden="1" thickBot="1" x14ac:dyDescent="0.3">
      <c r="A44" s="3"/>
      <c r="B44" s="55"/>
      <c r="C44" s="104"/>
      <c r="D44" s="104"/>
      <c r="E44" s="119"/>
      <c r="F44" s="33"/>
      <c r="G44" s="109"/>
      <c r="H44" s="110"/>
      <c r="I44" s="104"/>
      <c r="N44" s="29"/>
      <c r="O44" s="29"/>
      <c r="P44" s="29"/>
      <c r="Q44" s="29"/>
      <c r="R44" s="34"/>
      <c r="S44" s="31"/>
      <c r="T44" s="31"/>
      <c r="U44" s="106"/>
    </row>
    <row r="45" spans="1:21" ht="16.5" hidden="1" thickBot="1" x14ac:dyDescent="0.3">
      <c r="A45" s="3"/>
      <c r="B45" s="55" t="s">
        <v>127</v>
      </c>
      <c r="E45" s="174">
        <f>H29+E43</f>
        <v>759.64610000000005</v>
      </c>
      <c r="F45" s="35"/>
      <c r="G45" s="109"/>
      <c r="H45" s="110" t="s">
        <v>129</v>
      </c>
      <c r="I45" s="97">
        <f>SUM(I43,I29)</f>
        <v>3637434.7800000003</v>
      </c>
      <c r="N45" s="480" t="s">
        <v>55</v>
      </c>
      <c r="O45" s="480"/>
      <c r="P45" s="480"/>
      <c r="Q45" s="480"/>
      <c r="R45" s="36">
        <f>R43+T29</f>
        <v>0</v>
      </c>
      <c r="S45" s="508" t="s">
        <v>53</v>
      </c>
      <c r="T45" s="508"/>
      <c r="U45" s="111">
        <f>SUM(U43,U29)</f>
        <v>0</v>
      </c>
    </row>
    <row r="46" spans="1:21" hidden="1" x14ac:dyDescent="0.25">
      <c r="A46" s="27"/>
      <c r="B46" s="27"/>
      <c r="C46" s="27"/>
      <c r="D46" s="27"/>
      <c r="E46" s="27"/>
      <c r="F46" s="35"/>
      <c r="G46" s="28"/>
      <c r="H46" s="28"/>
      <c r="I46" s="104"/>
      <c r="N46" s="29"/>
      <c r="O46" s="29"/>
      <c r="P46" s="29"/>
      <c r="Q46" s="29"/>
      <c r="R46" s="36"/>
      <c r="S46" s="31"/>
      <c r="T46" s="31"/>
      <c r="U46" s="106"/>
    </row>
    <row r="47" spans="1:21" x14ac:dyDescent="0.25">
      <c r="A47" s="27"/>
      <c r="B47" s="55" t="s">
        <v>370</v>
      </c>
      <c r="C47" s="41" t="s">
        <v>370</v>
      </c>
      <c r="D47" s="91" t="s">
        <v>370</v>
      </c>
      <c r="E47" s="27"/>
      <c r="F47" s="35"/>
      <c r="G47" s="28"/>
      <c r="H47" s="28"/>
      <c r="I47" s="104"/>
      <c r="N47" s="29"/>
      <c r="O47" s="29"/>
      <c r="P47" s="29"/>
      <c r="Q47" s="29"/>
      <c r="R47" s="36"/>
      <c r="S47" s="31"/>
      <c r="T47" s="31"/>
      <c r="U47" s="106"/>
    </row>
    <row r="48" spans="1:21" x14ac:dyDescent="0.25">
      <c r="A48" s="27"/>
      <c r="B48" s="27"/>
      <c r="C48" s="91" t="s">
        <v>463</v>
      </c>
      <c r="D48" s="371" t="s">
        <v>464</v>
      </c>
      <c r="E48" s="92" t="s">
        <v>8</v>
      </c>
      <c r="F48" s="49" t="s">
        <v>130</v>
      </c>
      <c r="G48" s="112" t="s">
        <v>132</v>
      </c>
      <c r="H48" s="113" t="s">
        <v>133</v>
      </c>
      <c r="I48" s="104"/>
      <c r="N48" s="29"/>
      <c r="O48" s="29"/>
      <c r="P48" s="29"/>
      <c r="Q48" s="29"/>
      <c r="R48" s="36"/>
      <c r="S48" s="31"/>
      <c r="T48" s="31"/>
      <c r="U48" s="106"/>
    </row>
    <row r="49" spans="1:21" x14ac:dyDescent="0.25">
      <c r="A49" s="37" t="s">
        <v>87</v>
      </c>
      <c r="B49" s="37"/>
      <c r="C49" s="362" t="s">
        <v>2</v>
      </c>
      <c r="D49" s="362" t="s">
        <v>2</v>
      </c>
      <c r="E49" s="362" t="s">
        <v>2</v>
      </c>
      <c r="F49" s="95" t="s">
        <v>131</v>
      </c>
      <c r="G49" s="62" t="s">
        <v>131</v>
      </c>
      <c r="H49" s="114" t="s">
        <v>134</v>
      </c>
      <c r="I49" s="37"/>
      <c r="N49" s="482" t="s">
        <v>87</v>
      </c>
      <c r="O49" s="482"/>
      <c r="P49" s="503" t="s">
        <v>2</v>
      </c>
      <c r="Q49" s="503"/>
      <c r="R49" s="38" t="s">
        <v>25</v>
      </c>
      <c r="S49" s="63" t="s">
        <v>26</v>
      </c>
      <c r="T49" s="115" t="s">
        <v>27</v>
      </c>
      <c r="U49" s="38"/>
    </row>
    <row r="50" spans="1:21" x14ac:dyDescent="0.25">
      <c r="A50" s="459" t="s">
        <v>98</v>
      </c>
      <c r="B50" s="459"/>
      <c r="C50" s="165">
        <v>9</v>
      </c>
      <c r="D50" s="165">
        <v>9.99</v>
      </c>
      <c r="E50" s="125">
        <f>IF(D$59=0,C50*2,C50+D50)</f>
        <v>18.990000000000002</v>
      </c>
      <c r="F50" s="39" t="s">
        <v>21</v>
      </c>
      <c r="G50" s="39">
        <v>251</v>
      </c>
      <c r="H50" s="321">
        <f>'0664'!H50</f>
        <v>1047</v>
      </c>
      <c r="I50" s="104">
        <f>ROUND(E50*H50,2)</f>
        <v>19882.53</v>
      </c>
      <c r="N50" s="504" t="s">
        <v>28</v>
      </c>
      <c r="O50" s="504"/>
      <c r="P50" s="505"/>
      <c r="Q50" s="505"/>
      <c r="R50" s="40" t="s">
        <v>21</v>
      </c>
      <c r="S50" s="40">
        <v>251</v>
      </c>
      <c r="T50" s="117">
        <f>H50</f>
        <v>1047</v>
      </c>
      <c r="U50" s="118">
        <f>ROUND(P50*T50,0)</f>
        <v>0</v>
      </c>
    </row>
    <row r="51" spans="1:21" x14ac:dyDescent="0.25">
      <c r="A51" s="460"/>
      <c r="B51" s="460"/>
      <c r="C51" s="165">
        <v>0.5</v>
      </c>
      <c r="D51" s="165">
        <v>0.55000000000000004</v>
      </c>
      <c r="E51" s="125">
        <f t="shared" ref="E51:E58" si="10">IF(D$59=0,C51*2,C51+D51)</f>
        <v>1.05</v>
      </c>
      <c r="F51" s="39" t="s">
        <v>21</v>
      </c>
      <c r="G51" s="39">
        <v>252</v>
      </c>
      <c r="H51" s="321">
        <f>'0664'!H51</f>
        <v>3380</v>
      </c>
      <c r="I51" s="104">
        <f t="shared" ref="I51:I58" si="11">ROUND(E51*H51,2)</f>
        <v>3549</v>
      </c>
      <c r="N51" s="504"/>
      <c r="O51" s="504"/>
      <c r="P51" s="506"/>
      <c r="Q51" s="506"/>
      <c r="R51" s="40" t="s">
        <v>21</v>
      </c>
      <c r="S51" s="40">
        <v>252</v>
      </c>
      <c r="T51" s="117">
        <f t="shared" ref="T51:T58" si="12">H51</f>
        <v>3380</v>
      </c>
      <c r="U51" s="118">
        <f t="shared" ref="U51:U58" si="13">ROUND(P51*T51,0)</f>
        <v>0</v>
      </c>
    </row>
    <row r="52" spans="1:21" x14ac:dyDescent="0.25">
      <c r="A52" s="460"/>
      <c r="B52" s="460"/>
      <c r="C52" s="165">
        <v>0</v>
      </c>
      <c r="D52" s="165">
        <v>0</v>
      </c>
      <c r="E52" s="125">
        <f t="shared" si="10"/>
        <v>0</v>
      </c>
      <c r="F52" s="39" t="s">
        <v>21</v>
      </c>
      <c r="G52" s="39">
        <v>253</v>
      </c>
      <c r="H52" s="321">
        <f>'0664'!H52</f>
        <v>6896</v>
      </c>
      <c r="I52" s="104">
        <f t="shared" si="11"/>
        <v>0</v>
      </c>
      <c r="N52" s="504"/>
      <c r="O52" s="504"/>
      <c r="P52" s="506"/>
      <c r="Q52" s="506"/>
      <c r="R52" s="40" t="s">
        <v>21</v>
      </c>
      <c r="S52" s="40">
        <v>253</v>
      </c>
      <c r="T52" s="117">
        <f t="shared" si="12"/>
        <v>6896</v>
      </c>
      <c r="U52" s="118">
        <f t="shared" si="13"/>
        <v>0</v>
      </c>
    </row>
    <row r="53" spans="1:21" x14ac:dyDescent="0.25">
      <c r="A53" s="460"/>
      <c r="B53" s="460"/>
      <c r="C53" s="165">
        <v>23</v>
      </c>
      <c r="D53" s="165">
        <v>19</v>
      </c>
      <c r="E53" s="125">
        <f t="shared" si="10"/>
        <v>42</v>
      </c>
      <c r="F53" s="41" t="s">
        <v>14</v>
      </c>
      <c r="G53" s="39">
        <v>251</v>
      </c>
      <c r="H53" s="321">
        <f>'0664'!H53</f>
        <v>1173</v>
      </c>
      <c r="I53" s="104">
        <f t="shared" si="11"/>
        <v>49266</v>
      </c>
      <c r="N53" s="504"/>
      <c r="O53" s="504"/>
      <c r="P53" s="506"/>
      <c r="Q53" s="506"/>
      <c r="R53" s="42" t="s">
        <v>14</v>
      </c>
      <c r="S53" s="40">
        <v>251</v>
      </c>
      <c r="T53" s="117">
        <f t="shared" si="12"/>
        <v>1173</v>
      </c>
      <c r="U53" s="118">
        <f t="shared" si="13"/>
        <v>0</v>
      </c>
    </row>
    <row r="54" spans="1:21" x14ac:dyDescent="0.25">
      <c r="A54" s="460"/>
      <c r="B54" s="460"/>
      <c r="C54" s="165">
        <v>0</v>
      </c>
      <c r="D54" s="165">
        <v>0</v>
      </c>
      <c r="E54" s="125">
        <f t="shared" si="10"/>
        <v>0</v>
      </c>
      <c r="F54" s="41" t="s">
        <v>14</v>
      </c>
      <c r="G54" s="39">
        <v>252</v>
      </c>
      <c r="H54" s="321">
        <f>'0664'!H54</f>
        <v>3506</v>
      </c>
      <c r="I54" s="104">
        <f t="shared" si="11"/>
        <v>0</v>
      </c>
      <c r="N54" s="504"/>
      <c r="O54" s="504"/>
      <c r="P54" s="506"/>
      <c r="Q54" s="506"/>
      <c r="R54" s="42" t="s">
        <v>14</v>
      </c>
      <c r="S54" s="40">
        <v>252</v>
      </c>
      <c r="T54" s="117">
        <f t="shared" si="12"/>
        <v>3506</v>
      </c>
      <c r="U54" s="118">
        <f t="shared" si="13"/>
        <v>0</v>
      </c>
    </row>
    <row r="55" spans="1:21" x14ac:dyDescent="0.25">
      <c r="A55" s="460"/>
      <c r="B55" s="460"/>
      <c r="C55" s="165">
        <v>0</v>
      </c>
      <c r="D55" s="165">
        <v>0</v>
      </c>
      <c r="E55" s="125">
        <f t="shared" si="10"/>
        <v>0</v>
      </c>
      <c r="F55" s="41" t="s">
        <v>14</v>
      </c>
      <c r="G55" s="39">
        <v>253</v>
      </c>
      <c r="H55" s="321">
        <f>'0664'!H55</f>
        <v>7023</v>
      </c>
      <c r="I55" s="104">
        <f t="shared" si="11"/>
        <v>0</v>
      </c>
      <c r="N55" s="504"/>
      <c r="O55" s="504"/>
      <c r="P55" s="506"/>
      <c r="Q55" s="506"/>
      <c r="R55" s="42" t="s">
        <v>14</v>
      </c>
      <c r="S55" s="40">
        <v>253</v>
      </c>
      <c r="T55" s="117">
        <f t="shared" si="12"/>
        <v>7023</v>
      </c>
      <c r="U55" s="118">
        <f t="shared" si="13"/>
        <v>0</v>
      </c>
    </row>
    <row r="56" spans="1:21" x14ac:dyDescent="0.25">
      <c r="A56" s="460"/>
      <c r="B56" s="460"/>
      <c r="C56" s="165">
        <v>0</v>
      </c>
      <c r="D56" s="165">
        <v>0</v>
      </c>
      <c r="E56" s="125">
        <f t="shared" si="10"/>
        <v>0</v>
      </c>
      <c r="F56" s="41" t="s">
        <v>15</v>
      </c>
      <c r="G56" s="39">
        <v>251</v>
      </c>
      <c r="H56" s="321">
        <f>'0664'!H56</f>
        <v>835</v>
      </c>
      <c r="I56" s="104">
        <f t="shared" si="11"/>
        <v>0</v>
      </c>
      <c r="N56" s="504"/>
      <c r="O56" s="504"/>
      <c r="P56" s="506"/>
      <c r="Q56" s="506"/>
      <c r="R56" s="42" t="s">
        <v>15</v>
      </c>
      <c r="S56" s="40">
        <v>251</v>
      </c>
      <c r="T56" s="117">
        <f t="shared" si="12"/>
        <v>835</v>
      </c>
      <c r="U56" s="118">
        <f t="shared" si="13"/>
        <v>0</v>
      </c>
    </row>
    <row r="57" spans="1:21" x14ac:dyDescent="0.25">
      <c r="A57" s="460"/>
      <c r="B57" s="460"/>
      <c r="C57" s="165">
        <v>0</v>
      </c>
      <c r="D57" s="165">
        <v>0</v>
      </c>
      <c r="E57" s="125">
        <f t="shared" si="10"/>
        <v>0</v>
      </c>
      <c r="F57" s="41" t="s">
        <v>15</v>
      </c>
      <c r="G57" s="39">
        <v>252</v>
      </c>
      <c r="H57" s="321">
        <f>'0664'!H57</f>
        <v>3168</v>
      </c>
      <c r="I57" s="104">
        <f t="shared" si="11"/>
        <v>0</v>
      </c>
      <c r="N57" s="504"/>
      <c r="O57" s="504"/>
      <c r="P57" s="506"/>
      <c r="Q57" s="506"/>
      <c r="R57" s="42" t="s">
        <v>15</v>
      </c>
      <c r="S57" s="40">
        <v>252</v>
      </c>
      <c r="T57" s="117">
        <f t="shared" si="12"/>
        <v>3168</v>
      </c>
      <c r="U57" s="118">
        <f t="shared" si="13"/>
        <v>0</v>
      </c>
    </row>
    <row r="58" spans="1:21" ht="16.5" thickBot="1" x14ac:dyDescent="0.3">
      <c r="A58" s="460"/>
      <c r="B58" s="460"/>
      <c r="C58" s="165">
        <v>0</v>
      </c>
      <c r="D58" s="165">
        <v>0</v>
      </c>
      <c r="E58" s="125">
        <f t="shared" si="10"/>
        <v>0</v>
      </c>
      <c r="F58" s="41" t="s">
        <v>15</v>
      </c>
      <c r="G58" s="39">
        <v>253</v>
      </c>
      <c r="H58" s="321">
        <f>'0664'!H58</f>
        <v>6685</v>
      </c>
      <c r="I58" s="104">
        <f t="shared" si="11"/>
        <v>0</v>
      </c>
      <c r="N58" s="504"/>
      <c r="O58" s="504"/>
      <c r="P58" s="507"/>
      <c r="Q58" s="507"/>
      <c r="R58" s="42" t="s">
        <v>15</v>
      </c>
      <c r="S58" s="40">
        <v>253</v>
      </c>
      <c r="T58" s="117">
        <f t="shared" si="12"/>
        <v>6685</v>
      </c>
      <c r="U58" s="120">
        <f t="shared" si="13"/>
        <v>0</v>
      </c>
    </row>
    <row r="59" spans="1:21" ht="16.5" thickBot="1" x14ac:dyDescent="0.3">
      <c r="A59" s="461" t="s">
        <v>16</v>
      </c>
      <c r="B59" s="461"/>
      <c r="C59" s="100">
        <f>SUM(C50:C58)</f>
        <v>32.5</v>
      </c>
      <c r="D59" s="100">
        <f>SUM(D50:D58)</f>
        <v>29.54</v>
      </c>
      <c r="E59" s="100">
        <f>SUM(E50:E58)</f>
        <v>62.040000000000006</v>
      </c>
      <c r="F59" s="461" t="s">
        <v>77</v>
      </c>
      <c r="G59" s="461"/>
      <c r="H59" s="461"/>
      <c r="I59" s="100">
        <f>SUM(I50:I58)</f>
        <v>72697.53</v>
      </c>
      <c r="N59" s="480" t="s">
        <v>16</v>
      </c>
      <c r="O59" s="480"/>
      <c r="P59" s="502">
        <f>SUM(P50:P58)</f>
        <v>0</v>
      </c>
      <c r="Q59" s="502"/>
      <c r="R59" s="480" t="s">
        <v>77</v>
      </c>
      <c r="S59" s="480"/>
      <c r="T59" s="480"/>
      <c r="U59" s="111">
        <f>SUM(U50:U58)</f>
        <v>0</v>
      </c>
    </row>
    <row r="60" spans="1:21" x14ac:dyDescent="0.25">
      <c r="A60" s="462"/>
      <c r="B60" s="462"/>
      <c r="C60" s="462"/>
      <c r="D60" s="462"/>
      <c r="E60" s="462"/>
      <c r="F60" s="462"/>
      <c r="G60" s="462"/>
      <c r="H60" s="462"/>
      <c r="I60" s="462"/>
      <c r="N60" s="484"/>
      <c r="O60" s="484"/>
      <c r="P60" s="484"/>
      <c r="Q60" s="484"/>
      <c r="R60" s="484"/>
      <c r="S60" s="484"/>
      <c r="T60" s="484"/>
      <c r="U60" s="484"/>
    </row>
    <row r="61" spans="1:21" x14ac:dyDescent="0.25">
      <c r="A61" s="463" t="s">
        <v>136</v>
      </c>
      <c r="B61" s="453"/>
      <c r="C61" s="453"/>
      <c r="D61" s="453"/>
      <c r="E61" s="453"/>
      <c r="F61" s="453"/>
      <c r="G61" s="453"/>
      <c r="H61" s="453"/>
      <c r="I61" s="453"/>
      <c r="N61" s="479" t="s">
        <v>88</v>
      </c>
      <c r="O61" s="479"/>
      <c r="P61" s="479"/>
      <c r="Q61" s="479"/>
      <c r="R61" s="479"/>
      <c r="S61" s="479"/>
      <c r="T61" s="479"/>
      <c r="U61" s="479"/>
    </row>
    <row r="62" spans="1:21" x14ac:dyDescent="0.25">
      <c r="A62" s="463" t="s">
        <v>138</v>
      </c>
      <c r="B62" s="453"/>
      <c r="C62" s="121">
        <f>E29</f>
        <v>712.25</v>
      </c>
      <c r="D62" s="464" t="s">
        <v>135</v>
      </c>
      <c r="E62" s="464"/>
      <c r="F62" s="464"/>
      <c r="G62" s="464"/>
      <c r="H62" s="335">
        <f>'0664'!H62</f>
        <v>193340.76</v>
      </c>
      <c r="I62" s="122"/>
      <c r="N62" s="478" t="s">
        <v>312</v>
      </c>
      <c r="O62" s="479"/>
      <c r="P62" s="43">
        <f>P29</f>
        <v>0</v>
      </c>
      <c r="Q62" s="498" t="s">
        <v>78</v>
      </c>
      <c r="R62" s="498"/>
      <c r="S62" s="498"/>
      <c r="T62" s="497">
        <f>H62</f>
        <v>193340.76</v>
      </c>
      <c r="U62" s="497"/>
    </row>
    <row r="63" spans="1:21" x14ac:dyDescent="0.25">
      <c r="B63" s="72"/>
      <c r="G63" s="44" t="s">
        <v>13</v>
      </c>
      <c r="H63" s="123">
        <f>ROUND(C62/H62,6)</f>
        <v>3.6840000000000002E-3</v>
      </c>
      <c r="I63" s="124"/>
      <c r="N63" s="479" t="s">
        <v>19</v>
      </c>
      <c r="O63" s="479"/>
      <c r="P63" s="479"/>
      <c r="Q63" s="479"/>
      <c r="R63" s="479"/>
      <c r="S63" s="479"/>
      <c r="T63" s="501">
        <f>ROUND(P62/T62,6)</f>
        <v>0</v>
      </c>
      <c r="U63" s="501"/>
    </row>
    <row r="64" spans="1:21" x14ac:dyDescent="0.25">
      <c r="A64" s="463" t="s">
        <v>137</v>
      </c>
      <c r="B64" s="453"/>
      <c r="C64" s="453"/>
      <c r="D64" s="453"/>
      <c r="E64" s="453"/>
      <c r="F64" s="453"/>
      <c r="G64" s="453"/>
      <c r="H64" s="453"/>
      <c r="I64" s="453"/>
      <c r="N64" s="479" t="s">
        <v>89</v>
      </c>
      <c r="O64" s="479"/>
      <c r="P64" s="479"/>
      <c r="Q64" s="479"/>
      <c r="R64" s="479"/>
      <c r="S64" s="479"/>
      <c r="T64" s="479"/>
      <c r="U64" s="479"/>
    </row>
    <row r="65" spans="1:21" x14ac:dyDescent="0.25">
      <c r="A65" s="463" t="s">
        <v>139</v>
      </c>
      <c r="B65" s="453"/>
      <c r="C65" s="121">
        <f>E45</f>
        <v>759.64610000000005</v>
      </c>
      <c r="D65" s="464" t="s">
        <v>140</v>
      </c>
      <c r="E65" s="464"/>
      <c r="F65" s="464"/>
      <c r="G65" s="464"/>
      <c r="H65" s="336">
        <f>'0664'!H65</f>
        <v>216845.88</v>
      </c>
      <c r="I65" s="125"/>
      <c r="N65" s="479" t="s">
        <v>80</v>
      </c>
      <c r="O65" s="479"/>
      <c r="P65" s="43">
        <f>R45</f>
        <v>0</v>
      </c>
      <c r="Q65" s="498" t="s">
        <v>79</v>
      </c>
      <c r="R65" s="498"/>
      <c r="S65" s="498"/>
      <c r="T65" s="497">
        <f>H65</f>
        <v>216845.88</v>
      </c>
      <c r="U65" s="497"/>
    </row>
    <row r="66" spans="1:21" s="37" customFormat="1" x14ac:dyDescent="0.25">
      <c r="A66" s="126"/>
      <c r="G66" s="45" t="s">
        <v>13</v>
      </c>
      <c r="H66" s="127">
        <f>ROUND(C65/H65,6)</f>
        <v>3.503E-3</v>
      </c>
      <c r="I66" s="127"/>
      <c r="N66" s="482" t="s">
        <v>20</v>
      </c>
      <c r="O66" s="482"/>
      <c r="P66" s="482"/>
      <c r="Q66" s="482"/>
      <c r="R66" s="482"/>
      <c r="S66" s="482"/>
      <c r="T66" s="500">
        <f>ROUND(P65/T65,6)</f>
        <v>0</v>
      </c>
      <c r="U66" s="500"/>
    </row>
    <row r="67" spans="1:21" x14ac:dyDescent="0.25">
      <c r="G67" s="44"/>
      <c r="H67" s="123"/>
      <c r="I67" s="123"/>
      <c r="N67" s="48"/>
      <c r="O67" s="48"/>
      <c r="P67" s="48"/>
      <c r="Q67" s="48"/>
      <c r="R67" s="128"/>
      <c r="S67" s="48"/>
      <c r="T67" s="129"/>
      <c r="U67" s="130"/>
    </row>
    <row r="68" spans="1:21" x14ac:dyDescent="0.25">
      <c r="A68" s="453" t="s">
        <v>85</v>
      </c>
      <c r="B68" s="453"/>
      <c r="C68" s="453"/>
      <c r="D68" s="72"/>
      <c r="E68" s="46" t="s">
        <v>3</v>
      </c>
      <c r="F68" s="337">
        <f>'0664'!F68</f>
        <v>42465042</v>
      </c>
      <c r="G68" s="39" t="s">
        <v>6</v>
      </c>
      <c r="H68" s="131">
        <f>H63</f>
        <v>3.6840000000000002E-3</v>
      </c>
      <c r="I68" s="104">
        <f>ROUND(F68*H68,2)</f>
        <v>156441.21</v>
      </c>
      <c r="N68" s="479" t="s">
        <v>85</v>
      </c>
      <c r="O68" s="479"/>
      <c r="P68" s="479"/>
      <c r="Q68" s="47"/>
      <c r="R68" s="132">
        <f>F68</f>
        <v>42465042</v>
      </c>
      <c r="S68" s="40" t="s">
        <v>6</v>
      </c>
      <c r="T68" s="133">
        <f>T63</f>
        <v>0</v>
      </c>
      <c r="U68" s="99">
        <f>ROUND(R68*T68,0)</f>
        <v>0</v>
      </c>
    </row>
    <row r="69" spans="1:21" x14ac:dyDescent="0.25">
      <c r="A69" s="458" t="s">
        <v>96</v>
      </c>
      <c r="B69" s="453"/>
      <c r="C69" s="453"/>
      <c r="D69" s="72"/>
      <c r="E69" s="46"/>
      <c r="F69" s="136"/>
      <c r="G69" s="39"/>
      <c r="H69" s="131"/>
      <c r="I69" s="104"/>
      <c r="N69" s="479" t="s">
        <v>84</v>
      </c>
      <c r="O69" s="479"/>
      <c r="P69" s="479"/>
      <c r="Q69" s="54"/>
      <c r="R69" s="54"/>
      <c r="S69" s="54"/>
      <c r="T69" s="54"/>
      <c r="U69" s="54"/>
    </row>
    <row r="70" spans="1:21" x14ac:dyDescent="0.25">
      <c r="A70" s="465" t="s">
        <v>141</v>
      </c>
      <c r="B70" s="453"/>
      <c r="C70" s="453"/>
      <c r="D70" s="72"/>
      <c r="E70" s="46" t="s">
        <v>3</v>
      </c>
      <c r="F70" s="337">
        <f>'0664'!F70</f>
        <v>0</v>
      </c>
      <c r="G70" s="39" t="s">
        <v>6</v>
      </c>
      <c r="H70" s="131">
        <f>H63</f>
        <v>3.6840000000000002E-3</v>
      </c>
      <c r="I70" s="104">
        <f>ROUND(F70*H70,2)</f>
        <v>0</v>
      </c>
      <c r="N70" s="48"/>
      <c r="O70" s="48"/>
      <c r="P70" s="48"/>
      <c r="Q70" s="47"/>
      <c r="R70" s="132">
        <f>F70</f>
        <v>0</v>
      </c>
      <c r="S70" s="40" t="s">
        <v>6</v>
      </c>
      <c r="T70" s="133">
        <f>T63</f>
        <v>0</v>
      </c>
      <c r="U70" s="99">
        <f>ROUND(R70*T70,0)</f>
        <v>0</v>
      </c>
    </row>
    <row r="71" spans="1:21" x14ac:dyDescent="0.25">
      <c r="A71" s="463" t="s">
        <v>433</v>
      </c>
      <c r="B71" s="453"/>
      <c r="C71" s="453"/>
      <c r="D71" s="72"/>
      <c r="E71" s="46" t="s">
        <v>3</v>
      </c>
      <c r="F71" s="337">
        <f>'0664'!F71</f>
        <v>13414654</v>
      </c>
      <c r="G71" s="39" t="s">
        <v>6</v>
      </c>
      <c r="H71" s="131">
        <f>H63</f>
        <v>3.6840000000000002E-3</v>
      </c>
      <c r="I71" s="104">
        <f>ROUND(F71*H71,2)</f>
        <v>49419.59</v>
      </c>
      <c r="N71" s="479" t="s">
        <v>83</v>
      </c>
      <c r="O71" s="479"/>
      <c r="P71" s="479"/>
      <c r="Q71" s="47"/>
      <c r="R71" s="132">
        <f>F71</f>
        <v>13414654</v>
      </c>
      <c r="S71" s="40" t="s">
        <v>6</v>
      </c>
      <c r="T71" s="133">
        <f>T63</f>
        <v>0</v>
      </c>
      <c r="U71" s="99">
        <f>ROUND(R71*T71,0)</f>
        <v>0</v>
      </c>
    </row>
    <row r="72" spans="1:21" x14ac:dyDescent="0.25">
      <c r="A72" s="463" t="s">
        <v>434</v>
      </c>
      <c r="B72" s="453"/>
      <c r="C72" s="453"/>
      <c r="D72" s="72"/>
      <c r="E72" s="46" t="s">
        <v>3</v>
      </c>
      <c r="F72" s="337">
        <f>'0664'!F72</f>
        <v>14708421</v>
      </c>
      <c r="G72" s="39" t="s">
        <v>6</v>
      </c>
      <c r="H72" s="131">
        <f>H63</f>
        <v>3.6840000000000002E-3</v>
      </c>
      <c r="I72" s="104">
        <f>ROUND(F72*H72,2)</f>
        <v>54185.82</v>
      </c>
      <c r="N72" s="479" t="s">
        <v>82</v>
      </c>
      <c r="O72" s="479"/>
      <c r="P72" s="479"/>
      <c r="Q72" s="47"/>
      <c r="R72" s="134">
        <f>F72</f>
        <v>14708421</v>
      </c>
      <c r="S72" s="40" t="s">
        <v>6</v>
      </c>
      <c r="T72" s="133">
        <f>T63</f>
        <v>0</v>
      </c>
      <c r="U72" s="99">
        <f>ROUND(R72*T72,0)</f>
        <v>0</v>
      </c>
    </row>
    <row r="73" spans="1:21" x14ac:dyDescent="0.25">
      <c r="A73" s="263" t="s">
        <v>99</v>
      </c>
      <c r="D73" s="72"/>
      <c r="E73" s="41" t="s">
        <v>353</v>
      </c>
      <c r="F73" s="466"/>
      <c r="G73" s="466"/>
      <c r="H73" s="466"/>
      <c r="I73" s="104">
        <v>0</v>
      </c>
      <c r="N73" s="499" t="s">
        <v>118</v>
      </c>
      <c r="O73" s="499"/>
      <c r="P73" s="499"/>
      <c r="Q73" s="499"/>
      <c r="R73" s="499"/>
      <c r="S73" s="499"/>
      <c r="T73" s="499"/>
      <c r="U73" s="99">
        <f>IF($H$120=1,I73,0)</f>
        <v>0</v>
      </c>
    </row>
    <row r="74" spans="1:21" x14ac:dyDescent="0.25">
      <c r="A74" s="264" t="s">
        <v>142</v>
      </c>
      <c r="I74" s="104"/>
      <c r="N74" s="499" t="s">
        <v>43</v>
      </c>
      <c r="O74" s="499"/>
      <c r="P74" s="499"/>
      <c r="Q74" s="499"/>
      <c r="R74" s="499"/>
      <c r="S74" s="499"/>
      <c r="T74" s="499"/>
      <c r="U74" s="99">
        <f>IF($H$120=1,I74,0)</f>
        <v>0</v>
      </c>
    </row>
    <row r="75" spans="1:21" x14ac:dyDescent="0.25">
      <c r="A75" s="324" t="s">
        <v>101</v>
      </c>
      <c r="B75" s="72"/>
      <c r="C75" s="72"/>
      <c r="D75" s="72"/>
      <c r="E75" s="72"/>
      <c r="F75" s="72"/>
      <c r="G75" s="72"/>
      <c r="H75" s="72"/>
      <c r="I75" s="135"/>
      <c r="N75" s="382" t="s">
        <v>44</v>
      </c>
      <c r="O75" s="48"/>
      <c r="P75" s="48"/>
      <c r="Q75" s="48"/>
      <c r="R75" s="48"/>
      <c r="S75" s="48"/>
      <c r="T75" s="48"/>
      <c r="U75" s="106"/>
    </row>
    <row r="76" spans="1:21" x14ac:dyDescent="0.25">
      <c r="A76" s="463" t="s">
        <v>435</v>
      </c>
      <c r="B76" s="453"/>
      <c r="C76" s="453"/>
      <c r="D76" s="72"/>
      <c r="E76" s="46" t="s">
        <v>3</v>
      </c>
      <c r="F76" s="337">
        <f>'0664'!F76</f>
        <v>8720092</v>
      </c>
      <c r="G76" s="39" t="s">
        <v>6</v>
      </c>
      <c r="H76" s="131">
        <f>H63</f>
        <v>3.6840000000000002E-3</v>
      </c>
      <c r="I76" s="104">
        <f t="shared" ref="I76:I85" si="14">ROUND(F76*H76,2)</f>
        <v>32124.82</v>
      </c>
      <c r="N76" s="478" t="s">
        <v>366</v>
      </c>
      <c r="O76" s="479"/>
      <c r="P76" s="479"/>
      <c r="Q76" s="47"/>
      <c r="R76" s="134">
        <f t="shared" ref="R76:R85" si="15">F76</f>
        <v>8720092</v>
      </c>
      <c r="S76" s="40" t="s">
        <v>6</v>
      </c>
      <c r="T76" s="133">
        <f>T63</f>
        <v>0</v>
      </c>
      <c r="U76" s="99">
        <f t="shared" ref="U76:U85" si="16">ROUND(R76*T76,0)</f>
        <v>0</v>
      </c>
    </row>
    <row r="77" spans="1:21" x14ac:dyDescent="0.25">
      <c r="A77" s="463" t="s">
        <v>436</v>
      </c>
      <c r="B77" s="453"/>
      <c r="C77" s="453"/>
      <c r="D77" s="72"/>
      <c r="E77" s="46" t="s">
        <v>3</v>
      </c>
      <c r="F77" s="337">
        <f>'0664'!F77</f>
        <v>0</v>
      </c>
      <c r="G77" s="39" t="s">
        <v>6</v>
      </c>
      <c r="H77" s="131">
        <f>H63</f>
        <v>3.6840000000000002E-3</v>
      </c>
      <c r="I77" s="104">
        <f t="shared" si="14"/>
        <v>0</v>
      </c>
      <c r="N77" s="479" t="s">
        <v>367</v>
      </c>
      <c r="O77" s="479"/>
      <c r="P77" s="479"/>
      <c r="Q77" s="47"/>
      <c r="R77" s="134">
        <f t="shared" si="15"/>
        <v>0</v>
      </c>
      <c r="S77" s="40" t="s">
        <v>6</v>
      </c>
      <c r="T77" s="133">
        <f>T63</f>
        <v>0</v>
      </c>
      <c r="U77" s="99">
        <f t="shared" si="16"/>
        <v>0</v>
      </c>
    </row>
    <row r="78" spans="1:21" x14ac:dyDescent="0.25">
      <c r="A78" s="463" t="s">
        <v>437</v>
      </c>
      <c r="B78" s="453"/>
      <c r="C78" s="453"/>
      <c r="D78" s="72"/>
      <c r="E78" s="46" t="s">
        <v>4</v>
      </c>
      <c r="F78" s="337">
        <f>'0664'!F78</f>
        <v>0</v>
      </c>
      <c r="G78" s="39" t="s">
        <v>6</v>
      </c>
      <c r="H78" s="131">
        <f>H66</f>
        <v>3.503E-3</v>
      </c>
      <c r="I78" s="104">
        <f t="shared" si="14"/>
        <v>0</v>
      </c>
      <c r="N78" s="478" t="s">
        <v>392</v>
      </c>
      <c r="O78" s="479"/>
      <c r="P78" s="479"/>
      <c r="Q78" s="47"/>
      <c r="R78" s="134">
        <f t="shared" si="15"/>
        <v>0</v>
      </c>
      <c r="S78" s="40" t="s">
        <v>6</v>
      </c>
      <c r="T78" s="133">
        <f>T66</f>
        <v>0</v>
      </c>
      <c r="U78" s="99">
        <f t="shared" si="16"/>
        <v>0</v>
      </c>
    </row>
    <row r="79" spans="1:21" x14ac:dyDescent="0.25">
      <c r="A79" s="463" t="s">
        <v>438</v>
      </c>
      <c r="B79" s="453"/>
      <c r="C79" s="453"/>
      <c r="D79" s="72"/>
      <c r="E79" s="46" t="s">
        <v>4</v>
      </c>
      <c r="F79" s="337">
        <f>'0664'!F79</f>
        <v>11278687</v>
      </c>
      <c r="G79" s="39" t="s">
        <v>6</v>
      </c>
      <c r="H79" s="131">
        <f>H66</f>
        <v>3.503E-3</v>
      </c>
      <c r="I79" s="104">
        <f t="shared" si="14"/>
        <v>39509.24</v>
      </c>
      <c r="N79" s="478" t="s">
        <v>393</v>
      </c>
      <c r="O79" s="479"/>
      <c r="P79" s="479"/>
      <c r="Q79" s="47"/>
      <c r="R79" s="134">
        <f t="shared" si="15"/>
        <v>11278687</v>
      </c>
      <c r="S79" s="40" t="s">
        <v>6</v>
      </c>
      <c r="T79" s="133">
        <f>T66</f>
        <v>0</v>
      </c>
      <c r="U79" s="99">
        <f t="shared" si="16"/>
        <v>0</v>
      </c>
    </row>
    <row r="80" spans="1:21" x14ac:dyDescent="0.25">
      <c r="A80" s="463" t="s">
        <v>439</v>
      </c>
      <c r="B80" s="453"/>
      <c r="C80" s="453"/>
      <c r="D80" s="72"/>
      <c r="E80" s="46" t="s">
        <v>4</v>
      </c>
      <c r="F80" s="337">
        <f>'0664'!F80</f>
        <v>206284749</v>
      </c>
      <c r="G80" s="39" t="s">
        <v>6</v>
      </c>
      <c r="H80" s="131">
        <f>H66</f>
        <v>3.503E-3</v>
      </c>
      <c r="I80" s="104">
        <f t="shared" si="14"/>
        <v>722615.48</v>
      </c>
      <c r="N80" s="478" t="s">
        <v>397</v>
      </c>
      <c r="O80" s="479"/>
      <c r="P80" s="479"/>
      <c r="Q80" s="47"/>
      <c r="R80" s="134">
        <f t="shared" si="15"/>
        <v>206284749</v>
      </c>
      <c r="S80" s="40" t="s">
        <v>6</v>
      </c>
      <c r="T80" s="133">
        <f>T66</f>
        <v>0</v>
      </c>
      <c r="U80" s="99">
        <f t="shared" si="16"/>
        <v>0</v>
      </c>
    </row>
    <row r="81" spans="1:21" x14ac:dyDescent="0.25">
      <c r="A81" s="84" t="s">
        <v>440</v>
      </c>
      <c r="B81" s="72"/>
      <c r="C81" s="72"/>
      <c r="D81" s="72"/>
      <c r="E81" s="46"/>
      <c r="F81" s="337"/>
      <c r="G81" s="39"/>
      <c r="H81" s="131"/>
      <c r="I81" s="104"/>
      <c r="N81" s="419" t="s">
        <v>440</v>
      </c>
      <c r="O81" s="48"/>
      <c r="P81" s="48"/>
      <c r="Q81" s="47"/>
      <c r="R81" s="423"/>
      <c r="S81" s="40"/>
      <c r="T81" s="133"/>
      <c r="U81" s="120"/>
    </row>
    <row r="82" spans="1:21" x14ac:dyDescent="0.25">
      <c r="A82" s="264" t="s">
        <v>441</v>
      </c>
      <c r="B82" s="72"/>
      <c r="C82" s="72"/>
      <c r="D82" s="72"/>
      <c r="E82" s="46" t="s">
        <v>442</v>
      </c>
      <c r="F82" s="337">
        <f>'0664'!F82</f>
        <v>0</v>
      </c>
      <c r="G82" s="39" t="s">
        <v>6</v>
      </c>
      <c r="H82" s="131">
        <f>H66</f>
        <v>3.503E-3</v>
      </c>
      <c r="I82" s="104">
        <v>154797.44</v>
      </c>
      <c r="N82" s="422" t="s">
        <v>441</v>
      </c>
      <c r="O82" s="48"/>
      <c r="P82" s="48"/>
      <c r="Q82" s="47"/>
      <c r="R82" s="134">
        <f t="shared" si="15"/>
        <v>0</v>
      </c>
      <c r="S82" s="40"/>
      <c r="T82" s="133"/>
      <c r="U82" s="99">
        <f t="shared" si="16"/>
        <v>0</v>
      </c>
    </row>
    <row r="83" spans="1:21" x14ac:dyDescent="0.25">
      <c r="A83" s="264" t="s">
        <v>443</v>
      </c>
      <c r="B83" s="72"/>
      <c r="C83" s="72"/>
      <c r="D83" s="72"/>
      <c r="E83" s="46" t="s">
        <v>442</v>
      </c>
      <c r="F83" s="337">
        <f>'0664'!F83</f>
        <v>0</v>
      </c>
      <c r="G83" s="39" t="s">
        <v>6</v>
      </c>
      <c r="H83" s="131">
        <f>H66</f>
        <v>3.503E-3</v>
      </c>
      <c r="I83" s="104">
        <v>70362.47</v>
      </c>
      <c r="N83" s="422" t="s">
        <v>443</v>
      </c>
      <c r="O83" s="48"/>
      <c r="P83" s="48"/>
      <c r="Q83" s="47"/>
      <c r="R83" s="134">
        <f t="shared" si="15"/>
        <v>0</v>
      </c>
      <c r="S83" s="40"/>
      <c r="T83" s="133"/>
      <c r="U83" s="99">
        <f t="shared" si="16"/>
        <v>0</v>
      </c>
    </row>
    <row r="84" spans="1:21" x14ac:dyDescent="0.25">
      <c r="A84" s="420" t="s">
        <v>444</v>
      </c>
      <c r="B84" s="72"/>
      <c r="C84" s="72"/>
      <c r="D84" s="72"/>
      <c r="E84" s="46"/>
      <c r="F84" s="337"/>
      <c r="G84" s="39"/>
      <c r="H84" s="131"/>
      <c r="I84" s="104">
        <f>I82+I83</f>
        <v>225159.91</v>
      </c>
      <c r="N84" s="421" t="s">
        <v>444</v>
      </c>
      <c r="O84" s="48"/>
      <c r="P84" s="48"/>
      <c r="Q84" s="47"/>
      <c r="R84" s="423"/>
      <c r="S84" s="40"/>
      <c r="T84" s="133"/>
      <c r="U84" s="99">
        <f>U82+U83</f>
        <v>0</v>
      </c>
    </row>
    <row r="85" spans="1:21" x14ac:dyDescent="0.25">
      <c r="A85" s="463" t="s">
        <v>398</v>
      </c>
      <c r="B85" s="453"/>
      <c r="C85" s="453"/>
      <c r="D85" s="72"/>
      <c r="E85" s="46" t="s">
        <v>4</v>
      </c>
      <c r="F85" s="337">
        <f>'0664'!F85</f>
        <v>0</v>
      </c>
      <c r="G85" s="39" t="s">
        <v>6</v>
      </c>
      <c r="H85" s="131">
        <f>H66</f>
        <v>3.503E-3</v>
      </c>
      <c r="I85" s="104">
        <f t="shared" si="14"/>
        <v>0</v>
      </c>
      <c r="N85" s="478" t="s">
        <v>398</v>
      </c>
      <c r="O85" s="479"/>
      <c r="P85" s="479"/>
      <c r="Q85" s="47"/>
      <c r="R85" s="132">
        <f t="shared" si="15"/>
        <v>0</v>
      </c>
      <c r="S85" s="40" t="s">
        <v>6</v>
      </c>
      <c r="T85" s="133">
        <f>T66</f>
        <v>0</v>
      </c>
      <c r="U85" s="99">
        <f t="shared" si="16"/>
        <v>0</v>
      </c>
    </row>
    <row r="86" spans="1:21" x14ac:dyDescent="0.25">
      <c r="B86" s="72"/>
      <c r="C86" s="72"/>
      <c r="D86" s="72"/>
      <c r="E86" s="46"/>
      <c r="F86" s="136"/>
      <c r="G86" s="39"/>
      <c r="H86" s="131"/>
      <c r="I86" s="104"/>
      <c r="N86" s="48"/>
      <c r="O86" s="48"/>
      <c r="P86" s="48"/>
      <c r="Q86" s="47"/>
      <c r="R86" s="137"/>
      <c r="S86" s="40"/>
      <c r="T86" s="133"/>
      <c r="U86" s="106"/>
    </row>
    <row r="87" spans="1:21" x14ac:dyDescent="0.25">
      <c r="A87" s="463" t="s">
        <v>445</v>
      </c>
      <c r="B87" s="453"/>
      <c r="C87" s="453"/>
      <c r="D87" s="453"/>
      <c r="E87" s="453"/>
      <c r="F87" s="453"/>
      <c r="G87" s="453"/>
      <c r="H87" s="453"/>
      <c r="I87" s="453"/>
      <c r="N87" s="478" t="s">
        <v>429</v>
      </c>
      <c r="O87" s="479"/>
      <c r="P87" s="479"/>
      <c r="Q87" s="479"/>
      <c r="R87" s="479"/>
      <c r="S87" s="479"/>
      <c r="T87" s="479"/>
      <c r="U87" s="479"/>
    </row>
    <row r="88" spans="1:21" x14ac:dyDescent="0.25">
      <c r="B88" s="72"/>
      <c r="C88" s="466" t="s">
        <v>73</v>
      </c>
      <c r="D88" s="466"/>
      <c r="E88" s="72"/>
      <c r="F88" s="41" t="s">
        <v>37</v>
      </c>
      <c r="G88" s="72"/>
      <c r="H88" s="72"/>
      <c r="I88" s="72"/>
      <c r="N88" s="48"/>
      <c r="O88" s="48"/>
      <c r="P88" s="48"/>
      <c r="Q88" s="48"/>
      <c r="R88" s="48"/>
      <c r="S88" s="48"/>
      <c r="T88" s="48"/>
      <c r="U88" s="48"/>
    </row>
    <row r="89" spans="1:21" x14ac:dyDescent="0.25">
      <c r="A89" s="3"/>
      <c r="B89" s="138"/>
      <c r="C89" s="462" t="s">
        <v>144</v>
      </c>
      <c r="D89" s="462"/>
      <c r="E89" s="139" t="s">
        <v>150</v>
      </c>
      <c r="F89" s="140" t="s">
        <v>149</v>
      </c>
      <c r="G89" s="141"/>
      <c r="H89" s="141"/>
      <c r="I89" s="141"/>
      <c r="N89" s="495" t="s">
        <v>46</v>
      </c>
      <c r="O89" s="495"/>
      <c r="P89" s="496" t="s">
        <v>119</v>
      </c>
      <c r="Q89" s="496"/>
      <c r="R89" s="497" t="s">
        <v>40</v>
      </c>
      <c r="S89" s="497"/>
      <c r="T89" s="497"/>
      <c r="U89" s="497"/>
    </row>
    <row r="90" spans="1:21" x14ac:dyDescent="0.25">
      <c r="A90" s="27"/>
      <c r="B90" s="55" t="s">
        <v>148</v>
      </c>
      <c r="C90" s="467">
        <f>H13+H14+H19+H22+H25</f>
        <v>324.87310000000002</v>
      </c>
      <c r="D90" s="467"/>
      <c r="E90" s="49">
        <f>H8</f>
        <v>1.0438000000000001</v>
      </c>
      <c r="F90" s="338">
        <f>'0664'!F90</f>
        <v>957.94</v>
      </c>
      <c r="G90" s="41" t="s">
        <v>13</v>
      </c>
      <c r="H90" s="104">
        <f>ROUND(C90*E90*F90,2)</f>
        <v>324839.89</v>
      </c>
      <c r="I90" s="107"/>
      <c r="N90" s="29" t="s">
        <v>22</v>
      </c>
      <c r="O90" s="50">
        <f>T13+T14+T19+T22+T25</f>
        <v>0</v>
      </c>
      <c r="P90" s="490">
        <f>T8</f>
        <v>1.0438000000000001</v>
      </c>
      <c r="Q90" s="490"/>
      <c r="R90" s="51">
        <f>F90</f>
        <v>957.94</v>
      </c>
      <c r="S90" s="42" t="s">
        <v>13</v>
      </c>
      <c r="T90" s="134">
        <f>ROUND(O90*P90*R90,0)</f>
        <v>0</v>
      </c>
      <c r="U90" s="105"/>
    </row>
    <row r="91" spans="1:21" x14ac:dyDescent="0.25">
      <c r="A91" s="52"/>
      <c r="B91" s="52" t="s">
        <v>147</v>
      </c>
      <c r="C91" s="467">
        <f>H15+H16+H20+H23+H26</f>
        <v>434.77299999999997</v>
      </c>
      <c r="D91" s="467"/>
      <c r="E91" s="49">
        <f>H8</f>
        <v>1.0438000000000001</v>
      </c>
      <c r="F91" s="338">
        <f>'0664'!F91</f>
        <v>914.63</v>
      </c>
      <c r="G91" s="41" t="s">
        <v>13</v>
      </c>
      <c r="H91" s="104">
        <f>ROUND(C91*E91*F91,2)</f>
        <v>415073.78</v>
      </c>
      <c r="N91" s="53" t="s">
        <v>14</v>
      </c>
      <c r="O91" s="50">
        <f>T15+T16+T20+T23+T26</f>
        <v>0</v>
      </c>
      <c r="P91" s="490">
        <f>T8</f>
        <v>1.0438000000000001</v>
      </c>
      <c r="Q91" s="490"/>
      <c r="R91" s="51">
        <f>F91</f>
        <v>914.63</v>
      </c>
      <c r="S91" s="42" t="s">
        <v>13</v>
      </c>
      <c r="T91" s="134">
        <f>ROUND(O91*P91*R91,0)</f>
        <v>0</v>
      </c>
      <c r="U91" s="54"/>
    </row>
    <row r="92" spans="1:21" ht="16.5" thickBot="1" x14ac:dyDescent="0.3">
      <c r="A92" s="55"/>
      <c r="B92" s="55" t="s">
        <v>146</v>
      </c>
      <c r="C92" s="467">
        <f>H17+H18+H21+H24+H27+H28</f>
        <v>0</v>
      </c>
      <c r="D92" s="467"/>
      <c r="E92" s="49">
        <f>H8</f>
        <v>1.0438000000000001</v>
      </c>
      <c r="F92" s="338">
        <f>'0664'!F92</f>
        <v>916.84</v>
      </c>
      <c r="G92" s="41" t="s">
        <v>13</v>
      </c>
      <c r="H92" s="97">
        <f>ROUND(C92*E92*F92,2)</f>
        <v>0</v>
      </c>
      <c r="N92" s="56" t="s">
        <v>15</v>
      </c>
      <c r="O92" s="57">
        <f>T17+T18+T21+T24+T27+T28</f>
        <v>0</v>
      </c>
      <c r="P92" s="490">
        <f>T8</f>
        <v>1.0438000000000001</v>
      </c>
      <c r="Q92" s="490"/>
      <c r="R92" s="51">
        <f>F92</f>
        <v>916.84</v>
      </c>
      <c r="S92" s="42" t="s">
        <v>13</v>
      </c>
      <c r="T92" s="134">
        <f>ROUND(O92*P92*R92,0)</f>
        <v>0</v>
      </c>
      <c r="U92" s="54"/>
    </row>
    <row r="93" spans="1:21" ht="16.5" thickBot="1" x14ac:dyDescent="0.3">
      <c r="A93" s="58"/>
      <c r="B93" s="142" t="s">
        <v>145</v>
      </c>
      <c r="C93" s="469">
        <f>SUM(C90:C92)</f>
        <v>759.64609999999993</v>
      </c>
      <c r="D93" s="469"/>
      <c r="E93" s="143"/>
      <c r="F93" s="143"/>
      <c r="G93" s="143"/>
      <c r="H93" s="144" t="s">
        <v>143</v>
      </c>
      <c r="I93" s="104">
        <f>IF(A1=75,0,H92+H91+H90)</f>
        <v>739913.67</v>
      </c>
      <c r="N93" s="59" t="s">
        <v>120</v>
      </c>
      <c r="O93" s="60">
        <f>SUM(O90:O92)</f>
        <v>0</v>
      </c>
      <c r="P93" s="491" t="s">
        <v>18</v>
      </c>
      <c r="Q93" s="492"/>
      <c r="R93" s="492"/>
      <c r="S93" s="492"/>
      <c r="T93" s="492"/>
      <c r="U93" s="99">
        <f>IF(N1=75,0,T92+T91+T90)</f>
        <v>0</v>
      </c>
    </row>
    <row r="94" spans="1:21" ht="16.5" thickTop="1" x14ac:dyDescent="0.25">
      <c r="A94" s="540" t="s">
        <v>90</v>
      </c>
      <c r="B94" s="540"/>
      <c r="C94" s="540"/>
      <c r="D94" s="540"/>
      <c r="E94" s="540"/>
      <c r="F94" s="540"/>
      <c r="G94" s="540"/>
      <c r="H94" s="540"/>
      <c r="I94" s="540"/>
      <c r="N94" s="493" t="s">
        <v>90</v>
      </c>
      <c r="O94" s="493"/>
      <c r="P94" s="493"/>
      <c r="Q94" s="493"/>
      <c r="R94" s="493"/>
      <c r="S94" s="493"/>
      <c r="T94" s="493"/>
      <c r="U94" s="493"/>
    </row>
    <row r="95" spans="1:21" x14ac:dyDescent="0.25">
      <c r="A95" s="145"/>
      <c r="B95" s="145"/>
      <c r="C95" s="145"/>
      <c r="D95" s="145"/>
      <c r="E95" s="145"/>
      <c r="F95" s="145"/>
      <c r="G95" s="145"/>
      <c r="H95" s="145"/>
      <c r="I95" s="145"/>
      <c r="N95" s="146"/>
      <c r="O95" s="146"/>
      <c r="P95" s="146"/>
      <c r="Q95" s="146"/>
      <c r="R95" s="146"/>
      <c r="S95" s="146"/>
      <c r="T95" s="146"/>
      <c r="U95" s="146"/>
    </row>
    <row r="96" spans="1:21" x14ac:dyDescent="0.25">
      <c r="A96" s="84" t="s">
        <v>446</v>
      </c>
      <c r="C96" s="46"/>
      <c r="D96" s="72"/>
      <c r="E96" s="46" t="s">
        <v>100</v>
      </c>
      <c r="F96" s="471"/>
      <c r="G96" s="471"/>
      <c r="H96" s="471"/>
      <c r="I96" s="471"/>
      <c r="N96" s="478" t="s">
        <v>426</v>
      </c>
      <c r="O96" s="479"/>
      <c r="P96" s="479"/>
      <c r="Q96" s="494"/>
      <c r="R96" s="494"/>
      <c r="S96" s="494"/>
      <c r="T96" s="494"/>
      <c r="U96" s="106"/>
    </row>
    <row r="97" spans="1:21" x14ac:dyDescent="0.25">
      <c r="B97" s="72"/>
      <c r="C97" s="91" t="s">
        <v>409</v>
      </c>
      <c r="D97" s="371" t="s">
        <v>410</v>
      </c>
      <c r="E97" s="92" t="s">
        <v>151</v>
      </c>
      <c r="F97" s="46"/>
      <c r="G97" s="46"/>
      <c r="H97" s="46"/>
      <c r="I97" s="46"/>
      <c r="N97" s="48"/>
      <c r="O97" s="48"/>
      <c r="P97" s="48"/>
      <c r="Q97" s="147"/>
      <c r="R97" s="147"/>
      <c r="S97" s="147"/>
      <c r="T97" s="147"/>
      <c r="U97" s="106"/>
    </row>
    <row r="98" spans="1:21" x14ac:dyDescent="0.25">
      <c r="B98" s="72"/>
      <c r="C98" s="362" t="s">
        <v>2</v>
      </c>
      <c r="D98" s="362" t="s">
        <v>2</v>
      </c>
      <c r="E98" s="362" t="s">
        <v>2</v>
      </c>
      <c r="F98" s="46"/>
      <c r="G98" s="46"/>
      <c r="H98" s="46"/>
      <c r="I98" s="46"/>
      <c r="N98" s="48"/>
      <c r="O98" s="48"/>
      <c r="P98" s="48"/>
      <c r="Q98" s="147"/>
      <c r="R98" s="147"/>
      <c r="S98" s="147"/>
      <c r="T98" s="147"/>
      <c r="U98" s="106"/>
    </row>
    <row r="99" spans="1:21" x14ac:dyDescent="0.25">
      <c r="A99" s="536" t="s">
        <v>470</v>
      </c>
      <c r="B99" s="461"/>
      <c r="C99" s="165">
        <v>54</v>
      </c>
      <c r="D99" s="165">
        <v>0</v>
      </c>
      <c r="E99" s="125">
        <f>C99</f>
        <v>54</v>
      </c>
      <c r="F99" s="148" t="s">
        <v>39</v>
      </c>
      <c r="G99" s="339">
        <f>'0664'!G99</f>
        <v>558</v>
      </c>
      <c r="I99" s="104">
        <f>ROUND(G99*E99,2)</f>
        <v>30132</v>
      </c>
      <c r="N99" s="488" t="s">
        <v>65</v>
      </c>
      <c r="O99" s="488"/>
      <c r="P99" s="489">
        <f>IF(H120=1,E99,0)</f>
        <v>0</v>
      </c>
      <c r="Q99" s="489"/>
      <c r="R99" s="489"/>
      <c r="S99" s="86" t="s">
        <v>39</v>
      </c>
      <c r="T99" s="61">
        <f>G99</f>
        <v>558</v>
      </c>
      <c r="U99" s="99">
        <f>ROUND(T99*P99,0)</f>
        <v>0</v>
      </c>
    </row>
    <row r="100" spans="1:21" x14ac:dyDescent="0.25">
      <c r="A100" s="536" t="s">
        <v>471</v>
      </c>
      <c r="B100" s="461"/>
      <c r="C100" s="165">
        <v>0</v>
      </c>
      <c r="D100" s="165">
        <v>0</v>
      </c>
      <c r="E100" s="125">
        <f>C100</f>
        <v>0</v>
      </c>
      <c r="F100" s="148" t="s">
        <v>39</v>
      </c>
      <c r="G100" s="339">
        <f>'0664'!G100</f>
        <v>1707</v>
      </c>
      <c r="I100" s="104">
        <f>ROUND(G100*E100,2)</f>
        <v>0</v>
      </c>
      <c r="N100" s="488" t="s">
        <v>81</v>
      </c>
      <c r="O100" s="488"/>
      <c r="P100" s="483"/>
      <c r="Q100" s="483"/>
      <c r="R100" s="483"/>
      <c r="S100" s="86" t="s">
        <v>39</v>
      </c>
      <c r="T100" s="61">
        <f>G100</f>
        <v>1707</v>
      </c>
      <c r="U100" s="99">
        <f>ROUND(T100*P100,0)</f>
        <v>0</v>
      </c>
    </row>
    <row r="101" spans="1:21" x14ac:dyDescent="0.25">
      <c r="A101" s="149"/>
      <c r="B101" s="149"/>
      <c r="C101" s="68"/>
      <c r="D101" s="68"/>
      <c r="E101" s="68"/>
      <c r="F101" s="68"/>
      <c r="G101" s="150"/>
      <c r="H101" s="151"/>
      <c r="I101" s="104"/>
      <c r="N101" s="152"/>
      <c r="O101" s="152"/>
      <c r="P101" s="153"/>
      <c r="Q101" s="153"/>
      <c r="R101" s="153"/>
      <c r="S101" s="86"/>
      <c r="T101" s="61"/>
      <c r="U101" s="106"/>
    </row>
    <row r="102" spans="1:21" x14ac:dyDescent="0.25">
      <c r="A102" s="149"/>
      <c r="B102" s="149"/>
      <c r="C102" s="68"/>
      <c r="D102" s="68"/>
      <c r="E102" s="68"/>
      <c r="F102" s="68"/>
      <c r="G102" s="150"/>
      <c r="H102" s="151"/>
      <c r="I102" s="104"/>
      <c r="N102" s="152"/>
      <c r="O102" s="152"/>
      <c r="P102" s="153"/>
      <c r="Q102" s="153"/>
      <c r="R102" s="153"/>
      <c r="S102" s="86"/>
      <c r="T102" s="61"/>
      <c r="U102" s="106"/>
    </row>
    <row r="103" spans="1:21" hidden="1" x14ac:dyDescent="0.25">
      <c r="A103" s="463" t="s">
        <v>447</v>
      </c>
      <c r="B103" s="453"/>
      <c r="C103" s="453"/>
      <c r="D103" s="72"/>
      <c r="E103" s="41" t="s">
        <v>41</v>
      </c>
      <c r="F103" s="466"/>
      <c r="G103" s="466"/>
      <c r="H103" s="466"/>
      <c r="I103" s="466"/>
      <c r="N103" s="478" t="s">
        <v>362</v>
      </c>
      <c r="O103" s="479"/>
      <c r="P103" s="479"/>
      <c r="Q103" s="479"/>
      <c r="R103" s="479"/>
      <c r="S103" s="479"/>
      <c r="T103" s="479"/>
      <c r="U103" s="479"/>
    </row>
    <row r="104" spans="1:21" hidden="1" x14ac:dyDescent="0.25">
      <c r="B104" s="72"/>
      <c r="C104" s="462" t="s">
        <v>91</v>
      </c>
      <c r="D104" s="462"/>
      <c r="E104" s="462"/>
      <c r="F104" s="39"/>
      <c r="G104" s="39"/>
      <c r="H104" s="41" t="s">
        <v>152</v>
      </c>
      <c r="I104" s="39"/>
      <c r="N104" s="48"/>
      <c r="O104" s="48"/>
      <c r="P104" s="48"/>
      <c r="Q104" s="48"/>
      <c r="R104" s="48"/>
      <c r="S104" s="48"/>
      <c r="T104" s="48"/>
      <c r="U104" s="48"/>
    </row>
    <row r="105" spans="1:21" hidden="1" x14ac:dyDescent="0.25">
      <c r="B105" s="72"/>
      <c r="C105" s="91" t="s">
        <v>371</v>
      </c>
      <c r="D105" s="91" t="s">
        <v>351</v>
      </c>
      <c r="E105" s="159" t="s">
        <v>8</v>
      </c>
      <c r="F105" s="464" t="s">
        <v>153</v>
      </c>
      <c r="G105" s="466"/>
      <c r="H105" s="39" t="s">
        <v>38</v>
      </c>
      <c r="I105" s="39"/>
      <c r="N105" s="48"/>
      <c r="O105" s="48"/>
      <c r="P105" s="48"/>
      <c r="Q105" s="48"/>
      <c r="R105" s="48"/>
      <c r="S105" s="48"/>
      <c r="T105" s="48"/>
      <c r="U105" s="48"/>
    </row>
    <row r="106" spans="1:21" hidden="1" x14ac:dyDescent="0.25">
      <c r="A106" s="462" t="s">
        <v>94</v>
      </c>
      <c r="B106" s="462"/>
      <c r="C106" s="93" t="s">
        <v>2</v>
      </c>
      <c r="D106" s="93" t="s">
        <v>2</v>
      </c>
      <c r="E106" s="62" t="s">
        <v>2</v>
      </c>
      <c r="F106" s="462" t="s">
        <v>37</v>
      </c>
      <c r="G106" s="462"/>
      <c r="H106" s="62" t="s">
        <v>37</v>
      </c>
      <c r="I106" s="62" t="s">
        <v>8</v>
      </c>
      <c r="N106" s="484" t="s">
        <v>66</v>
      </c>
      <c r="O106" s="484"/>
      <c r="P106" s="489" t="s">
        <v>91</v>
      </c>
      <c r="Q106" s="489"/>
      <c r="R106" s="484" t="s">
        <v>67</v>
      </c>
      <c r="S106" s="484"/>
      <c r="T106" s="63" t="s">
        <v>68</v>
      </c>
      <c r="U106" s="63" t="s">
        <v>8</v>
      </c>
    </row>
    <row r="107" spans="1:21" hidden="1" x14ac:dyDescent="0.25">
      <c r="A107" s="473" t="s">
        <v>69</v>
      </c>
      <c r="B107" s="473"/>
      <c r="C107" s="163">
        <v>0</v>
      </c>
      <c r="D107" s="163">
        <v>0</v>
      </c>
      <c r="E107" s="210">
        <f>IF(D$59=0,C107*2,C107+D107)</f>
        <v>0</v>
      </c>
      <c r="F107" s="474">
        <v>0</v>
      </c>
      <c r="G107" s="474"/>
      <c r="H107" s="250">
        <f>IF(C107=0,0,125)</f>
        <v>0</v>
      </c>
      <c r="I107" s="104">
        <f>ROUND((H107+F107)*E107,2)</f>
        <v>0</v>
      </c>
      <c r="N107" s="479" t="s">
        <v>69</v>
      </c>
      <c r="O107" s="479"/>
      <c r="P107" s="483">
        <f>IF(H$120=1,C107,0)</f>
        <v>0</v>
      </c>
      <c r="Q107" s="483"/>
      <c r="R107" s="486">
        <f>F107</f>
        <v>0</v>
      </c>
      <c r="S107" s="486"/>
      <c r="T107" s="65">
        <f>H107</f>
        <v>0</v>
      </c>
      <c r="U107" s="99">
        <f>ROUND((T107+R107)*P107,0)</f>
        <v>0</v>
      </c>
    </row>
    <row r="108" spans="1:21" hidden="1" x14ac:dyDescent="0.25">
      <c r="A108" s="456" t="s">
        <v>70</v>
      </c>
      <c r="B108" s="456"/>
      <c r="C108" s="165">
        <v>0</v>
      </c>
      <c r="D108" s="165">
        <v>0</v>
      </c>
      <c r="E108" s="125">
        <f>IF(D$59=0,C108*2,C108+D108)</f>
        <v>0</v>
      </c>
      <c r="F108" s="468">
        <f>ROUND(F107/2,2)</f>
        <v>0</v>
      </c>
      <c r="G108" s="468"/>
      <c r="H108" s="250">
        <f>IF(C108=0,0,62.5)</f>
        <v>0</v>
      </c>
      <c r="I108" s="104">
        <f>ROUND((H108+F108)*E108,2)</f>
        <v>0</v>
      </c>
      <c r="N108" s="479" t="s">
        <v>70</v>
      </c>
      <c r="O108" s="479"/>
      <c r="P108" s="483">
        <f>IF(H$120=1,C108,0)</f>
        <v>0</v>
      </c>
      <c r="Q108" s="483"/>
      <c r="R108" s="487">
        <f>ROUND(R107/2,2)</f>
        <v>0</v>
      </c>
      <c r="S108" s="487"/>
      <c r="T108" s="65">
        <f>H108</f>
        <v>0</v>
      </c>
      <c r="U108" s="99">
        <f>ROUND((T108+R108)*P108,0)</f>
        <v>0</v>
      </c>
    </row>
    <row r="109" spans="1:21" ht="16.5" hidden="1" thickBot="1" x14ac:dyDescent="0.3">
      <c r="A109" s="456" t="s">
        <v>71</v>
      </c>
      <c r="B109" s="456"/>
      <c r="C109" s="165">
        <v>0</v>
      </c>
      <c r="D109" s="165">
        <v>0</v>
      </c>
      <c r="E109" s="125">
        <f>IF(D$59=0,C109*2,C109+D109)</f>
        <v>0</v>
      </c>
      <c r="F109" s="475"/>
      <c r="G109" s="475"/>
      <c r="H109" s="251">
        <f>IF(H107&gt;0,436,0)</f>
        <v>0</v>
      </c>
      <c r="I109" s="104">
        <f>ROUND(H109*E109,2)</f>
        <v>0</v>
      </c>
      <c r="N109" s="482" t="s">
        <v>71</v>
      </c>
      <c r="O109" s="482"/>
      <c r="P109" s="483">
        <f>IF(H$120=1,C109,0)</f>
        <v>0</v>
      </c>
      <c r="Q109" s="483"/>
      <c r="R109" s="484"/>
      <c r="S109" s="484"/>
      <c r="T109" s="67">
        <f>H109</f>
        <v>0</v>
      </c>
      <c r="U109" s="106">
        <f>ROUND(T109*P109,0)</f>
        <v>0</v>
      </c>
    </row>
    <row r="110" spans="1:21" ht="16.5" hidden="1" thickBot="1" x14ac:dyDescent="0.3">
      <c r="A110" s="466" t="s">
        <v>8</v>
      </c>
      <c r="B110" s="466"/>
      <c r="C110" s="68"/>
      <c r="D110" s="68"/>
      <c r="E110" s="68"/>
      <c r="F110" s="68"/>
      <c r="G110" s="68"/>
      <c r="H110" s="68"/>
      <c r="I110" s="100">
        <f>SUM(I107:I109)</f>
        <v>0</v>
      </c>
      <c r="N110" s="485" t="s">
        <v>8</v>
      </c>
      <c r="O110" s="485"/>
      <c r="P110" s="69"/>
      <c r="Q110" s="69"/>
      <c r="R110" s="69"/>
      <c r="S110" s="69"/>
      <c r="T110" s="69"/>
      <c r="U110" s="70">
        <f>SUM(U107:U109)</f>
        <v>0</v>
      </c>
    </row>
    <row r="111" spans="1:21" hidden="1" x14ac:dyDescent="0.25">
      <c r="A111" s="39"/>
      <c r="B111" s="39"/>
      <c r="C111" s="68"/>
      <c r="D111" s="68"/>
      <c r="E111" s="68"/>
      <c r="F111" s="68"/>
      <c r="G111" s="68"/>
      <c r="H111" s="68"/>
      <c r="I111" s="104"/>
      <c r="N111" s="40"/>
      <c r="O111" s="40"/>
      <c r="P111" s="69"/>
      <c r="Q111" s="69"/>
      <c r="R111" s="69"/>
      <c r="S111" s="69"/>
      <c r="T111" s="69"/>
      <c r="U111" s="160"/>
    </row>
    <row r="112" spans="1:21" x14ac:dyDescent="0.25">
      <c r="A112" s="463" t="s">
        <v>448</v>
      </c>
      <c r="B112" s="453"/>
      <c r="C112" s="453"/>
      <c r="D112" s="72"/>
      <c r="E112" s="71" t="s">
        <v>354</v>
      </c>
      <c r="F112" s="472"/>
      <c r="G112" s="472"/>
      <c r="H112" s="472"/>
      <c r="I112" s="125">
        <v>0</v>
      </c>
      <c r="N112" s="478" t="s">
        <v>427</v>
      </c>
      <c r="O112" s="479"/>
      <c r="P112" s="479"/>
      <c r="Q112" s="341"/>
      <c r="R112" s="341"/>
      <c r="S112" s="341"/>
      <c r="T112" s="341"/>
      <c r="U112" s="99">
        <f>IF($H$120=1,I112,0)</f>
        <v>0</v>
      </c>
    </row>
    <row r="113" spans="1:21" x14ac:dyDescent="0.25">
      <c r="A113" s="463" t="s">
        <v>449</v>
      </c>
      <c r="B113" s="453"/>
      <c r="C113" s="453"/>
      <c r="D113" s="72"/>
      <c r="E113" s="71" t="s">
        <v>45</v>
      </c>
      <c r="F113" s="472"/>
      <c r="G113" s="472"/>
      <c r="H113" s="472"/>
      <c r="I113" s="177">
        <v>0</v>
      </c>
      <c r="N113" s="478" t="s">
        <v>428</v>
      </c>
      <c r="O113" s="479"/>
      <c r="P113" s="479"/>
      <c r="Q113" s="341"/>
      <c r="R113" s="341"/>
      <c r="S113" s="341"/>
      <c r="T113" s="341"/>
      <c r="U113" s="99">
        <f>IF($H$120=1,I113,0)</f>
        <v>0</v>
      </c>
    </row>
    <row r="114" spans="1:21" ht="16.5" thickBot="1" x14ac:dyDescent="0.3">
      <c r="B114" s="72"/>
      <c r="C114" s="72"/>
      <c r="D114" s="72"/>
      <c r="E114" s="71"/>
      <c r="F114" s="71"/>
      <c r="G114" s="71"/>
      <c r="H114" s="71"/>
      <c r="I114" s="125"/>
      <c r="N114" s="480" t="s">
        <v>42</v>
      </c>
      <c r="O114" s="480"/>
      <c r="P114" s="480"/>
      <c r="Q114" s="480"/>
      <c r="R114" s="480"/>
      <c r="S114" s="480"/>
      <c r="T114" s="480"/>
      <c r="U114" s="154">
        <f>SUM(U112,U110,U100,U99,U93,U77,U76,U74,U73,U72,U71,U70,U68,U59,U45,U78,U79,U80,U85,U113)</f>
        <v>0</v>
      </c>
    </row>
    <row r="115" spans="1:21" ht="16.5" thickTop="1" x14ac:dyDescent="0.25">
      <c r="A115" s="461" t="s">
        <v>8</v>
      </c>
      <c r="B115" s="461"/>
      <c r="C115" s="461"/>
      <c r="D115" s="461"/>
      <c r="E115" s="461"/>
      <c r="F115" s="461"/>
      <c r="G115" s="461"/>
      <c r="H115" s="461"/>
      <c r="I115" s="97">
        <f>SUM(I113,I112,I110,I100,I99,I93,I85,I84,I80,I79,I78,I77,I76,I74,I73,I72,I71,I70,I68,I59,I45)</f>
        <v>5759634.0500000007</v>
      </c>
      <c r="N115" s="29"/>
      <c r="O115" s="29"/>
      <c r="P115" s="29"/>
      <c r="Q115" s="29"/>
      <c r="R115" s="29"/>
      <c r="S115" s="29"/>
      <c r="T115" s="29"/>
      <c r="U115" s="160"/>
    </row>
    <row r="116" spans="1:21" x14ac:dyDescent="0.25">
      <c r="A116" s="27"/>
      <c r="B116" s="27"/>
      <c r="C116" s="27"/>
      <c r="D116" s="27"/>
      <c r="E116" s="27"/>
      <c r="F116" s="27"/>
      <c r="G116" s="27"/>
      <c r="H116" s="27"/>
      <c r="I116" s="104"/>
      <c r="N116" s="29"/>
      <c r="O116" s="29"/>
      <c r="P116" s="29"/>
      <c r="Q116" s="29"/>
      <c r="R116" s="29"/>
      <c r="S116" s="29"/>
      <c r="T116" s="29"/>
      <c r="U116" s="160"/>
    </row>
    <row r="117" spans="1:21" x14ac:dyDescent="0.25">
      <c r="A117" s="432" t="s">
        <v>467</v>
      </c>
      <c r="B117" s="27"/>
      <c r="C117" s="27"/>
      <c r="D117" s="27"/>
      <c r="E117" s="27"/>
      <c r="F117" s="27"/>
      <c r="G117" s="27"/>
      <c r="H117" s="27"/>
      <c r="I117" s="104">
        <f>I115-I84</f>
        <v>5534474.1400000006</v>
      </c>
      <c r="N117" s="29"/>
      <c r="O117" s="29"/>
      <c r="P117" s="29"/>
      <c r="Q117" s="29"/>
      <c r="R117" s="29"/>
      <c r="S117" s="29"/>
      <c r="T117" s="29"/>
      <c r="U117" s="160"/>
    </row>
    <row r="118" spans="1:21" x14ac:dyDescent="0.25">
      <c r="A118" s="27"/>
      <c r="B118" s="27"/>
      <c r="C118" s="27"/>
      <c r="D118" s="27"/>
      <c r="E118" s="27"/>
      <c r="F118" s="27"/>
      <c r="G118" s="27"/>
      <c r="H118" s="27"/>
      <c r="I118" s="104"/>
      <c r="N118" s="29"/>
      <c r="O118" s="29"/>
      <c r="P118" s="29"/>
      <c r="Q118" s="29"/>
      <c r="R118" s="29"/>
      <c r="S118" s="29"/>
      <c r="T118" s="29"/>
      <c r="U118" s="160"/>
    </row>
    <row r="119" spans="1:21" x14ac:dyDescent="0.25">
      <c r="A119" s="463" t="s">
        <v>468</v>
      </c>
      <c r="B119" s="453"/>
      <c r="C119" s="453"/>
      <c r="D119" s="453"/>
      <c r="E119" s="453"/>
      <c r="F119" s="453"/>
      <c r="G119" s="453"/>
      <c r="H119" s="84" t="s">
        <v>394</v>
      </c>
      <c r="I119" s="156"/>
      <c r="N119" s="481"/>
      <c r="O119" s="481"/>
      <c r="P119" s="481"/>
      <c r="Q119" s="481"/>
      <c r="R119" s="481"/>
      <c r="S119" s="481"/>
      <c r="T119" s="481"/>
      <c r="U119" s="481"/>
    </row>
    <row r="120" spans="1:21" x14ac:dyDescent="0.25">
      <c r="A120" s="453" t="s">
        <v>95</v>
      </c>
      <c r="B120" s="453"/>
      <c r="C120" s="453"/>
      <c r="D120" s="453"/>
      <c r="E120" s="453"/>
      <c r="F120" s="453"/>
      <c r="G120" s="453"/>
      <c r="H120" s="73" t="str">
        <f>IF(E29=0,"",IF((E14+E16+SUM(E18:E24))/E29&gt;0.75,1,""))</f>
        <v/>
      </c>
      <c r="I120" s="125">
        <f>U114</f>
        <v>0</v>
      </c>
      <c r="N120" s="476" t="s">
        <v>7</v>
      </c>
      <c r="O120" s="476"/>
      <c r="P120" s="476"/>
      <c r="Q120" s="476"/>
      <c r="R120" s="476"/>
      <c r="S120" s="476"/>
      <c r="T120" s="476"/>
      <c r="U120" s="476"/>
    </row>
    <row r="121" spans="1:21" x14ac:dyDescent="0.25">
      <c r="B121" s="72"/>
      <c r="C121" s="72"/>
      <c r="D121" s="72"/>
      <c r="E121" s="72"/>
      <c r="F121" s="72"/>
      <c r="G121" s="72"/>
      <c r="H121" s="68"/>
      <c r="I121" s="104"/>
      <c r="N121" s="74" t="s">
        <v>106</v>
      </c>
      <c r="O121" s="74"/>
      <c r="P121" s="74"/>
      <c r="Q121" s="74"/>
      <c r="R121" s="74"/>
      <c r="S121" s="74"/>
      <c r="T121" s="74"/>
      <c r="U121" s="74"/>
    </row>
    <row r="122" spans="1:21" x14ac:dyDescent="0.25">
      <c r="A122" s="3" t="s">
        <v>102</v>
      </c>
      <c r="B122" s="72"/>
      <c r="C122" s="72"/>
      <c r="D122" s="72"/>
      <c r="E122" s="72"/>
      <c r="F122" s="72"/>
      <c r="G122" s="286"/>
      <c r="H122" s="161">
        <f>IF(H120=1,I120,I117)</f>
        <v>5534474.1400000006</v>
      </c>
      <c r="I122" s="97">
        <f>ROUND(IF(E29=0,0,IF(E29&gt;250,-(((250/E29)*H122)*IF(G122="H",0.02,0.05)),IF(G122="H",-0.02*H122,-0.05*H122))),2)</f>
        <v>-97130.12</v>
      </c>
      <c r="N122" s="75" t="s">
        <v>107</v>
      </c>
      <c r="O122" s="74"/>
      <c r="P122" s="74"/>
      <c r="Q122" s="74"/>
      <c r="R122" s="74"/>
      <c r="S122" s="74"/>
      <c r="T122" s="74"/>
      <c r="U122" s="74"/>
    </row>
    <row r="123" spans="1:21" x14ac:dyDescent="0.25">
      <c r="B123" s="72"/>
      <c r="C123" s="72"/>
      <c r="D123" s="72"/>
      <c r="E123" s="72"/>
      <c r="F123" s="72"/>
      <c r="G123" s="72"/>
      <c r="H123" s="68"/>
      <c r="I123" s="104"/>
      <c r="N123" s="76"/>
      <c r="O123" s="76"/>
      <c r="P123" s="76"/>
      <c r="Q123" s="76"/>
      <c r="R123" s="76"/>
      <c r="S123" s="76"/>
      <c r="T123" s="76"/>
      <c r="U123" s="76"/>
    </row>
    <row r="124" spans="1:21" x14ac:dyDescent="0.25">
      <c r="A124" s="345" t="s">
        <v>103</v>
      </c>
      <c r="B124" s="346"/>
      <c r="C124" s="346"/>
      <c r="D124" s="346"/>
      <c r="E124" s="346"/>
      <c r="F124" s="346"/>
      <c r="G124" s="346"/>
      <c r="H124" s="347"/>
      <c r="I124" s="348">
        <f>I115+I122</f>
        <v>5662503.9300000006</v>
      </c>
      <c r="N124" s="76"/>
      <c r="O124" s="76"/>
      <c r="P124" s="76"/>
      <c r="Q124" s="76"/>
      <c r="R124" s="76"/>
      <c r="S124" s="76"/>
      <c r="T124" s="76"/>
      <c r="U124" s="76"/>
    </row>
    <row r="125" spans="1:21" x14ac:dyDescent="0.25">
      <c r="B125" s="72"/>
      <c r="C125" s="72"/>
      <c r="D125" s="72"/>
      <c r="E125" s="72"/>
      <c r="F125" s="72"/>
      <c r="G125" s="72"/>
      <c r="H125" s="68"/>
      <c r="I125" s="104"/>
      <c r="N125" s="76"/>
      <c r="O125" s="76"/>
      <c r="P125" s="76"/>
      <c r="Q125" s="76"/>
      <c r="R125" s="76"/>
      <c r="S125" s="76"/>
      <c r="T125" s="76"/>
      <c r="U125" s="76"/>
    </row>
    <row r="126" spans="1:21" x14ac:dyDescent="0.25">
      <c r="A126" s="3" t="s">
        <v>104</v>
      </c>
      <c r="B126" s="72"/>
      <c r="C126" s="162"/>
      <c r="D126" s="72"/>
      <c r="F126" s="72"/>
      <c r="G126" s="72"/>
      <c r="H126" s="68"/>
      <c r="I126" s="302">
        <v>-4458394.87</v>
      </c>
      <c r="N126" s="76"/>
      <c r="O126" s="76"/>
      <c r="P126" s="76"/>
      <c r="Q126" s="76"/>
      <c r="R126" s="76"/>
      <c r="S126" s="76"/>
      <c r="T126" s="76"/>
      <c r="U126" s="76"/>
    </row>
    <row r="127" spans="1:21" x14ac:dyDescent="0.25">
      <c r="B127" s="72"/>
      <c r="C127" s="72"/>
      <c r="D127" s="72"/>
      <c r="E127" s="72"/>
      <c r="F127" s="72"/>
      <c r="G127" s="72"/>
      <c r="H127" s="68"/>
      <c r="I127" s="104"/>
      <c r="N127" s="76"/>
      <c r="O127" s="76"/>
      <c r="P127" s="76"/>
      <c r="Q127" s="76"/>
      <c r="R127" s="76"/>
      <c r="S127" s="76"/>
      <c r="T127" s="76"/>
      <c r="U127" s="76"/>
    </row>
    <row r="128" spans="1:21" x14ac:dyDescent="0.25">
      <c r="A128" s="84" t="s">
        <v>297</v>
      </c>
      <c r="B128" s="72"/>
      <c r="C128" s="72"/>
      <c r="D128" s="72"/>
      <c r="E128" s="72"/>
      <c r="F128" s="72"/>
      <c r="G128" s="72"/>
      <c r="H128" s="68"/>
      <c r="I128" s="104">
        <f>I124+I126</f>
        <v>1204109.0600000005</v>
      </c>
      <c r="N128" s="76"/>
      <c r="O128" s="76"/>
      <c r="P128" s="76"/>
      <c r="Q128" s="76"/>
      <c r="R128" s="76"/>
      <c r="S128" s="76"/>
      <c r="T128" s="76"/>
      <c r="U128" s="76"/>
    </row>
    <row r="129" spans="1:21" x14ac:dyDescent="0.25">
      <c r="A129" s="84"/>
      <c r="B129" s="72"/>
      <c r="C129" s="72"/>
      <c r="D129" s="72"/>
      <c r="E129" s="72"/>
      <c r="F129" s="72"/>
      <c r="G129" s="72"/>
      <c r="H129" s="68"/>
      <c r="I129" s="104"/>
      <c r="N129" s="76"/>
      <c r="O129" s="76"/>
      <c r="P129" s="76"/>
      <c r="Q129" s="76"/>
      <c r="R129" s="76"/>
      <c r="S129" s="76"/>
      <c r="T129" s="76"/>
      <c r="U129" s="76"/>
    </row>
    <row r="130" spans="1:21" x14ac:dyDescent="0.25">
      <c r="A130" s="84" t="s">
        <v>298</v>
      </c>
      <c r="B130" s="72"/>
      <c r="C130" s="72"/>
      <c r="D130" s="72"/>
      <c r="E130" s="72"/>
      <c r="F130" s="72"/>
      <c r="G130" s="72"/>
      <c r="H130" s="68"/>
      <c r="I130" s="303">
        <f>'0664'!I130</f>
        <v>3</v>
      </c>
      <c r="N130" s="76"/>
      <c r="O130" s="76"/>
      <c r="P130" s="76"/>
      <c r="Q130" s="76"/>
      <c r="R130" s="76"/>
      <c r="S130" s="76"/>
      <c r="T130" s="76"/>
      <c r="U130" s="76"/>
    </row>
    <row r="131" spans="1:21" x14ac:dyDescent="0.25">
      <c r="B131" s="72"/>
      <c r="C131" s="72"/>
      <c r="D131" s="72"/>
      <c r="E131" s="72"/>
      <c r="F131" s="72"/>
      <c r="G131" s="72"/>
      <c r="H131" s="68"/>
      <c r="I131" s="104"/>
      <c r="N131" s="76"/>
      <c r="O131" s="76"/>
      <c r="P131" s="76"/>
      <c r="Q131" s="76"/>
      <c r="R131" s="76"/>
      <c r="S131" s="76"/>
      <c r="T131" s="76"/>
      <c r="U131" s="76"/>
    </row>
    <row r="132" spans="1:21" ht="16.5" thickBot="1" x14ac:dyDescent="0.3">
      <c r="A132" s="3" t="s">
        <v>105</v>
      </c>
      <c r="B132" s="72"/>
      <c r="C132" s="72"/>
      <c r="D132" s="72"/>
      <c r="E132" s="72"/>
      <c r="F132" s="72"/>
      <c r="G132" s="72"/>
      <c r="H132" s="68"/>
      <c r="I132" s="178">
        <f>ROUND(I128/I130,2)</f>
        <v>401369.69</v>
      </c>
      <c r="N132" s="76"/>
      <c r="O132" s="76"/>
      <c r="P132" s="76"/>
      <c r="Q132" s="76"/>
      <c r="R132" s="76"/>
      <c r="S132" s="76"/>
      <c r="T132" s="76"/>
      <c r="U132" s="76"/>
    </row>
    <row r="133" spans="1:21" ht="16.5" thickTop="1" x14ac:dyDescent="0.25">
      <c r="B133" s="72"/>
      <c r="C133" s="72"/>
      <c r="D133" s="72"/>
      <c r="E133" s="72"/>
      <c r="F133" s="72"/>
      <c r="G133" s="72"/>
      <c r="H133" s="68"/>
      <c r="I133" s="104"/>
      <c r="N133" s="76"/>
      <c r="O133" s="76"/>
      <c r="P133" s="76"/>
      <c r="Q133" s="76"/>
      <c r="R133" s="76"/>
      <c r="S133" s="76"/>
      <c r="T133" s="76"/>
      <c r="U133" s="76"/>
    </row>
    <row r="134" spans="1:21" ht="16.5" thickBot="1" x14ac:dyDescent="0.3">
      <c r="A134" s="3" t="s">
        <v>121</v>
      </c>
      <c r="B134" s="72"/>
      <c r="C134" s="72"/>
      <c r="D134" s="72"/>
      <c r="E134" s="72"/>
      <c r="F134" s="72"/>
      <c r="G134" s="72"/>
      <c r="H134" s="68"/>
      <c r="I134" s="155">
        <f>ROUND(IF(G122="H",(H122*0.02)+I122,(H122*0.05)+I122),2)</f>
        <v>179593.59</v>
      </c>
      <c r="N134" s="76"/>
      <c r="O134" s="76"/>
      <c r="P134" s="76"/>
      <c r="Q134" s="76"/>
      <c r="R134" s="76"/>
      <c r="S134" s="76"/>
      <c r="T134" s="76"/>
      <c r="U134" s="76"/>
    </row>
    <row r="135" spans="1:21" ht="16.5" thickTop="1" x14ac:dyDescent="0.25">
      <c r="B135" s="72"/>
      <c r="C135" s="72"/>
      <c r="D135" s="72"/>
      <c r="E135" s="72"/>
      <c r="F135" s="72"/>
      <c r="G135" s="72"/>
      <c r="H135" s="68"/>
      <c r="I135" s="156"/>
      <c r="N135" s="76"/>
      <c r="O135" s="76"/>
      <c r="P135" s="76"/>
      <c r="Q135" s="76"/>
      <c r="R135" s="76"/>
      <c r="S135" s="76"/>
      <c r="T135" s="76"/>
      <c r="U135" s="76"/>
    </row>
    <row r="136" spans="1:21" x14ac:dyDescent="0.25">
      <c r="B136" s="72"/>
      <c r="C136" s="72"/>
      <c r="D136" s="72"/>
      <c r="E136" s="72"/>
      <c r="F136" s="72"/>
      <c r="G136" s="72"/>
      <c r="H136" s="68"/>
      <c r="I136" s="104"/>
      <c r="N136" s="76"/>
      <c r="O136" s="76"/>
      <c r="P136" s="76"/>
      <c r="Q136" s="76"/>
      <c r="R136" s="76"/>
      <c r="S136" s="76"/>
      <c r="T136" s="76"/>
      <c r="U136" s="76"/>
    </row>
    <row r="137" spans="1:21" x14ac:dyDescent="0.25">
      <c r="B137" s="72"/>
      <c r="C137" s="72"/>
      <c r="D137" s="72"/>
      <c r="E137" s="72"/>
      <c r="F137" s="72"/>
      <c r="G137" s="72"/>
      <c r="H137" s="68"/>
      <c r="I137" s="156"/>
      <c r="N137" s="76"/>
      <c r="O137" s="76"/>
      <c r="P137" s="76"/>
      <c r="Q137" s="76"/>
      <c r="R137" s="76"/>
      <c r="S137" s="76"/>
      <c r="T137" s="76"/>
      <c r="U137" s="76"/>
    </row>
    <row r="138" spans="1:21" x14ac:dyDescent="0.25">
      <c r="A138" s="281" t="s">
        <v>7</v>
      </c>
      <c r="B138" s="281"/>
      <c r="C138" s="281"/>
      <c r="D138" s="281"/>
      <c r="E138" s="281"/>
      <c r="F138" s="281"/>
      <c r="G138" s="281"/>
      <c r="H138" s="281"/>
      <c r="I138" s="281"/>
      <c r="J138" s="156"/>
      <c r="N138" s="76"/>
      <c r="O138" s="76"/>
      <c r="P138" s="76"/>
      <c r="Q138" s="76"/>
      <c r="R138" s="76"/>
      <c r="S138" s="76"/>
      <c r="T138" s="76"/>
      <c r="U138" s="76"/>
    </row>
    <row r="139" spans="1:21" ht="15.75" customHeight="1" x14ac:dyDescent="0.25">
      <c r="A139" s="356" t="str">
        <f>'0664'!A139</f>
        <v>(a) Additional FTE includes FTE earned through Advanced Placement, International Baccalaureate, Advanced International Certificate of Education, Industry Certified Career</v>
      </c>
      <c r="B139" s="357"/>
      <c r="C139" s="357"/>
      <c r="D139" s="357"/>
      <c r="E139" s="357"/>
      <c r="F139" s="357"/>
      <c r="G139" s="357"/>
      <c r="H139" s="357"/>
      <c r="I139" s="357"/>
      <c r="J139" s="80"/>
      <c r="K139" s="79"/>
      <c r="L139" s="79"/>
      <c r="M139" s="79"/>
      <c r="N139" s="477"/>
      <c r="O139" s="477"/>
      <c r="P139" s="477"/>
      <c r="Q139" s="477"/>
      <c r="R139" s="477"/>
      <c r="S139" s="477"/>
      <c r="T139" s="477"/>
      <c r="U139" s="477"/>
    </row>
    <row r="140" spans="1:21" ht="15.75" customHeight="1" x14ac:dyDescent="0.25">
      <c r="A140" s="390" t="str">
        <f>'0664'!A140</f>
        <v xml:space="preserve">Education (CAPE), Early High School Graduation and the small district ESE Supplement, pursuant to s. 1011.62(1)(l-p), F.S. </v>
      </c>
      <c r="B140" s="357"/>
      <c r="C140" s="357"/>
      <c r="D140" s="357"/>
      <c r="E140" s="357"/>
      <c r="F140" s="357"/>
      <c r="G140" s="357"/>
      <c r="H140" s="357"/>
      <c r="I140" s="357"/>
      <c r="J140" s="80"/>
      <c r="K140" s="79"/>
      <c r="L140" s="79"/>
      <c r="M140" s="79"/>
      <c r="N140" s="76"/>
      <c r="O140" s="76"/>
      <c r="P140" s="76"/>
      <c r="Q140" s="76"/>
      <c r="R140" s="76"/>
      <c r="S140" s="76"/>
      <c r="T140" s="76"/>
      <c r="U140" s="76"/>
    </row>
    <row r="141" spans="1:21" x14ac:dyDescent="0.25">
      <c r="A141" s="356" t="str">
        <f>'0664'!A141</f>
        <v>(b) District allocations multiplied by percentage from item 3A.</v>
      </c>
      <c r="B141" s="281"/>
      <c r="C141" s="281"/>
      <c r="D141" s="281"/>
      <c r="E141" s="281"/>
      <c r="F141" s="281"/>
      <c r="G141" s="281"/>
      <c r="H141" s="281"/>
      <c r="I141" s="281"/>
      <c r="J141" s="79"/>
      <c r="K141" s="79"/>
      <c r="L141" s="79"/>
      <c r="M141" s="79"/>
      <c r="N141" s="81"/>
      <c r="O141" s="82"/>
      <c r="P141" s="82"/>
      <c r="Q141" s="82"/>
      <c r="R141" s="82"/>
      <c r="S141" s="82"/>
      <c r="T141" s="82"/>
      <c r="U141" s="82"/>
    </row>
    <row r="142" spans="1:21" s="79" customFormat="1" x14ac:dyDescent="0.2">
      <c r="A142" s="356" t="str">
        <f>'0664'!A142</f>
        <v>(c) District allocations multiplied by percentage from item 3B.</v>
      </c>
      <c r="B142" s="281"/>
      <c r="C142" s="281"/>
      <c r="D142" s="281"/>
      <c r="E142" s="281"/>
      <c r="F142" s="281"/>
      <c r="G142" s="281"/>
      <c r="H142" s="281"/>
      <c r="I142" s="281"/>
      <c r="N142" s="81"/>
    </row>
    <row r="143" spans="1:21" s="79" customFormat="1" ht="15.75" customHeight="1" x14ac:dyDescent="0.2">
      <c r="A143" s="356" t="str">
        <f>'0664'!A143</f>
        <v>(d) The Digital Classroom Allocation is provided pursuant to s. 1011.62(12), F.S.</v>
      </c>
      <c r="B143" s="281"/>
      <c r="C143" s="281"/>
      <c r="D143" s="281"/>
      <c r="E143" s="281"/>
      <c r="F143" s="281"/>
      <c r="G143" s="281"/>
      <c r="H143" s="281"/>
      <c r="I143" s="281"/>
      <c r="N143" s="81"/>
    </row>
    <row r="144" spans="1:21" s="79" customFormat="1" ht="15.75" customHeight="1" x14ac:dyDescent="0.2">
      <c r="A144" s="356" t="str">
        <f>'0664'!A144</f>
        <v>(e) School districts are required to pay for instructional materials used for the instruction of public high school students who are earning credit toward high school</v>
      </c>
      <c r="B144" s="281"/>
      <c r="C144" s="281"/>
      <c r="D144" s="281"/>
      <c r="E144" s="281"/>
      <c r="F144" s="281"/>
      <c r="G144" s="281"/>
      <c r="H144" s="281"/>
      <c r="I144" s="281"/>
      <c r="N144" s="81"/>
    </row>
    <row r="145" spans="1:14" s="79" customFormat="1" ht="15.75" customHeight="1" x14ac:dyDescent="0.2">
      <c r="A145" s="390" t="str">
        <f>'0664'!A145</f>
        <v xml:space="preserve">graduation under the dual enrollment program as provided in s. 1011.62(l)(i), F.S.  </v>
      </c>
      <c r="B145" s="281"/>
      <c r="C145" s="281"/>
      <c r="D145" s="281"/>
      <c r="E145" s="281"/>
      <c r="F145" s="281"/>
      <c r="G145" s="281"/>
      <c r="H145" s="281"/>
      <c r="I145" s="281"/>
      <c r="N145" s="81"/>
    </row>
    <row r="146" spans="1:14" s="79" customFormat="1" x14ac:dyDescent="0.2">
      <c r="A146" s="356" t="str">
        <f>'0664'!A146</f>
        <v>(f) This allocation will be frozen as of the 2021-22 FEFP Second Calculation and will not be recalculated throughout the year. Charter school allocations should be</v>
      </c>
      <c r="B146" s="281"/>
      <c r="C146" s="281"/>
      <c r="D146" s="281"/>
      <c r="E146" s="281"/>
      <c r="F146" s="281"/>
      <c r="G146" s="281"/>
      <c r="H146" s="281"/>
      <c r="I146" s="281"/>
      <c r="N146" s="81"/>
    </row>
    <row r="147" spans="1:14" s="79" customFormat="1" x14ac:dyDescent="0.2">
      <c r="A147" s="358" t="str">
        <f>'0664'!A147</f>
        <v xml:space="preserve">distributed on weighted FTE (or base funding as is done in the FEFP) and should not be recalculated with fluctuations in student enrollment later in the year. </v>
      </c>
      <c r="B147" s="281"/>
      <c r="C147" s="281"/>
      <c r="D147" s="281"/>
      <c r="E147" s="281"/>
      <c r="F147" s="281"/>
      <c r="G147" s="281"/>
      <c r="H147" s="281"/>
      <c r="I147" s="281"/>
      <c r="N147" s="81"/>
    </row>
    <row r="148" spans="1:14" s="79" customFormat="1" x14ac:dyDescent="0.2">
      <c r="A148" s="356" t="str">
        <f>'0664'!A148</f>
        <v>(g) Numbers entered here will be multiplied by the district level transportation funding per rider. "All Adjusted Fundable Riders" should include both basic and ESE Riders.</v>
      </c>
      <c r="B148" s="281"/>
      <c r="C148" s="281"/>
      <c r="D148" s="281"/>
      <c r="E148" s="281"/>
      <c r="F148" s="281"/>
      <c r="G148" s="281"/>
      <c r="H148" s="281"/>
      <c r="I148" s="281"/>
      <c r="N148" s="81"/>
    </row>
    <row r="149" spans="1:14" s="79" customFormat="1" x14ac:dyDescent="0.2">
      <c r="A149" s="390" t="str">
        <f>'0664'!A149</f>
        <v>"All Adjusted ESE Riders" should include only ESE Riders.</v>
      </c>
      <c r="B149" s="281"/>
      <c r="C149" s="281"/>
      <c r="D149" s="281"/>
      <c r="E149" s="281"/>
      <c r="F149" s="281"/>
      <c r="G149" s="281"/>
      <c r="H149" s="281"/>
      <c r="I149" s="281"/>
      <c r="N149" s="81"/>
    </row>
    <row r="150" spans="1:14" s="79" customFormat="1" x14ac:dyDescent="0.2">
      <c r="A150" s="356" t="str">
        <f>'0664'!A150</f>
        <v xml:space="preserve">(h) The Federally Connected Student Supplement provides additional funding for students on federal lands that receive Section 8003 impact aide pursuant to s. 1011.62(13), F.S. </v>
      </c>
      <c r="B150" s="281"/>
      <c r="C150" s="281"/>
      <c r="D150" s="281"/>
      <c r="E150" s="281"/>
      <c r="F150" s="281"/>
      <c r="G150" s="281"/>
      <c r="H150" s="281"/>
      <c r="I150" s="281"/>
      <c r="N150" s="81"/>
    </row>
    <row r="151" spans="1:14" s="79" customFormat="1" x14ac:dyDescent="0.2">
      <c r="A151" s="356" t="str">
        <f>'0664'!A151</f>
        <v>(i) Teacher Classroom Supply Assistance Program allocation pursuant to s. 1012.71, F.S., for certified teachers employed by a public school district or public charter school</v>
      </c>
      <c r="B151" s="281"/>
      <c r="C151" s="281"/>
      <c r="D151" s="281"/>
      <c r="E151" s="281"/>
      <c r="F151" s="281"/>
      <c r="G151" s="281"/>
      <c r="H151" s="281"/>
      <c r="I151" s="281"/>
      <c r="N151" s="81"/>
    </row>
    <row r="152" spans="1:14" s="79" customFormat="1" x14ac:dyDescent="0.2">
      <c r="A152" s="358" t="str">
        <f>'0664'!A152</f>
        <v xml:space="preserve">before September 1 of each year whose full-time or job-share responsibility is the classroom instruction of students in prekindergarten through grade 12, including </v>
      </c>
      <c r="B152" s="281"/>
      <c r="C152" s="281"/>
      <c r="D152" s="281"/>
      <c r="E152" s="281"/>
      <c r="F152" s="281"/>
      <c r="G152" s="281"/>
      <c r="H152" s="281"/>
      <c r="I152" s="281"/>
      <c r="N152" s="81"/>
    </row>
    <row r="153" spans="1:14" s="79" customFormat="1" ht="15.75" customHeight="1" x14ac:dyDescent="0.2">
      <c r="A153" s="358" t="str">
        <f>'0664'!A153</f>
        <v>full-time media specialists and certified school counselors serving students in prekindergarten through grade 12, who are funded through the FEFP.</v>
      </c>
      <c r="B153" s="281"/>
      <c r="C153" s="281"/>
      <c r="D153" s="281"/>
      <c r="E153" s="281"/>
      <c r="F153" s="281"/>
      <c r="G153" s="281"/>
      <c r="H153" s="281"/>
      <c r="I153" s="281"/>
      <c r="N153" s="81"/>
    </row>
    <row r="154" spans="1:14" s="79" customFormat="1" ht="15.75" customHeight="1" x14ac:dyDescent="0.2">
      <c r="A154" s="356" t="str">
        <f>'0664'!A154</f>
        <v xml:space="preserve">(j) Funding based on student eligibility and meals provided, if participating in the National School Lunch Program. </v>
      </c>
      <c r="B154" s="328"/>
      <c r="C154" s="328"/>
      <c r="D154" s="328"/>
      <c r="E154" s="328"/>
      <c r="F154" s="328"/>
      <c r="G154" s="328"/>
      <c r="H154" s="328"/>
      <c r="I154" s="328"/>
      <c r="N154" s="81"/>
    </row>
    <row r="155" spans="1:14" s="79" customFormat="1" ht="15.75" customHeight="1" x14ac:dyDescent="0.2">
      <c r="A155" s="356" t="str">
        <f>'0664'!A155</f>
        <v>(k) Consistent with s. 1002.33(20)(a), F.S., for charter schools with a population of 75% or more ESE students, the administrative fee shall be calculated based on</v>
      </c>
      <c r="B155" s="381"/>
      <c r="C155" s="381"/>
      <c r="D155" s="381"/>
      <c r="E155" s="381"/>
      <c r="F155" s="381"/>
      <c r="G155" s="381"/>
      <c r="H155" s="381"/>
      <c r="I155" s="381"/>
      <c r="N155" s="81"/>
    </row>
    <row r="156" spans="1:14" s="79" customFormat="1" ht="15.75" customHeight="1" x14ac:dyDescent="0.2">
      <c r="A156" s="390" t="str">
        <f>'0664'!A156</f>
        <v xml:space="preserve">unweighted full-time equivalent students. </v>
      </c>
      <c r="B156" s="381"/>
      <c r="C156" s="381"/>
      <c r="D156" s="381"/>
      <c r="E156" s="381"/>
      <c r="F156" s="381"/>
      <c r="G156" s="381"/>
      <c r="H156" s="381"/>
      <c r="I156" s="381"/>
      <c r="N156" s="81"/>
    </row>
    <row r="157" spans="1:14" s="79" customFormat="1" ht="15.75" customHeight="1" x14ac:dyDescent="0.2">
      <c r="A157" s="356"/>
      <c r="B157" s="381"/>
      <c r="C157" s="381"/>
      <c r="D157" s="381"/>
      <c r="E157" s="381"/>
      <c r="F157" s="381"/>
      <c r="G157" s="381"/>
      <c r="H157" s="381"/>
      <c r="I157" s="381"/>
      <c r="N157" s="81"/>
    </row>
    <row r="158" spans="1:14" s="79" customFormat="1" ht="15.75" customHeight="1" x14ac:dyDescent="0.25">
      <c r="A158" s="398" t="str">
        <f>'0664'!A158</f>
        <v>Administrative fees:</v>
      </c>
      <c r="B158" s="328"/>
      <c r="C158" s="328"/>
      <c r="D158" s="328"/>
      <c r="E158" s="328"/>
      <c r="F158" s="328"/>
      <c r="G158" s="328"/>
      <c r="H158" s="328"/>
      <c r="I158" s="328"/>
      <c r="J158" s="3"/>
      <c r="K158" s="3"/>
      <c r="L158" s="3"/>
      <c r="M158" s="3"/>
      <c r="N158" s="81"/>
    </row>
    <row r="159" spans="1:14" s="79" customFormat="1" ht="15.75" customHeight="1" x14ac:dyDescent="0.25">
      <c r="A159" s="399" t="str">
        <f>'0664'!A159</f>
        <v xml:space="preserve">Administrative fees charged by the school district pursuant to s. 1002.33(20)(a), F.S., shall be calculated based upon 5% of available funds from the FEFP and categorical </v>
      </c>
      <c r="B159" s="328"/>
      <c r="C159" s="328"/>
      <c r="D159" s="328"/>
      <c r="E159" s="328"/>
      <c r="F159" s="328"/>
      <c r="G159" s="328"/>
      <c r="H159" s="328"/>
      <c r="I159" s="328"/>
      <c r="J159" s="3"/>
      <c r="K159" s="3"/>
      <c r="L159" s="3"/>
      <c r="M159" s="3"/>
      <c r="N159" s="81"/>
    </row>
    <row r="160" spans="1:14" s="79" customFormat="1" ht="15.75" customHeight="1" x14ac:dyDescent="0.25">
      <c r="A160" s="400" t="str">
        <f>'0664'!A160</f>
        <v>funding for which charter students may be eligible.  To calculate the administrative fee to be withheld for schools with more than 250 students, divide the school</v>
      </c>
      <c r="B160" s="328"/>
      <c r="C160" s="328"/>
      <c r="D160" s="328"/>
      <c r="E160" s="328"/>
      <c r="F160" s="328"/>
      <c r="G160" s="328"/>
      <c r="H160" s="328"/>
      <c r="I160" s="328"/>
      <c r="J160" s="3"/>
      <c r="K160" s="3"/>
      <c r="L160" s="3"/>
      <c r="M160" s="3"/>
      <c r="N160" s="81"/>
    </row>
    <row r="161" spans="1:21" s="79" customFormat="1" ht="15.75" customHeight="1" x14ac:dyDescent="0.25">
      <c r="A161" s="400" t="str">
        <f>'0664'!A161</f>
        <v xml:space="preserve">population into 250. Multiply that fraction times the funds available, then times 5%.  </v>
      </c>
      <c r="B161" s="328"/>
      <c r="C161" s="328"/>
      <c r="D161" s="328"/>
      <c r="E161" s="328"/>
      <c r="F161" s="328"/>
      <c r="G161" s="328"/>
      <c r="H161" s="328"/>
      <c r="I161" s="328"/>
      <c r="J161" s="3"/>
      <c r="K161" s="3"/>
      <c r="L161" s="3"/>
      <c r="M161" s="3"/>
      <c r="N161" s="81"/>
    </row>
    <row r="162" spans="1:21" s="79" customFormat="1" ht="15.75" customHeight="1" x14ac:dyDescent="0.25">
      <c r="A162" s="399"/>
      <c r="B162" s="394"/>
      <c r="C162" s="394"/>
      <c r="D162" s="394"/>
      <c r="E162" s="394"/>
      <c r="F162" s="394"/>
      <c r="G162" s="394"/>
      <c r="H162" s="394"/>
      <c r="I162" s="394"/>
      <c r="N162" s="77"/>
      <c r="O162" s="3"/>
      <c r="P162" s="3"/>
      <c r="Q162" s="3"/>
      <c r="R162" s="3"/>
      <c r="S162" s="3"/>
      <c r="T162" s="3"/>
      <c r="U162" s="3"/>
    </row>
    <row r="163" spans="1:21" ht="15.75" customHeight="1" x14ac:dyDescent="0.25">
      <c r="A163" s="399" t="str">
        <f>'0664'!A163</f>
        <v xml:space="preserve">For high performing charter schools, administrative fees charged by the school district shall be calculated based upon 2% of available funds from the FEFP and categorical </v>
      </c>
      <c r="B163" s="328"/>
      <c r="C163" s="328"/>
      <c r="D163" s="328"/>
      <c r="E163" s="328"/>
      <c r="F163" s="328"/>
      <c r="G163" s="328"/>
      <c r="H163" s="328"/>
      <c r="I163" s="328"/>
      <c r="J163" s="79"/>
      <c r="K163" s="79"/>
      <c r="L163" s="79"/>
      <c r="M163" s="79"/>
      <c r="N163" s="81"/>
      <c r="O163" s="79"/>
      <c r="P163" s="79"/>
      <c r="Q163" s="79"/>
      <c r="R163" s="79"/>
      <c r="S163" s="79"/>
      <c r="T163" s="79"/>
      <c r="U163" s="79"/>
    </row>
    <row r="164" spans="1:21" ht="15.75" customHeight="1" x14ac:dyDescent="0.25">
      <c r="A164" s="400" t="str">
        <f>'0664'!A164</f>
        <v>funding for which charter students may be eligible.  To calculate the administrative fee to be withheld for schools with more than 250 students, divide the school</v>
      </c>
      <c r="B164" s="381"/>
      <c r="C164" s="381"/>
      <c r="D164" s="381"/>
      <c r="E164" s="381"/>
      <c r="F164" s="381"/>
      <c r="G164" s="381"/>
      <c r="H164" s="381"/>
      <c r="I164" s="381"/>
      <c r="J164" s="79"/>
      <c r="K164" s="79"/>
      <c r="L164" s="79"/>
      <c r="M164" s="79"/>
      <c r="N164" s="81"/>
      <c r="O164" s="79"/>
      <c r="P164" s="79"/>
      <c r="Q164" s="79"/>
      <c r="R164" s="79"/>
      <c r="S164" s="79"/>
      <c r="T164" s="79"/>
      <c r="U164" s="79"/>
    </row>
    <row r="165" spans="1:21" s="79" customFormat="1" ht="15.75" customHeight="1" x14ac:dyDescent="0.2">
      <c r="A165" s="400" t="str">
        <f>'0664'!A165</f>
        <v xml:space="preserve">population into 250. Multiply that fraction times the funds available, then times 2%.  </v>
      </c>
      <c r="B165" s="328"/>
      <c r="C165" s="328"/>
      <c r="D165" s="328"/>
      <c r="E165" s="328"/>
      <c r="F165" s="328"/>
      <c r="G165" s="328"/>
      <c r="H165" s="328"/>
      <c r="I165" s="328"/>
      <c r="N165" s="81"/>
    </row>
    <row r="166" spans="1:21" x14ac:dyDescent="0.25">
      <c r="A166" s="356"/>
      <c r="N166" s="77"/>
    </row>
    <row r="167" spans="1:21" x14ac:dyDescent="0.25">
      <c r="A167" s="398" t="str">
        <f>'0664'!A167</f>
        <v>Other:</v>
      </c>
      <c r="N167" s="77"/>
    </row>
    <row r="168" spans="1:21" x14ac:dyDescent="0.25">
      <c r="A168" s="399" t="str">
        <f>'0664'!A168</f>
        <v>FEFP and categorical funding are recalculated during the year to reflect the revised number of full-time equivalent students reported during the survey periods designated</v>
      </c>
      <c r="N168" s="77"/>
    </row>
    <row r="169" spans="1:21" x14ac:dyDescent="0.25">
      <c r="A169" s="402" t="str">
        <f>'0664'!A169</f>
        <v>by the Commissioner of Education.</v>
      </c>
      <c r="N169" s="77"/>
    </row>
    <row r="170" spans="1:21" x14ac:dyDescent="0.25">
      <c r="A170" s="399" t="str">
        <f>'0664'!A170</f>
        <v>Revenues flow to districts from state sources and from county tax collectors on various distribution schedules.</v>
      </c>
      <c r="N170" s="77"/>
    </row>
    <row r="171" spans="1:21" x14ac:dyDescent="0.25">
      <c r="A171" s="77"/>
      <c r="N171" s="77"/>
    </row>
    <row r="172" spans="1:21" x14ac:dyDescent="0.25">
      <c r="A172" s="77"/>
      <c r="N172" s="77"/>
    </row>
    <row r="173" spans="1:21" x14ac:dyDescent="0.25">
      <c r="A173" s="77"/>
      <c r="N173" s="77"/>
    </row>
    <row r="174" spans="1:21" x14ac:dyDescent="0.25">
      <c r="A174" s="77"/>
      <c r="N174" s="77"/>
    </row>
    <row r="175" spans="1:21" x14ac:dyDescent="0.25">
      <c r="A175" s="77"/>
      <c r="N175" s="77"/>
    </row>
    <row r="176" spans="1:21" x14ac:dyDescent="0.25">
      <c r="A176" s="77"/>
      <c r="N176" s="77"/>
    </row>
    <row r="177" spans="1:14" x14ac:dyDescent="0.25">
      <c r="A177" s="77"/>
      <c r="N177" s="77"/>
    </row>
    <row r="178" spans="1:14" x14ac:dyDescent="0.25">
      <c r="A178" s="77"/>
      <c r="N178" s="77"/>
    </row>
    <row r="179" spans="1:14" x14ac:dyDescent="0.25">
      <c r="A179" s="77"/>
      <c r="N179" s="77"/>
    </row>
    <row r="180" spans="1:14" x14ac:dyDescent="0.25">
      <c r="A180" s="77"/>
      <c r="N180" s="77"/>
    </row>
    <row r="181" spans="1:14" x14ac:dyDescent="0.25">
      <c r="A181" s="77"/>
      <c r="N181" s="77"/>
    </row>
    <row r="182" spans="1:14" x14ac:dyDescent="0.25">
      <c r="A182" s="77"/>
      <c r="N182" s="77"/>
    </row>
    <row r="183" spans="1:14" x14ac:dyDescent="0.25">
      <c r="A183" s="77"/>
      <c r="N183" s="77"/>
    </row>
    <row r="184" spans="1:14" x14ac:dyDescent="0.25">
      <c r="A184" s="77"/>
      <c r="N184" s="77"/>
    </row>
    <row r="185" spans="1:14" x14ac:dyDescent="0.25">
      <c r="A185" s="77"/>
      <c r="N185" s="77"/>
    </row>
    <row r="186" spans="1:14" x14ac:dyDescent="0.25">
      <c r="A186" s="77"/>
      <c r="N186" s="77"/>
    </row>
    <row r="187" spans="1:14" x14ac:dyDescent="0.25">
      <c r="A187" s="77"/>
      <c r="N187" s="77"/>
    </row>
    <row r="188" spans="1:14" x14ac:dyDescent="0.25">
      <c r="A188" s="77"/>
    </row>
    <row r="189" spans="1:14" x14ac:dyDescent="0.25">
      <c r="A189" s="77"/>
    </row>
    <row r="190" spans="1:14" x14ac:dyDescent="0.25">
      <c r="A190" s="77"/>
    </row>
    <row r="191" spans="1:14" x14ac:dyDescent="0.25">
      <c r="A191" s="77"/>
    </row>
    <row r="192" spans="1:14" x14ac:dyDescent="0.25">
      <c r="A192" s="77"/>
    </row>
    <row r="193" spans="1:1" x14ac:dyDescent="0.25">
      <c r="A193" s="77"/>
    </row>
    <row r="194" spans="1:1" x14ac:dyDescent="0.25">
      <c r="A194" s="77"/>
    </row>
    <row r="195" spans="1:1" x14ac:dyDescent="0.25">
      <c r="A195" s="77"/>
    </row>
    <row r="196" spans="1:1" x14ac:dyDescent="0.25">
      <c r="A196" s="77"/>
    </row>
    <row r="197" spans="1:1" x14ac:dyDescent="0.25">
      <c r="A197" s="77"/>
    </row>
    <row r="198" spans="1:1" x14ac:dyDescent="0.25">
      <c r="A198" s="77"/>
    </row>
    <row r="199" spans="1:1" x14ac:dyDescent="0.25">
      <c r="A199" s="77"/>
    </row>
    <row r="200" spans="1:1" x14ac:dyDescent="0.25">
      <c r="A200" s="77"/>
    </row>
    <row r="201" spans="1:1" x14ac:dyDescent="0.25">
      <c r="A201" s="77"/>
    </row>
    <row r="202" spans="1:1" x14ac:dyDescent="0.25">
      <c r="A202" s="77"/>
    </row>
    <row r="203" spans="1:1" x14ac:dyDescent="0.25">
      <c r="A203" s="77"/>
    </row>
    <row r="204" spans="1:1" x14ac:dyDescent="0.25">
      <c r="A204" s="77"/>
    </row>
    <row r="205" spans="1:1" x14ac:dyDescent="0.25">
      <c r="A205" s="77"/>
    </row>
    <row r="206" spans="1:1" x14ac:dyDescent="0.25">
      <c r="A206" s="77"/>
    </row>
  </sheetData>
  <mergeCells count="266">
    <mergeCell ref="A112:C112"/>
    <mergeCell ref="F112:H112"/>
    <mergeCell ref="N112:P112"/>
    <mergeCell ref="A109:B109"/>
    <mergeCell ref="F109:G109"/>
    <mergeCell ref="N109:O109"/>
    <mergeCell ref="P109:Q109"/>
    <mergeCell ref="N139:U139"/>
    <mergeCell ref="N119:U119"/>
    <mergeCell ref="N113:P113"/>
    <mergeCell ref="A113:C113"/>
    <mergeCell ref="F113:H113"/>
    <mergeCell ref="N114:T114"/>
    <mergeCell ref="A115:H115"/>
    <mergeCell ref="A119:G119"/>
    <mergeCell ref="N120:U120"/>
    <mergeCell ref="A120:G120"/>
    <mergeCell ref="R109:S109"/>
    <mergeCell ref="A110:B110"/>
    <mergeCell ref="N110:O110"/>
    <mergeCell ref="A107:B107"/>
    <mergeCell ref="F107:G107"/>
    <mergeCell ref="N107:O107"/>
    <mergeCell ref="P107:Q107"/>
    <mergeCell ref="R107:S107"/>
    <mergeCell ref="A108:B108"/>
    <mergeCell ref="F108:G108"/>
    <mergeCell ref="N108:O108"/>
    <mergeCell ref="P108:Q108"/>
    <mergeCell ref="R108:S108"/>
    <mergeCell ref="A103:C103"/>
    <mergeCell ref="F103:I103"/>
    <mergeCell ref="N103:U103"/>
    <mergeCell ref="C104:E104"/>
    <mergeCell ref="F105:G105"/>
    <mergeCell ref="A106:B106"/>
    <mergeCell ref="F106:G106"/>
    <mergeCell ref="N106:O106"/>
    <mergeCell ref="P106:Q106"/>
    <mergeCell ref="R106:S106"/>
    <mergeCell ref="A99:B99"/>
    <mergeCell ref="N99:O99"/>
    <mergeCell ref="P99:R99"/>
    <mergeCell ref="A100:B100"/>
    <mergeCell ref="N100:O100"/>
    <mergeCell ref="P100:R100"/>
    <mergeCell ref="C91:D91"/>
    <mergeCell ref="P91:Q91"/>
    <mergeCell ref="C92:D92"/>
    <mergeCell ref="P92:Q92"/>
    <mergeCell ref="C93:D93"/>
    <mergeCell ref="P93:T93"/>
    <mergeCell ref="A94:I94"/>
    <mergeCell ref="N94:U94"/>
    <mergeCell ref="F96:I96"/>
    <mergeCell ref="N96:P96"/>
    <mergeCell ref="Q96:T96"/>
    <mergeCell ref="A87:I87"/>
    <mergeCell ref="N87:U87"/>
    <mergeCell ref="C88:D88"/>
    <mergeCell ref="C89:D89"/>
    <mergeCell ref="N89:O89"/>
    <mergeCell ref="P89:Q89"/>
    <mergeCell ref="R89:U89"/>
    <mergeCell ref="C90:D90"/>
    <mergeCell ref="P90:Q90"/>
    <mergeCell ref="A80:C80"/>
    <mergeCell ref="N80:P80"/>
    <mergeCell ref="A85:C85"/>
    <mergeCell ref="N85:P85"/>
    <mergeCell ref="F73:H73"/>
    <mergeCell ref="N73:T73"/>
    <mergeCell ref="N74:T74"/>
    <mergeCell ref="A78:C78"/>
    <mergeCell ref="N78:P78"/>
    <mergeCell ref="A79:C79"/>
    <mergeCell ref="A69:C69"/>
    <mergeCell ref="N69:P69"/>
    <mergeCell ref="N79:P79"/>
    <mergeCell ref="A76:C76"/>
    <mergeCell ref="N76:P76"/>
    <mergeCell ref="A77:C77"/>
    <mergeCell ref="A70:C70"/>
    <mergeCell ref="A71:C71"/>
    <mergeCell ref="N71:P71"/>
    <mergeCell ref="A72:C72"/>
    <mergeCell ref="N77:P77"/>
    <mergeCell ref="N72:P72"/>
    <mergeCell ref="A65:B65"/>
    <mergeCell ref="D65:G65"/>
    <mergeCell ref="N65:O65"/>
    <mergeCell ref="Q65:S65"/>
    <mergeCell ref="T65:U65"/>
    <mergeCell ref="N66:S66"/>
    <mergeCell ref="T66:U66"/>
    <mergeCell ref="A68:C68"/>
    <mergeCell ref="N68:P68"/>
    <mergeCell ref="A62:B62"/>
    <mergeCell ref="D62:G62"/>
    <mergeCell ref="N62:O62"/>
    <mergeCell ref="Q62:S62"/>
    <mergeCell ref="T62:U62"/>
    <mergeCell ref="N63:S63"/>
    <mergeCell ref="T63:U63"/>
    <mergeCell ref="A64:I64"/>
    <mergeCell ref="N64:U64"/>
    <mergeCell ref="A59:B59"/>
    <mergeCell ref="F59:H59"/>
    <mergeCell ref="N59:O59"/>
    <mergeCell ref="P59:Q59"/>
    <mergeCell ref="R59:T59"/>
    <mergeCell ref="A60:I60"/>
    <mergeCell ref="N60:U60"/>
    <mergeCell ref="A61:I61"/>
    <mergeCell ref="N61:U61"/>
    <mergeCell ref="A50:B58"/>
    <mergeCell ref="N50:O58"/>
    <mergeCell ref="P50:Q50"/>
    <mergeCell ref="P51:Q51"/>
    <mergeCell ref="P52:Q52"/>
    <mergeCell ref="P53:Q53"/>
    <mergeCell ref="P54:Q54"/>
    <mergeCell ref="P55:Q55"/>
    <mergeCell ref="P56:Q56"/>
    <mergeCell ref="P57:Q57"/>
    <mergeCell ref="P58:Q58"/>
    <mergeCell ref="A42:B42"/>
    <mergeCell ref="N42:O42"/>
    <mergeCell ref="P42:T42"/>
    <mergeCell ref="N43:Q43"/>
    <mergeCell ref="S43:T43"/>
    <mergeCell ref="N45:Q45"/>
    <mergeCell ref="S45:T45"/>
    <mergeCell ref="N49:O49"/>
    <mergeCell ref="P49:Q49"/>
    <mergeCell ref="A39:B39"/>
    <mergeCell ref="N39:O39"/>
    <mergeCell ref="P39:T39"/>
    <mergeCell ref="A40:B40"/>
    <mergeCell ref="N40:O40"/>
    <mergeCell ref="P40:T40"/>
    <mergeCell ref="A41:B41"/>
    <mergeCell ref="N41:O41"/>
    <mergeCell ref="P41:T41"/>
    <mergeCell ref="N34:T34"/>
    <mergeCell ref="A36:B36"/>
    <mergeCell ref="N36:O36"/>
    <mergeCell ref="P36:T36"/>
    <mergeCell ref="A37:B37"/>
    <mergeCell ref="N37:O37"/>
    <mergeCell ref="P37:T37"/>
    <mergeCell ref="F33:H36"/>
    <mergeCell ref="A38:B38"/>
    <mergeCell ref="N38:O38"/>
    <mergeCell ref="P38:T38"/>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5:B25"/>
    <mergeCell ref="A27:B27"/>
    <mergeCell ref="F27:G27"/>
    <mergeCell ref="N27:O27"/>
    <mergeCell ref="P27:Q27"/>
    <mergeCell ref="R27:S27"/>
    <mergeCell ref="A24:B24"/>
    <mergeCell ref="F24:G24"/>
    <mergeCell ref="N24:O24"/>
    <mergeCell ref="P24:Q24"/>
    <mergeCell ref="R24:S24"/>
    <mergeCell ref="A23:B23"/>
    <mergeCell ref="F23:G23"/>
    <mergeCell ref="F25:G25"/>
    <mergeCell ref="N25:O25"/>
    <mergeCell ref="P25:Q25"/>
    <mergeCell ref="R25:S25"/>
    <mergeCell ref="A22:B22"/>
    <mergeCell ref="F22:G22"/>
    <mergeCell ref="N22:O22"/>
    <mergeCell ref="P22:Q22"/>
    <mergeCell ref="R22:S22"/>
    <mergeCell ref="A21:B21"/>
    <mergeCell ref="F21:G21"/>
    <mergeCell ref="N23:O23"/>
    <mergeCell ref="P23:Q23"/>
    <mergeCell ref="R23:S23"/>
    <mergeCell ref="A20:B20"/>
    <mergeCell ref="F20:G20"/>
    <mergeCell ref="N20:O20"/>
    <mergeCell ref="P20:Q20"/>
    <mergeCell ref="R20:S20"/>
    <mergeCell ref="A19:B19"/>
    <mergeCell ref="F19:G19"/>
    <mergeCell ref="N21:O21"/>
    <mergeCell ref="P21:Q21"/>
    <mergeCell ref="R21:S21"/>
    <mergeCell ref="A18:B18"/>
    <mergeCell ref="F18:G18"/>
    <mergeCell ref="N18:O18"/>
    <mergeCell ref="P18:Q18"/>
    <mergeCell ref="R18:S18"/>
    <mergeCell ref="A17:B17"/>
    <mergeCell ref="F17:G17"/>
    <mergeCell ref="N19:O19"/>
    <mergeCell ref="P19:Q19"/>
    <mergeCell ref="R19:S19"/>
    <mergeCell ref="A16:B16"/>
    <mergeCell ref="F16:G16"/>
    <mergeCell ref="N16:O16"/>
    <mergeCell ref="P16:Q16"/>
    <mergeCell ref="R16:S16"/>
    <mergeCell ref="A15:B15"/>
    <mergeCell ref="F15:G15"/>
    <mergeCell ref="N17:O17"/>
    <mergeCell ref="P17:Q17"/>
    <mergeCell ref="R17:S17"/>
    <mergeCell ref="A14:B14"/>
    <mergeCell ref="F14:G14"/>
    <mergeCell ref="N14:O14"/>
    <mergeCell ref="P14:Q14"/>
    <mergeCell ref="R14:S14"/>
    <mergeCell ref="A13:B13"/>
    <mergeCell ref="F13:G13"/>
    <mergeCell ref="N15:O15"/>
    <mergeCell ref="P15:Q15"/>
    <mergeCell ref="R15:S15"/>
    <mergeCell ref="A12:B12"/>
    <mergeCell ref="F12:G12"/>
    <mergeCell ref="N12:O12"/>
    <mergeCell ref="P12:Q12"/>
    <mergeCell ref="R12:S12"/>
    <mergeCell ref="A11:B11"/>
    <mergeCell ref="F11:G11"/>
    <mergeCell ref="N13:O13"/>
    <mergeCell ref="P13:Q13"/>
    <mergeCell ref="R13:S13"/>
    <mergeCell ref="N8:O8"/>
    <mergeCell ref="P8:Q8"/>
    <mergeCell ref="R8:S8"/>
    <mergeCell ref="T8:U8"/>
    <mergeCell ref="F10:G10"/>
    <mergeCell ref="R10:S10"/>
    <mergeCell ref="A7:I7"/>
    <mergeCell ref="N11:O11"/>
    <mergeCell ref="P11:Q11"/>
    <mergeCell ref="R11:S11"/>
    <mergeCell ref="O1:U1"/>
    <mergeCell ref="N2:U2"/>
    <mergeCell ref="N3:U3"/>
    <mergeCell ref="A4:B4"/>
    <mergeCell ref="C4:E4"/>
    <mergeCell ref="N4:O4"/>
    <mergeCell ref="P4:Q4"/>
    <mergeCell ref="B1:I1"/>
    <mergeCell ref="N7:U7"/>
  </mergeCells>
  <pageMargins left="0.1" right="0.1" top="0.5" bottom="0.5" header="0" footer="0.1"/>
  <pageSetup scale="70" fitToHeight="3" orientation="portrait" r:id="rId1"/>
  <headerFooter alignWithMargins="0">
    <oddFooter>&amp;R&amp;P of &amp;N</oddFooter>
  </headerFooter>
  <rowBreaks count="1" manualBreakCount="1">
    <brk id="138" max="16383" man="1"/>
  </rowBreaks>
  <colBreaks count="1" manualBreakCount="1">
    <brk id="9" max="1048575" man="1"/>
  </col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0">
    <tabColor rgb="FFCCFFCC"/>
  </sheetPr>
  <dimension ref="A1:U206"/>
  <sheetViews>
    <sheetView showGridLines="0" zoomScaleNormal="100" workbookViewId="0">
      <pane ySplit="1" topLeftCell="A11" activePane="bottomLeft" state="frozen"/>
      <selection activeCell="I9" sqref="I9"/>
      <selection pane="bottomLeft" activeCell="D50" sqref="D50:D58"/>
    </sheetView>
  </sheetViews>
  <sheetFormatPr defaultRowHeight="15.75" x14ac:dyDescent="0.25"/>
  <cols>
    <col min="1" max="1" width="10.28515625" style="72"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72"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5">
        <v>50</v>
      </c>
      <c r="B1" s="441" t="s">
        <v>17</v>
      </c>
      <c r="C1" s="442"/>
      <c r="D1" s="442"/>
      <c r="E1" s="442"/>
      <c r="F1" s="442"/>
      <c r="G1" s="442"/>
      <c r="H1" s="442"/>
      <c r="I1" s="442"/>
      <c r="J1" s="157"/>
      <c r="K1" s="157"/>
      <c r="L1" s="157"/>
      <c r="N1" s="85">
        <f>A1</f>
        <v>50</v>
      </c>
      <c r="O1" s="527" t="s">
        <v>17</v>
      </c>
      <c r="P1" s="528"/>
      <c r="Q1" s="528"/>
      <c r="R1" s="528"/>
      <c r="S1" s="528"/>
      <c r="T1" s="528"/>
      <c r="U1" s="528"/>
    </row>
    <row r="2" spans="1:21" ht="21" x14ac:dyDescent="0.35">
      <c r="A2" s="1" t="s">
        <v>175</v>
      </c>
      <c r="B2" s="2"/>
      <c r="C2" s="2"/>
      <c r="D2" s="2"/>
      <c r="E2" s="2"/>
      <c r="F2" s="2"/>
      <c r="G2" s="2"/>
      <c r="H2" s="2"/>
      <c r="I2" s="2"/>
      <c r="N2" s="529" t="s">
        <v>23</v>
      </c>
      <c r="O2" s="529"/>
      <c r="P2" s="529"/>
      <c r="Q2" s="529"/>
      <c r="R2" s="529"/>
      <c r="S2" s="529"/>
      <c r="T2" s="529"/>
      <c r="U2" s="529"/>
    </row>
    <row r="3" spans="1:21" x14ac:dyDescent="0.25">
      <c r="A3" s="84" t="str">
        <f>'0664'!A3</f>
        <v>Based on the FLDOE 2022-23 FEFP Third Calculation</v>
      </c>
      <c r="N3" s="485" t="str">
        <f>A3</f>
        <v>Based on the FLDOE 2022-23 FEFP Third Calculation</v>
      </c>
      <c r="O3" s="485"/>
      <c r="P3" s="485"/>
      <c r="Q3" s="485"/>
      <c r="R3" s="485"/>
      <c r="S3" s="485"/>
      <c r="T3" s="485"/>
      <c r="U3" s="485"/>
    </row>
    <row r="4" spans="1:21" x14ac:dyDescent="0.25">
      <c r="A4" s="443" t="s">
        <v>0</v>
      </c>
      <c r="B4" s="443"/>
      <c r="C4" s="444" t="s">
        <v>9</v>
      </c>
      <c r="D4" s="444"/>
      <c r="E4" s="444"/>
      <c r="F4" s="4" t="str">
        <f>'0664'!F4</f>
        <v>Apr 2023</v>
      </c>
      <c r="G4" s="4"/>
      <c r="H4" s="4"/>
      <c r="I4" s="4"/>
      <c r="N4" s="530" t="s">
        <v>0</v>
      </c>
      <c r="O4" s="530"/>
      <c r="P4" s="531" t="str">
        <f>C4</f>
        <v>Palm Beach</v>
      </c>
      <c r="Q4" s="531"/>
      <c r="R4" s="5"/>
      <c r="S4" s="5"/>
      <c r="T4" s="5"/>
      <c r="U4" s="5"/>
    </row>
    <row r="5" spans="1:21" ht="12" customHeight="1" thickBot="1" x14ac:dyDescent="0.3">
      <c r="A5" s="262"/>
      <c r="B5" s="262"/>
      <c r="C5" s="253"/>
      <c r="D5" s="253"/>
      <c r="E5" s="253"/>
      <c r="F5" s="254"/>
      <c r="G5" s="254"/>
      <c r="H5" s="254"/>
      <c r="I5" s="254"/>
      <c r="N5" s="86"/>
      <c r="O5" s="86"/>
      <c r="P5" s="6"/>
      <c r="Q5" s="6"/>
      <c r="R5" s="5"/>
      <c r="S5" s="5"/>
      <c r="T5" s="5"/>
      <c r="U5" s="5"/>
    </row>
    <row r="6" spans="1:21" ht="12" customHeight="1" x14ac:dyDescent="0.25">
      <c r="A6" s="150"/>
      <c r="B6" s="150"/>
      <c r="C6" s="261"/>
      <c r="D6" s="261"/>
      <c r="E6" s="261"/>
      <c r="F6" s="4"/>
      <c r="G6" s="4"/>
      <c r="H6" s="4"/>
      <c r="I6" s="4"/>
      <c r="N6" s="86"/>
      <c r="O6" s="86"/>
      <c r="P6" s="6"/>
      <c r="Q6" s="6"/>
      <c r="R6" s="5"/>
      <c r="S6" s="5"/>
      <c r="T6" s="5"/>
      <c r="U6" s="5"/>
    </row>
    <row r="7" spans="1:21" x14ac:dyDescent="0.25">
      <c r="A7" s="445" t="str">
        <f>'0664'!A7:I7</f>
        <v>1.   2022-23 FEFP State and Local Funding</v>
      </c>
      <c r="B7" s="533"/>
      <c r="C7" s="533"/>
      <c r="D7" s="533"/>
      <c r="E7" s="533"/>
      <c r="F7" s="533"/>
      <c r="G7" s="533"/>
      <c r="H7" s="533"/>
      <c r="I7" s="533"/>
      <c r="N7" s="530" t="s">
        <v>86</v>
      </c>
      <c r="O7" s="530"/>
      <c r="P7" s="530"/>
      <c r="Q7" s="530"/>
      <c r="R7" s="530"/>
      <c r="S7" s="530"/>
      <c r="T7" s="530"/>
      <c r="U7" s="530"/>
    </row>
    <row r="8" spans="1:21" x14ac:dyDescent="0.25">
      <c r="A8" s="87"/>
      <c r="B8" s="88" t="s">
        <v>123</v>
      </c>
      <c r="C8" s="334">
        <f>'0664'!C8</f>
        <v>4587.3999999999996</v>
      </c>
      <c r="D8" s="89"/>
      <c r="E8" s="90"/>
      <c r="F8" s="87"/>
      <c r="G8" s="88" t="s">
        <v>122</v>
      </c>
      <c r="H8" s="320">
        <f>'0664'!H8</f>
        <v>1.0438000000000001</v>
      </c>
      <c r="I8" s="78"/>
      <c r="N8" s="534" t="s">
        <v>10</v>
      </c>
      <c r="O8" s="534"/>
      <c r="P8" s="535">
        <v>4154.45</v>
      </c>
      <c r="Q8" s="535"/>
      <c r="R8" s="518" t="s">
        <v>11</v>
      </c>
      <c r="S8" s="518"/>
      <c r="T8" s="519">
        <f>H8</f>
        <v>1.0438000000000001</v>
      </c>
      <c r="U8" s="519"/>
    </row>
    <row r="9" spans="1:21" x14ac:dyDescent="0.25">
      <c r="A9" s="7"/>
      <c r="B9" s="44" t="s">
        <v>370</v>
      </c>
      <c r="C9" s="41" t="s">
        <v>370</v>
      </c>
      <c r="D9" s="91" t="s">
        <v>370</v>
      </c>
      <c r="E9" s="8"/>
      <c r="F9" s="9"/>
      <c r="G9" s="9"/>
      <c r="H9" s="10"/>
      <c r="I9" s="340" t="str">
        <f>'0664'!I9</f>
        <v>2022-23</v>
      </c>
      <c r="N9" s="12"/>
      <c r="O9" s="12"/>
      <c r="P9" s="13"/>
      <c r="Q9" s="13"/>
      <c r="R9" s="14"/>
      <c r="S9" s="14"/>
      <c r="T9" s="15"/>
      <c r="U9" s="405" t="s">
        <v>405</v>
      </c>
    </row>
    <row r="10" spans="1:21" x14ac:dyDescent="0.25">
      <c r="A10" s="7"/>
      <c r="B10" s="7"/>
      <c r="C10" s="91" t="s">
        <v>463</v>
      </c>
      <c r="D10" s="371" t="s">
        <v>464</v>
      </c>
      <c r="E10" s="92" t="s">
        <v>8</v>
      </c>
      <c r="F10" s="446" t="s">
        <v>1</v>
      </c>
      <c r="G10" s="446"/>
      <c r="H10" s="10" t="s">
        <v>73</v>
      </c>
      <c r="I10" s="11" t="s">
        <v>36</v>
      </c>
      <c r="N10" s="12"/>
      <c r="O10" s="12"/>
      <c r="P10" s="13"/>
      <c r="Q10" s="13"/>
      <c r="R10" s="520" t="s">
        <v>1</v>
      </c>
      <c r="S10" s="520"/>
      <c r="T10" s="15" t="s">
        <v>73</v>
      </c>
      <c r="U10" s="16" t="s">
        <v>36</v>
      </c>
    </row>
    <row r="11" spans="1:21" x14ac:dyDescent="0.25">
      <c r="A11" s="447" t="s">
        <v>1</v>
      </c>
      <c r="B11" s="447"/>
      <c r="C11" s="362" t="s">
        <v>2</v>
      </c>
      <c r="D11" s="362" t="s">
        <v>2</v>
      </c>
      <c r="E11" s="362" t="s">
        <v>2</v>
      </c>
      <c r="F11" s="448" t="s">
        <v>76</v>
      </c>
      <c r="G11" s="448"/>
      <c r="H11" s="17" t="s">
        <v>72</v>
      </c>
      <c r="I11" s="18" t="s">
        <v>75</v>
      </c>
      <c r="N11" s="510" t="s">
        <v>1</v>
      </c>
      <c r="O11" s="510"/>
      <c r="P11" s="521" t="s">
        <v>24</v>
      </c>
      <c r="Q11" s="521"/>
      <c r="R11" s="522" t="s">
        <v>76</v>
      </c>
      <c r="S11" s="522"/>
      <c r="T11" s="19" t="s">
        <v>72</v>
      </c>
      <c r="U11" s="20" t="s">
        <v>75</v>
      </c>
    </row>
    <row r="12" spans="1:21" x14ac:dyDescent="0.25">
      <c r="A12" s="449" t="s">
        <v>47</v>
      </c>
      <c r="B12" s="449"/>
      <c r="C12" s="94"/>
      <c r="D12" s="94"/>
      <c r="E12" s="95" t="s">
        <v>48</v>
      </c>
      <c r="F12" s="450" t="s">
        <v>49</v>
      </c>
      <c r="G12" s="450"/>
      <c r="H12" s="21" t="s">
        <v>50</v>
      </c>
      <c r="I12" s="22" t="s">
        <v>51</v>
      </c>
      <c r="N12" s="523" t="s">
        <v>47</v>
      </c>
      <c r="O12" s="523"/>
      <c r="P12" s="524" t="s">
        <v>48</v>
      </c>
      <c r="Q12" s="524"/>
      <c r="R12" s="525" t="s">
        <v>49</v>
      </c>
      <c r="S12" s="525"/>
      <c r="T12" s="23" t="s">
        <v>50</v>
      </c>
      <c r="U12" s="24" t="s">
        <v>51</v>
      </c>
    </row>
    <row r="13" spans="1:21" x14ac:dyDescent="0.25">
      <c r="A13" s="451" t="s">
        <v>29</v>
      </c>
      <c r="B13" s="451"/>
      <c r="C13" s="165">
        <v>174.71</v>
      </c>
      <c r="D13" s="163">
        <v>171.48</v>
      </c>
      <c r="E13" s="210">
        <f>IF(D$29=0,C13*2,C13+D13)</f>
        <v>346.19</v>
      </c>
      <c r="F13" s="537">
        <f>'0664'!F13:G13</f>
        <v>1.1259999999999999</v>
      </c>
      <c r="G13" s="537"/>
      <c r="H13" s="167">
        <f>ROUND(E13*F13,4)</f>
        <v>389.80990000000003</v>
      </c>
      <c r="I13" s="119">
        <f t="shared" ref="I13:I28" si="0">ROUND(ROUND(H13*$C$8,4)*($H$8),2)</f>
        <v>1866537.71</v>
      </c>
      <c r="N13" s="512" t="s">
        <v>29</v>
      </c>
      <c r="O13" s="512"/>
      <c r="P13" s="513">
        <f t="shared" ref="P13:P28" si="1">IF($H$120=1,E13,0)</f>
        <v>0</v>
      </c>
      <c r="Q13" s="513"/>
      <c r="R13" s="526">
        <v>1</v>
      </c>
      <c r="S13" s="526"/>
      <c r="T13" s="98">
        <f>ROUND(P13*R13,4)</f>
        <v>0</v>
      </c>
      <c r="U13" s="99">
        <f t="shared" ref="U13:U28" si="2">ROUND(ROUND(T13*$C$8,4)*($H$8),0)</f>
        <v>0</v>
      </c>
    </row>
    <row r="14" spans="1:21" x14ac:dyDescent="0.25">
      <c r="A14" s="453" t="s">
        <v>30</v>
      </c>
      <c r="B14" s="453"/>
      <c r="C14" s="165">
        <v>21</v>
      </c>
      <c r="D14" s="165">
        <v>21.54</v>
      </c>
      <c r="E14" s="125">
        <f t="shared" ref="E14:E28" si="3">IF(D$29=0,C14*2,C14+D14)</f>
        <v>42.54</v>
      </c>
      <c r="F14" s="532">
        <f>'0664'!F14:G14</f>
        <v>1.1259999999999999</v>
      </c>
      <c r="G14" s="532"/>
      <c r="H14" s="83">
        <f t="shared" ref="H14:H28" si="4">ROUND(E14*F14,4)</f>
        <v>47.9</v>
      </c>
      <c r="I14" s="104">
        <f t="shared" si="0"/>
        <v>229360.92</v>
      </c>
      <c r="J14" s="68" t="str">
        <f>IF(ROUND(E14,2)=ROUND(SUM(E50:E52),2)," ","CHECK PK-3 LINES BELOW")</f>
        <v xml:space="preserve"> </v>
      </c>
      <c r="N14" s="479" t="s">
        <v>30</v>
      </c>
      <c r="O14" s="479"/>
      <c r="P14" s="513">
        <f t="shared" si="1"/>
        <v>0</v>
      </c>
      <c r="Q14" s="513"/>
      <c r="R14" s="517">
        <v>1</v>
      </c>
      <c r="S14" s="517"/>
      <c r="T14" s="98">
        <f t="shared" ref="T14:T28" si="5">ROUND(P14*R14,4)</f>
        <v>0</v>
      </c>
      <c r="U14" s="99">
        <f t="shared" si="2"/>
        <v>0</v>
      </c>
    </row>
    <row r="15" spans="1:21" x14ac:dyDescent="0.25">
      <c r="A15" s="453" t="s">
        <v>31</v>
      </c>
      <c r="B15" s="453"/>
      <c r="C15" s="165">
        <v>229.15</v>
      </c>
      <c r="D15" s="165">
        <v>236.4</v>
      </c>
      <c r="E15" s="125">
        <f t="shared" si="3"/>
        <v>465.55</v>
      </c>
      <c r="F15" s="532">
        <f>'0664'!F15:G15</f>
        <v>1</v>
      </c>
      <c r="G15" s="532"/>
      <c r="H15" s="83">
        <f t="shared" si="4"/>
        <v>465.55</v>
      </c>
      <c r="I15" s="104">
        <f t="shared" si="0"/>
        <v>2229206.16</v>
      </c>
      <c r="N15" s="479" t="s">
        <v>31</v>
      </c>
      <c r="O15" s="479"/>
      <c r="P15" s="513">
        <f t="shared" si="1"/>
        <v>0</v>
      </c>
      <c r="Q15" s="513"/>
      <c r="R15" s="517">
        <v>1</v>
      </c>
      <c r="S15" s="517"/>
      <c r="T15" s="98">
        <f t="shared" si="5"/>
        <v>0</v>
      </c>
      <c r="U15" s="99">
        <f t="shared" si="2"/>
        <v>0</v>
      </c>
    </row>
    <row r="16" spans="1:21" x14ac:dyDescent="0.25">
      <c r="A16" s="453" t="s">
        <v>32</v>
      </c>
      <c r="B16" s="453"/>
      <c r="C16" s="165">
        <v>31.86</v>
      </c>
      <c r="D16" s="165">
        <v>32.29</v>
      </c>
      <c r="E16" s="125">
        <f t="shared" si="3"/>
        <v>64.150000000000006</v>
      </c>
      <c r="F16" s="532">
        <f>'0664'!F16:G16</f>
        <v>1</v>
      </c>
      <c r="G16" s="532"/>
      <c r="H16" s="83">
        <f t="shared" si="4"/>
        <v>64.150000000000006</v>
      </c>
      <c r="I16" s="104">
        <f t="shared" si="0"/>
        <v>307171.25</v>
      </c>
      <c r="J16" s="68" t="str">
        <f>IF(ROUND(E16,2)=ROUND(SUM(E53:E55),2)," ","CHECK 4-8 LINES BELOW")</f>
        <v xml:space="preserve"> </v>
      </c>
      <c r="N16" s="479" t="s">
        <v>32</v>
      </c>
      <c r="O16" s="479"/>
      <c r="P16" s="513">
        <f t="shared" si="1"/>
        <v>0</v>
      </c>
      <c r="Q16" s="513"/>
      <c r="R16" s="517">
        <v>1</v>
      </c>
      <c r="S16" s="517"/>
      <c r="T16" s="98">
        <f t="shared" si="5"/>
        <v>0</v>
      </c>
      <c r="U16" s="99">
        <f t="shared" si="2"/>
        <v>0</v>
      </c>
    </row>
    <row r="17" spans="1:21" x14ac:dyDescent="0.25">
      <c r="A17" s="453" t="s">
        <v>33</v>
      </c>
      <c r="B17" s="453"/>
      <c r="C17" s="165">
        <v>0</v>
      </c>
      <c r="D17" s="165">
        <v>0</v>
      </c>
      <c r="E17" s="125">
        <f t="shared" si="3"/>
        <v>0</v>
      </c>
      <c r="F17" s="532">
        <f>'0664'!F17:G17</f>
        <v>0.999</v>
      </c>
      <c r="G17" s="532"/>
      <c r="H17" s="83">
        <f t="shared" si="4"/>
        <v>0</v>
      </c>
      <c r="I17" s="104">
        <f t="shared" si="0"/>
        <v>0</v>
      </c>
      <c r="N17" s="479" t="s">
        <v>33</v>
      </c>
      <c r="O17" s="479"/>
      <c r="P17" s="513">
        <f t="shared" si="1"/>
        <v>0</v>
      </c>
      <c r="Q17" s="513"/>
      <c r="R17" s="517">
        <v>1</v>
      </c>
      <c r="S17" s="517"/>
      <c r="T17" s="98">
        <f t="shared" si="5"/>
        <v>0</v>
      </c>
      <c r="U17" s="99">
        <f t="shared" si="2"/>
        <v>0</v>
      </c>
    </row>
    <row r="18" spans="1:21" x14ac:dyDescent="0.25">
      <c r="A18" s="453" t="s">
        <v>34</v>
      </c>
      <c r="B18" s="453"/>
      <c r="C18" s="165">
        <v>0</v>
      </c>
      <c r="D18" s="165">
        <v>0</v>
      </c>
      <c r="E18" s="125">
        <f t="shared" si="3"/>
        <v>0</v>
      </c>
      <c r="F18" s="532">
        <f>'0664'!F18:G18</f>
        <v>0.999</v>
      </c>
      <c r="G18" s="532"/>
      <c r="H18" s="83">
        <f t="shared" si="4"/>
        <v>0</v>
      </c>
      <c r="I18" s="104">
        <f t="shared" si="0"/>
        <v>0</v>
      </c>
      <c r="J18" s="68" t="str">
        <f>IF(ROUND(E18,2)=ROUND(SUM(E56:E58),2)," ","CHECK 4-8 LINES BELOW")</f>
        <v xml:space="preserve"> </v>
      </c>
      <c r="N18" s="479" t="s">
        <v>34</v>
      </c>
      <c r="O18" s="479"/>
      <c r="P18" s="513">
        <f t="shared" si="1"/>
        <v>0</v>
      </c>
      <c r="Q18" s="513"/>
      <c r="R18" s="517">
        <v>1</v>
      </c>
      <c r="S18" s="517"/>
      <c r="T18" s="98">
        <f t="shared" si="5"/>
        <v>0</v>
      </c>
      <c r="U18" s="101">
        <f t="shared" si="2"/>
        <v>0</v>
      </c>
    </row>
    <row r="19" spans="1:21" x14ac:dyDescent="0.25">
      <c r="A19" s="453" t="s">
        <v>108</v>
      </c>
      <c r="B19" s="453"/>
      <c r="C19" s="165">
        <v>0</v>
      </c>
      <c r="D19" s="165">
        <v>0</v>
      </c>
      <c r="E19" s="125">
        <f t="shared" si="3"/>
        <v>0</v>
      </c>
      <c r="F19" s="532">
        <f>'0664'!F19:G19</f>
        <v>3.6739999999999999</v>
      </c>
      <c r="G19" s="532"/>
      <c r="H19" s="83">
        <f t="shared" si="4"/>
        <v>0</v>
      </c>
      <c r="I19" s="104">
        <f t="shared" si="0"/>
        <v>0</v>
      </c>
      <c r="N19" s="479" t="s">
        <v>108</v>
      </c>
      <c r="O19" s="479"/>
      <c r="P19" s="513">
        <f t="shared" si="1"/>
        <v>0</v>
      </c>
      <c r="Q19" s="513"/>
      <c r="R19" s="517">
        <v>1</v>
      </c>
      <c r="S19" s="517"/>
      <c r="T19" s="98">
        <f t="shared" si="5"/>
        <v>0</v>
      </c>
      <c r="U19" s="99">
        <f t="shared" si="2"/>
        <v>0</v>
      </c>
    </row>
    <row r="20" spans="1:21" x14ac:dyDescent="0.25">
      <c r="A20" s="453" t="s">
        <v>109</v>
      </c>
      <c r="B20" s="453"/>
      <c r="C20" s="165">
        <v>0</v>
      </c>
      <c r="D20" s="165">
        <v>0</v>
      </c>
      <c r="E20" s="125">
        <f t="shared" si="3"/>
        <v>0</v>
      </c>
      <c r="F20" s="532">
        <f>'0664'!F20:G20</f>
        <v>3.6739999999999999</v>
      </c>
      <c r="G20" s="532"/>
      <c r="H20" s="83">
        <f t="shared" si="4"/>
        <v>0</v>
      </c>
      <c r="I20" s="104">
        <f t="shared" si="0"/>
        <v>0</v>
      </c>
      <c r="N20" s="479" t="s">
        <v>109</v>
      </c>
      <c r="O20" s="479"/>
      <c r="P20" s="513">
        <f t="shared" si="1"/>
        <v>0</v>
      </c>
      <c r="Q20" s="513"/>
      <c r="R20" s="517">
        <v>1</v>
      </c>
      <c r="S20" s="517"/>
      <c r="T20" s="98">
        <f t="shared" si="5"/>
        <v>0</v>
      </c>
      <c r="U20" s="99">
        <f t="shared" si="2"/>
        <v>0</v>
      </c>
    </row>
    <row r="21" spans="1:21" x14ac:dyDescent="0.25">
      <c r="A21" s="453" t="s">
        <v>110</v>
      </c>
      <c r="B21" s="453"/>
      <c r="C21" s="165">
        <v>0</v>
      </c>
      <c r="D21" s="165">
        <v>0</v>
      </c>
      <c r="E21" s="125">
        <f t="shared" si="3"/>
        <v>0</v>
      </c>
      <c r="F21" s="532">
        <f>'0664'!F21:G21</f>
        <v>3.6739999999999999</v>
      </c>
      <c r="G21" s="532"/>
      <c r="H21" s="83">
        <f t="shared" si="4"/>
        <v>0</v>
      </c>
      <c r="I21" s="104">
        <f t="shared" si="0"/>
        <v>0</v>
      </c>
      <c r="N21" s="479" t="s">
        <v>110</v>
      </c>
      <c r="O21" s="479"/>
      <c r="P21" s="513">
        <f t="shared" si="1"/>
        <v>0</v>
      </c>
      <c r="Q21" s="513"/>
      <c r="R21" s="517">
        <v>1</v>
      </c>
      <c r="S21" s="517"/>
      <c r="T21" s="98">
        <f t="shared" si="5"/>
        <v>0</v>
      </c>
      <c r="U21" s="99">
        <f t="shared" si="2"/>
        <v>0</v>
      </c>
    </row>
    <row r="22" spans="1:21" x14ac:dyDescent="0.25">
      <c r="A22" s="453" t="s">
        <v>111</v>
      </c>
      <c r="B22" s="453"/>
      <c r="C22" s="165">
        <v>0</v>
      </c>
      <c r="D22" s="165">
        <v>0</v>
      </c>
      <c r="E22" s="125">
        <f t="shared" si="3"/>
        <v>0</v>
      </c>
      <c r="F22" s="532">
        <f>'0664'!F22:G22</f>
        <v>5.4009999999999998</v>
      </c>
      <c r="G22" s="532"/>
      <c r="H22" s="83">
        <f t="shared" si="4"/>
        <v>0</v>
      </c>
      <c r="I22" s="104">
        <f t="shared" si="0"/>
        <v>0</v>
      </c>
      <c r="N22" s="479" t="s">
        <v>111</v>
      </c>
      <c r="O22" s="479"/>
      <c r="P22" s="513">
        <f t="shared" si="1"/>
        <v>0</v>
      </c>
      <c r="Q22" s="513"/>
      <c r="R22" s="517">
        <v>1</v>
      </c>
      <c r="S22" s="517"/>
      <c r="T22" s="98">
        <f t="shared" si="5"/>
        <v>0</v>
      </c>
      <c r="U22" s="99">
        <f t="shared" si="2"/>
        <v>0</v>
      </c>
    </row>
    <row r="23" spans="1:21" x14ac:dyDescent="0.25">
      <c r="A23" s="453" t="s">
        <v>112</v>
      </c>
      <c r="B23" s="453"/>
      <c r="C23" s="165">
        <v>0</v>
      </c>
      <c r="D23" s="165">
        <v>0</v>
      </c>
      <c r="E23" s="125">
        <f t="shared" si="3"/>
        <v>0</v>
      </c>
      <c r="F23" s="532">
        <f>'0664'!F23:G23</f>
        <v>5.4009999999999998</v>
      </c>
      <c r="G23" s="532"/>
      <c r="H23" s="83">
        <f t="shared" si="4"/>
        <v>0</v>
      </c>
      <c r="I23" s="104">
        <f t="shared" si="0"/>
        <v>0</v>
      </c>
      <c r="N23" s="479" t="s">
        <v>112</v>
      </c>
      <c r="O23" s="479"/>
      <c r="P23" s="513">
        <f t="shared" si="1"/>
        <v>0</v>
      </c>
      <c r="Q23" s="513"/>
      <c r="R23" s="517">
        <v>1</v>
      </c>
      <c r="S23" s="517"/>
      <c r="T23" s="98">
        <f t="shared" si="5"/>
        <v>0</v>
      </c>
      <c r="U23" s="99">
        <f t="shared" si="2"/>
        <v>0</v>
      </c>
    </row>
    <row r="24" spans="1:21" x14ac:dyDescent="0.25">
      <c r="A24" s="453" t="s">
        <v>113</v>
      </c>
      <c r="B24" s="453"/>
      <c r="C24" s="165">
        <v>0</v>
      </c>
      <c r="D24" s="165">
        <v>0</v>
      </c>
      <c r="E24" s="125">
        <f t="shared" si="3"/>
        <v>0</v>
      </c>
      <c r="F24" s="532">
        <f>'0664'!F24:G24</f>
        <v>5.4009999999999998</v>
      </c>
      <c r="G24" s="532"/>
      <c r="H24" s="83">
        <f t="shared" si="4"/>
        <v>0</v>
      </c>
      <c r="I24" s="104">
        <f t="shared" si="0"/>
        <v>0</v>
      </c>
      <c r="N24" s="479" t="s">
        <v>113</v>
      </c>
      <c r="O24" s="479"/>
      <c r="P24" s="513">
        <f t="shared" si="1"/>
        <v>0</v>
      </c>
      <c r="Q24" s="513"/>
      <c r="R24" s="517">
        <v>1</v>
      </c>
      <c r="S24" s="517"/>
      <c r="T24" s="98">
        <f t="shared" si="5"/>
        <v>0</v>
      </c>
      <c r="U24" s="99">
        <f t="shared" si="2"/>
        <v>0</v>
      </c>
    </row>
    <row r="25" spans="1:21" x14ac:dyDescent="0.25">
      <c r="A25" s="453" t="s">
        <v>114</v>
      </c>
      <c r="B25" s="453"/>
      <c r="C25" s="165">
        <v>68.239999999999995</v>
      </c>
      <c r="D25" s="165">
        <v>70.02</v>
      </c>
      <c r="E25" s="125">
        <f t="shared" si="3"/>
        <v>138.26</v>
      </c>
      <c r="F25" s="532">
        <f>'0664'!F25:G25</f>
        <v>1.206</v>
      </c>
      <c r="G25" s="532"/>
      <c r="H25" s="83">
        <f t="shared" si="4"/>
        <v>166.74160000000001</v>
      </c>
      <c r="I25" s="104">
        <f t="shared" si="0"/>
        <v>798413.49</v>
      </c>
      <c r="N25" s="479" t="s">
        <v>114</v>
      </c>
      <c r="O25" s="479"/>
      <c r="P25" s="513">
        <f t="shared" si="1"/>
        <v>0</v>
      </c>
      <c r="Q25" s="513"/>
      <c r="R25" s="517">
        <v>1</v>
      </c>
      <c r="S25" s="517"/>
      <c r="T25" s="98">
        <f t="shared" si="5"/>
        <v>0</v>
      </c>
      <c r="U25" s="99">
        <f t="shared" si="2"/>
        <v>0</v>
      </c>
    </row>
    <row r="26" spans="1:21" x14ac:dyDescent="0.25">
      <c r="A26" s="453" t="s">
        <v>115</v>
      </c>
      <c r="B26" s="453"/>
      <c r="C26" s="165">
        <v>44.19</v>
      </c>
      <c r="D26" s="165">
        <v>42.67</v>
      </c>
      <c r="E26" s="125">
        <f t="shared" si="3"/>
        <v>86.86</v>
      </c>
      <c r="F26" s="532">
        <f>'0664'!F26:G26</f>
        <v>1.206</v>
      </c>
      <c r="G26" s="532"/>
      <c r="H26" s="83">
        <f t="shared" si="4"/>
        <v>104.75320000000001</v>
      </c>
      <c r="I26" s="104">
        <f t="shared" si="0"/>
        <v>501592.69</v>
      </c>
      <c r="N26" s="479" t="s">
        <v>115</v>
      </c>
      <c r="O26" s="479"/>
      <c r="P26" s="513">
        <f t="shared" si="1"/>
        <v>0</v>
      </c>
      <c r="Q26" s="513"/>
      <c r="R26" s="517">
        <v>1</v>
      </c>
      <c r="S26" s="517"/>
      <c r="T26" s="98">
        <f t="shared" si="5"/>
        <v>0</v>
      </c>
      <c r="U26" s="99">
        <f t="shared" si="2"/>
        <v>0</v>
      </c>
    </row>
    <row r="27" spans="1:21" x14ac:dyDescent="0.25">
      <c r="A27" s="453" t="s">
        <v>116</v>
      </c>
      <c r="B27" s="453"/>
      <c r="C27" s="165">
        <v>0</v>
      </c>
      <c r="D27" s="165">
        <v>0</v>
      </c>
      <c r="E27" s="125">
        <f t="shared" si="3"/>
        <v>0</v>
      </c>
      <c r="F27" s="532">
        <f>'0664'!F27:G27</f>
        <v>1.206</v>
      </c>
      <c r="G27" s="532"/>
      <c r="H27" s="83">
        <f t="shared" si="4"/>
        <v>0</v>
      </c>
      <c r="I27" s="104">
        <f t="shared" si="0"/>
        <v>0</v>
      </c>
      <c r="N27" s="479" t="s">
        <v>116</v>
      </c>
      <c r="O27" s="479"/>
      <c r="P27" s="513">
        <f t="shared" si="1"/>
        <v>0</v>
      </c>
      <c r="Q27" s="513"/>
      <c r="R27" s="517">
        <v>1</v>
      </c>
      <c r="S27" s="517"/>
      <c r="T27" s="98">
        <f t="shared" si="5"/>
        <v>0</v>
      </c>
      <c r="U27" s="99">
        <f t="shared" si="2"/>
        <v>0</v>
      </c>
    </row>
    <row r="28" spans="1:21" x14ac:dyDescent="0.25">
      <c r="A28" s="453" t="s">
        <v>117</v>
      </c>
      <c r="B28" s="453"/>
      <c r="C28" s="116">
        <v>0</v>
      </c>
      <c r="D28" s="116">
        <v>0</v>
      </c>
      <c r="E28" s="177">
        <f t="shared" si="3"/>
        <v>0</v>
      </c>
      <c r="F28" s="532">
        <f>'0664'!F28:G28</f>
        <v>0.999</v>
      </c>
      <c r="G28" s="532"/>
      <c r="H28" s="96">
        <f t="shared" si="4"/>
        <v>0</v>
      </c>
      <c r="I28" s="97">
        <f t="shared" si="0"/>
        <v>0</v>
      </c>
      <c r="N28" s="482" t="s">
        <v>117</v>
      </c>
      <c r="O28" s="482"/>
      <c r="P28" s="513">
        <f t="shared" si="1"/>
        <v>0</v>
      </c>
      <c r="Q28" s="513"/>
      <c r="R28" s="514">
        <v>1</v>
      </c>
      <c r="S28" s="514"/>
      <c r="T28" s="98">
        <f t="shared" si="5"/>
        <v>0</v>
      </c>
      <c r="U28" s="99">
        <f t="shared" si="2"/>
        <v>0</v>
      </c>
    </row>
    <row r="29" spans="1:21" x14ac:dyDescent="0.25">
      <c r="A29" s="461" t="s">
        <v>5</v>
      </c>
      <c r="B29" s="461"/>
      <c r="C29" s="97">
        <f>SUM(C13:C28)</f>
        <v>569.15000000000009</v>
      </c>
      <c r="D29" s="97">
        <f>SUM(D13:D28)</f>
        <v>574.4</v>
      </c>
      <c r="E29" s="97">
        <f>SUM(E13:E28)</f>
        <v>1143.55</v>
      </c>
      <c r="F29" s="457"/>
      <c r="G29" s="457"/>
      <c r="H29" s="102">
        <f>SUM(H13:H28)</f>
        <v>1238.9047</v>
      </c>
      <c r="I29" s="97">
        <f>SUM(I13:I28)</f>
        <v>5932282.2200000007</v>
      </c>
      <c r="N29" s="515" t="s">
        <v>5</v>
      </c>
      <c r="O29" s="515"/>
      <c r="P29" s="516">
        <f>SUM(P13:P28)</f>
        <v>0</v>
      </c>
      <c r="Q29" s="516"/>
      <c r="R29" s="508"/>
      <c r="S29" s="508"/>
      <c r="T29" s="103">
        <f>SUM(T13:T28)</f>
        <v>0</v>
      </c>
      <c r="U29" s="99">
        <f>SUM(U13:U28)</f>
        <v>0</v>
      </c>
    </row>
    <row r="30" spans="1:21" x14ac:dyDescent="0.25">
      <c r="A30" s="27"/>
      <c r="B30" s="27"/>
      <c r="C30" s="104"/>
      <c r="D30" s="104"/>
      <c r="E30" s="104"/>
      <c r="F30" s="28"/>
      <c r="G30" s="28"/>
      <c r="H30" s="83"/>
      <c r="I30" s="104"/>
      <c r="N30" s="29"/>
      <c r="O30" s="29"/>
      <c r="P30" s="30"/>
      <c r="Q30" s="30"/>
      <c r="R30" s="31"/>
      <c r="S30" s="31"/>
      <c r="T30" s="105"/>
      <c r="U30" s="106"/>
    </row>
    <row r="31" spans="1:21" x14ac:dyDescent="0.25">
      <c r="A31" s="168" t="s">
        <v>97</v>
      </c>
      <c r="B31" s="27"/>
      <c r="C31" s="104"/>
      <c r="D31" s="104"/>
      <c r="E31" s="104"/>
      <c r="F31" s="28"/>
      <c r="G31" s="28"/>
      <c r="H31" s="83"/>
      <c r="I31" s="104"/>
      <c r="N31" s="29"/>
      <c r="O31" s="29"/>
      <c r="P31" s="30"/>
      <c r="Q31" s="30"/>
      <c r="R31" s="31"/>
      <c r="S31" s="31"/>
      <c r="T31" s="105"/>
      <c r="U31" s="106"/>
    </row>
    <row r="32" spans="1:21" hidden="1" x14ac:dyDescent="0.25">
      <c r="A32" s="168"/>
      <c r="B32" s="27"/>
      <c r="C32" s="104"/>
      <c r="D32" s="104"/>
      <c r="E32" s="104"/>
      <c r="F32" s="28"/>
      <c r="G32" s="28"/>
      <c r="H32" s="83"/>
      <c r="I32" s="104"/>
      <c r="N32" s="29"/>
      <c r="O32" s="29"/>
      <c r="P32" s="30"/>
      <c r="Q32" s="30"/>
      <c r="R32" s="31"/>
      <c r="S32" s="31"/>
      <c r="T32" s="105"/>
      <c r="U32" s="106"/>
    </row>
    <row r="33" spans="1:21" hidden="1" x14ac:dyDescent="0.25">
      <c r="A33" s="168"/>
      <c r="B33" s="27"/>
      <c r="C33" s="104"/>
      <c r="D33" s="104"/>
      <c r="E33" s="104"/>
      <c r="F33" s="541" t="s">
        <v>282</v>
      </c>
      <c r="G33" s="541"/>
      <c r="H33" s="541"/>
      <c r="I33" s="104"/>
      <c r="N33" s="29"/>
      <c r="O33" s="29"/>
      <c r="P33" s="30"/>
      <c r="Q33" s="30"/>
      <c r="R33" s="31"/>
      <c r="S33" s="31"/>
      <c r="T33" s="105"/>
      <c r="U33" s="106"/>
    </row>
    <row r="34" spans="1:21" hidden="1" x14ac:dyDescent="0.25">
      <c r="A34" s="3"/>
      <c r="B34" s="72"/>
      <c r="C34" s="72"/>
      <c r="D34" s="72"/>
      <c r="E34" s="72"/>
      <c r="F34" s="541"/>
      <c r="G34" s="541"/>
      <c r="H34" s="541"/>
      <c r="I34" s="25" t="s">
        <v>74</v>
      </c>
      <c r="N34" s="485" t="s">
        <v>35</v>
      </c>
      <c r="O34" s="485"/>
      <c r="P34" s="485"/>
      <c r="Q34" s="485"/>
      <c r="R34" s="485"/>
      <c r="S34" s="485"/>
      <c r="T34" s="485"/>
      <c r="U34" s="26" t="s">
        <v>74</v>
      </c>
    </row>
    <row r="35" spans="1:21" hidden="1" x14ac:dyDescent="0.25">
      <c r="A35" s="27"/>
      <c r="B35" s="27"/>
      <c r="C35" s="91" t="s">
        <v>124</v>
      </c>
      <c r="D35" s="91" t="s">
        <v>125</v>
      </c>
      <c r="E35" s="92" t="s">
        <v>8</v>
      </c>
      <c r="F35" s="541"/>
      <c r="G35" s="541"/>
      <c r="H35" s="541"/>
      <c r="I35" s="25" t="s">
        <v>36</v>
      </c>
      <c r="N35" s="29"/>
      <c r="O35" s="29"/>
      <c r="P35" s="30"/>
      <c r="Q35" s="30"/>
      <c r="R35" s="31"/>
      <c r="S35" s="31"/>
      <c r="T35" s="105"/>
      <c r="U35" s="26" t="s">
        <v>36</v>
      </c>
    </row>
    <row r="36" spans="1:21" hidden="1" x14ac:dyDescent="0.25">
      <c r="A36" s="447" t="s">
        <v>63</v>
      </c>
      <c r="B36" s="447"/>
      <c r="C36" s="93" t="s">
        <v>2</v>
      </c>
      <c r="D36" s="93" t="s">
        <v>2</v>
      </c>
      <c r="E36" s="93" t="s">
        <v>2</v>
      </c>
      <c r="F36" s="542"/>
      <c r="G36" s="542"/>
      <c r="H36" s="542"/>
      <c r="I36" s="32" t="s">
        <v>75</v>
      </c>
      <c r="N36" s="510" t="s">
        <v>63</v>
      </c>
      <c r="O36" s="510"/>
      <c r="P36" s="511" t="s">
        <v>24</v>
      </c>
      <c r="Q36" s="511"/>
      <c r="R36" s="511"/>
      <c r="S36" s="511"/>
      <c r="T36" s="511"/>
      <c r="U36" s="20" t="s">
        <v>75</v>
      </c>
    </row>
    <row r="37" spans="1:21" hidden="1" x14ac:dyDescent="0.25">
      <c r="A37" s="451" t="s">
        <v>56</v>
      </c>
      <c r="B37" s="451"/>
      <c r="C37" s="169">
        <v>0</v>
      </c>
      <c r="D37" s="169">
        <v>0</v>
      </c>
      <c r="E37" s="210">
        <f t="shared" ref="E37:E42" si="6">IF(D$43=0,C37*2,C37+D37)</f>
        <v>0</v>
      </c>
      <c r="F37" s="170"/>
      <c r="G37" s="170"/>
      <c r="H37" s="170"/>
      <c r="I37" s="119">
        <f t="shared" ref="I37:I42" si="7">ROUND(ROUND(E37*$C$8,4)*($H$8),2)</f>
        <v>0</v>
      </c>
      <c r="N37" s="512" t="s">
        <v>56</v>
      </c>
      <c r="O37" s="512"/>
      <c r="P37" s="483">
        <f t="shared" ref="P37:P42" si="8">IF($H$120=1,E37,0)</f>
        <v>0</v>
      </c>
      <c r="Q37" s="483"/>
      <c r="R37" s="483"/>
      <c r="S37" s="483"/>
      <c r="T37" s="483"/>
      <c r="U37" s="101">
        <f t="shared" ref="U37:U42" si="9">ROUND(ROUND(P37*$C$8,4)*($H$8),0)</f>
        <v>0</v>
      </c>
    </row>
    <row r="38" spans="1:21" hidden="1" x14ac:dyDescent="0.25">
      <c r="A38" s="453" t="s">
        <v>57</v>
      </c>
      <c r="B38" s="453"/>
      <c r="C38" s="172">
        <v>0</v>
      </c>
      <c r="D38" s="172">
        <v>0</v>
      </c>
      <c r="E38" s="125">
        <f t="shared" si="6"/>
        <v>0</v>
      </c>
      <c r="F38" s="173"/>
      <c r="G38" s="173"/>
      <c r="H38" s="173"/>
      <c r="I38" s="104">
        <f t="shared" si="7"/>
        <v>0</v>
      </c>
      <c r="N38" s="479" t="s">
        <v>57</v>
      </c>
      <c r="O38" s="479"/>
      <c r="P38" s="483">
        <f t="shared" si="8"/>
        <v>0</v>
      </c>
      <c r="Q38" s="483"/>
      <c r="R38" s="483"/>
      <c r="S38" s="483"/>
      <c r="T38" s="483"/>
      <c r="U38" s="101">
        <f t="shared" si="9"/>
        <v>0</v>
      </c>
    </row>
    <row r="39" spans="1:21" hidden="1" x14ac:dyDescent="0.25">
      <c r="A39" s="458" t="s">
        <v>58</v>
      </c>
      <c r="B39" s="458"/>
      <c r="C39" s="172">
        <v>0</v>
      </c>
      <c r="D39" s="172">
        <v>0</v>
      </c>
      <c r="E39" s="125">
        <f t="shared" si="6"/>
        <v>0</v>
      </c>
      <c r="F39" s="173"/>
      <c r="G39" s="173"/>
      <c r="H39" s="173"/>
      <c r="I39" s="104">
        <f t="shared" si="7"/>
        <v>0</v>
      </c>
      <c r="N39" s="509" t="s">
        <v>58</v>
      </c>
      <c r="O39" s="509"/>
      <c r="P39" s="483">
        <f t="shared" si="8"/>
        <v>0</v>
      </c>
      <c r="Q39" s="483"/>
      <c r="R39" s="483"/>
      <c r="S39" s="483"/>
      <c r="T39" s="483"/>
      <c r="U39" s="101">
        <f t="shared" si="9"/>
        <v>0</v>
      </c>
    </row>
    <row r="40" spans="1:21" hidden="1" x14ac:dyDescent="0.25">
      <c r="A40" s="453" t="s">
        <v>59</v>
      </c>
      <c r="B40" s="453"/>
      <c r="C40" s="172">
        <v>0</v>
      </c>
      <c r="D40" s="172">
        <v>0</v>
      </c>
      <c r="E40" s="125">
        <f t="shared" si="6"/>
        <v>0</v>
      </c>
      <c r="F40" s="173"/>
      <c r="G40" s="173"/>
      <c r="H40" s="173"/>
      <c r="I40" s="104">
        <f t="shared" si="7"/>
        <v>0</v>
      </c>
      <c r="N40" s="479" t="s">
        <v>59</v>
      </c>
      <c r="O40" s="479"/>
      <c r="P40" s="483">
        <f t="shared" si="8"/>
        <v>0</v>
      </c>
      <c r="Q40" s="483"/>
      <c r="R40" s="483"/>
      <c r="S40" s="483"/>
      <c r="T40" s="483"/>
      <c r="U40" s="101">
        <f t="shared" si="9"/>
        <v>0</v>
      </c>
    </row>
    <row r="41" spans="1:21" hidden="1" x14ac:dyDescent="0.25">
      <c r="A41" s="453" t="s">
        <v>60</v>
      </c>
      <c r="B41" s="453"/>
      <c r="C41" s="172">
        <v>0</v>
      </c>
      <c r="D41" s="172">
        <v>0</v>
      </c>
      <c r="E41" s="125">
        <f t="shared" si="6"/>
        <v>0</v>
      </c>
      <c r="F41" s="173"/>
      <c r="G41" s="173"/>
      <c r="H41" s="173"/>
      <c r="I41" s="104">
        <f t="shared" si="7"/>
        <v>0</v>
      </c>
      <c r="N41" s="479" t="s">
        <v>60</v>
      </c>
      <c r="O41" s="479"/>
      <c r="P41" s="483">
        <f t="shared" si="8"/>
        <v>0</v>
      </c>
      <c r="Q41" s="483"/>
      <c r="R41" s="483"/>
      <c r="S41" s="483"/>
      <c r="T41" s="483"/>
      <c r="U41" s="101">
        <f t="shared" si="9"/>
        <v>0</v>
      </c>
    </row>
    <row r="42" spans="1:21" hidden="1" x14ac:dyDescent="0.25">
      <c r="A42" s="453" t="s">
        <v>52</v>
      </c>
      <c r="B42" s="453"/>
      <c r="C42" s="171">
        <v>0</v>
      </c>
      <c r="D42" s="171">
        <v>0</v>
      </c>
      <c r="E42" s="177">
        <f t="shared" si="6"/>
        <v>0</v>
      </c>
      <c r="F42" s="173"/>
      <c r="G42" s="173"/>
      <c r="H42" s="173"/>
      <c r="I42" s="97">
        <f t="shared" si="7"/>
        <v>0</v>
      </c>
      <c r="N42" s="482" t="s">
        <v>52</v>
      </c>
      <c r="O42" s="482"/>
      <c r="P42" s="483">
        <f t="shared" si="8"/>
        <v>0</v>
      </c>
      <c r="Q42" s="483"/>
      <c r="R42" s="483"/>
      <c r="S42" s="483"/>
      <c r="T42" s="483"/>
      <c r="U42" s="101">
        <f t="shared" si="9"/>
        <v>0</v>
      </c>
    </row>
    <row r="43" spans="1:21" hidden="1" x14ac:dyDescent="0.25">
      <c r="A43" s="3"/>
      <c r="B43" s="55" t="s">
        <v>126</v>
      </c>
      <c r="C43" s="100">
        <f>SUM(C37:C42)</f>
        <v>0</v>
      </c>
      <c r="D43" s="100">
        <f>SUM(D37:D42)</f>
        <v>0</v>
      </c>
      <c r="E43" s="100">
        <f>SUM(E37:E42)</f>
        <v>0</v>
      </c>
      <c r="F43" s="33"/>
      <c r="G43" s="109"/>
      <c r="H43" s="110" t="s">
        <v>128</v>
      </c>
      <c r="I43" s="100">
        <f>SUM(I37:I42)</f>
        <v>0</v>
      </c>
      <c r="N43" s="480" t="s">
        <v>54</v>
      </c>
      <c r="O43" s="480"/>
      <c r="P43" s="480"/>
      <c r="Q43" s="480"/>
      <c r="R43" s="34">
        <f>SUM(P37:R42)</f>
        <v>0</v>
      </c>
      <c r="S43" s="508" t="s">
        <v>64</v>
      </c>
      <c r="T43" s="508"/>
      <c r="U43" s="106">
        <f>SUM(U37:U42)</f>
        <v>0</v>
      </c>
    </row>
    <row r="44" spans="1:21" ht="16.5" hidden="1" thickBot="1" x14ac:dyDescent="0.3">
      <c r="A44" s="3"/>
      <c r="B44" s="55"/>
      <c r="C44" s="104"/>
      <c r="D44" s="104"/>
      <c r="E44" s="119"/>
      <c r="F44" s="33"/>
      <c r="G44" s="109"/>
      <c r="H44" s="110"/>
      <c r="I44" s="104"/>
      <c r="N44" s="29"/>
      <c r="O44" s="29"/>
      <c r="P44" s="29"/>
      <c r="Q44" s="29"/>
      <c r="R44" s="34"/>
      <c r="S44" s="31"/>
      <c r="T44" s="31"/>
      <c r="U44" s="106"/>
    </row>
    <row r="45" spans="1:21" ht="16.5" hidden="1" thickBot="1" x14ac:dyDescent="0.3">
      <c r="A45" s="3"/>
      <c r="B45" s="55" t="s">
        <v>127</v>
      </c>
      <c r="E45" s="174">
        <f>H29+E43</f>
        <v>1238.9047</v>
      </c>
      <c r="F45" s="35"/>
      <c r="G45" s="109"/>
      <c r="H45" s="110" t="s">
        <v>129</v>
      </c>
      <c r="I45" s="97">
        <f>SUM(I43,I29)</f>
        <v>5932282.2200000007</v>
      </c>
      <c r="N45" s="480" t="s">
        <v>55</v>
      </c>
      <c r="O45" s="480"/>
      <c r="P45" s="480"/>
      <c r="Q45" s="480"/>
      <c r="R45" s="36">
        <f>R43+T29</f>
        <v>0</v>
      </c>
      <c r="S45" s="508" t="s">
        <v>53</v>
      </c>
      <c r="T45" s="508"/>
      <c r="U45" s="111">
        <f>SUM(U43,U29)</f>
        <v>0</v>
      </c>
    </row>
    <row r="46" spans="1:21" hidden="1" x14ac:dyDescent="0.25">
      <c r="A46" s="27"/>
      <c r="B46" s="27"/>
      <c r="C46" s="27"/>
      <c r="D46" s="27"/>
      <c r="E46" s="27"/>
      <c r="F46" s="35"/>
      <c r="G46" s="28"/>
      <c r="H46" s="28"/>
      <c r="I46" s="104"/>
      <c r="N46" s="29"/>
      <c r="O46" s="29"/>
      <c r="P46" s="29"/>
      <c r="Q46" s="29"/>
      <c r="R46" s="36"/>
      <c r="S46" s="31"/>
      <c r="T46" s="31"/>
      <c r="U46" s="106"/>
    </row>
    <row r="47" spans="1:21" x14ac:dyDescent="0.25">
      <c r="A47" s="27"/>
      <c r="B47" s="55" t="s">
        <v>370</v>
      </c>
      <c r="C47" s="41" t="s">
        <v>370</v>
      </c>
      <c r="D47" s="91" t="s">
        <v>370</v>
      </c>
      <c r="E47" s="27"/>
      <c r="F47" s="35"/>
      <c r="G47" s="28"/>
      <c r="H47" s="28"/>
      <c r="I47" s="104"/>
      <c r="N47" s="29"/>
      <c r="O47" s="29"/>
      <c r="P47" s="29"/>
      <c r="Q47" s="29"/>
      <c r="R47" s="36"/>
      <c r="S47" s="31"/>
      <c r="T47" s="31"/>
      <c r="U47" s="106"/>
    </row>
    <row r="48" spans="1:21" x14ac:dyDescent="0.25">
      <c r="A48" s="27"/>
      <c r="B48" s="27"/>
      <c r="C48" s="91" t="s">
        <v>463</v>
      </c>
      <c r="D48" s="371" t="s">
        <v>464</v>
      </c>
      <c r="E48" s="92" t="s">
        <v>8</v>
      </c>
      <c r="F48" s="49" t="s">
        <v>130</v>
      </c>
      <c r="G48" s="112" t="s">
        <v>132</v>
      </c>
      <c r="H48" s="113" t="s">
        <v>133</v>
      </c>
      <c r="I48" s="104"/>
      <c r="N48" s="29"/>
      <c r="O48" s="29"/>
      <c r="P48" s="29"/>
      <c r="Q48" s="29"/>
      <c r="R48" s="36"/>
      <c r="S48" s="31"/>
      <c r="T48" s="31"/>
      <c r="U48" s="106"/>
    </row>
    <row r="49" spans="1:21" x14ac:dyDescent="0.25">
      <c r="A49" s="37" t="s">
        <v>87</v>
      </c>
      <c r="B49" s="37"/>
      <c r="C49" s="362" t="s">
        <v>2</v>
      </c>
      <c r="D49" s="362" t="s">
        <v>2</v>
      </c>
      <c r="E49" s="362" t="s">
        <v>2</v>
      </c>
      <c r="F49" s="95" t="s">
        <v>131</v>
      </c>
      <c r="G49" s="62" t="s">
        <v>131</v>
      </c>
      <c r="H49" s="114" t="s">
        <v>134</v>
      </c>
      <c r="I49" s="37"/>
      <c r="N49" s="482" t="s">
        <v>87</v>
      </c>
      <c r="O49" s="482"/>
      <c r="P49" s="503" t="s">
        <v>2</v>
      </c>
      <c r="Q49" s="503"/>
      <c r="R49" s="38" t="s">
        <v>25</v>
      </c>
      <c r="S49" s="63" t="s">
        <v>26</v>
      </c>
      <c r="T49" s="115" t="s">
        <v>27</v>
      </c>
      <c r="U49" s="38"/>
    </row>
    <row r="50" spans="1:21" x14ac:dyDescent="0.25">
      <c r="A50" s="459" t="s">
        <v>98</v>
      </c>
      <c r="B50" s="459"/>
      <c r="C50" s="165">
        <v>16.5</v>
      </c>
      <c r="D50" s="165">
        <v>16.920000000000002</v>
      </c>
      <c r="E50" s="125">
        <f>IF(D$59=0,C50*2,C50+D50)</f>
        <v>33.42</v>
      </c>
      <c r="F50" s="39" t="s">
        <v>21</v>
      </c>
      <c r="G50" s="39">
        <v>251</v>
      </c>
      <c r="H50" s="321">
        <f>'0664'!H50</f>
        <v>1047</v>
      </c>
      <c r="I50" s="104">
        <f>ROUND(E50*H50,2)</f>
        <v>34990.74</v>
      </c>
      <c r="N50" s="504" t="s">
        <v>28</v>
      </c>
      <c r="O50" s="504"/>
      <c r="P50" s="505"/>
      <c r="Q50" s="505"/>
      <c r="R50" s="40" t="s">
        <v>21</v>
      </c>
      <c r="S50" s="40">
        <v>251</v>
      </c>
      <c r="T50" s="117">
        <f>H50</f>
        <v>1047</v>
      </c>
      <c r="U50" s="118">
        <f>ROUND(P50*T50,0)</f>
        <v>0</v>
      </c>
    </row>
    <row r="51" spans="1:21" x14ac:dyDescent="0.25">
      <c r="A51" s="460"/>
      <c r="B51" s="460"/>
      <c r="C51" s="165">
        <v>4.5</v>
      </c>
      <c r="D51" s="165">
        <v>4.62</v>
      </c>
      <c r="E51" s="125">
        <f t="shared" ref="E51:E58" si="10">IF(D$59=0,C51*2,C51+D51)</f>
        <v>9.120000000000001</v>
      </c>
      <c r="F51" s="39" t="s">
        <v>21</v>
      </c>
      <c r="G51" s="39">
        <v>252</v>
      </c>
      <c r="H51" s="321">
        <f>'0664'!H51</f>
        <v>3380</v>
      </c>
      <c r="I51" s="104">
        <f t="shared" ref="I51:I58" si="11">ROUND(E51*H51,2)</f>
        <v>30825.599999999999</v>
      </c>
      <c r="N51" s="504"/>
      <c r="O51" s="504"/>
      <c r="P51" s="506"/>
      <c r="Q51" s="506"/>
      <c r="R51" s="40" t="s">
        <v>21</v>
      </c>
      <c r="S51" s="40">
        <v>252</v>
      </c>
      <c r="T51" s="117">
        <f t="shared" ref="T51:T58" si="12">H51</f>
        <v>3380</v>
      </c>
      <c r="U51" s="118">
        <f t="shared" ref="U51:U58" si="13">ROUND(P51*T51,0)</f>
        <v>0</v>
      </c>
    </row>
    <row r="52" spans="1:21" x14ac:dyDescent="0.25">
      <c r="A52" s="460"/>
      <c r="B52" s="460"/>
      <c r="C52" s="165">
        <v>0</v>
      </c>
      <c r="D52" s="165">
        <v>0</v>
      </c>
      <c r="E52" s="125">
        <f t="shared" si="10"/>
        <v>0</v>
      </c>
      <c r="F52" s="39" t="s">
        <v>21</v>
      </c>
      <c r="G52" s="39">
        <v>253</v>
      </c>
      <c r="H52" s="321">
        <f>'0664'!H52</f>
        <v>6896</v>
      </c>
      <c r="I52" s="104">
        <f t="shared" si="11"/>
        <v>0</v>
      </c>
      <c r="N52" s="504"/>
      <c r="O52" s="504"/>
      <c r="P52" s="506"/>
      <c r="Q52" s="506"/>
      <c r="R52" s="40" t="s">
        <v>21</v>
      </c>
      <c r="S52" s="40">
        <v>253</v>
      </c>
      <c r="T52" s="117">
        <f t="shared" si="12"/>
        <v>6896</v>
      </c>
      <c r="U52" s="118">
        <f t="shared" si="13"/>
        <v>0</v>
      </c>
    </row>
    <row r="53" spans="1:21" x14ac:dyDescent="0.25">
      <c r="A53" s="460"/>
      <c r="B53" s="460"/>
      <c r="C53" s="165">
        <v>27.85</v>
      </c>
      <c r="D53" s="165">
        <v>28.23</v>
      </c>
      <c r="E53" s="125">
        <f t="shared" si="10"/>
        <v>56.08</v>
      </c>
      <c r="F53" s="41" t="s">
        <v>14</v>
      </c>
      <c r="G53" s="39">
        <v>251</v>
      </c>
      <c r="H53" s="321">
        <f>'0664'!H53</f>
        <v>1173</v>
      </c>
      <c r="I53" s="104">
        <f t="shared" si="11"/>
        <v>65781.84</v>
      </c>
      <c r="N53" s="504"/>
      <c r="O53" s="504"/>
      <c r="P53" s="506"/>
      <c r="Q53" s="506"/>
      <c r="R53" s="42" t="s">
        <v>14</v>
      </c>
      <c r="S53" s="40">
        <v>251</v>
      </c>
      <c r="T53" s="117">
        <f t="shared" si="12"/>
        <v>1173</v>
      </c>
      <c r="U53" s="118">
        <f t="shared" si="13"/>
        <v>0</v>
      </c>
    </row>
    <row r="54" spans="1:21" x14ac:dyDescent="0.25">
      <c r="A54" s="460"/>
      <c r="B54" s="460"/>
      <c r="C54" s="165">
        <v>4.01</v>
      </c>
      <c r="D54" s="165">
        <v>4.0599999999999996</v>
      </c>
      <c r="E54" s="125">
        <f t="shared" si="10"/>
        <v>8.07</v>
      </c>
      <c r="F54" s="41" t="s">
        <v>14</v>
      </c>
      <c r="G54" s="39">
        <v>252</v>
      </c>
      <c r="H54" s="321">
        <f>'0664'!H54</f>
        <v>3506</v>
      </c>
      <c r="I54" s="104">
        <f t="shared" si="11"/>
        <v>28293.42</v>
      </c>
      <c r="N54" s="504"/>
      <c r="O54" s="504"/>
      <c r="P54" s="506"/>
      <c r="Q54" s="506"/>
      <c r="R54" s="42" t="s">
        <v>14</v>
      </c>
      <c r="S54" s="40">
        <v>252</v>
      </c>
      <c r="T54" s="117">
        <f t="shared" si="12"/>
        <v>3506</v>
      </c>
      <c r="U54" s="118">
        <f t="shared" si="13"/>
        <v>0</v>
      </c>
    </row>
    <row r="55" spans="1:21" x14ac:dyDescent="0.25">
      <c r="A55" s="460"/>
      <c r="B55" s="460"/>
      <c r="C55" s="165">
        <v>0</v>
      </c>
      <c r="D55" s="165">
        <v>0</v>
      </c>
      <c r="E55" s="125">
        <f t="shared" si="10"/>
        <v>0</v>
      </c>
      <c r="F55" s="41" t="s">
        <v>14</v>
      </c>
      <c r="G55" s="39">
        <v>253</v>
      </c>
      <c r="H55" s="321">
        <f>'0664'!H55</f>
        <v>7023</v>
      </c>
      <c r="I55" s="104">
        <f t="shared" si="11"/>
        <v>0</v>
      </c>
      <c r="N55" s="504"/>
      <c r="O55" s="504"/>
      <c r="P55" s="506"/>
      <c r="Q55" s="506"/>
      <c r="R55" s="42" t="s">
        <v>14</v>
      </c>
      <c r="S55" s="40">
        <v>253</v>
      </c>
      <c r="T55" s="117">
        <f t="shared" si="12"/>
        <v>7023</v>
      </c>
      <c r="U55" s="118">
        <f t="shared" si="13"/>
        <v>0</v>
      </c>
    </row>
    <row r="56" spans="1:21" x14ac:dyDescent="0.25">
      <c r="A56" s="460"/>
      <c r="B56" s="460"/>
      <c r="C56" s="165">
        <v>0</v>
      </c>
      <c r="D56" s="165">
        <v>0</v>
      </c>
      <c r="E56" s="125">
        <f t="shared" si="10"/>
        <v>0</v>
      </c>
      <c r="F56" s="41" t="s">
        <v>15</v>
      </c>
      <c r="G56" s="39">
        <v>251</v>
      </c>
      <c r="H56" s="321">
        <f>'0664'!H56</f>
        <v>835</v>
      </c>
      <c r="I56" s="104">
        <f t="shared" si="11"/>
        <v>0</v>
      </c>
      <c r="N56" s="504"/>
      <c r="O56" s="504"/>
      <c r="P56" s="506"/>
      <c r="Q56" s="506"/>
      <c r="R56" s="42" t="s">
        <v>15</v>
      </c>
      <c r="S56" s="40">
        <v>251</v>
      </c>
      <c r="T56" s="117">
        <f t="shared" si="12"/>
        <v>835</v>
      </c>
      <c r="U56" s="118">
        <f t="shared" si="13"/>
        <v>0</v>
      </c>
    </row>
    <row r="57" spans="1:21" x14ac:dyDescent="0.25">
      <c r="A57" s="460"/>
      <c r="B57" s="460"/>
      <c r="C57" s="165">
        <v>0</v>
      </c>
      <c r="D57" s="165">
        <v>0</v>
      </c>
      <c r="E57" s="125">
        <f t="shared" si="10"/>
        <v>0</v>
      </c>
      <c r="F57" s="41" t="s">
        <v>15</v>
      </c>
      <c r="G57" s="39">
        <v>252</v>
      </c>
      <c r="H57" s="321">
        <f>'0664'!H57</f>
        <v>3168</v>
      </c>
      <c r="I57" s="104">
        <f t="shared" si="11"/>
        <v>0</v>
      </c>
      <c r="N57" s="504"/>
      <c r="O57" s="504"/>
      <c r="P57" s="506"/>
      <c r="Q57" s="506"/>
      <c r="R57" s="42" t="s">
        <v>15</v>
      </c>
      <c r="S57" s="40">
        <v>252</v>
      </c>
      <c r="T57" s="117">
        <f t="shared" si="12"/>
        <v>3168</v>
      </c>
      <c r="U57" s="118">
        <f t="shared" si="13"/>
        <v>0</v>
      </c>
    </row>
    <row r="58" spans="1:21" ht="16.5" thickBot="1" x14ac:dyDescent="0.3">
      <c r="A58" s="460"/>
      <c r="B58" s="460"/>
      <c r="C58" s="165">
        <v>0</v>
      </c>
      <c r="D58" s="165">
        <v>0</v>
      </c>
      <c r="E58" s="125">
        <f t="shared" si="10"/>
        <v>0</v>
      </c>
      <c r="F58" s="41" t="s">
        <v>15</v>
      </c>
      <c r="G58" s="39">
        <v>253</v>
      </c>
      <c r="H58" s="321">
        <f>'0664'!H58</f>
        <v>6685</v>
      </c>
      <c r="I58" s="104">
        <f t="shared" si="11"/>
        <v>0</v>
      </c>
      <c r="N58" s="504"/>
      <c r="O58" s="504"/>
      <c r="P58" s="507"/>
      <c r="Q58" s="507"/>
      <c r="R58" s="42" t="s">
        <v>15</v>
      </c>
      <c r="S58" s="40">
        <v>253</v>
      </c>
      <c r="T58" s="117">
        <f t="shared" si="12"/>
        <v>6685</v>
      </c>
      <c r="U58" s="120">
        <f t="shared" si="13"/>
        <v>0</v>
      </c>
    </row>
    <row r="59" spans="1:21" ht="16.5" thickBot="1" x14ac:dyDescent="0.3">
      <c r="A59" s="461" t="s">
        <v>16</v>
      </c>
      <c r="B59" s="461"/>
      <c r="C59" s="100">
        <f>SUM(C50:C58)</f>
        <v>52.86</v>
      </c>
      <c r="D59" s="100">
        <f>SUM(D50:D58)</f>
        <v>53.830000000000005</v>
      </c>
      <c r="E59" s="100">
        <f>SUM(E50:E58)</f>
        <v>106.69</v>
      </c>
      <c r="F59" s="461" t="s">
        <v>77</v>
      </c>
      <c r="G59" s="461"/>
      <c r="H59" s="461"/>
      <c r="I59" s="100">
        <f>SUM(I50:I58)</f>
        <v>159891.59999999998</v>
      </c>
      <c r="N59" s="480" t="s">
        <v>16</v>
      </c>
      <c r="O59" s="480"/>
      <c r="P59" s="502">
        <f>SUM(P50:P58)</f>
        <v>0</v>
      </c>
      <c r="Q59" s="502"/>
      <c r="R59" s="480" t="s">
        <v>77</v>
      </c>
      <c r="S59" s="480"/>
      <c r="T59" s="480"/>
      <c r="U59" s="111">
        <f>SUM(U50:U58)</f>
        <v>0</v>
      </c>
    </row>
    <row r="60" spans="1:21" x14ac:dyDescent="0.25">
      <c r="A60" s="462"/>
      <c r="B60" s="462"/>
      <c r="C60" s="462"/>
      <c r="D60" s="462"/>
      <c r="E60" s="462"/>
      <c r="F60" s="462"/>
      <c r="G60" s="462"/>
      <c r="H60" s="462"/>
      <c r="I60" s="462"/>
      <c r="N60" s="484"/>
      <c r="O60" s="484"/>
      <c r="P60" s="484"/>
      <c r="Q60" s="484"/>
      <c r="R60" s="484"/>
      <c r="S60" s="484"/>
      <c r="T60" s="484"/>
      <c r="U60" s="484"/>
    </row>
    <row r="61" spans="1:21" x14ac:dyDescent="0.25">
      <c r="A61" s="463" t="s">
        <v>136</v>
      </c>
      <c r="B61" s="453"/>
      <c r="C61" s="453"/>
      <c r="D61" s="453"/>
      <c r="E61" s="453"/>
      <c r="F61" s="453"/>
      <c r="G61" s="453"/>
      <c r="H61" s="453"/>
      <c r="I61" s="453"/>
      <c r="N61" s="479" t="s">
        <v>88</v>
      </c>
      <c r="O61" s="479"/>
      <c r="P61" s="479"/>
      <c r="Q61" s="479"/>
      <c r="R61" s="479"/>
      <c r="S61" s="479"/>
      <c r="T61" s="479"/>
      <c r="U61" s="479"/>
    </row>
    <row r="62" spans="1:21" x14ac:dyDescent="0.25">
      <c r="A62" s="463" t="s">
        <v>138</v>
      </c>
      <c r="B62" s="453"/>
      <c r="C62" s="121">
        <f>E29</f>
        <v>1143.55</v>
      </c>
      <c r="D62" s="464" t="s">
        <v>135</v>
      </c>
      <c r="E62" s="464"/>
      <c r="F62" s="464"/>
      <c r="G62" s="464"/>
      <c r="H62" s="335">
        <f>'0664'!H62</f>
        <v>193340.76</v>
      </c>
      <c r="I62" s="122"/>
      <c r="N62" s="478" t="s">
        <v>312</v>
      </c>
      <c r="O62" s="479"/>
      <c r="P62" s="43">
        <f>P29</f>
        <v>0</v>
      </c>
      <c r="Q62" s="498" t="s">
        <v>78</v>
      </c>
      <c r="R62" s="498"/>
      <c r="S62" s="498"/>
      <c r="T62" s="497">
        <f>H62</f>
        <v>193340.76</v>
      </c>
      <c r="U62" s="497"/>
    </row>
    <row r="63" spans="1:21" x14ac:dyDescent="0.25">
      <c r="B63" s="72"/>
      <c r="G63" s="44" t="s">
        <v>13</v>
      </c>
      <c r="H63" s="123">
        <f>ROUND(C62/H62,6)</f>
        <v>5.9150000000000001E-3</v>
      </c>
      <c r="I63" s="124"/>
      <c r="N63" s="479" t="s">
        <v>19</v>
      </c>
      <c r="O63" s="479"/>
      <c r="P63" s="479"/>
      <c r="Q63" s="479"/>
      <c r="R63" s="479"/>
      <c r="S63" s="479"/>
      <c r="T63" s="501">
        <f>ROUND(P62/T62,6)</f>
        <v>0</v>
      </c>
      <c r="U63" s="501"/>
    </row>
    <row r="64" spans="1:21" x14ac:dyDescent="0.25">
      <c r="A64" s="463" t="s">
        <v>137</v>
      </c>
      <c r="B64" s="453"/>
      <c r="C64" s="453"/>
      <c r="D64" s="453"/>
      <c r="E64" s="453"/>
      <c r="F64" s="453"/>
      <c r="G64" s="453"/>
      <c r="H64" s="453"/>
      <c r="I64" s="453"/>
      <c r="N64" s="479" t="s">
        <v>89</v>
      </c>
      <c r="O64" s="479"/>
      <c r="P64" s="479"/>
      <c r="Q64" s="479"/>
      <c r="R64" s="479"/>
      <c r="S64" s="479"/>
      <c r="T64" s="479"/>
      <c r="U64" s="479"/>
    </row>
    <row r="65" spans="1:21" x14ac:dyDescent="0.25">
      <c r="A65" s="463" t="s">
        <v>139</v>
      </c>
      <c r="B65" s="453"/>
      <c r="C65" s="121">
        <f>E45</f>
        <v>1238.9047</v>
      </c>
      <c r="D65" s="464" t="s">
        <v>140</v>
      </c>
      <c r="E65" s="464"/>
      <c r="F65" s="464"/>
      <c r="G65" s="464"/>
      <c r="H65" s="336">
        <f>'0664'!H65</f>
        <v>216845.88</v>
      </c>
      <c r="I65" s="125"/>
      <c r="N65" s="479" t="s">
        <v>80</v>
      </c>
      <c r="O65" s="479"/>
      <c r="P65" s="43">
        <f>R45</f>
        <v>0</v>
      </c>
      <c r="Q65" s="498" t="s">
        <v>79</v>
      </c>
      <c r="R65" s="498"/>
      <c r="S65" s="498"/>
      <c r="T65" s="497">
        <f>H65</f>
        <v>216845.88</v>
      </c>
      <c r="U65" s="497"/>
    </row>
    <row r="66" spans="1:21" s="37" customFormat="1" x14ac:dyDescent="0.25">
      <c r="A66" s="126"/>
      <c r="G66" s="45" t="s">
        <v>13</v>
      </c>
      <c r="H66" s="127">
        <f>ROUND(C65/H65,6)</f>
        <v>5.7130000000000002E-3</v>
      </c>
      <c r="I66" s="127"/>
      <c r="N66" s="482" t="s">
        <v>20</v>
      </c>
      <c r="O66" s="482"/>
      <c r="P66" s="482"/>
      <c r="Q66" s="482"/>
      <c r="R66" s="482"/>
      <c r="S66" s="482"/>
      <c r="T66" s="500">
        <f>ROUND(P65/T65,6)</f>
        <v>0</v>
      </c>
      <c r="U66" s="500"/>
    </row>
    <row r="67" spans="1:21" x14ac:dyDescent="0.25">
      <c r="G67" s="44"/>
      <c r="H67" s="123"/>
      <c r="I67" s="123"/>
      <c r="N67" s="48"/>
      <c r="O67" s="48"/>
      <c r="P67" s="48"/>
      <c r="Q67" s="48"/>
      <c r="R67" s="128"/>
      <c r="S67" s="48"/>
      <c r="T67" s="129"/>
      <c r="U67" s="130"/>
    </row>
    <row r="68" spans="1:21" x14ac:dyDescent="0.25">
      <c r="A68" s="453" t="s">
        <v>85</v>
      </c>
      <c r="B68" s="453"/>
      <c r="C68" s="453"/>
      <c r="D68" s="72"/>
      <c r="E68" s="46" t="s">
        <v>3</v>
      </c>
      <c r="F68" s="337">
        <f>'0664'!F68</f>
        <v>42465042</v>
      </c>
      <c r="G68" s="39" t="s">
        <v>6</v>
      </c>
      <c r="H68" s="131">
        <f>H63</f>
        <v>5.9150000000000001E-3</v>
      </c>
      <c r="I68" s="104">
        <f>ROUND(F68*H68,2)</f>
        <v>251180.72</v>
      </c>
      <c r="N68" s="479" t="s">
        <v>85</v>
      </c>
      <c r="O68" s="479"/>
      <c r="P68" s="479"/>
      <c r="Q68" s="47"/>
      <c r="R68" s="132">
        <f>F68</f>
        <v>42465042</v>
      </c>
      <c r="S68" s="40" t="s">
        <v>6</v>
      </c>
      <c r="T68" s="133">
        <f>T63</f>
        <v>0</v>
      </c>
      <c r="U68" s="99">
        <f>ROUND(R68*T68,0)</f>
        <v>0</v>
      </c>
    </row>
    <row r="69" spans="1:21" x14ac:dyDescent="0.25">
      <c r="A69" s="458" t="s">
        <v>96</v>
      </c>
      <c r="B69" s="453"/>
      <c r="C69" s="453"/>
      <c r="D69" s="72"/>
      <c r="E69" s="46"/>
      <c r="F69" s="136"/>
      <c r="G69" s="39"/>
      <c r="H69" s="131"/>
      <c r="I69" s="104"/>
      <c r="N69" s="479" t="s">
        <v>84</v>
      </c>
      <c r="O69" s="479"/>
      <c r="P69" s="479"/>
      <c r="Q69" s="54"/>
      <c r="R69" s="54"/>
      <c r="S69" s="54"/>
      <c r="T69" s="54"/>
      <c r="U69" s="54"/>
    </row>
    <row r="70" spans="1:21" x14ac:dyDescent="0.25">
      <c r="A70" s="465" t="s">
        <v>141</v>
      </c>
      <c r="B70" s="453"/>
      <c r="C70" s="453"/>
      <c r="D70" s="72"/>
      <c r="E70" s="46" t="s">
        <v>3</v>
      </c>
      <c r="F70" s="337">
        <f>'0664'!F70</f>
        <v>0</v>
      </c>
      <c r="G70" s="39" t="s">
        <v>6</v>
      </c>
      <c r="H70" s="131">
        <f>H63</f>
        <v>5.9150000000000001E-3</v>
      </c>
      <c r="I70" s="104">
        <f>ROUND(F70*H70,2)</f>
        <v>0</v>
      </c>
      <c r="N70" s="48"/>
      <c r="O70" s="48"/>
      <c r="P70" s="48"/>
      <c r="Q70" s="47"/>
      <c r="R70" s="132">
        <f>F70</f>
        <v>0</v>
      </c>
      <c r="S70" s="40" t="s">
        <v>6</v>
      </c>
      <c r="T70" s="133">
        <f>T63</f>
        <v>0</v>
      </c>
      <c r="U70" s="99">
        <f>ROUND(R70*T70,0)</f>
        <v>0</v>
      </c>
    </row>
    <row r="71" spans="1:21" x14ac:dyDescent="0.25">
      <c r="A71" s="463" t="s">
        <v>433</v>
      </c>
      <c r="B71" s="453"/>
      <c r="C71" s="453"/>
      <c r="D71" s="72"/>
      <c r="E71" s="46" t="s">
        <v>3</v>
      </c>
      <c r="F71" s="337">
        <f>'0664'!F71</f>
        <v>13414654</v>
      </c>
      <c r="G71" s="39" t="s">
        <v>6</v>
      </c>
      <c r="H71" s="131">
        <f>H63</f>
        <v>5.9150000000000001E-3</v>
      </c>
      <c r="I71" s="104">
        <f>ROUND(F71*H71,2)</f>
        <v>79347.679999999993</v>
      </c>
      <c r="N71" s="479" t="s">
        <v>83</v>
      </c>
      <c r="O71" s="479"/>
      <c r="P71" s="479"/>
      <c r="Q71" s="47"/>
      <c r="R71" s="132">
        <f>F71</f>
        <v>13414654</v>
      </c>
      <c r="S71" s="40" t="s">
        <v>6</v>
      </c>
      <c r="T71" s="133">
        <f>T63</f>
        <v>0</v>
      </c>
      <c r="U71" s="99">
        <f>ROUND(R71*T71,0)</f>
        <v>0</v>
      </c>
    </row>
    <row r="72" spans="1:21" x14ac:dyDescent="0.25">
      <c r="A72" s="463" t="s">
        <v>434</v>
      </c>
      <c r="B72" s="453"/>
      <c r="C72" s="453"/>
      <c r="D72" s="72"/>
      <c r="E72" s="46" t="s">
        <v>3</v>
      </c>
      <c r="F72" s="337">
        <f>'0664'!F72</f>
        <v>14708421</v>
      </c>
      <c r="G72" s="39" t="s">
        <v>6</v>
      </c>
      <c r="H72" s="131">
        <f>H63</f>
        <v>5.9150000000000001E-3</v>
      </c>
      <c r="I72" s="104">
        <f>ROUND(F72*H72,2)</f>
        <v>87000.31</v>
      </c>
      <c r="N72" s="479" t="s">
        <v>82</v>
      </c>
      <c r="O72" s="479"/>
      <c r="P72" s="479"/>
      <c r="Q72" s="47"/>
      <c r="R72" s="134">
        <f>F72</f>
        <v>14708421</v>
      </c>
      <c r="S72" s="40" t="s">
        <v>6</v>
      </c>
      <c r="T72" s="133">
        <f>T63</f>
        <v>0</v>
      </c>
      <c r="U72" s="99">
        <f>ROUND(R72*T72,0)</f>
        <v>0</v>
      </c>
    </row>
    <row r="73" spans="1:21" x14ac:dyDescent="0.25">
      <c r="A73" s="263" t="s">
        <v>99</v>
      </c>
      <c r="D73" s="72"/>
      <c r="E73" s="41" t="s">
        <v>353</v>
      </c>
      <c r="F73" s="466"/>
      <c r="G73" s="466"/>
      <c r="H73" s="466"/>
      <c r="I73" s="104">
        <v>0</v>
      </c>
      <c r="N73" s="499" t="s">
        <v>118</v>
      </c>
      <c r="O73" s="499"/>
      <c r="P73" s="499"/>
      <c r="Q73" s="499"/>
      <c r="R73" s="499"/>
      <c r="S73" s="499"/>
      <c r="T73" s="499"/>
      <c r="U73" s="99">
        <f>IF($H$120=1,I73,0)</f>
        <v>0</v>
      </c>
    </row>
    <row r="74" spans="1:21" x14ac:dyDescent="0.25">
      <c r="A74" s="264" t="s">
        <v>142</v>
      </c>
      <c r="I74" s="104"/>
      <c r="N74" s="499" t="s">
        <v>43</v>
      </c>
      <c r="O74" s="499"/>
      <c r="P74" s="499"/>
      <c r="Q74" s="499"/>
      <c r="R74" s="499"/>
      <c r="S74" s="499"/>
      <c r="T74" s="499"/>
      <c r="U74" s="99">
        <f>IF($H$120=1,I74,0)</f>
        <v>0</v>
      </c>
    </row>
    <row r="75" spans="1:21" x14ac:dyDescent="0.25">
      <c r="A75" s="324" t="s">
        <v>101</v>
      </c>
      <c r="B75" s="72"/>
      <c r="C75" s="72"/>
      <c r="D75" s="72"/>
      <c r="E75" s="72"/>
      <c r="F75" s="72"/>
      <c r="G75" s="72"/>
      <c r="H75" s="72"/>
      <c r="I75" s="135"/>
      <c r="N75" s="382" t="s">
        <v>44</v>
      </c>
      <c r="O75" s="48"/>
      <c r="P75" s="48"/>
      <c r="Q75" s="48"/>
      <c r="R75" s="48"/>
      <c r="S75" s="48"/>
      <c r="T75" s="48"/>
      <c r="U75" s="106"/>
    </row>
    <row r="76" spans="1:21" x14ac:dyDescent="0.25">
      <c r="A76" s="463" t="s">
        <v>435</v>
      </c>
      <c r="B76" s="453"/>
      <c r="C76" s="453"/>
      <c r="D76" s="72"/>
      <c r="E76" s="46" t="s">
        <v>3</v>
      </c>
      <c r="F76" s="337">
        <f>'0664'!F76</f>
        <v>8720092</v>
      </c>
      <c r="G76" s="39" t="s">
        <v>6</v>
      </c>
      <c r="H76" s="131">
        <f>H63</f>
        <v>5.9150000000000001E-3</v>
      </c>
      <c r="I76" s="104">
        <f t="shared" ref="I76:I85" si="14">ROUND(F76*H76,2)</f>
        <v>51579.34</v>
      </c>
      <c r="N76" s="478" t="s">
        <v>366</v>
      </c>
      <c r="O76" s="479"/>
      <c r="P76" s="479"/>
      <c r="Q76" s="47"/>
      <c r="R76" s="134">
        <f t="shared" ref="R76:R85" si="15">F76</f>
        <v>8720092</v>
      </c>
      <c r="S76" s="40" t="s">
        <v>6</v>
      </c>
      <c r="T76" s="133">
        <f>T63</f>
        <v>0</v>
      </c>
      <c r="U76" s="99">
        <f t="shared" ref="U76:U85" si="16">ROUND(R76*T76,0)</f>
        <v>0</v>
      </c>
    </row>
    <row r="77" spans="1:21" x14ac:dyDescent="0.25">
      <c r="A77" s="463" t="s">
        <v>436</v>
      </c>
      <c r="B77" s="453"/>
      <c r="C77" s="453"/>
      <c r="D77" s="72"/>
      <c r="E77" s="46" t="s">
        <v>3</v>
      </c>
      <c r="F77" s="337">
        <f>'0664'!F77</f>
        <v>0</v>
      </c>
      <c r="G77" s="39" t="s">
        <v>6</v>
      </c>
      <c r="H77" s="131">
        <f>H63</f>
        <v>5.9150000000000001E-3</v>
      </c>
      <c r="I77" s="104">
        <f t="shared" si="14"/>
        <v>0</v>
      </c>
      <c r="N77" s="479" t="s">
        <v>367</v>
      </c>
      <c r="O77" s="479"/>
      <c r="P77" s="479"/>
      <c r="Q77" s="47"/>
      <c r="R77" s="134">
        <f t="shared" si="15"/>
        <v>0</v>
      </c>
      <c r="S77" s="40" t="s">
        <v>6</v>
      </c>
      <c r="T77" s="133">
        <f>T63</f>
        <v>0</v>
      </c>
      <c r="U77" s="99">
        <f t="shared" si="16"/>
        <v>0</v>
      </c>
    </row>
    <row r="78" spans="1:21" x14ac:dyDescent="0.25">
      <c r="A78" s="463" t="s">
        <v>437</v>
      </c>
      <c r="B78" s="453"/>
      <c r="C78" s="453"/>
      <c r="D78" s="72"/>
      <c r="E78" s="46" t="s">
        <v>4</v>
      </c>
      <c r="F78" s="337">
        <f>'0664'!F78</f>
        <v>0</v>
      </c>
      <c r="G78" s="39" t="s">
        <v>6</v>
      </c>
      <c r="H78" s="131">
        <f>H66</f>
        <v>5.7130000000000002E-3</v>
      </c>
      <c r="I78" s="104">
        <f t="shared" si="14"/>
        <v>0</v>
      </c>
      <c r="N78" s="478" t="s">
        <v>392</v>
      </c>
      <c r="O78" s="479"/>
      <c r="P78" s="479"/>
      <c r="Q78" s="47"/>
      <c r="R78" s="134">
        <f t="shared" si="15"/>
        <v>0</v>
      </c>
      <c r="S78" s="40" t="s">
        <v>6</v>
      </c>
      <c r="T78" s="133">
        <f>T66</f>
        <v>0</v>
      </c>
      <c r="U78" s="99">
        <f t="shared" si="16"/>
        <v>0</v>
      </c>
    </row>
    <row r="79" spans="1:21" x14ac:dyDescent="0.25">
      <c r="A79" s="463" t="s">
        <v>438</v>
      </c>
      <c r="B79" s="453"/>
      <c r="C79" s="453"/>
      <c r="D79" s="72"/>
      <c r="E79" s="46" t="s">
        <v>4</v>
      </c>
      <c r="F79" s="337">
        <f>'0664'!F79</f>
        <v>11278687</v>
      </c>
      <c r="G79" s="39" t="s">
        <v>6</v>
      </c>
      <c r="H79" s="131">
        <f>H66</f>
        <v>5.7130000000000002E-3</v>
      </c>
      <c r="I79" s="104">
        <f t="shared" si="14"/>
        <v>64435.14</v>
      </c>
      <c r="N79" s="478" t="s">
        <v>393</v>
      </c>
      <c r="O79" s="479"/>
      <c r="P79" s="479"/>
      <c r="Q79" s="47"/>
      <c r="R79" s="134">
        <f t="shared" si="15"/>
        <v>11278687</v>
      </c>
      <c r="S79" s="40" t="s">
        <v>6</v>
      </c>
      <c r="T79" s="133">
        <f>T66</f>
        <v>0</v>
      </c>
      <c r="U79" s="99">
        <f t="shared" si="16"/>
        <v>0</v>
      </c>
    </row>
    <row r="80" spans="1:21" x14ac:dyDescent="0.25">
      <c r="A80" s="463" t="s">
        <v>439</v>
      </c>
      <c r="B80" s="453"/>
      <c r="C80" s="453"/>
      <c r="D80" s="72"/>
      <c r="E80" s="46" t="s">
        <v>4</v>
      </c>
      <c r="F80" s="337">
        <f>'0664'!F80</f>
        <v>206284749</v>
      </c>
      <c r="G80" s="39" t="s">
        <v>6</v>
      </c>
      <c r="H80" s="131">
        <f>H66</f>
        <v>5.7130000000000002E-3</v>
      </c>
      <c r="I80" s="104">
        <f t="shared" si="14"/>
        <v>1178504.77</v>
      </c>
      <c r="N80" s="478" t="s">
        <v>397</v>
      </c>
      <c r="O80" s="479"/>
      <c r="P80" s="479"/>
      <c r="Q80" s="47"/>
      <c r="R80" s="134">
        <f t="shared" si="15"/>
        <v>206284749</v>
      </c>
      <c r="S80" s="40" t="s">
        <v>6</v>
      </c>
      <c r="T80" s="133">
        <f>T66</f>
        <v>0</v>
      </c>
      <c r="U80" s="99">
        <f t="shared" si="16"/>
        <v>0</v>
      </c>
    </row>
    <row r="81" spans="1:21" x14ac:dyDescent="0.25">
      <c r="A81" s="84" t="s">
        <v>440</v>
      </c>
      <c r="B81" s="72"/>
      <c r="C81" s="72"/>
      <c r="D81" s="72"/>
      <c r="E81" s="46"/>
      <c r="F81" s="337"/>
      <c r="G81" s="39"/>
      <c r="H81" s="131"/>
      <c r="I81" s="104"/>
      <c r="N81" s="419" t="s">
        <v>440</v>
      </c>
      <c r="O81" s="48"/>
      <c r="P81" s="48"/>
      <c r="Q81" s="47"/>
      <c r="R81" s="423"/>
      <c r="S81" s="40"/>
      <c r="T81" s="133"/>
      <c r="U81" s="120"/>
    </row>
    <row r="82" spans="1:21" x14ac:dyDescent="0.25">
      <c r="A82" s="264" t="s">
        <v>441</v>
      </c>
      <c r="B82" s="72"/>
      <c r="C82" s="72"/>
      <c r="D82" s="72"/>
      <c r="E82" s="46" t="s">
        <v>442</v>
      </c>
      <c r="F82" s="337">
        <f>'0664'!F82</f>
        <v>0</v>
      </c>
      <c r="G82" s="39" t="s">
        <v>6</v>
      </c>
      <c r="H82" s="131">
        <f>H66</f>
        <v>5.7130000000000002E-3</v>
      </c>
      <c r="I82" s="104">
        <v>214466.37</v>
      </c>
      <c r="N82" s="422" t="s">
        <v>441</v>
      </c>
      <c r="O82" s="48"/>
      <c r="P82" s="48"/>
      <c r="Q82" s="47"/>
      <c r="R82" s="134">
        <f t="shared" si="15"/>
        <v>0</v>
      </c>
      <c r="S82" s="40"/>
      <c r="T82" s="133"/>
      <c r="U82" s="99">
        <f t="shared" si="16"/>
        <v>0</v>
      </c>
    </row>
    <row r="83" spans="1:21" x14ac:dyDescent="0.25">
      <c r="A83" s="264" t="s">
        <v>443</v>
      </c>
      <c r="B83" s="72"/>
      <c r="C83" s="72"/>
      <c r="D83" s="72"/>
      <c r="E83" s="46" t="s">
        <v>442</v>
      </c>
      <c r="F83" s="337">
        <f>'0664'!F83</f>
        <v>0</v>
      </c>
      <c r="G83" s="39" t="s">
        <v>6</v>
      </c>
      <c r="H83" s="131">
        <f>H66</f>
        <v>5.7130000000000002E-3</v>
      </c>
      <c r="I83" s="104">
        <v>97484.71</v>
      </c>
      <c r="N83" s="422" t="s">
        <v>443</v>
      </c>
      <c r="O83" s="48"/>
      <c r="P83" s="48"/>
      <c r="Q83" s="47"/>
      <c r="R83" s="134">
        <f t="shared" si="15"/>
        <v>0</v>
      </c>
      <c r="S83" s="40"/>
      <c r="T83" s="133"/>
      <c r="U83" s="99">
        <f t="shared" si="16"/>
        <v>0</v>
      </c>
    </row>
    <row r="84" spans="1:21" x14ac:dyDescent="0.25">
      <c r="A84" s="420" t="s">
        <v>444</v>
      </c>
      <c r="B84" s="72"/>
      <c r="C84" s="72"/>
      <c r="D84" s="72"/>
      <c r="E84" s="46"/>
      <c r="F84" s="337"/>
      <c r="G84" s="39"/>
      <c r="H84" s="131"/>
      <c r="I84" s="104">
        <f>I82+I83</f>
        <v>311951.08</v>
      </c>
      <c r="N84" s="421" t="s">
        <v>444</v>
      </c>
      <c r="O84" s="48"/>
      <c r="P84" s="48"/>
      <c r="Q84" s="47"/>
      <c r="R84" s="423"/>
      <c r="S84" s="40"/>
      <c r="T84" s="133"/>
      <c r="U84" s="99">
        <f>U82+U83</f>
        <v>0</v>
      </c>
    </row>
    <row r="85" spans="1:21" x14ac:dyDescent="0.25">
      <c r="A85" s="463" t="s">
        <v>398</v>
      </c>
      <c r="B85" s="453"/>
      <c r="C85" s="453"/>
      <c r="D85" s="72"/>
      <c r="E85" s="46" t="s">
        <v>4</v>
      </c>
      <c r="F85" s="337">
        <f>'0664'!F85</f>
        <v>0</v>
      </c>
      <c r="G85" s="39" t="s">
        <v>6</v>
      </c>
      <c r="H85" s="131">
        <f>H66</f>
        <v>5.7130000000000002E-3</v>
      </c>
      <c r="I85" s="104">
        <f t="shared" si="14"/>
        <v>0</v>
      </c>
      <c r="N85" s="478" t="s">
        <v>398</v>
      </c>
      <c r="O85" s="479"/>
      <c r="P85" s="479"/>
      <c r="Q85" s="47"/>
      <c r="R85" s="132">
        <f t="shared" si="15"/>
        <v>0</v>
      </c>
      <c r="S85" s="40" t="s">
        <v>6</v>
      </c>
      <c r="T85" s="133">
        <f>T66</f>
        <v>0</v>
      </c>
      <c r="U85" s="99">
        <f t="shared" si="16"/>
        <v>0</v>
      </c>
    </row>
    <row r="86" spans="1:21" x14ac:dyDescent="0.25">
      <c r="B86" s="72"/>
      <c r="C86" s="72"/>
      <c r="D86" s="72"/>
      <c r="E86" s="46"/>
      <c r="F86" s="136"/>
      <c r="G86" s="39"/>
      <c r="H86" s="131"/>
      <c r="I86" s="104"/>
      <c r="N86" s="48"/>
      <c r="O86" s="48"/>
      <c r="P86" s="48"/>
      <c r="Q86" s="47"/>
      <c r="R86" s="137"/>
      <c r="S86" s="40"/>
      <c r="T86" s="133"/>
      <c r="U86" s="106"/>
    </row>
    <row r="87" spans="1:21" x14ac:dyDescent="0.25">
      <c r="A87" s="463" t="s">
        <v>445</v>
      </c>
      <c r="B87" s="453"/>
      <c r="C87" s="453"/>
      <c r="D87" s="453"/>
      <c r="E87" s="453"/>
      <c r="F87" s="453"/>
      <c r="G87" s="453"/>
      <c r="H87" s="453"/>
      <c r="I87" s="453"/>
      <c r="N87" s="478" t="s">
        <v>429</v>
      </c>
      <c r="O87" s="479"/>
      <c r="P87" s="479"/>
      <c r="Q87" s="479"/>
      <c r="R87" s="479"/>
      <c r="S87" s="479"/>
      <c r="T87" s="479"/>
      <c r="U87" s="479"/>
    </row>
    <row r="88" spans="1:21" x14ac:dyDescent="0.25">
      <c r="B88" s="72"/>
      <c r="C88" s="466" t="s">
        <v>73</v>
      </c>
      <c r="D88" s="466"/>
      <c r="E88" s="72"/>
      <c r="F88" s="41" t="s">
        <v>37</v>
      </c>
      <c r="G88" s="72"/>
      <c r="H88" s="72"/>
      <c r="I88" s="72"/>
      <c r="N88" s="48"/>
      <c r="O88" s="48"/>
      <c r="P88" s="48"/>
      <c r="Q88" s="48"/>
      <c r="R88" s="48"/>
      <c r="S88" s="48"/>
      <c r="T88" s="48"/>
      <c r="U88" s="48"/>
    </row>
    <row r="89" spans="1:21" x14ac:dyDescent="0.25">
      <c r="A89" s="3"/>
      <c r="B89" s="138"/>
      <c r="C89" s="462" t="s">
        <v>144</v>
      </c>
      <c r="D89" s="462"/>
      <c r="E89" s="139" t="s">
        <v>150</v>
      </c>
      <c r="F89" s="140" t="s">
        <v>149</v>
      </c>
      <c r="G89" s="141"/>
      <c r="H89" s="141"/>
      <c r="I89" s="141"/>
      <c r="N89" s="495" t="s">
        <v>46</v>
      </c>
      <c r="O89" s="495"/>
      <c r="P89" s="496" t="s">
        <v>119</v>
      </c>
      <c r="Q89" s="496"/>
      <c r="R89" s="497" t="s">
        <v>40</v>
      </c>
      <c r="S89" s="497"/>
      <c r="T89" s="497"/>
      <c r="U89" s="497"/>
    </row>
    <row r="90" spans="1:21" x14ac:dyDescent="0.25">
      <c r="A90" s="27"/>
      <c r="B90" s="55" t="s">
        <v>148</v>
      </c>
      <c r="C90" s="467">
        <f>H13+H14+H19+H22+H25</f>
        <v>604.45150000000001</v>
      </c>
      <c r="D90" s="467"/>
      <c r="E90" s="49">
        <f>H8</f>
        <v>1.0438000000000001</v>
      </c>
      <c r="F90" s="338">
        <f>'0664'!F90</f>
        <v>957.94</v>
      </c>
      <c r="G90" s="41" t="s">
        <v>13</v>
      </c>
      <c r="H90" s="104">
        <f>ROUND(C90*E90*F90,2)</f>
        <v>604389.71</v>
      </c>
      <c r="I90" s="107"/>
      <c r="N90" s="29" t="s">
        <v>22</v>
      </c>
      <c r="O90" s="50">
        <f>T13+T14+T19+T22+T25</f>
        <v>0</v>
      </c>
      <c r="P90" s="490">
        <f>T8</f>
        <v>1.0438000000000001</v>
      </c>
      <c r="Q90" s="490"/>
      <c r="R90" s="51">
        <f>F90</f>
        <v>957.94</v>
      </c>
      <c r="S90" s="42" t="s">
        <v>13</v>
      </c>
      <c r="T90" s="134">
        <f>ROUND(O90*P90*R90,0)</f>
        <v>0</v>
      </c>
      <c r="U90" s="105"/>
    </row>
    <row r="91" spans="1:21" x14ac:dyDescent="0.25">
      <c r="A91" s="52"/>
      <c r="B91" s="52" t="s">
        <v>147</v>
      </c>
      <c r="C91" s="467">
        <f>H15+H16+H20+H23+H26</f>
        <v>634.45320000000004</v>
      </c>
      <c r="D91" s="467"/>
      <c r="E91" s="49">
        <f>H8</f>
        <v>1.0438000000000001</v>
      </c>
      <c r="F91" s="338">
        <f>'0664'!F91</f>
        <v>914.63</v>
      </c>
      <c r="G91" s="41" t="s">
        <v>13</v>
      </c>
      <c r="H91" s="104">
        <f>ROUND(C91*E91*F91,2)</f>
        <v>605706.63</v>
      </c>
      <c r="N91" s="53" t="s">
        <v>14</v>
      </c>
      <c r="O91" s="50">
        <f>T15+T16+T20+T23+T26</f>
        <v>0</v>
      </c>
      <c r="P91" s="490">
        <f>T8</f>
        <v>1.0438000000000001</v>
      </c>
      <c r="Q91" s="490"/>
      <c r="R91" s="51">
        <f>F91</f>
        <v>914.63</v>
      </c>
      <c r="S91" s="42" t="s">
        <v>13</v>
      </c>
      <c r="T91" s="134">
        <f>ROUND(O91*P91*R91,0)</f>
        <v>0</v>
      </c>
      <c r="U91" s="54"/>
    </row>
    <row r="92" spans="1:21" ht="16.5" thickBot="1" x14ac:dyDescent="0.3">
      <c r="A92" s="55"/>
      <c r="B92" s="55" t="s">
        <v>146</v>
      </c>
      <c r="C92" s="467">
        <f>H17+H18+H21+H24+H27+H28</f>
        <v>0</v>
      </c>
      <c r="D92" s="467"/>
      <c r="E92" s="49">
        <f>H8</f>
        <v>1.0438000000000001</v>
      </c>
      <c r="F92" s="338">
        <f>'0664'!F92</f>
        <v>916.84</v>
      </c>
      <c r="G92" s="41" t="s">
        <v>13</v>
      </c>
      <c r="H92" s="97">
        <f>ROUND(C92*E92*F92,2)</f>
        <v>0</v>
      </c>
      <c r="N92" s="56" t="s">
        <v>15</v>
      </c>
      <c r="O92" s="57">
        <f>T17+T18+T21+T24+T27+T28</f>
        <v>0</v>
      </c>
      <c r="P92" s="490">
        <f>T8</f>
        <v>1.0438000000000001</v>
      </c>
      <c r="Q92" s="490"/>
      <c r="R92" s="51">
        <f>F92</f>
        <v>916.84</v>
      </c>
      <c r="S92" s="42" t="s">
        <v>13</v>
      </c>
      <c r="T92" s="134">
        <f>ROUND(O92*P92*R92,0)</f>
        <v>0</v>
      </c>
      <c r="U92" s="54"/>
    </row>
    <row r="93" spans="1:21" ht="16.5" thickBot="1" x14ac:dyDescent="0.3">
      <c r="A93" s="58"/>
      <c r="B93" s="142" t="s">
        <v>145</v>
      </c>
      <c r="C93" s="469">
        <f>SUM(C90:C92)</f>
        <v>1238.9047</v>
      </c>
      <c r="D93" s="469"/>
      <c r="E93" s="143"/>
      <c r="F93" s="143"/>
      <c r="G93" s="143"/>
      <c r="H93" s="144" t="s">
        <v>143</v>
      </c>
      <c r="I93" s="104">
        <f>IF(A1=75,0,H92+H91+H90)</f>
        <v>1210096.3399999999</v>
      </c>
      <c r="N93" s="59" t="s">
        <v>120</v>
      </c>
      <c r="O93" s="60">
        <f>SUM(O90:O92)</f>
        <v>0</v>
      </c>
      <c r="P93" s="491" t="s">
        <v>18</v>
      </c>
      <c r="Q93" s="492"/>
      <c r="R93" s="492"/>
      <c r="S93" s="492"/>
      <c r="T93" s="492"/>
      <c r="U93" s="99">
        <f>IF(N1=75,0,T92+T91+T90)</f>
        <v>0</v>
      </c>
    </row>
    <row r="94" spans="1:21" ht="16.5" thickTop="1" x14ac:dyDescent="0.25">
      <c r="A94" s="540" t="s">
        <v>90</v>
      </c>
      <c r="B94" s="540"/>
      <c r="C94" s="540"/>
      <c r="D94" s="540"/>
      <c r="E94" s="540"/>
      <c r="F94" s="540"/>
      <c r="G94" s="540"/>
      <c r="H94" s="540"/>
      <c r="I94" s="540"/>
      <c r="N94" s="493" t="s">
        <v>90</v>
      </c>
      <c r="O94" s="493"/>
      <c r="P94" s="493"/>
      <c r="Q94" s="493"/>
      <c r="R94" s="493"/>
      <c r="S94" s="493"/>
      <c r="T94" s="493"/>
      <c r="U94" s="493"/>
    </row>
    <row r="95" spans="1:21" x14ac:dyDescent="0.25">
      <c r="A95" s="145"/>
      <c r="B95" s="145"/>
      <c r="C95" s="145"/>
      <c r="D95" s="145"/>
      <c r="E95" s="145"/>
      <c r="F95" s="145"/>
      <c r="G95" s="145"/>
      <c r="H95" s="145"/>
      <c r="I95" s="145"/>
      <c r="N95" s="146"/>
      <c r="O95" s="146"/>
      <c r="P95" s="146"/>
      <c r="Q95" s="146"/>
      <c r="R95" s="146"/>
      <c r="S95" s="146"/>
      <c r="T95" s="146"/>
      <c r="U95" s="146"/>
    </row>
    <row r="96" spans="1:21" x14ac:dyDescent="0.25">
      <c r="A96" s="84" t="s">
        <v>446</v>
      </c>
      <c r="C96" s="46"/>
      <c r="D96" s="72"/>
      <c r="E96" s="46" t="s">
        <v>100</v>
      </c>
      <c r="F96" s="471"/>
      <c r="G96" s="471"/>
      <c r="H96" s="471"/>
      <c r="I96" s="471"/>
      <c r="N96" s="478" t="s">
        <v>426</v>
      </c>
      <c r="O96" s="479"/>
      <c r="P96" s="479"/>
      <c r="Q96" s="494"/>
      <c r="R96" s="494"/>
      <c r="S96" s="494"/>
      <c r="T96" s="494"/>
      <c r="U96" s="106"/>
    </row>
    <row r="97" spans="1:21" x14ac:dyDescent="0.25">
      <c r="B97" s="72"/>
      <c r="C97" s="91" t="s">
        <v>409</v>
      </c>
      <c r="D97" s="371" t="s">
        <v>410</v>
      </c>
      <c r="E97" s="92" t="s">
        <v>151</v>
      </c>
      <c r="F97" s="46"/>
      <c r="G97" s="46"/>
      <c r="H97" s="46"/>
      <c r="I97" s="46"/>
      <c r="N97" s="48"/>
      <c r="O97" s="48"/>
      <c r="P97" s="48"/>
      <c r="Q97" s="147"/>
      <c r="R97" s="147"/>
      <c r="S97" s="147"/>
      <c r="T97" s="147"/>
      <c r="U97" s="106"/>
    </row>
    <row r="98" spans="1:21" x14ac:dyDescent="0.25">
      <c r="B98" s="72"/>
      <c r="C98" s="362" t="s">
        <v>2</v>
      </c>
      <c r="D98" s="362" t="s">
        <v>2</v>
      </c>
      <c r="E98" s="362" t="s">
        <v>2</v>
      </c>
      <c r="F98" s="46"/>
      <c r="G98" s="46"/>
      <c r="H98" s="46"/>
      <c r="I98" s="46"/>
      <c r="N98" s="48"/>
      <c r="O98" s="48"/>
      <c r="P98" s="48"/>
      <c r="Q98" s="147"/>
      <c r="R98" s="147"/>
      <c r="S98" s="147"/>
      <c r="T98" s="147"/>
      <c r="U98" s="106"/>
    </row>
    <row r="99" spans="1:21" x14ac:dyDescent="0.25">
      <c r="A99" s="536" t="s">
        <v>470</v>
      </c>
      <c r="B99" s="461"/>
      <c r="C99" s="165">
        <v>5</v>
      </c>
      <c r="D99" s="165">
        <v>0</v>
      </c>
      <c r="E99" s="125">
        <f>C99</f>
        <v>5</v>
      </c>
      <c r="F99" s="148" t="s">
        <v>39</v>
      </c>
      <c r="G99" s="339">
        <f>'0664'!G99</f>
        <v>558</v>
      </c>
      <c r="I99" s="104">
        <f>ROUND(G99*E99,2)</f>
        <v>2790</v>
      </c>
      <c r="N99" s="488" t="s">
        <v>65</v>
      </c>
      <c r="O99" s="488"/>
      <c r="P99" s="489">
        <f>IF(H120=1,E99,0)</f>
        <v>0</v>
      </c>
      <c r="Q99" s="489"/>
      <c r="R99" s="489"/>
      <c r="S99" s="86" t="s">
        <v>39</v>
      </c>
      <c r="T99" s="61">
        <f>G99</f>
        <v>558</v>
      </c>
      <c r="U99" s="99">
        <f>ROUND(T99*P99,0)</f>
        <v>0</v>
      </c>
    </row>
    <row r="100" spans="1:21" x14ac:dyDescent="0.25">
      <c r="A100" s="536" t="s">
        <v>471</v>
      </c>
      <c r="B100" s="461"/>
      <c r="C100" s="165">
        <v>0</v>
      </c>
      <c r="D100" s="165">
        <v>0</v>
      </c>
      <c r="E100" s="125">
        <f>C100</f>
        <v>0</v>
      </c>
      <c r="F100" s="148" t="s">
        <v>39</v>
      </c>
      <c r="G100" s="339">
        <f>'0664'!G100</f>
        <v>1707</v>
      </c>
      <c r="I100" s="104">
        <f>ROUND(G100*E100,2)</f>
        <v>0</v>
      </c>
      <c r="N100" s="488" t="s">
        <v>81</v>
      </c>
      <c r="O100" s="488"/>
      <c r="P100" s="483"/>
      <c r="Q100" s="483"/>
      <c r="R100" s="483"/>
      <c r="S100" s="86" t="s">
        <v>39</v>
      </c>
      <c r="T100" s="61">
        <f>G100</f>
        <v>1707</v>
      </c>
      <c r="U100" s="99">
        <f>ROUND(T100*P100,0)</f>
        <v>0</v>
      </c>
    </row>
    <row r="101" spans="1:21" x14ac:dyDescent="0.25">
      <c r="A101" s="149"/>
      <c r="B101" s="149"/>
      <c r="C101" s="68"/>
      <c r="D101" s="68"/>
      <c r="E101" s="68"/>
      <c r="F101" s="68"/>
      <c r="G101" s="150"/>
      <c r="H101" s="151"/>
      <c r="I101" s="104"/>
      <c r="N101" s="152"/>
      <c r="O101" s="152"/>
      <c r="P101" s="153"/>
      <c r="Q101" s="153"/>
      <c r="R101" s="153"/>
      <c r="S101" s="86"/>
      <c r="T101" s="61"/>
      <c r="U101" s="106"/>
    </row>
    <row r="102" spans="1:21" x14ac:dyDescent="0.25">
      <c r="A102" s="149"/>
      <c r="B102" s="149"/>
      <c r="C102" s="68"/>
      <c r="D102" s="68"/>
      <c r="E102" s="68"/>
      <c r="F102" s="68"/>
      <c r="G102" s="150"/>
      <c r="H102" s="151"/>
      <c r="I102" s="104"/>
      <c r="N102" s="152"/>
      <c r="O102" s="152"/>
      <c r="P102" s="153"/>
      <c r="Q102" s="153"/>
      <c r="R102" s="153"/>
      <c r="S102" s="86"/>
      <c r="T102" s="61"/>
      <c r="U102" s="106"/>
    </row>
    <row r="103" spans="1:21" hidden="1" x14ac:dyDescent="0.25">
      <c r="A103" s="463" t="s">
        <v>447</v>
      </c>
      <c r="B103" s="453"/>
      <c r="C103" s="453"/>
      <c r="D103" s="72"/>
      <c r="E103" s="41" t="s">
        <v>41</v>
      </c>
      <c r="F103" s="466"/>
      <c r="G103" s="466"/>
      <c r="H103" s="466"/>
      <c r="I103" s="466"/>
      <c r="N103" s="478" t="s">
        <v>362</v>
      </c>
      <c r="O103" s="479"/>
      <c r="P103" s="479"/>
      <c r="Q103" s="479"/>
      <c r="R103" s="479"/>
      <c r="S103" s="479"/>
      <c r="T103" s="479"/>
      <c r="U103" s="479"/>
    </row>
    <row r="104" spans="1:21" hidden="1" x14ac:dyDescent="0.25">
      <c r="B104" s="72"/>
      <c r="C104" s="462" t="s">
        <v>91</v>
      </c>
      <c r="D104" s="462"/>
      <c r="E104" s="462"/>
      <c r="F104" s="39"/>
      <c r="G104" s="39"/>
      <c r="H104" s="41" t="s">
        <v>152</v>
      </c>
      <c r="I104" s="39"/>
      <c r="N104" s="48"/>
      <c r="O104" s="48"/>
      <c r="P104" s="48"/>
      <c r="Q104" s="48"/>
      <c r="R104" s="48"/>
      <c r="S104" s="48"/>
      <c r="T104" s="48"/>
      <c r="U104" s="48"/>
    </row>
    <row r="105" spans="1:21" hidden="1" x14ac:dyDescent="0.25">
      <c r="B105" s="72"/>
      <c r="C105" s="91" t="s">
        <v>371</v>
      </c>
      <c r="D105" s="91" t="s">
        <v>351</v>
      </c>
      <c r="E105" s="159" t="s">
        <v>8</v>
      </c>
      <c r="F105" s="464" t="s">
        <v>153</v>
      </c>
      <c r="G105" s="466"/>
      <c r="H105" s="39" t="s">
        <v>38</v>
      </c>
      <c r="I105" s="39"/>
      <c r="N105" s="48"/>
      <c r="O105" s="48"/>
      <c r="P105" s="48"/>
      <c r="Q105" s="48"/>
      <c r="R105" s="48"/>
      <c r="S105" s="48"/>
      <c r="T105" s="48"/>
      <c r="U105" s="48"/>
    </row>
    <row r="106" spans="1:21" hidden="1" x14ac:dyDescent="0.25">
      <c r="A106" s="462" t="s">
        <v>94</v>
      </c>
      <c r="B106" s="462"/>
      <c r="C106" s="93" t="s">
        <v>2</v>
      </c>
      <c r="D106" s="93" t="s">
        <v>2</v>
      </c>
      <c r="E106" s="62" t="s">
        <v>2</v>
      </c>
      <c r="F106" s="462" t="s">
        <v>37</v>
      </c>
      <c r="G106" s="462"/>
      <c r="H106" s="62" t="s">
        <v>37</v>
      </c>
      <c r="I106" s="62" t="s">
        <v>8</v>
      </c>
      <c r="N106" s="484" t="s">
        <v>66</v>
      </c>
      <c r="O106" s="484"/>
      <c r="P106" s="489" t="s">
        <v>91</v>
      </c>
      <c r="Q106" s="489"/>
      <c r="R106" s="484" t="s">
        <v>67</v>
      </c>
      <c r="S106" s="484"/>
      <c r="T106" s="63" t="s">
        <v>68</v>
      </c>
      <c r="U106" s="63" t="s">
        <v>8</v>
      </c>
    </row>
    <row r="107" spans="1:21" hidden="1" x14ac:dyDescent="0.25">
      <c r="A107" s="473" t="s">
        <v>69</v>
      </c>
      <c r="B107" s="473"/>
      <c r="C107" s="163">
        <v>0</v>
      </c>
      <c r="D107" s="163">
        <v>0</v>
      </c>
      <c r="E107" s="210">
        <f>IF(D$59=0,C107*2,C107+D107)</f>
        <v>0</v>
      </c>
      <c r="F107" s="474">
        <v>0</v>
      </c>
      <c r="G107" s="474"/>
      <c r="H107" s="250">
        <f>IF(C107=0,0,125)</f>
        <v>0</v>
      </c>
      <c r="I107" s="104">
        <f>ROUND((H107+F107)*E107,2)</f>
        <v>0</v>
      </c>
      <c r="N107" s="479" t="s">
        <v>69</v>
      </c>
      <c r="O107" s="479"/>
      <c r="P107" s="483">
        <f>IF(H$120=1,C107,0)</f>
        <v>0</v>
      </c>
      <c r="Q107" s="483"/>
      <c r="R107" s="486">
        <f>F107</f>
        <v>0</v>
      </c>
      <c r="S107" s="486"/>
      <c r="T107" s="65">
        <f>H107</f>
        <v>0</v>
      </c>
      <c r="U107" s="99">
        <f>ROUND((T107+R107)*P107,0)</f>
        <v>0</v>
      </c>
    </row>
    <row r="108" spans="1:21" hidden="1" x14ac:dyDescent="0.25">
      <c r="A108" s="456" t="s">
        <v>70</v>
      </c>
      <c r="B108" s="456"/>
      <c r="C108" s="165">
        <v>0</v>
      </c>
      <c r="D108" s="165">
        <v>0</v>
      </c>
      <c r="E108" s="125">
        <f>IF(D$59=0,C108*2,C108+D108)</f>
        <v>0</v>
      </c>
      <c r="F108" s="468">
        <f>ROUND(F107/2,2)</f>
        <v>0</v>
      </c>
      <c r="G108" s="468"/>
      <c r="H108" s="250">
        <f>IF(C108=0,0,62.5)</f>
        <v>0</v>
      </c>
      <c r="I108" s="104">
        <f>ROUND((H108+F108)*E108,2)</f>
        <v>0</v>
      </c>
      <c r="N108" s="479" t="s">
        <v>70</v>
      </c>
      <c r="O108" s="479"/>
      <c r="P108" s="483">
        <f>IF(H$120=1,C108,0)</f>
        <v>0</v>
      </c>
      <c r="Q108" s="483"/>
      <c r="R108" s="487">
        <f>ROUND(R107/2,2)</f>
        <v>0</v>
      </c>
      <c r="S108" s="487"/>
      <c r="T108" s="65">
        <f>H108</f>
        <v>0</v>
      </c>
      <c r="U108" s="99">
        <f>ROUND((T108+R108)*P108,0)</f>
        <v>0</v>
      </c>
    </row>
    <row r="109" spans="1:21" ht="16.5" hidden="1" thickBot="1" x14ac:dyDescent="0.3">
      <c r="A109" s="456" t="s">
        <v>71</v>
      </c>
      <c r="B109" s="456"/>
      <c r="C109" s="165">
        <v>0</v>
      </c>
      <c r="D109" s="165">
        <v>0</v>
      </c>
      <c r="E109" s="125">
        <f>IF(D$59=0,C109*2,C109+D109)</f>
        <v>0</v>
      </c>
      <c r="F109" s="475"/>
      <c r="G109" s="475"/>
      <c r="H109" s="251">
        <f>IF(H107&gt;0,436,0)</f>
        <v>0</v>
      </c>
      <c r="I109" s="104">
        <f>ROUND(H109*E109,2)</f>
        <v>0</v>
      </c>
      <c r="N109" s="482" t="s">
        <v>71</v>
      </c>
      <c r="O109" s="482"/>
      <c r="P109" s="483">
        <f>IF(H$120=1,C109,0)</f>
        <v>0</v>
      </c>
      <c r="Q109" s="483"/>
      <c r="R109" s="484"/>
      <c r="S109" s="484"/>
      <c r="T109" s="67">
        <f>H109</f>
        <v>0</v>
      </c>
      <c r="U109" s="106">
        <f>ROUND(T109*P109,0)</f>
        <v>0</v>
      </c>
    </row>
    <row r="110" spans="1:21" ht="16.5" hidden="1" thickBot="1" x14ac:dyDescent="0.3">
      <c r="A110" s="466" t="s">
        <v>8</v>
      </c>
      <c r="B110" s="466"/>
      <c r="C110" s="68"/>
      <c r="D110" s="68"/>
      <c r="E110" s="68"/>
      <c r="F110" s="68"/>
      <c r="G110" s="68"/>
      <c r="H110" s="68"/>
      <c r="I110" s="100">
        <f>SUM(I107:I109)</f>
        <v>0</v>
      </c>
      <c r="N110" s="485" t="s">
        <v>8</v>
      </c>
      <c r="O110" s="485"/>
      <c r="P110" s="69"/>
      <c r="Q110" s="69"/>
      <c r="R110" s="69"/>
      <c r="S110" s="69"/>
      <c r="T110" s="69"/>
      <c r="U110" s="70">
        <f>SUM(U107:U109)</f>
        <v>0</v>
      </c>
    </row>
    <row r="111" spans="1:21" hidden="1" x14ac:dyDescent="0.25">
      <c r="A111" s="39"/>
      <c r="B111" s="39"/>
      <c r="C111" s="68"/>
      <c r="D111" s="68"/>
      <c r="E111" s="68"/>
      <c r="F111" s="68"/>
      <c r="G111" s="68"/>
      <c r="H111" s="68"/>
      <c r="I111" s="104"/>
      <c r="N111" s="40"/>
      <c r="O111" s="40"/>
      <c r="P111" s="69"/>
      <c r="Q111" s="69"/>
      <c r="R111" s="69"/>
      <c r="S111" s="69"/>
      <c r="T111" s="69"/>
      <c r="U111" s="160"/>
    </row>
    <row r="112" spans="1:21" x14ac:dyDescent="0.25">
      <c r="A112" s="463" t="s">
        <v>448</v>
      </c>
      <c r="B112" s="453"/>
      <c r="C112" s="453"/>
      <c r="D112" s="72"/>
      <c r="E112" s="71" t="s">
        <v>354</v>
      </c>
      <c r="F112" s="472"/>
      <c r="G112" s="472"/>
      <c r="H112" s="472"/>
      <c r="I112" s="125">
        <v>0</v>
      </c>
      <c r="N112" s="478" t="s">
        <v>427</v>
      </c>
      <c r="O112" s="479"/>
      <c r="P112" s="479"/>
      <c r="Q112" s="341"/>
      <c r="R112" s="341"/>
      <c r="S112" s="341"/>
      <c r="T112" s="341"/>
      <c r="U112" s="99">
        <f>IF($H$120=1,I112,0)</f>
        <v>0</v>
      </c>
    </row>
    <row r="113" spans="1:21" x14ac:dyDescent="0.25">
      <c r="A113" s="463" t="s">
        <v>449</v>
      </c>
      <c r="B113" s="453"/>
      <c r="C113" s="453"/>
      <c r="D113" s="72"/>
      <c r="E113" s="71" t="s">
        <v>45</v>
      </c>
      <c r="F113" s="472"/>
      <c r="G113" s="472"/>
      <c r="H113" s="472"/>
      <c r="I113" s="177">
        <v>0</v>
      </c>
      <c r="N113" s="478" t="s">
        <v>428</v>
      </c>
      <c r="O113" s="479"/>
      <c r="P113" s="479"/>
      <c r="Q113" s="341"/>
      <c r="R113" s="341"/>
      <c r="S113" s="341"/>
      <c r="T113" s="341"/>
      <c r="U113" s="99">
        <f>IF($H$120=1,I113,0)</f>
        <v>0</v>
      </c>
    </row>
    <row r="114" spans="1:21" ht="16.5" thickBot="1" x14ac:dyDescent="0.3">
      <c r="B114" s="72"/>
      <c r="C114" s="72"/>
      <c r="D114" s="72"/>
      <c r="E114" s="71"/>
      <c r="F114" s="71"/>
      <c r="G114" s="71"/>
      <c r="H114" s="71"/>
      <c r="I114" s="125"/>
      <c r="N114" s="480" t="s">
        <v>42</v>
      </c>
      <c r="O114" s="480"/>
      <c r="P114" s="480"/>
      <c r="Q114" s="480"/>
      <c r="R114" s="480"/>
      <c r="S114" s="480"/>
      <c r="T114" s="480"/>
      <c r="U114" s="154">
        <f>SUM(U112,U110,U100,U99,U93,U77,U76,U74,U73,U72,U71,U70,U68,U59,U45,U78,U79,U80,U85,U113)</f>
        <v>0</v>
      </c>
    </row>
    <row r="115" spans="1:21" ht="16.5" thickTop="1" x14ac:dyDescent="0.25">
      <c r="A115" s="461" t="s">
        <v>8</v>
      </c>
      <c r="B115" s="461"/>
      <c r="C115" s="461"/>
      <c r="D115" s="461"/>
      <c r="E115" s="461"/>
      <c r="F115" s="461"/>
      <c r="G115" s="461"/>
      <c r="H115" s="461"/>
      <c r="I115" s="97">
        <f>SUM(I113,I112,I110,I100,I99,I93,I85,I84,I80,I79,I78,I77,I76,I74,I73,I72,I71,I70,I68,I59,I45)</f>
        <v>9329059.2000000011</v>
      </c>
      <c r="N115" s="29"/>
      <c r="O115" s="29"/>
      <c r="P115" s="29"/>
      <c r="Q115" s="29"/>
      <c r="R115" s="29"/>
      <c r="S115" s="29"/>
      <c r="T115" s="29"/>
      <c r="U115" s="160"/>
    </row>
    <row r="116" spans="1:21" x14ac:dyDescent="0.25">
      <c r="A116" s="27"/>
      <c r="B116" s="27"/>
      <c r="C116" s="27"/>
      <c r="D116" s="27"/>
      <c r="E116" s="27"/>
      <c r="F116" s="27"/>
      <c r="G116" s="27"/>
      <c r="H116" s="27"/>
      <c r="I116" s="104"/>
      <c r="N116" s="29"/>
      <c r="O116" s="29"/>
      <c r="P116" s="29"/>
      <c r="Q116" s="29"/>
      <c r="R116" s="29"/>
      <c r="S116" s="29"/>
      <c r="T116" s="29"/>
      <c r="U116" s="160"/>
    </row>
    <row r="117" spans="1:21" x14ac:dyDescent="0.25">
      <c r="A117" s="432" t="s">
        <v>467</v>
      </c>
      <c r="B117" s="27"/>
      <c r="C117" s="27"/>
      <c r="D117" s="27"/>
      <c r="E117" s="27"/>
      <c r="F117" s="27"/>
      <c r="G117" s="27"/>
      <c r="H117" s="27"/>
      <c r="I117" s="104">
        <f>I115-I84</f>
        <v>9017108.120000001</v>
      </c>
      <c r="N117" s="29"/>
      <c r="O117" s="29"/>
      <c r="P117" s="29"/>
      <c r="Q117" s="29"/>
      <c r="R117" s="29"/>
      <c r="S117" s="29"/>
      <c r="T117" s="29"/>
      <c r="U117" s="160"/>
    </row>
    <row r="118" spans="1:21" x14ac:dyDescent="0.25">
      <c r="A118" s="27"/>
      <c r="B118" s="27"/>
      <c r="C118" s="27"/>
      <c r="D118" s="27"/>
      <c r="E118" s="27"/>
      <c r="F118" s="27"/>
      <c r="G118" s="27"/>
      <c r="H118" s="27"/>
      <c r="I118" s="104"/>
      <c r="N118" s="29"/>
      <c r="O118" s="29"/>
      <c r="P118" s="29"/>
      <c r="Q118" s="29"/>
      <c r="R118" s="29"/>
      <c r="S118" s="29"/>
      <c r="T118" s="29"/>
      <c r="U118" s="160"/>
    </row>
    <row r="119" spans="1:21" x14ac:dyDescent="0.25">
      <c r="A119" s="463" t="s">
        <v>468</v>
      </c>
      <c r="B119" s="453"/>
      <c r="C119" s="453"/>
      <c r="D119" s="453"/>
      <c r="E119" s="453"/>
      <c r="F119" s="453"/>
      <c r="G119" s="453"/>
      <c r="H119" s="84" t="s">
        <v>394</v>
      </c>
      <c r="I119" s="156"/>
      <c r="N119" s="481"/>
      <c r="O119" s="481"/>
      <c r="P119" s="481"/>
      <c r="Q119" s="481"/>
      <c r="R119" s="481"/>
      <c r="S119" s="481"/>
      <c r="T119" s="481"/>
      <c r="U119" s="481"/>
    </row>
    <row r="120" spans="1:21" x14ac:dyDescent="0.25">
      <c r="A120" s="453" t="s">
        <v>95</v>
      </c>
      <c r="B120" s="453"/>
      <c r="C120" s="453"/>
      <c r="D120" s="453"/>
      <c r="E120" s="453"/>
      <c r="F120" s="453"/>
      <c r="G120" s="453"/>
      <c r="H120" s="73" t="str">
        <f>IF(E29=0,"",IF((E14+E16+SUM(E18:E24))/E29&gt;0.75,1,""))</f>
        <v/>
      </c>
      <c r="I120" s="125">
        <f>U114</f>
        <v>0</v>
      </c>
      <c r="N120" s="476" t="s">
        <v>7</v>
      </c>
      <c r="O120" s="476"/>
      <c r="P120" s="476"/>
      <c r="Q120" s="476"/>
      <c r="R120" s="476"/>
      <c r="S120" s="476"/>
      <c r="T120" s="476"/>
      <c r="U120" s="476"/>
    </row>
    <row r="121" spans="1:21" x14ac:dyDescent="0.25">
      <c r="B121" s="72"/>
      <c r="C121" s="72"/>
      <c r="D121" s="72"/>
      <c r="E121" s="72"/>
      <c r="F121" s="72"/>
      <c r="G121" s="72"/>
      <c r="H121" s="68"/>
      <c r="I121" s="104"/>
      <c r="N121" s="74" t="s">
        <v>106</v>
      </c>
      <c r="O121" s="74"/>
      <c r="P121" s="74"/>
      <c r="Q121" s="74"/>
      <c r="R121" s="74"/>
      <c r="S121" s="74"/>
      <c r="T121" s="74"/>
      <c r="U121" s="74"/>
    </row>
    <row r="122" spans="1:21" x14ac:dyDescent="0.25">
      <c r="A122" s="3" t="s">
        <v>102</v>
      </c>
      <c r="B122" s="72"/>
      <c r="C122" s="72"/>
      <c r="D122" s="72"/>
      <c r="E122" s="72"/>
      <c r="F122" s="72"/>
      <c r="G122" s="286"/>
      <c r="H122" s="161">
        <f>IF(H120=1,I120,I117)</f>
        <v>9017108.120000001</v>
      </c>
      <c r="I122" s="97">
        <f>ROUND(IF(E29=0,0,IF(E29&gt;250,-(((250/E29)*H122)*IF(G122="H",0.02,0.05)),IF(G122="H",-0.02*H122,-0.05*H122))),2)</f>
        <v>-98564.87</v>
      </c>
      <c r="N122" s="75" t="s">
        <v>107</v>
      </c>
      <c r="O122" s="74"/>
      <c r="P122" s="74"/>
      <c r="Q122" s="74"/>
      <c r="R122" s="74"/>
      <c r="S122" s="74"/>
      <c r="T122" s="74"/>
      <c r="U122" s="74"/>
    </row>
    <row r="123" spans="1:21" x14ac:dyDescent="0.25">
      <c r="B123" s="72"/>
      <c r="C123" s="72"/>
      <c r="D123" s="72"/>
      <c r="E123" s="72"/>
      <c r="F123" s="72"/>
      <c r="G123" s="72"/>
      <c r="H123" s="68"/>
      <c r="I123" s="104"/>
      <c r="N123" s="76"/>
      <c r="O123" s="76"/>
      <c r="P123" s="76"/>
      <c r="Q123" s="76"/>
      <c r="R123" s="76"/>
      <c r="S123" s="76"/>
      <c r="T123" s="76"/>
      <c r="U123" s="76"/>
    </row>
    <row r="124" spans="1:21" x14ac:dyDescent="0.25">
      <c r="A124" s="345" t="s">
        <v>103</v>
      </c>
      <c r="B124" s="346"/>
      <c r="C124" s="346"/>
      <c r="D124" s="346"/>
      <c r="E124" s="346"/>
      <c r="F124" s="346"/>
      <c r="G124" s="346"/>
      <c r="H124" s="347"/>
      <c r="I124" s="348">
        <f>I115+I122</f>
        <v>9230494.3300000019</v>
      </c>
      <c r="N124" s="76"/>
      <c r="O124" s="76"/>
      <c r="P124" s="76"/>
      <c r="Q124" s="76"/>
      <c r="R124" s="76"/>
      <c r="S124" s="76"/>
      <c r="T124" s="76"/>
      <c r="U124" s="76"/>
    </row>
    <row r="125" spans="1:21" x14ac:dyDescent="0.25">
      <c r="B125" s="72"/>
      <c r="C125" s="72"/>
      <c r="D125" s="72"/>
      <c r="E125" s="72"/>
      <c r="F125" s="72"/>
      <c r="G125" s="72"/>
      <c r="H125" s="68"/>
      <c r="I125" s="104"/>
      <c r="N125" s="76"/>
      <c r="O125" s="76"/>
      <c r="P125" s="76"/>
      <c r="Q125" s="76"/>
      <c r="R125" s="76"/>
      <c r="S125" s="76"/>
      <c r="T125" s="76"/>
      <c r="U125" s="76"/>
    </row>
    <row r="126" spans="1:21" x14ac:dyDescent="0.25">
      <c r="A126" s="3" t="s">
        <v>104</v>
      </c>
      <c r="B126" s="72"/>
      <c r="C126" s="162"/>
      <c r="D126" s="72"/>
      <c r="F126" s="72"/>
      <c r="G126" s="72"/>
      <c r="H126" s="68"/>
      <c r="I126" s="302">
        <v>-6861275.5199999996</v>
      </c>
      <c r="N126" s="76"/>
      <c r="O126" s="76"/>
      <c r="P126" s="76"/>
      <c r="Q126" s="76"/>
      <c r="R126" s="76"/>
      <c r="S126" s="76"/>
      <c r="T126" s="76"/>
      <c r="U126" s="76"/>
    </row>
    <row r="127" spans="1:21" x14ac:dyDescent="0.25">
      <c r="B127" s="72"/>
      <c r="C127" s="72"/>
      <c r="D127" s="72"/>
      <c r="E127" s="72"/>
      <c r="F127" s="72"/>
      <c r="G127" s="72"/>
      <c r="H127" s="68"/>
      <c r="I127" s="104"/>
      <c r="N127" s="76"/>
      <c r="O127" s="76"/>
      <c r="P127" s="76"/>
      <c r="Q127" s="76"/>
      <c r="R127" s="76"/>
      <c r="S127" s="76"/>
      <c r="T127" s="76"/>
      <c r="U127" s="76"/>
    </row>
    <row r="128" spans="1:21" x14ac:dyDescent="0.25">
      <c r="A128" s="84" t="s">
        <v>297</v>
      </c>
      <c r="B128" s="72"/>
      <c r="C128" s="72"/>
      <c r="D128" s="72"/>
      <c r="E128" s="72"/>
      <c r="F128" s="72"/>
      <c r="G128" s="72"/>
      <c r="H128" s="68"/>
      <c r="I128" s="104">
        <f>I124+I126</f>
        <v>2369218.8100000024</v>
      </c>
      <c r="N128" s="76"/>
      <c r="O128" s="76"/>
      <c r="P128" s="76"/>
      <c r="Q128" s="76"/>
      <c r="R128" s="76"/>
      <c r="S128" s="76"/>
      <c r="T128" s="76"/>
      <c r="U128" s="76"/>
    </row>
    <row r="129" spans="1:21" x14ac:dyDescent="0.25">
      <c r="A129" s="84"/>
      <c r="B129" s="72"/>
      <c r="C129" s="72"/>
      <c r="D129" s="72"/>
      <c r="E129" s="72"/>
      <c r="F129" s="72"/>
      <c r="G129" s="72"/>
      <c r="H129" s="68"/>
      <c r="I129" s="104"/>
      <c r="N129" s="76"/>
      <c r="O129" s="76"/>
      <c r="P129" s="76"/>
      <c r="Q129" s="76"/>
      <c r="R129" s="76"/>
      <c r="S129" s="76"/>
      <c r="T129" s="76"/>
      <c r="U129" s="76"/>
    </row>
    <row r="130" spans="1:21" x14ac:dyDescent="0.25">
      <c r="A130" s="84" t="s">
        <v>298</v>
      </c>
      <c r="B130" s="72"/>
      <c r="C130" s="72"/>
      <c r="D130" s="72"/>
      <c r="E130" s="72"/>
      <c r="F130" s="72"/>
      <c r="G130" s="72"/>
      <c r="H130" s="68"/>
      <c r="I130" s="303">
        <f>'0664'!I130</f>
        <v>3</v>
      </c>
      <c r="N130" s="76"/>
      <c r="O130" s="76"/>
      <c r="P130" s="76"/>
      <c r="Q130" s="76"/>
      <c r="R130" s="76"/>
      <c r="S130" s="76"/>
      <c r="T130" s="76"/>
      <c r="U130" s="76"/>
    </row>
    <row r="131" spans="1:21" x14ac:dyDescent="0.25">
      <c r="B131" s="72"/>
      <c r="C131" s="72"/>
      <c r="D131" s="72"/>
      <c r="E131" s="72"/>
      <c r="F131" s="72"/>
      <c r="G131" s="72"/>
      <c r="H131" s="68"/>
      <c r="I131" s="104"/>
      <c r="N131" s="76"/>
      <c r="O131" s="76"/>
      <c r="P131" s="76"/>
      <c r="Q131" s="76"/>
      <c r="R131" s="76"/>
      <c r="S131" s="76"/>
      <c r="T131" s="76"/>
      <c r="U131" s="76"/>
    </row>
    <row r="132" spans="1:21" ht="16.5" thickBot="1" x14ac:dyDescent="0.3">
      <c r="A132" s="3" t="s">
        <v>105</v>
      </c>
      <c r="B132" s="72"/>
      <c r="C132" s="72"/>
      <c r="D132" s="72"/>
      <c r="E132" s="72"/>
      <c r="F132" s="72"/>
      <c r="G132" s="72"/>
      <c r="H132" s="68"/>
      <c r="I132" s="178">
        <f>ROUND(I128/I130,2)</f>
        <v>789739.6</v>
      </c>
      <c r="N132" s="76"/>
      <c r="O132" s="76"/>
      <c r="P132" s="76"/>
      <c r="Q132" s="76"/>
      <c r="R132" s="76"/>
      <c r="S132" s="76"/>
      <c r="T132" s="76"/>
      <c r="U132" s="76"/>
    </row>
    <row r="133" spans="1:21" ht="16.5" thickTop="1" x14ac:dyDescent="0.25">
      <c r="B133" s="72"/>
      <c r="C133" s="72"/>
      <c r="D133" s="72"/>
      <c r="E133" s="72"/>
      <c r="F133" s="72"/>
      <c r="G133" s="72"/>
      <c r="H133" s="68"/>
      <c r="I133" s="104"/>
      <c r="N133" s="76"/>
      <c r="O133" s="76"/>
      <c r="P133" s="76"/>
      <c r="Q133" s="76"/>
      <c r="R133" s="76"/>
      <c r="S133" s="76"/>
      <c r="T133" s="76"/>
      <c r="U133" s="76"/>
    </row>
    <row r="134" spans="1:21" ht="16.5" thickBot="1" x14ac:dyDescent="0.3">
      <c r="A134" s="3" t="s">
        <v>121</v>
      </c>
      <c r="B134" s="72"/>
      <c r="C134" s="72"/>
      <c r="D134" s="72"/>
      <c r="E134" s="72"/>
      <c r="F134" s="72"/>
      <c r="G134" s="72"/>
      <c r="H134" s="68"/>
      <c r="I134" s="155">
        <f>ROUND(IF(G122="H",(H122*0.02)+I122,(H122*0.05)+I122),2)</f>
        <v>352290.54</v>
      </c>
      <c r="N134" s="76"/>
      <c r="O134" s="76"/>
      <c r="P134" s="76"/>
      <c r="Q134" s="76"/>
      <c r="R134" s="76"/>
      <c r="S134" s="76"/>
      <c r="T134" s="76"/>
      <c r="U134" s="76"/>
    </row>
    <row r="135" spans="1:21" ht="16.5" thickTop="1" x14ac:dyDescent="0.25">
      <c r="B135" s="72"/>
      <c r="C135" s="72"/>
      <c r="D135" s="72"/>
      <c r="E135" s="72"/>
      <c r="F135" s="72"/>
      <c r="G135" s="72"/>
      <c r="H135" s="68"/>
      <c r="I135" s="156"/>
      <c r="N135" s="76"/>
      <c r="O135" s="76"/>
      <c r="P135" s="76"/>
      <c r="Q135" s="76"/>
      <c r="R135" s="76"/>
      <c r="S135" s="76"/>
      <c r="T135" s="76"/>
      <c r="U135" s="76"/>
    </row>
    <row r="136" spans="1:21" x14ac:dyDescent="0.25">
      <c r="B136" s="72"/>
      <c r="C136" s="72"/>
      <c r="D136" s="72"/>
      <c r="E136" s="72"/>
      <c r="F136" s="72"/>
      <c r="G136" s="72"/>
      <c r="H136" s="68"/>
      <c r="I136" s="104"/>
      <c r="N136" s="76"/>
      <c r="O136" s="76"/>
      <c r="P136" s="76"/>
      <c r="Q136" s="76"/>
      <c r="R136" s="76"/>
      <c r="S136" s="76"/>
      <c r="T136" s="76"/>
      <c r="U136" s="76"/>
    </row>
    <row r="137" spans="1:21" x14ac:dyDescent="0.25">
      <c r="B137" s="72"/>
      <c r="C137" s="72"/>
      <c r="D137" s="72"/>
      <c r="E137" s="72"/>
      <c r="F137" s="72"/>
      <c r="G137" s="72"/>
      <c r="H137" s="68"/>
      <c r="I137" s="156"/>
      <c r="N137" s="76"/>
      <c r="O137" s="76"/>
      <c r="P137" s="76"/>
      <c r="Q137" s="76"/>
      <c r="R137" s="76"/>
      <c r="S137" s="76"/>
      <c r="T137" s="76"/>
      <c r="U137" s="76"/>
    </row>
    <row r="138" spans="1:21" x14ac:dyDescent="0.25">
      <c r="A138" s="281" t="s">
        <v>7</v>
      </c>
      <c r="B138" s="281"/>
      <c r="C138" s="281"/>
      <c r="D138" s="281"/>
      <c r="E138" s="281"/>
      <c r="F138" s="281"/>
      <c r="G138" s="281"/>
      <c r="H138" s="281"/>
      <c r="I138" s="281"/>
      <c r="J138" s="156"/>
      <c r="N138" s="76"/>
      <c r="O138" s="76"/>
      <c r="P138" s="76"/>
      <c r="Q138" s="76"/>
      <c r="R138" s="76"/>
      <c r="S138" s="76"/>
      <c r="T138" s="76"/>
      <c r="U138" s="76"/>
    </row>
    <row r="139" spans="1:21" ht="15.75" customHeight="1" x14ac:dyDescent="0.25">
      <c r="A139" s="356" t="str">
        <f>'0664'!A139</f>
        <v>(a) Additional FTE includes FTE earned through Advanced Placement, International Baccalaureate, Advanced International Certificate of Education, Industry Certified Career</v>
      </c>
      <c r="B139" s="357"/>
      <c r="C139" s="357"/>
      <c r="D139" s="357"/>
      <c r="E139" s="357"/>
      <c r="F139" s="357"/>
      <c r="G139" s="357"/>
      <c r="H139" s="357"/>
      <c r="I139" s="357"/>
      <c r="J139" s="80"/>
      <c r="K139" s="79"/>
      <c r="L139" s="79"/>
      <c r="M139" s="79"/>
      <c r="N139" s="477"/>
      <c r="O139" s="477"/>
      <c r="P139" s="477"/>
      <c r="Q139" s="477"/>
      <c r="R139" s="477"/>
      <c r="S139" s="477"/>
      <c r="T139" s="477"/>
      <c r="U139" s="477"/>
    </row>
    <row r="140" spans="1:21" ht="15.75" customHeight="1" x14ac:dyDescent="0.25">
      <c r="A140" s="390" t="str">
        <f>'0664'!A140</f>
        <v xml:space="preserve">Education (CAPE), Early High School Graduation and the small district ESE Supplement, pursuant to s. 1011.62(1)(l-p), F.S. </v>
      </c>
      <c r="B140" s="357"/>
      <c r="C140" s="357"/>
      <c r="D140" s="357"/>
      <c r="E140" s="357"/>
      <c r="F140" s="357"/>
      <c r="G140" s="357"/>
      <c r="H140" s="357"/>
      <c r="I140" s="357"/>
      <c r="J140" s="80"/>
      <c r="K140" s="79"/>
      <c r="L140" s="79"/>
      <c r="M140" s="79"/>
      <c r="N140" s="76"/>
      <c r="O140" s="76"/>
      <c r="P140" s="76"/>
      <c r="Q140" s="76"/>
      <c r="R140" s="76"/>
      <c r="S140" s="76"/>
      <c r="T140" s="76"/>
      <c r="U140" s="76"/>
    </row>
    <row r="141" spans="1:21" x14ac:dyDescent="0.25">
      <c r="A141" s="356" t="str">
        <f>'0664'!A141</f>
        <v>(b) District allocations multiplied by percentage from item 3A.</v>
      </c>
      <c r="B141" s="281"/>
      <c r="C141" s="281"/>
      <c r="D141" s="281"/>
      <c r="E141" s="281"/>
      <c r="F141" s="281"/>
      <c r="G141" s="281"/>
      <c r="H141" s="281"/>
      <c r="I141" s="281"/>
      <c r="J141" s="79"/>
      <c r="K141" s="79"/>
      <c r="L141" s="79"/>
      <c r="M141" s="79"/>
      <c r="N141" s="81"/>
      <c r="O141" s="82"/>
      <c r="P141" s="82"/>
      <c r="Q141" s="82"/>
      <c r="R141" s="82"/>
      <c r="S141" s="82"/>
      <c r="T141" s="82"/>
      <c r="U141" s="82"/>
    </row>
    <row r="142" spans="1:21" s="79" customFormat="1" x14ac:dyDescent="0.2">
      <c r="A142" s="356" t="str">
        <f>'0664'!A142</f>
        <v>(c) District allocations multiplied by percentage from item 3B.</v>
      </c>
      <c r="B142" s="281"/>
      <c r="C142" s="281"/>
      <c r="D142" s="281"/>
      <c r="E142" s="281"/>
      <c r="F142" s="281"/>
      <c r="G142" s="281"/>
      <c r="H142" s="281"/>
      <c r="I142" s="281"/>
      <c r="N142" s="81"/>
    </row>
    <row r="143" spans="1:21" s="79" customFormat="1" ht="15.75" customHeight="1" x14ac:dyDescent="0.2">
      <c r="A143" s="356" t="str">
        <f>'0664'!A143</f>
        <v>(d) The Digital Classroom Allocation is provided pursuant to s. 1011.62(12), F.S.</v>
      </c>
      <c r="B143" s="281"/>
      <c r="C143" s="281"/>
      <c r="D143" s="281"/>
      <c r="E143" s="281"/>
      <c r="F143" s="281"/>
      <c r="G143" s="281"/>
      <c r="H143" s="281"/>
      <c r="I143" s="281"/>
      <c r="N143" s="81"/>
    </row>
    <row r="144" spans="1:21" s="79" customFormat="1" ht="15.75" customHeight="1" x14ac:dyDescent="0.2">
      <c r="A144" s="356" t="str">
        <f>'0664'!A144</f>
        <v>(e) School districts are required to pay for instructional materials used for the instruction of public high school students who are earning credit toward high school</v>
      </c>
      <c r="B144" s="281"/>
      <c r="C144" s="281"/>
      <c r="D144" s="281"/>
      <c r="E144" s="281"/>
      <c r="F144" s="281"/>
      <c r="G144" s="281"/>
      <c r="H144" s="281"/>
      <c r="I144" s="281"/>
      <c r="N144" s="81"/>
    </row>
    <row r="145" spans="1:14" s="79" customFormat="1" ht="15.75" customHeight="1" x14ac:dyDescent="0.2">
      <c r="A145" s="390" t="str">
        <f>'0664'!A145</f>
        <v xml:space="preserve">graduation under the dual enrollment program as provided in s. 1011.62(l)(i), F.S.  </v>
      </c>
      <c r="B145" s="281"/>
      <c r="C145" s="281"/>
      <c r="D145" s="281"/>
      <c r="E145" s="281"/>
      <c r="F145" s="281"/>
      <c r="G145" s="281"/>
      <c r="H145" s="281"/>
      <c r="I145" s="281"/>
      <c r="N145" s="81"/>
    </row>
    <row r="146" spans="1:14" s="79" customFormat="1" x14ac:dyDescent="0.2">
      <c r="A146" s="356" t="str">
        <f>'0664'!A146</f>
        <v>(f) This allocation will be frozen as of the 2021-22 FEFP Second Calculation and will not be recalculated throughout the year. Charter school allocations should be</v>
      </c>
      <c r="B146" s="281"/>
      <c r="C146" s="281"/>
      <c r="D146" s="281"/>
      <c r="E146" s="281"/>
      <c r="F146" s="281"/>
      <c r="G146" s="281"/>
      <c r="H146" s="281"/>
      <c r="I146" s="281"/>
      <c r="N146" s="81"/>
    </row>
    <row r="147" spans="1:14" s="79" customFormat="1" x14ac:dyDescent="0.2">
      <c r="A147" s="358" t="str">
        <f>'0664'!A147</f>
        <v xml:space="preserve">distributed on weighted FTE (or base funding as is done in the FEFP) and should not be recalculated with fluctuations in student enrollment later in the year. </v>
      </c>
      <c r="B147" s="281"/>
      <c r="C147" s="281"/>
      <c r="D147" s="281"/>
      <c r="E147" s="281"/>
      <c r="F147" s="281"/>
      <c r="G147" s="281"/>
      <c r="H147" s="281"/>
      <c r="I147" s="281"/>
      <c r="N147" s="81"/>
    </row>
    <row r="148" spans="1:14" s="79" customFormat="1" x14ac:dyDescent="0.2">
      <c r="A148" s="356" t="str">
        <f>'0664'!A148</f>
        <v>(g) Numbers entered here will be multiplied by the district level transportation funding per rider. "All Adjusted Fundable Riders" should include both basic and ESE Riders.</v>
      </c>
      <c r="B148" s="281"/>
      <c r="C148" s="281"/>
      <c r="D148" s="281"/>
      <c r="E148" s="281"/>
      <c r="F148" s="281"/>
      <c r="G148" s="281"/>
      <c r="H148" s="281"/>
      <c r="I148" s="281"/>
      <c r="N148" s="81"/>
    </row>
    <row r="149" spans="1:14" s="79" customFormat="1" x14ac:dyDescent="0.2">
      <c r="A149" s="390" t="str">
        <f>'0664'!A149</f>
        <v>"All Adjusted ESE Riders" should include only ESE Riders.</v>
      </c>
      <c r="B149" s="281"/>
      <c r="C149" s="281"/>
      <c r="D149" s="281"/>
      <c r="E149" s="281"/>
      <c r="F149" s="281"/>
      <c r="G149" s="281"/>
      <c r="H149" s="281"/>
      <c r="I149" s="281"/>
      <c r="N149" s="81"/>
    </row>
    <row r="150" spans="1:14" s="79" customFormat="1" x14ac:dyDescent="0.2">
      <c r="A150" s="356" t="str">
        <f>'0664'!A150</f>
        <v xml:space="preserve">(h) The Federally Connected Student Supplement provides additional funding for students on federal lands that receive Section 8003 impact aide pursuant to s. 1011.62(13), F.S. </v>
      </c>
      <c r="B150" s="281"/>
      <c r="C150" s="281"/>
      <c r="D150" s="281"/>
      <c r="E150" s="281"/>
      <c r="F150" s="281"/>
      <c r="G150" s="281"/>
      <c r="H150" s="281"/>
      <c r="I150" s="281"/>
      <c r="N150" s="81"/>
    </row>
    <row r="151" spans="1:14" s="79" customFormat="1" x14ac:dyDescent="0.2">
      <c r="A151" s="356" t="str">
        <f>'0664'!A151</f>
        <v>(i) Teacher Classroom Supply Assistance Program allocation pursuant to s. 1012.71, F.S., for certified teachers employed by a public school district or public charter school</v>
      </c>
      <c r="B151" s="281"/>
      <c r="C151" s="281"/>
      <c r="D151" s="281"/>
      <c r="E151" s="281"/>
      <c r="F151" s="281"/>
      <c r="G151" s="281"/>
      <c r="H151" s="281"/>
      <c r="I151" s="281"/>
      <c r="N151" s="81"/>
    </row>
    <row r="152" spans="1:14" s="79" customFormat="1" x14ac:dyDescent="0.2">
      <c r="A152" s="358" t="str">
        <f>'0664'!A152</f>
        <v xml:space="preserve">before September 1 of each year whose full-time or job-share responsibility is the classroom instruction of students in prekindergarten through grade 12, including </v>
      </c>
      <c r="B152" s="281"/>
      <c r="C152" s="281"/>
      <c r="D152" s="281"/>
      <c r="E152" s="281"/>
      <c r="F152" s="281"/>
      <c r="G152" s="281"/>
      <c r="H152" s="281"/>
      <c r="I152" s="281"/>
      <c r="N152" s="81"/>
    </row>
    <row r="153" spans="1:14" s="79" customFormat="1" ht="15.75" customHeight="1" x14ac:dyDescent="0.2">
      <c r="A153" s="358" t="str">
        <f>'0664'!A153</f>
        <v>full-time media specialists and certified school counselors serving students in prekindergarten through grade 12, who are funded through the FEFP.</v>
      </c>
      <c r="B153" s="281"/>
      <c r="C153" s="281"/>
      <c r="D153" s="281"/>
      <c r="E153" s="281"/>
      <c r="F153" s="281"/>
      <c r="G153" s="281"/>
      <c r="H153" s="281"/>
      <c r="I153" s="281"/>
      <c r="N153" s="81"/>
    </row>
    <row r="154" spans="1:14" s="79" customFormat="1" ht="15.75" customHeight="1" x14ac:dyDescent="0.2">
      <c r="A154" s="356" t="str">
        <f>'0664'!A154</f>
        <v xml:space="preserve">(j) Funding based on student eligibility and meals provided, if participating in the National School Lunch Program. </v>
      </c>
      <c r="B154" s="328"/>
      <c r="C154" s="328"/>
      <c r="D154" s="328"/>
      <c r="E154" s="328"/>
      <c r="F154" s="328"/>
      <c r="G154" s="328"/>
      <c r="H154" s="328"/>
      <c r="I154" s="328"/>
      <c r="N154" s="81"/>
    </row>
    <row r="155" spans="1:14" s="79" customFormat="1" ht="15.75" customHeight="1" x14ac:dyDescent="0.2">
      <c r="A155" s="356" t="str">
        <f>'0664'!A155</f>
        <v>(k) Consistent with s. 1002.33(20)(a), F.S., for charter schools with a population of 75% or more ESE students, the administrative fee shall be calculated based on</v>
      </c>
      <c r="B155" s="381"/>
      <c r="C155" s="381"/>
      <c r="D155" s="381"/>
      <c r="E155" s="381"/>
      <c r="F155" s="381"/>
      <c r="G155" s="381"/>
      <c r="H155" s="381"/>
      <c r="I155" s="381"/>
      <c r="N155" s="81"/>
    </row>
    <row r="156" spans="1:14" s="79" customFormat="1" ht="15.75" customHeight="1" x14ac:dyDescent="0.2">
      <c r="A156" s="390" t="str">
        <f>'0664'!A156</f>
        <v xml:space="preserve">unweighted full-time equivalent students. </v>
      </c>
      <c r="B156" s="381"/>
      <c r="C156" s="381"/>
      <c r="D156" s="381"/>
      <c r="E156" s="381"/>
      <c r="F156" s="381"/>
      <c r="G156" s="381"/>
      <c r="H156" s="381"/>
      <c r="I156" s="381"/>
      <c r="N156" s="81"/>
    </row>
    <row r="157" spans="1:14" s="79" customFormat="1" ht="15.75" customHeight="1" x14ac:dyDescent="0.2">
      <c r="A157" s="356"/>
      <c r="B157" s="381"/>
      <c r="C157" s="381"/>
      <c r="D157" s="381"/>
      <c r="E157" s="381"/>
      <c r="F157" s="381"/>
      <c r="G157" s="381"/>
      <c r="H157" s="381"/>
      <c r="I157" s="381"/>
      <c r="N157" s="81"/>
    </row>
    <row r="158" spans="1:14" s="79" customFormat="1" ht="15.75" customHeight="1" x14ac:dyDescent="0.25">
      <c r="A158" s="398" t="str">
        <f>'0664'!A158</f>
        <v>Administrative fees:</v>
      </c>
      <c r="B158" s="328"/>
      <c r="C158" s="328"/>
      <c r="D158" s="328"/>
      <c r="E158" s="328"/>
      <c r="F158" s="328"/>
      <c r="G158" s="328"/>
      <c r="H158" s="328"/>
      <c r="I158" s="328"/>
      <c r="J158" s="3"/>
      <c r="K158" s="3"/>
      <c r="L158" s="3"/>
      <c r="M158" s="3"/>
      <c r="N158" s="81"/>
    </row>
    <row r="159" spans="1:14" s="79" customFormat="1" ht="15.75" customHeight="1" x14ac:dyDescent="0.25">
      <c r="A159" s="399" t="str">
        <f>'0664'!A159</f>
        <v xml:space="preserve">Administrative fees charged by the school district pursuant to s. 1002.33(20)(a), F.S., shall be calculated based upon 5% of available funds from the FEFP and categorical </v>
      </c>
      <c r="B159" s="328"/>
      <c r="C159" s="328"/>
      <c r="D159" s="328"/>
      <c r="E159" s="328"/>
      <c r="F159" s="328"/>
      <c r="G159" s="328"/>
      <c r="H159" s="328"/>
      <c r="I159" s="328"/>
      <c r="J159" s="3"/>
      <c r="K159" s="3"/>
      <c r="L159" s="3"/>
      <c r="M159" s="3"/>
      <c r="N159" s="81"/>
    </row>
    <row r="160" spans="1:14" s="79" customFormat="1" ht="15.75" customHeight="1" x14ac:dyDescent="0.25">
      <c r="A160" s="400" t="str">
        <f>'0664'!A160</f>
        <v>funding for which charter students may be eligible.  To calculate the administrative fee to be withheld for schools with more than 250 students, divide the school</v>
      </c>
      <c r="B160" s="328"/>
      <c r="C160" s="328"/>
      <c r="D160" s="328"/>
      <c r="E160" s="328"/>
      <c r="F160" s="328"/>
      <c r="G160" s="328"/>
      <c r="H160" s="328"/>
      <c r="I160" s="328"/>
      <c r="J160" s="3"/>
      <c r="K160" s="3"/>
      <c r="L160" s="3"/>
      <c r="M160" s="3"/>
      <c r="N160" s="81"/>
    </row>
    <row r="161" spans="1:21" s="79" customFormat="1" ht="15.75" customHeight="1" x14ac:dyDescent="0.25">
      <c r="A161" s="400" t="str">
        <f>'0664'!A161</f>
        <v xml:space="preserve">population into 250. Multiply that fraction times the funds available, then times 5%.  </v>
      </c>
      <c r="B161" s="328"/>
      <c r="C161" s="328"/>
      <c r="D161" s="328"/>
      <c r="E161" s="328"/>
      <c r="F161" s="328"/>
      <c r="G161" s="328"/>
      <c r="H161" s="328"/>
      <c r="I161" s="328"/>
      <c r="J161" s="3"/>
      <c r="K161" s="3"/>
      <c r="L161" s="3"/>
      <c r="M161" s="3"/>
      <c r="N161" s="81"/>
    </row>
    <row r="162" spans="1:21" s="79" customFormat="1" ht="15.75" customHeight="1" x14ac:dyDescent="0.25">
      <c r="A162" s="399"/>
      <c r="B162" s="394"/>
      <c r="C162" s="394"/>
      <c r="D162" s="394"/>
      <c r="E162" s="394"/>
      <c r="F162" s="394"/>
      <c r="G162" s="394"/>
      <c r="H162" s="394"/>
      <c r="I162" s="394"/>
      <c r="N162" s="77"/>
      <c r="O162" s="3"/>
      <c r="P162" s="3"/>
      <c r="Q162" s="3"/>
      <c r="R162" s="3"/>
      <c r="S162" s="3"/>
      <c r="T162" s="3"/>
      <c r="U162" s="3"/>
    </row>
    <row r="163" spans="1:21" ht="15.75" customHeight="1" x14ac:dyDescent="0.25">
      <c r="A163" s="399" t="str">
        <f>'0664'!A163</f>
        <v xml:space="preserve">For high performing charter schools, administrative fees charged by the school district shall be calculated based upon 2% of available funds from the FEFP and categorical </v>
      </c>
      <c r="B163" s="328"/>
      <c r="C163" s="328"/>
      <c r="D163" s="328"/>
      <c r="E163" s="328"/>
      <c r="F163" s="328"/>
      <c r="G163" s="328"/>
      <c r="H163" s="328"/>
      <c r="I163" s="328"/>
      <c r="J163" s="79"/>
      <c r="K163" s="79"/>
      <c r="L163" s="79"/>
      <c r="M163" s="79"/>
      <c r="N163" s="81"/>
      <c r="O163" s="79"/>
      <c r="P163" s="79"/>
      <c r="Q163" s="79"/>
      <c r="R163" s="79"/>
      <c r="S163" s="79"/>
      <c r="T163" s="79"/>
      <c r="U163" s="79"/>
    </row>
    <row r="164" spans="1:21" ht="15.75" customHeight="1" x14ac:dyDescent="0.25">
      <c r="A164" s="400" t="str">
        <f>'0664'!A164</f>
        <v>funding for which charter students may be eligible.  To calculate the administrative fee to be withheld for schools with more than 250 students, divide the school</v>
      </c>
      <c r="B164" s="381"/>
      <c r="C164" s="381"/>
      <c r="D164" s="381"/>
      <c r="E164" s="381"/>
      <c r="F164" s="381"/>
      <c r="G164" s="381"/>
      <c r="H164" s="381"/>
      <c r="I164" s="381"/>
      <c r="J164" s="79"/>
      <c r="K164" s="79"/>
      <c r="L164" s="79"/>
      <c r="M164" s="79"/>
      <c r="N164" s="81"/>
      <c r="O164" s="79"/>
      <c r="P164" s="79"/>
      <c r="Q164" s="79"/>
      <c r="R164" s="79"/>
      <c r="S164" s="79"/>
      <c r="T164" s="79"/>
      <c r="U164" s="79"/>
    </row>
    <row r="165" spans="1:21" s="79" customFormat="1" ht="15.75" customHeight="1" x14ac:dyDescent="0.2">
      <c r="A165" s="400" t="str">
        <f>'0664'!A165</f>
        <v xml:space="preserve">population into 250. Multiply that fraction times the funds available, then times 2%.  </v>
      </c>
      <c r="B165" s="328"/>
      <c r="C165" s="328"/>
      <c r="D165" s="328"/>
      <c r="E165" s="328"/>
      <c r="F165" s="328"/>
      <c r="G165" s="328"/>
      <c r="H165" s="328"/>
      <c r="I165" s="328"/>
      <c r="N165" s="81"/>
    </row>
    <row r="166" spans="1:21" x14ac:dyDescent="0.25">
      <c r="A166" s="356"/>
      <c r="N166" s="77"/>
    </row>
    <row r="167" spans="1:21" x14ac:dyDescent="0.25">
      <c r="A167" s="398" t="str">
        <f>'0664'!A167</f>
        <v>Other:</v>
      </c>
      <c r="N167" s="77"/>
    </row>
    <row r="168" spans="1:21" x14ac:dyDescent="0.25">
      <c r="A168" s="399" t="str">
        <f>'0664'!A168</f>
        <v>FEFP and categorical funding are recalculated during the year to reflect the revised number of full-time equivalent students reported during the survey periods designated</v>
      </c>
      <c r="N168" s="77"/>
    </row>
    <row r="169" spans="1:21" x14ac:dyDescent="0.25">
      <c r="A169" s="402" t="str">
        <f>'0664'!A169</f>
        <v>by the Commissioner of Education.</v>
      </c>
      <c r="N169" s="77"/>
    </row>
    <row r="170" spans="1:21" x14ac:dyDescent="0.25">
      <c r="A170" s="399" t="str">
        <f>'0664'!A170</f>
        <v>Revenues flow to districts from state sources and from county tax collectors on various distribution schedules.</v>
      </c>
      <c r="N170" s="77"/>
    </row>
    <row r="171" spans="1:21" x14ac:dyDescent="0.25">
      <c r="A171" s="77"/>
      <c r="N171" s="77"/>
    </row>
    <row r="172" spans="1:21" x14ac:dyDescent="0.25">
      <c r="A172" s="77"/>
      <c r="N172" s="77"/>
    </row>
    <row r="173" spans="1:21" x14ac:dyDescent="0.25">
      <c r="A173" s="77"/>
      <c r="N173" s="77"/>
    </row>
    <row r="174" spans="1:21" x14ac:dyDescent="0.25">
      <c r="A174" s="77"/>
      <c r="N174" s="77"/>
    </row>
    <row r="175" spans="1:21" x14ac:dyDescent="0.25">
      <c r="A175" s="77"/>
      <c r="N175" s="77"/>
    </row>
    <row r="176" spans="1:21" x14ac:dyDescent="0.25">
      <c r="A176" s="77"/>
      <c r="N176" s="77"/>
    </row>
    <row r="177" spans="1:14" x14ac:dyDescent="0.25">
      <c r="A177" s="77"/>
      <c r="N177" s="77"/>
    </row>
    <row r="178" spans="1:14" x14ac:dyDescent="0.25">
      <c r="A178" s="77"/>
      <c r="N178" s="77"/>
    </row>
    <row r="179" spans="1:14" x14ac:dyDescent="0.25">
      <c r="A179" s="77"/>
      <c r="N179" s="77"/>
    </row>
    <row r="180" spans="1:14" x14ac:dyDescent="0.25">
      <c r="A180" s="77"/>
      <c r="N180" s="77"/>
    </row>
    <row r="181" spans="1:14" x14ac:dyDescent="0.25">
      <c r="A181" s="77"/>
      <c r="N181" s="77"/>
    </row>
    <row r="182" spans="1:14" x14ac:dyDescent="0.25">
      <c r="A182" s="77"/>
      <c r="N182" s="77"/>
    </row>
    <row r="183" spans="1:14" x14ac:dyDescent="0.25">
      <c r="A183" s="77"/>
      <c r="N183" s="77"/>
    </row>
    <row r="184" spans="1:14" x14ac:dyDescent="0.25">
      <c r="A184" s="77"/>
      <c r="N184" s="77"/>
    </row>
    <row r="185" spans="1:14" x14ac:dyDescent="0.25">
      <c r="A185" s="77"/>
      <c r="N185" s="77"/>
    </row>
    <row r="186" spans="1:14" x14ac:dyDescent="0.25">
      <c r="A186" s="77"/>
      <c r="N186" s="77"/>
    </row>
    <row r="187" spans="1:14" x14ac:dyDescent="0.25">
      <c r="A187" s="77"/>
      <c r="N187" s="77"/>
    </row>
    <row r="188" spans="1:14" x14ac:dyDescent="0.25">
      <c r="A188" s="77"/>
    </row>
    <row r="189" spans="1:14" x14ac:dyDescent="0.25">
      <c r="A189" s="77"/>
    </row>
    <row r="190" spans="1:14" x14ac:dyDescent="0.25">
      <c r="A190" s="77"/>
    </row>
    <row r="191" spans="1:14" x14ac:dyDescent="0.25">
      <c r="A191" s="77"/>
    </row>
    <row r="192" spans="1:14" x14ac:dyDescent="0.25">
      <c r="A192" s="77"/>
    </row>
    <row r="193" spans="1:1" x14ac:dyDescent="0.25">
      <c r="A193" s="77"/>
    </row>
    <row r="194" spans="1:1" x14ac:dyDescent="0.25">
      <c r="A194" s="77"/>
    </row>
    <row r="195" spans="1:1" x14ac:dyDescent="0.25">
      <c r="A195" s="77"/>
    </row>
    <row r="196" spans="1:1" x14ac:dyDescent="0.25">
      <c r="A196" s="77"/>
    </row>
    <row r="197" spans="1:1" x14ac:dyDescent="0.25">
      <c r="A197" s="77"/>
    </row>
    <row r="198" spans="1:1" x14ac:dyDescent="0.25">
      <c r="A198" s="77"/>
    </row>
    <row r="199" spans="1:1" x14ac:dyDescent="0.25">
      <c r="A199" s="77"/>
    </row>
    <row r="200" spans="1:1" x14ac:dyDescent="0.25">
      <c r="A200" s="77"/>
    </row>
    <row r="201" spans="1:1" x14ac:dyDescent="0.25">
      <c r="A201" s="77"/>
    </row>
    <row r="202" spans="1:1" x14ac:dyDescent="0.25">
      <c r="A202" s="77"/>
    </row>
    <row r="203" spans="1:1" x14ac:dyDescent="0.25">
      <c r="A203" s="77"/>
    </row>
    <row r="204" spans="1:1" x14ac:dyDescent="0.25">
      <c r="A204" s="77"/>
    </row>
    <row r="205" spans="1:1" x14ac:dyDescent="0.25">
      <c r="A205" s="77"/>
    </row>
    <row r="206" spans="1:1" x14ac:dyDescent="0.25">
      <c r="A206" s="77"/>
    </row>
  </sheetData>
  <mergeCells count="266">
    <mergeCell ref="A112:C112"/>
    <mergeCell ref="F112:H112"/>
    <mergeCell ref="N112:P112"/>
    <mergeCell ref="A109:B109"/>
    <mergeCell ref="F109:G109"/>
    <mergeCell ref="N109:O109"/>
    <mergeCell ref="P109:Q109"/>
    <mergeCell ref="N139:U139"/>
    <mergeCell ref="N119:U119"/>
    <mergeCell ref="N113:P113"/>
    <mergeCell ref="A113:C113"/>
    <mergeCell ref="F113:H113"/>
    <mergeCell ref="N114:T114"/>
    <mergeCell ref="A115:H115"/>
    <mergeCell ref="A119:G119"/>
    <mergeCell ref="N120:U120"/>
    <mergeCell ref="A120:G120"/>
    <mergeCell ref="R109:S109"/>
    <mergeCell ref="A110:B110"/>
    <mergeCell ref="N110:O110"/>
    <mergeCell ref="A107:B107"/>
    <mergeCell ref="F107:G107"/>
    <mergeCell ref="N107:O107"/>
    <mergeCell ref="P107:Q107"/>
    <mergeCell ref="R107:S107"/>
    <mergeCell ref="A108:B108"/>
    <mergeCell ref="F108:G108"/>
    <mergeCell ref="N108:O108"/>
    <mergeCell ref="P108:Q108"/>
    <mergeCell ref="R108:S108"/>
    <mergeCell ref="A103:C103"/>
    <mergeCell ref="F103:I103"/>
    <mergeCell ref="N103:U103"/>
    <mergeCell ref="C104:E104"/>
    <mergeCell ref="F105:G105"/>
    <mergeCell ref="A106:B106"/>
    <mergeCell ref="F106:G106"/>
    <mergeCell ref="N106:O106"/>
    <mergeCell ref="P106:Q106"/>
    <mergeCell ref="R106:S106"/>
    <mergeCell ref="A99:B99"/>
    <mergeCell ref="N99:O99"/>
    <mergeCell ref="P99:R99"/>
    <mergeCell ref="A100:B100"/>
    <mergeCell ref="N100:O100"/>
    <mergeCell ref="P100:R100"/>
    <mergeCell ref="C91:D91"/>
    <mergeCell ref="P91:Q91"/>
    <mergeCell ref="C92:D92"/>
    <mergeCell ref="P92:Q92"/>
    <mergeCell ref="C93:D93"/>
    <mergeCell ref="P93:T93"/>
    <mergeCell ref="A94:I94"/>
    <mergeCell ref="N94:U94"/>
    <mergeCell ref="F96:I96"/>
    <mergeCell ref="N96:P96"/>
    <mergeCell ref="Q96:T96"/>
    <mergeCell ref="A87:I87"/>
    <mergeCell ref="N87:U87"/>
    <mergeCell ref="C88:D88"/>
    <mergeCell ref="C89:D89"/>
    <mergeCell ref="N89:O89"/>
    <mergeCell ref="P89:Q89"/>
    <mergeCell ref="R89:U89"/>
    <mergeCell ref="C90:D90"/>
    <mergeCell ref="P90:Q90"/>
    <mergeCell ref="A80:C80"/>
    <mergeCell ref="N80:P80"/>
    <mergeCell ref="A85:C85"/>
    <mergeCell ref="N85:P85"/>
    <mergeCell ref="F73:H73"/>
    <mergeCell ref="N73:T73"/>
    <mergeCell ref="N74:T74"/>
    <mergeCell ref="A78:C78"/>
    <mergeCell ref="N78:P78"/>
    <mergeCell ref="A79:C79"/>
    <mergeCell ref="A69:C69"/>
    <mergeCell ref="N69:P69"/>
    <mergeCell ref="N79:P79"/>
    <mergeCell ref="A76:C76"/>
    <mergeCell ref="N76:P76"/>
    <mergeCell ref="A77:C77"/>
    <mergeCell ref="A70:C70"/>
    <mergeCell ref="A71:C71"/>
    <mergeCell ref="N71:P71"/>
    <mergeCell ref="A72:C72"/>
    <mergeCell ref="N77:P77"/>
    <mergeCell ref="N72:P72"/>
    <mergeCell ref="A65:B65"/>
    <mergeCell ref="D65:G65"/>
    <mergeCell ref="N65:O65"/>
    <mergeCell ref="Q65:S65"/>
    <mergeCell ref="T65:U65"/>
    <mergeCell ref="N66:S66"/>
    <mergeCell ref="T66:U66"/>
    <mergeCell ref="A68:C68"/>
    <mergeCell ref="N68:P68"/>
    <mergeCell ref="A62:B62"/>
    <mergeCell ref="D62:G62"/>
    <mergeCell ref="N62:O62"/>
    <mergeCell ref="Q62:S62"/>
    <mergeCell ref="T62:U62"/>
    <mergeCell ref="N63:S63"/>
    <mergeCell ref="T63:U63"/>
    <mergeCell ref="A64:I64"/>
    <mergeCell ref="N64:U64"/>
    <mergeCell ref="A59:B59"/>
    <mergeCell ref="F59:H59"/>
    <mergeCell ref="N59:O59"/>
    <mergeCell ref="P59:Q59"/>
    <mergeCell ref="R59:T59"/>
    <mergeCell ref="A60:I60"/>
    <mergeCell ref="N60:U60"/>
    <mergeCell ref="A61:I61"/>
    <mergeCell ref="N61:U61"/>
    <mergeCell ref="A50:B58"/>
    <mergeCell ref="N50:O58"/>
    <mergeCell ref="P50:Q50"/>
    <mergeCell ref="P51:Q51"/>
    <mergeCell ref="P52:Q52"/>
    <mergeCell ref="P53:Q53"/>
    <mergeCell ref="P54:Q54"/>
    <mergeCell ref="P55:Q55"/>
    <mergeCell ref="P56:Q56"/>
    <mergeCell ref="P57:Q57"/>
    <mergeCell ref="P58:Q58"/>
    <mergeCell ref="A42:B42"/>
    <mergeCell ref="N42:O42"/>
    <mergeCell ref="P42:T42"/>
    <mergeCell ref="N43:Q43"/>
    <mergeCell ref="S43:T43"/>
    <mergeCell ref="N45:Q45"/>
    <mergeCell ref="S45:T45"/>
    <mergeCell ref="N49:O49"/>
    <mergeCell ref="P49:Q49"/>
    <mergeCell ref="A39:B39"/>
    <mergeCell ref="N39:O39"/>
    <mergeCell ref="P39:T39"/>
    <mergeCell ref="A40:B40"/>
    <mergeCell ref="N40:O40"/>
    <mergeCell ref="P40:T40"/>
    <mergeCell ref="A41:B41"/>
    <mergeCell ref="N41:O41"/>
    <mergeCell ref="P41:T41"/>
    <mergeCell ref="N34:T34"/>
    <mergeCell ref="A36:B36"/>
    <mergeCell ref="N36:O36"/>
    <mergeCell ref="P36:T36"/>
    <mergeCell ref="A37:B37"/>
    <mergeCell ref="N37:O37"/>
    <mergeCell ref="P37:T37"/>
    <mergeCell ref="F33:H36"/>
    <mergeCell ref="A38:B38"/>
    <mergeCell ref="N38:O38"/>
    <mergeCell ref="P38:T38"/>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5:B25"/>
    <mergeCell ref="A27:B27"/>
    <mergeCell ref="F27:G27"/>
    <mergeCell ref="N27:O27"/>
    <mergeCell ref="P27:Q27"/>
    <mergeCell ref="R27:S27"/>
    <mergeCell ref="A24:B24"/>
    <mergeCell ref="F24:G24"/>
    <mergeCell ref="N24:O24"/>
    <mergeCell ref="P24:Q24"/>
    <mergeCell ref="R24:S24"/>
    <mergeCell ref="A23:B23"/>
    <mergeCell ref="F23:G23"/>
    <mergeCell ref="F25:G25"/>
    <mergeCell ref="N25:O25"/>
    <mergeCell ref="P25:Q25"/>
    <mergeCell ref="R25:S25"/>
    <mergeCell ref="A22:B22"/>
    <mergeCell ref="F22:G22"/>
    <mergeCell ref="N22:O22"/>
    <mergeCell ref="P22:Q22"/>
    <mergeCell ref="R22:S22"/>
    <mergeCell ref="A21:B21"/>
    <mergeCell ref="F21:G21"/>
    <mergeCell ref="N23:O23"/>
    <mergeCell ref="P23:Q23"/>
    <mergeCell ref="R23:S23"/>
    <mergeCell ref="A20:B20"/>
    <mergeCell ref="F20:G20"/>
    <mergeCell ref="N20:O20"/>
    <mergeCell ref="P20:Q20"/>
    <mergeCell ref="R20:S20"/>
    <mergeCell ref="A19:B19"/>
    <mergeCell ref="F19:G19"/>
    <mergeCell ref="N21:O21"/>
    <mergeCell ref="P21:Q21"/>
    <mergeCell ref="R21:S21"/>
    <mergeCell ref="A18:B18"/>
    <mergeCell ref="F18:G18"/>
    <mergeCell ref="N18:O18"/>
    <mergeCell ref="P18:Q18"/>
    <mergeCell ref="R18:S18"/>
    <mergeCell ref="A17:B17"/>
    <mergeCell ref="F17:G17"/>
    <mergeCell ref="N19:O19"/>
    <mergeCell ref="P19:Q19"/>
    <mergeCell ref="R19:S19"/>
    <mergeCell ref="A16:B16"/>
    <mergeCell ref="F16:G16"/>
    <mergeCell ref="N16:O16"/>
    <mergeCell ref="P16:Q16"/>
    <mergeCell ref="R16:S16"/>
    <mergeCell ref="A15:B15"/>
    <mergeCell ref="F15:G15"/>
    <mergeCell ref="N17:O17"/>
    <mergeCell ref="P17:Q17"/>
    <mergeCell ref="R17:S17"/>
    <mergeCell ref="A14:B14"/>
    <mergeCell ref="F14:G14"/>
    <mergeCell ref="N14:O14"/>
    <mergeCell ref="P14:Q14"/>
    <mergeCell ref="R14:S14"/>
    <mergeCell ref="A13:B13"/>
    <mergeCell ref="F13:G13"/>
    <mergeCell ref="N15:O15"/>
    <mergeCell ref="P15:Q15"/>
    <mergeCell ref="R15:S15"/>
    <mergeCell ref="A12:B12"/>
    <mergeCell ref="F12:G12"/>
    <mergeCell ref="N12:O12"/>
    <mergeCell ref="P12:Q12"/>
    <mergeCell ref="R12:S12"/>
    <mergeCell ref="A11:B11"/>
    <mergeCell ref="F11:G11"/>
    <mergeCell ref="N13:O13"/>
    <mergeCell ref="P13:Q13"/>
    <mergeCell ref="R13:S13"/>
    <mergeCell ref="N8:O8"/>
    <mergeCell ref="P8:Q8"/>
    <mergeCell ref="R8:S8"/>
    <mergeCell ref="T8:U8"/>
    <mergeCell ref="F10:G10"/>
    <mergeCell ref="R10:S10"/>
    <mergeCell ref="A7:I7"/>
    <mergeCell ref="N11:O11"/>
    <mergeCell ref="P11:Q11"/>
    <mergeCell ref="R11:S11"/>
    <mergeCell ref="O1:U1"/>
    <mergeCell ref="N2:U2"/>
    <mergeCell ref="N3:U3"/>
    <mergeCell ref="A4:B4"/>
    <mergeCell ref="C4:E4"/>
    <mergeCell ref="N4:O4"/>
    <mergeCell ref="P4:Q4"/>
    <mergeCell ref="B1:I1"/>
    <mergeCell ref="N7:U7"/>
  </mergeCells>
  <pageMargins left="0.1" right="0.1" top="0.5" bottom="0.5" header="0" footer="0.1"/>
  <pageSetup scale="70" fitToHeight="3" orientation="portrait" r:id="rId1"/>
  <headerFooter alignWithMargins="0">
    <oddFooter>&amp;R&amp;P of &amp;N</oddFooter>
  </headerFooter>
  <rowBreaks count="1" manualBreakCount="1">
    <brk id="138" max="16383" man="1"/>
  </rowBreaks>
  <colBreaks count="1" manualBreakCount="1">
    <brk id="9"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2">
    <tabColor rgb="FFCCFFCC"/>
  </sheetPr>
  <dimension ref="A1:U206"/>
  <sheetViews>
    <sheetView showGridLines="0" zoomScaleNormal="100" workbookViewId="0">
      <pane ySplit="1" topLeftCell="A11" activePane="bottomLeft" state="frozen"/>
      <selection activeCell="I9" sqref="I9"/>
      <selection pane="bottomLeft" activeCell="D56" sqref="D56"/>
    </sheetView>
  </sheetViews>
  <sheetFormatPr defaultRowHeight="15.75" x14ac:dyDescent="0.25"/>
  <cols>
    <col min="1" max="1" width="10.28515625" style="72"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72"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5">
        <v>50</v>
      </c>
      <c r="B1" s="441" t="s">
        <v>17</v>
      </c>
      <c r="C1" s="442"/>
      <c r="D1" s="442"/>
      <c r="E1" s="442"/>
      <c r="F1" s="442"/>
      <c r="G1" s="442"/>
      <c r="H1" s="442"/>
      <c r="I1" s="442"/>
      <c r="J1" s="157"/>
      <c r="K1" s="157"/>
      <c r="L1" s="157"/>
      <c r="N1" s="85">
        <f>A1</f>
        <v>50</v>
      </c>
      <c r="O1" s="527" t="s">
        <v>17</v>
      </c>
      <c r="P1" s="528"/>
      <c r="Q1" s="528"/>
      <c r="R1" s="528"/>
      <c r="S1" s="528"/>
      <c r="T1" s="528"/>
      <c r="U1" s="528"/>
    </row>
    <row r="2" spans="1:21" ht="21" x14ac:dyDescent="0.35">
      <c r="A2" s="1" t="s">
        <v>176</v>
      </c>
      <c r="B2" s="2"/>
      <c r="C2" s="2"/>
      <c r="D2" s="2"/>
      <c r="E2" s="2"/>
      <c r="F2" s="2"/>
      <c r="G2" s="2"/>
      <c r="H2" s="2"/>
      <c r="I2" s="2"/>
      <c r="N2" s="529" t="s">
        <v>23</v>
      </c>
      <c r="O2" s="529"/>
      <c r="P2" s="529"/>
      <c r="Q2" s="529"/>
      <c r="R2" s="529"/>
      <c r="S2" s="529"/>
      <c r="T2" s="529"/>
      <c r="U2" s="529"/>
    </row>
    <row r="3" spans="1:21" x14ac:dyDescent="0.25">
      <c r="A3" s="84" t="str">
        <f>'0664'!A3</f>
        <v>Based on the FLDOE 2022-23 FEFP Third Calculation</v>
      </c>
      <c r="N3" s="485" t="str">
        <f>A3</f>
        <v>Based on the FLDOE 2022-23 FEFP Third Calculation</v>
      </c>
      <c r="O3" s="485"/>
      <c r="P3" s="485"/>
      <c r="Q3" s="485"/>
      <c r="R3" s="485"/>
      <c r="S3" s="485"/>
      <c r="T3" s="485"/>
      <c r="U3" s="485"/>
    </row>
    <row r="4" spans="1:21" x14ac:dyDescent="0.25">
      <c r="A4" s="443" t="s">
        <v>0</v>
      </c>
      <c r="B4" s="443"/>
      <c r="C4" s="444" t="s">
        <v>9</v>
      </c>
      <c r="D4" s="444"/>
      <c r="E4" s="444"/>
      <c r="F4" s="4" t="str">
        <f>'0664'!F4</f>
        <v>Apr 2023</v>
      </c>
      <c r="G4" s="4"/>
      <c r="H4" s="4"/>
      <c r="I4" s="4"/>
      <c r="N4" s="530" t="s">
        <v>0</v>
      </c>
      <c r="O4" s="530"/>
      <c r="P4" s="531" t="str">
        <f>C4</f>
        <v>Palm Beach</v>
      </c>
      <c r="Q4" s="531"/>
      <c r="R4" s="5"/>
      <c r="S4" s="5"/>
      <c r="T4" s="5"/>
      <c r="U4" s="5"/>
    </row>
    <row r="5" spans="1:21" ht="12" customHeight="1" thickBot="1" x14ac:dyDescent="0.3">
      <c r="A5" s="262"/>
      <c r="B5" s="262"/>
      <c r="C5" s="253"/>
      <c r="D5" s="253"/>
      <c r="E5" s="253"/>
      <c r="F5" s="254"/>
      <c r="G5" s="254"/>
      <c r="H5" s="254"/>
      <c r="I5" s="254"/>
      <c r="N5" s="86"/>
      <c r="O5" s="86"/>
      <c r="P5" s="6"/>
      <c r="Q5" s="6"/>
      <c r="R5" s="5"/>
      <c r="S5" s="5"/>
      <c r="T5" s="5"/>
      <c r="U5" s="5"/>
    </row>
    <row r="6" spans="1:21" ht="12" customHeight="1" x14ac:dyDescent="0.25">
      <c r="A6" s="150"/>
      <c r="B6" s="150"/>
      <c r="C6" s="261"/>
      <c r="D6" s="261"/>
      <c r="E6" s="261"/>
      <c r="F6" s="4"/>
      <c r="G6" s="4"/>
      <c r="H6" s="4"/>
      <c r="I6" s="4"/>
      <c r="N6" s="86"/>
      <c r="O6" s="86"/>
      <c r="P6" s="6"/>
      <c r="Q6" s="6"/>
      <c r="R6" s="5"/>
      <c r="S6" s="5"/>
      <c r="T6" s="5"/>
      <c r="U6" s="5"/>
    </row>
    <row r="7" spans="1:21" x14ac:dyDescent="0.25">
      <c r="A7" s="445" t="str">
        <f>'0664'!A7:I7</f>
        <v>1.   2022-23 FEFP State and Local Funding</v>
      </c>
      <c r="B7" s="533"/>
      <c r="C7" s="533"/>
      <c r="D7" s="533"/>
      <c r="E7" s="533"/>
      <c r="F7" s="533"/>
      <c r="G7" s="533"/>
      <c r="H7" s="533"/>
      <c r="I7" s="533"/>
      <c r="N7" s="530" t="s">
        <v>86</v>
      </c>
      <c r="O7" s="530"/>
      <c r="P7" s="530"/>
      <c r="Q7" s="530"/>
      <c r="R7" s="530"/>
      <c r="S7" s="530"/>
      <c r="T7" s="530"/>
      <c r="U7" s="530"/>
    </row>
    <row r="8" spans="1:21" x14ac:dyDescent="0.25">
      <c r="A8" s="87"/>
      <c r="B8" s="88" t="s">
        <v>123</v>
      </c>
      <c r="C8" s="334">
        <f>'0664'!C8</f>
        <v>4587.3999999999996</v>
      </c>
      <c r="D8" s="89"/>
      <c r="E8" s="90"/>
      <c r="F8" s="87"/>
      <c r="G8" s="88" t="s">
        <v>122</v>
      </c>
      <c r="H8" s="320">
        <f>'0664'!H8</f>
        <v>1.0438000000000001</v>
      </c>
      <c r="I8" s="78"/>
      <c r="N8" s="534" t="s">
        <v>10</v>
      </c>
      <c r="O8" s="534"/>
      <c r="P8" s="535">
        <v>4154.45</v>
      </c>
      <c r="Q8" s="535"/>
      <c r="R8" s="518" t="s">
        <v>11</v>
      </c>
      <c r="S8" s="518"/>
      <c r="T8" s="519">
        <f>H8</f>
        <v>1.0438000000000001</v>
      </c>
      <c r="U8" s="519"/>
    </row>
    <row r="9" spans="1:21" x14ac:dyDescent="0.25">
      <c r="A9" s="7"/>
      <c r="B9" s="44" t="s">
        <v>370</v>
      </c>
      <c r="C9" s="372" t="s">
        <v>370</v>
      </c>
      <c r="D9" s="372" t="s">
        <v>370</v>
      </c>
      <c r="E9" s="8"/>
      <c r="F9" s="9"/>
      <c r="G9" s="9"/>
      <c r="H9" s="10"/>
      <c r="I9" s="340" t="str">
        <f>'0664'!I9</f>
        <v>2022-23</v>
      </c>
      <c r="N9" s="12"/>
      <c r="O9" s="12"/>
      <c r="P9" s="13"/>
      <c r="Q9" s="13"/>
      <c r="R9" s="14"/>
      <c r="S9" s="14"/>
      <c r="T9" s="15"/>
      <c r="U9" s="405" t="s">
        <v>405</v>
      </c>
    </row>
    <row r="10" spans="1:21" x14ac:dyDescent="0.25">
      <c r="A10" s="7"/>
      <c r="B10" s="7"/>
      <c r="C10" s="91" t="s">
        <v>463</v>
      </c>
      <c r="D10" s="371" t="s">
        <v>464</v>
      </c>
      <c r="E10" s="92" t="s">
        <v>8</v>
      </c>
      <c r="F10" s="446" t="s">
        <v>1</v>
      </c>
      <c r="G10" s="446"/>
      <c r="H10" s="10" t="s">
        <v>73</v>
      </c>
      <c r="I10" s="11" t="s">
        <v>36</v>
      </c>
      <c r="N10" s="12"/>
      <c r="O10" s="12"/>
      <c r="P10" s="13"/>
      <c r="Q10" s="13"/>
      <c r="R10" s="520" t="s">
        <v>1</v>
      </c>
      <c r="S10" s="520"/>
      <c r="T10" s="15" t="s">
        <v>73</v>
      </c>
      <c r="U10" s="16" t="s">
        <v>36</v>
      </c>
    </row>
    <row r="11" spans="1:21" x14ac:dyDescent="0.25">
      <c r="A11" s="447" t="s">
        <v>1</v>
      </c>
      <c r="B11" s="447"/>
      <c r="C11" s="362" t="s">
        <v>2</v>
      </c>
      <c r="D11" s="362" t="s">
        <v>2</v>
      </c>
      <c r="E11" s="362" t="s">
        <v>2</v>
      </c>
      <c r="F11" s="448" t="s">
        <v>76</v>
      </c>
      <c r="G11" s="448"/>
      <c r="H11" s="17" t="s">
        <v>72</v>
      </c>
      <c r="I11" s="18" t="s">
        <v>75</v>
      </c>
      <c r="N11" s="510" t="s">
        <v>1</v>
      </c>
      <c r="O11" s="510"/>
      <c r="P11" s="521" t="s">
        <v>24</v>
      </c>
      <c r="Q11" s="521"/>
      <c r="R11" s="522" t="s">
        <v>76</v>
      </c>
      <c r="S11" s="522"/>
      <c r="T11" s="19" t="s">
        <v>72</v>
      </c>
      <c r="U11" s="20" t="s">
        <v>75</v>
      </c>
    </row>
    <row r="12" spans="1:21" x14ac:dyDescent="0.25">
      <c r="A12" s="449" t="s">
        <v>47</v>
      </c>
      <c r="B12" s="449"/>
      <c r="C12" s="94"/>
      <c r="D12" s="94"/>
      <c r="E12" s="95" t="s">
        <v>48</v>
      </c>
      <c r="F12" s="450" t="s">
        <v>49</v>
      </c>
      <c r="G12" s="450"/>
      <c r="H12" s="21" t="s">
        <v>50</v>
      </c>
      <c r="I12" s="22" t="s">
        <v>51</v>
      </c>
      <c r="N12" s="523" t="s">
        <v>47</v>
      </c>
      <c r="O12" s="523"/>
      <c r="P12" s="524" t="s">
        <v>48</v>
      </c>
      <c r="Q12" s="524"/>
      <c r="R12" s="525" t="s">
        <v>49</v>
      </c>
      <c r="S12" s="525"/>
      <c r="T12" s="23" t="s">
        <v>50</v>
      </c>
      <c r="U12" s="24" t="s">
        <v>51</v>
      </c>
    </row>
    <row r="13" spans="1:21" x14ac:dyDescent="0.25">
      <c r="A13" s="451" t="s">
        <v>29</v>
      </c>
      <c r="B13" s="451"/>
      <c r="C13" s="165">
        <v>0</v>
      </c>
      <c r="D13" s="163">
        <v>0</v>
      </c>
      <c r="E13" s="210">
        <f>IF(D$29=0,C13*2,C13+D13)</f>
        <v>0</v>
      </c>
      <c r="F13" s="537">
        <f>'0664'!F13:G13</f>
        <v>1.1259999999999999</v>
      </c>
      <c r="G13" s="537"/>
      <c r="H13" s="167">
        <f>ROUND(E13*F13,4)</f>
        <v>0</v>
      </c>
      <c r="I13" s="119">
        <f t="shared" ref="I13:I28" si="0">ROUND(ROUND(H13*$C$8,4)*($H$8),2)</f>
        <v>0</v>
      </c>
      <c r="N13" s="512" t="s">
        <v>29</v>
      </c>
      <c r="O13" s="512"/>
      <c r="P13" s="513">
        <f t="shared" ref="P13:P28" si="1">IF($H$120=1,E13,0)</f>
        <v>0</v>
      </c>
      <c r="Q13" s="513"/>
      <c r="R13" s="526">
        <v>1</v>
      </c>
      <c r="S13" s="526"/>
      <c r="T13" s="98">
        <f>ROUND(P13*R13,4)</f>
        <v>0</v>
      </c>
      <c r="U13" s="99">
        <f t="shared" ref="U13:U28" si="2">ROUND(ROUND(T13*$C$8,4)*($H$8),0)</f>
        <v>0</v>
      </c>
    </row>
    <row r="14" spans="1:21" x14ac:dyDescent="0.25">
      <c r="A14" s="453" t="s">
        <v>30</v>
      </c>
      <c r="B14" s="453"/>
      <c r="C14" s="165">
        <v>0</v>
      </c>
      <c r="D14" s="165">
        <v>0</v>
      </c>
      <c r="E14" s="125">
        <f t="shared" ref="E14:E28" si="3">IF(D$29=0,C14*2,C14+D14)</f>
        <v>0</v>
      </c>
      <c r="F14" s="532">
        <f>'0664'!F14:G14</f>
        <v>1.1259999999999999</v>
      </c>
      <c r="G14" s="532"/>
      <c r="H14" s="83">
        <f t="shared" ref="H14:H28" si="4">ROUND(E14*F14,4)</f>
        <v>0</v>
      </c>
      <c r="I14" s="104">
        <f t="shared" si="0"/>
        <v>0</v>
      </c>
      <c r="J14" s="68" t="str">
        <f>IF(ROUND(E14,2)=ROUND(SUM(E50:E52),2)," ","CHECK PK-3 LINES BELOW")</f>
        <v xml:space="preserve"> </v>
      </c>
      <c r="N14" s="479" t="s">
        <v>30</v>
      </c>
      <c r="O14" s="479"/>
      <c r="P14" s="513">
        <f t="shared" si="1"/>
        <v>0</v>
      </c>
      <c r="Q14" s="513"/>
      <c r="R14" s="517">
        <v>1</v>
      </c>
      <c r="S14" s="517"/>
      <c r="T14" s="98">
        <f t="shared" ref="T14:T28" si="5">ROUND(P14*R14,4)</f>
        <v>0</v>
      </c>
      <c r="U14" s="99">
        <f t="shared" si="2"/>
        <v>0</v>
      </c>
    </row>
    <row r="15" spans="1:21" x14ac:dyDescent="0.25">
      <c r="A15" s="453" t="s">
        <v>31</v>
      </c>
      <c r="B15" s="453"/>
      <c r="C15" s="165">
        <v>273.76</v>
      </c>
      <c r="D15" s="165">
        <v>270.77</v>
      </c>
      <c r="E15" s="125">
        <f t="shared" si="3"/>
        <v>544.53</v>
      </c>
      <c r="F15" s="532">
        <f>'0664'!F15:G15</f>
        <v>1</v>
      </c>
      <c r="G15" s="532"/>
      <c r="H15" s="83">
        <f t="shared" si="4"/>
        <v>544.53</v>
      </c>
      <c r="I15" s="104">
        <f t="shared" si="0"/>
        <v>2607388.31</v>
      </c>
      <c r="N15" s="479" t="s">
        <v>31</v>
      </c>
      <c r="O15" s="479"/>
      <c r="P15" s="513">
        <f t="shared" si="1"/>
        <v>0</v>
      </c>
      <c r="Q15" s="513"/>
      <c r="R15" s="517">
        <v>1</v>
      </c>
      <c r="S15" s="517"/>
      <c r="T15" s="98">
        <f t="shared" si="5"/>
        <v>0</v>
      </c>
      <c r="U15" s="99">
        <f t="shared" si="2"/>
        <v>0</v>
      </c>
    </row>
    <row r="16" spans="1:21" x14ac:dyDescent="0.25">
      <c r="A16" s="453" t="s">
        <v>32</v>
      </c>
      <c r="B16" s="453"/>
      <c r="C16" s="165">
        <v>65</v>
      </c>
      <c r="D16" s="165">
        <v>61.51</v>
      </c>
      <c r="E16" s="125">
        <f t="shared" si="3"/>
        <v>126.50999999999999</v>
      </c>
      <c r="F16" s="532">
        <f>'0664'!F16:G16</f>
        <v>1</v>
      </c>
      <c r="G16" s="532"/>
      <c r="H16" s="83">
        <f t="shared" si="4"/>
        <v>126.51</v>
      </c>
      <c r="I16" s="104">
        <f t="shared" si="0"/>
        <v>605771.39</v>
      </c>
      <c r="J16" s="68" t="str">
        <f>IF(ROUND(E16,2)=ROUND(SUM(E53:E55),2)," ","CHECK 4-8 LINES BELOW")</f>
        <v xml:space="preserve"> </v>
      </c>
      <c r="N16" s="479" t="s">
        <v>32</v>
      </c>
      <c r="O16" s="479"/>
      <c r="P16" s="513">
        <f t="shared" si="1"/>
        <v>0</v>
      </c>
      <c r="Q16" s="513"/>
      <c r="R16" s="517">
        <v>1</v>
      </c>
      <c r="S16" s="517"/>
      <c r="T16" s="98">
        <f t="shared" si="5"/>
        <v>0</v>
      </c>
      <c r="U16" s="99">
        <f t="shared" si="2"/>
        <v>0</v>
      </c>
    </row>
    <row r="17" spans="1:21" x14ac:dyDescent="0.25">
      <c r="A17" s="453" t="s">
        <v>33</v>
      </c>
      <c r="B17" s="453"/>
      <c r="C17" s="165">
        <v>0</v>
      </c>
      <c r="D17" s="165">
        <v>0</v>
      </c>
      <c r="E17" s="125">
        <f t="shared" si="3"/>
        <v>0</v>
      </c>
      <c r="F17" s="532">
        <f>'0664'!F17:G17</f>
        <v>0.999</v>
      </c>
      <c r="G17" s="532"/>
      <c r="H17" s="83">
        <f t="shared" si="4"/>
        <v>0</v>
      </c>
      <c r="I17" s="104">
        <f t="shared" si="0"/>
        <v>0</v>
      </c>
      <c r="N17" s="479" t="s">
        <v>33</v>
      </c>
      <c r="O17" s="479"/>
      <c r="P17" s="513">
        <f t="shared" si="1"/>
        <v>0</v>
      </c>
      <c r="Q17" s="513"/>
      <c r="R17" s="517">
        <v>1</v>
      </c>
      <c r="S17" s="517"/>
      <c r="T17" s="98">
        <f t="shared" si="5"/>
        <v>0</v>
      </c>
      <c r="U17" s="99">
        <f t="shared" si="2"/>
        <v>0</v>
      </c>
    </row>
    <row r="18" spans="1:21" x14ac:dyDescent="0.25">
      <c r="A18" s="453" t="s">
        <v>34</v>
      </c>
      <c r="B18" s="453"/>
      <c r="C18" s="165">
        <v>0</v>
      </c>
      <c r="D18" s="165">
        <v>0</v>
      </c>
      <c r="E18" s="125">
        <f t="shared" si="3"/>
        <v>0</v>
      </c>
      <c r="F18" s="532">
        <f>'0664'!F18:G18</f>
        <v>0.999</v>
      </c>
      <c r="G18" s="532"/>
      <c r="H18" s="83">
        <f t="shared" si="4"/>
        <v>0</v>
      </c>
      <c r="I18" s="104">
        <f t="shared" si="0"/>
        <v>0</v>
      </c>
      <c r="J18" s="68" t="str">
        <f>IF(ROUND(E18,2)=ROUND(SUM(E56:E58),2)," ","CHECK 4-8 LINES BELOW")</f>
        <v xml:space="preserve"> </v>
      </c>
      <c r="N18" s="479" t="s">
        <v>34</v>
      </c>
      <c r="O18" s="479"/>
      <c r="P18" s="513">
        <f t="shared" si="1"/>
        <v>0</v>
      </c>
      <c r="Q18" s="513"/>
      <c r="R18" s="517">
        <v>1</v>
      </c>
      <c r="S18" s="517"/>
      <c r="T18" s="98">
        <f t="shared" si="5"/>
        <v>0</v>
      </c>
      <c r="U18" s="101">
        <f t="shared" si="2"/>
        <v>0</v>
      </c>
    </row>
    <row r="19" spans="1:21" x14ac:dyDescent="0.25">
      <c r="A19" s="453" t="s">
        <v>108</v>
      </c>
      <c r="B19" s="453"/>
      <c r="C19" s="165">
        <v>0</v>
      </c>
      <c r="D19" s="165">
        <v>0</v>
      </c>
      <c r="E19" s="125">
        <f t="shared" si="3"/>
        <v>0</v>
      </c>
      <c r="F19" s="532">
        <f>'0664'!F19:G19</f>
        <v>3.6739999999999999</v>
      </c>
      <c r="G19" s="532"/>
      <c r="H19" s="83">
        <f t="shared" si="4"/>
        <v>0</v>
      </c>
      <c r="I19" s="104">
        <f t="shared" si="0"/>
        <v>0</v>
      </c>
      <c r="N19" s="479" t="s">
        <v>108</v>
      </c>
      <c r="O19" s="479"/>
      <c r="P19" s="513">
        <f t="shared" si="1"/>
        <v>0</v>
      </c>
      <c r="Q19" s="513"/>
      <c r="R19" s="517">
        <v>1</v>
      </c>
      <c r="S19" s="517"/>
      <c r="T19" s="98">
        <f t="shared" si="5"/>
        <v>0</v>
      </c>
      <c r="U19" s="99">
        <f t="shared" si="2"/>
        <v>0</v>
      </c>
    </row>
    <row r="20" spans="1:21" x14ac:dyDescent="0.25">
      <c r="A20" s="453" t="s">
        <v>109</v>
      </c>
      <c r="B20" s="453"/>
      <c r="C20" s="165">
        <v>0</v>
      </c>
      <c r="D20" s="165">
        <v>0</v>
      </c>
      <c r="E20" s="125">
        <f t="shared" si="3"/>
        <v>0</v>
      </c>
      <c r="F20" s="532">
        <f>'0664'!F20:G20</f>
        <v>3.6739999999999999</v>
      </c>
      <c r="G20" s="532"/>
      <c r="H20" s="83">
        <f t="shared" si="4"/>
        <v>0</v>
      </c>
      <c r="I20" s="104">
        <f t="shared" si="0"/>
        <v>0</v>
      </c>
      <c r="N20" s="479" t="s">
        <v>109</v>
      </c>
      <c r="O20" s="479"/>
      <c r="P20" s="513">
        <f t="shared" si="1"/>
        <v>0</v>
      </c>
      <c r="Q20" s="513"/>
      <c r="R20" s="517">
        <v>1</v>
      </c>
      <c r="S20" s="517"/>
      <c r="T20" s="98">
        <f t="shared" si="5"/>
        <v>0</v>
      </c>
      <c r="U20" s="99">
        <f t="shared" si="2"/>
        <v>0</v>
      </c>
    </row>
    <row r="21" spans="1:21" x14ac:dyDescent="0.25">
      <c r="A21" s="453" t="s">
        <v>110</v>
      </c>
      <c r="B21" s="453"/>
      <c r="C21" s="165">
        <v>0</v>
      </c>
      <c r="D21" s="165">
        <v>0</v>
      </c>
      <c r="E21" s="125">
        <f t="shared" si="3"/>
        <v>0</v>
      </c>
      <c r="F21" s="532">
        <f>'0664'!F21:G21</f>
        <v>3.6739999999999999</v>
      </c>
      <c r="G21" s="532"/>
      <c r="H21" s="83">
        <f t="shared" si="4"/>
        <v>0</v>
      </c>
      <c r="I21" s="104">
        <f t="shared" si="0"/>
        <v>0</v>
      </c>
      <c r="N21" s="479" t="s">
        <v>110</v>
      </c>
      <c r="O21" s="479"/>
      <c r="P21" s="513">
        <f t="shared" si="1"/>
        <v>0</v>
      </c>
      <c r="Q21" s="513"/>
      <c r="R21" s="517">
        <v>1</v>
      </c>
      <c r="S21" s="517"/>
      <c r="T21" s="98">
        <f t="shared" si="5"/>
        <v>0</v>
      </c>
      <c r="U21" s="99">
        <f t="shared" si="2"/>
        <v>0</v>
      </c>
    </row>
    <row r="22" spans="1:21" x14ac:dyDescent="0.25">
      <c r="A22" s="453" t="s">
        <v>111</v>
      </c>
      <c r="B22" s="453"/>
      <c r="C22" s="165">
        <v>0</v>
      </c>
      <c r="D22" s="165">
        <v>0</v>
      </c>
      <c r="E22" s="125">
        <f t="shared" si="3"/>
        <v>0</v>
      </c>
      <c r="F22" s="532">
        <f>'0664'!F22:G22</f>
        <v>5.4009999999999998</v>
      </c>
      <c r="G22" s="532"/>
      <c r="H22" s="83">
        <f t="shared" si="4"/>
        <v>0</v>
      </c>
      <c r="I22" s="104">
        <f t="shared" si="0"/>
        <v>0</v>
      </c>
      <c r="N22" s="479" t="s">
        <v>111</v>
      </c>
      <c r="O22" s="479"/>
      <c r="P22" s="513">
        <f t="shared" si="1"/>
        <v>0</v>
      </c>
      <c r="Q22" s="513"/>
      <c r="R22" s="517">
        <v>1</v>
      </c>
      <c r="S22" s="517"/>
      <c r="T22" s="98">
        <f t="shared" si="5"/>
        <v>0</v>
      </c>
      <c r="U22" s="99">
        <f t="shared" si="2"/>
        <v>0</v>
      </c>
    </row>
    <row r="23" spans="1:21" x14ac:dyDescent="0.25">
      <c r="A23" s="453" t="s">
        <v>112</v>
      </c>
      <c r="B23" s="453"/>
      <c r="C23" s="165">
        <v>0</v>
      </c>
      <c r="D23" s="165">
        <v>0</v>
      </c>
      <c r="E23" s="125">
        <f t="shared" si="3"/>
        <v>0</v>
      </c>
      <c r="F23" s="532">
        <f>'0664'!F23:G23</f>
        <v>5.4009999999999998</v>
      </c>
      <c r="G23" s="532"/>
      <c r="H23" s="83">
        <f t="shared" si="4"/>
        <v>0</v>
      </c>
      <c r="I23" s="104">
        <f t="shared" si="0"/>
        <v>0</v>
      </c>
      <c r="N23" s="479" t="s">
        <v>112</v>
      </c>
      <c r="O23" s="479"/>
      <c r="P23" s="513">
        <f t="shared" si="1"/>
        <v>0</v>
      </c>
      <c r="Q23" s="513"/>
      <c r="R23" s="517">
        <v>1</v>
      </c>
      <c r="S23" s="517"/>
      <c r="T23" s="98">
        <f t="shared" si="5"/>
        <v>0</v>
      </c>
      <c r="U23" s="99">
        <f t="shared" si="2"/>
        <v>0</v>
      </c>
    </row>
    <row r="24" spans="1:21" x14ac:dyDescent="0.25">
      <c r="A24" s="453" t="s">
        <v>113</v>
      </c>
      <c r="B24" s="453"/>
      <c r="C24" s="165">
        <v>0</v>
      </c>
      <c r="D24" s="165">
        <v>0</v>
      </c>
      <c r="E24" s="125">
        <f t="shared" si="3"/>
        <v>0</v>
      </c>
      <c r="F24" s="532">
        <f>'0664'!F24:G24</f>
        <v>5.4009999999999998</v>
      </c>
      <c r="G24" s="532"/>
      <c r="H24" s="83">
        <f t="shared" si="4"/>
        <v>0</v>
      </c>
      <c r="I24" s="104">
        <f t="shared" si="0"/>
        <v>0</v>
      </c>
      <c r="N24" s="479" t="s">
        <v>113</v>
      </c>
      <c r="O24" s="479"/>
      <c r="P24" s="513">
        <f t="shared" si="1"/>
        <v>0</v>
      </c>
      <c r="Q24" s="513"/>
      <c r="R24" s="517">
        <v>1</v>
      </c>
      <c r="S24" s="517"/>
      <c r="T24" s="98">
        <f t="shared" si="5"/>
        <v>0</v>
      </c>
      <c r="U24" s="99">
        <f t="shared" si="2"/>
        <v>0</v>
      </c>
    </row>
    <row r="25" spans="1:21" x14ac:dyDescent="0.25">
      <c r="A25" s="453" t="s">
        <v>114</v>
      </c>
      <c r="B25" s="453"/>
      <c r="C25" s="165">
        <v>0</v>
      </c>
      <c r="D25" s="165">
        <v>0</v>
      </c>
      <c r="E25" s="125">
        <f t="shared" si="3"/>
        <v>0</v>
      </c>
      <c r="F25" s="532">
        <f>'0664'!F25:G25</f>
        <v>1.206</v>
      </c>
      <c r="G25" s="532"/>
      <c r="H25" s="83">
        <f t="shared" si="4"/>
        <v>0</v>
      </c>
      <c r="I25" s="104">
        <f t="shared" si="0"/>
        <v>0</v>
      </c>
      <c r="N25" s="479" t="s">
        <v>114</v>
      </c>
      <c r="O25" s="479"/>
      <c r="P25" s="513">
        <f t="shared" si="1"/>
        <v>0</v>
      </c>
      <c r="Q25" s="513"/>
      <c r="R25" s="517">
        <v>1</v>
      </c>
      <c r="S25" s="517"/>
      <c r="T25" s="98">
        <f t="shared" si="5"/>
        <v>0</v>
      </c>
      <c r="U25" s="99">
        <f t="shared" si="2"/>
        <v>0</v>
      </c>
    </row>
    <row r="26" spans="1:21" x14ac:dyDescent="0.25">
      <c r="A26" s="453" t="s">
        <v>115</v>
      </c>
      <c r="B26" s="453"/>
      <c r="C26" s="165">
        <v>6.49</v>
      </c>
      <c r="D26" s="165">
        <v>7.15</v>
      </c>
      <c r="E26" s="125">
        <f t="shared" si="3"/>
        <v>13.64</v>
      </c>
      <c r="F26" s="532">
        <f>'0664'!F26:G26</f>
        <v>1.206</v>
      </c>
      <c r="G26" s="532"/>
      <c r="H26" s="83">
        <f t="shared" si="4"/>
        <v>16.4498</v>
      </c>
      <c r="I26" s="104">
        <f t="shared" si="0"/>
        <v>78767.039999999994</v>
      </c>
      <c r="N26" s="479" t="s">
        <v>115</v>
      </c>
      <c r="O26" s="479"/>
      <c r="P26" s="513">
        <f t="shared" si="1"/>
        <v>0</v>
      </c>
      <c r="Q26" s="513"/>
      <c r="R26" s="517">
        <v>1</v>
      </c>
      <c r="S26" s="517"/>
      <c r="T26" s="98">
        <f t="shared" si="5"/>
        <v>0</v>
      </c>
      <c r="U26" s="99">
        <f t="shared" si="2"/>
        <v>0</v>
      </c>
    </row>
    <row r="27" spans="1:21" x14ac:dyDescent="0.25">
      <c r="A27" s="453" t="s">
        <v>116</v>
      </c>
      <c r="B27" s="453"/>
      <c r="C27" s="165">
        <v>0</v>
      </c>
      <c r="D27" s="165">
        <v>0</v>
      </c>
      <c r="E27" s="125">
        <f t="shared" si="3"/>
        <v>0</v>
      </c>
      <c r="F27" s="532">
        <f>'0664'!F27:G27</f>
        <v>1.206</v>
      </c>
      <c r="G27" s="532"/>
      <c r="H27" s="83">
        <f t="shared" si="4"/>
        <v>0</v>
      </c>
      <c r="I27" s="104">
        <f t="shared" si="0"/>
        <v>0</v>
      </c>
      <c r="N27" s="479" t="s">
        <v>116</v>
      </c>
      <c r="O27" s="479"/>
      <c r="P27" s="513">
        <f t="shared" si="1"/>
        <v>0</v>
      </c>
      <c r="Q27" s="513"/>
      <c r="R27" s="517">
        <v>1</v>
      </c>
      <c r="S27" s="517"/>
      <c r="T27" s="98">
        <f t="shared" si="5"/>
        <v>0</v>
      </c>
      <c r="U27" s="99">
        <f t="shared" si="2"/>
        <v>0</v>
      </c>
    </row>
    <row r="28" spans="1:21" x14ac:dyDescent="0.25">
      <c r="A28" s="453" t="s">
        <v>117</v>
      </c>
      <c r="B28" s="453"/>
      <c r="C28" s="116">
        <v>0</v>
      </c>
      <c r="D28" s="116">
        <v>0</v>
      </c>
      <c r="E28" s="177">
        <f t="shared" si="3"/>
        <v>0</v>
      </c>
      <c r="F28" s="532">
        <f>'0664'!F28:G28</f>
        <v>0.999</v>
      </c>
      <c r="G28" s="532"/>
      <c r="H28" s="96">
        <f t="shared" si="4"/>
        <v>0</v>
      </c>
      <c r="I28" s="97">
        <f t="shared" si="0"/>
        <v>0</v>
      </c>
      <c r="N28" s="482" t="s">
        <v>117</v>
      </c>
      <c r="O28" s="482"/>
      <c r="P28" s="513">
        <f t="shared" si="1"/>
        <v>0</v>
      </c>
      <c r="Q28" s="513"/>
      <c r="R28" s="514">
        <v>1</v>
      </c>
      <c r="S28" s="514"/>
      <c r="T28" s="98">
        <f t="shared" si="5"/>
        <v>0</v>
      </c>
      <c r="U28" s="99">
        <f t="shared" si="2"/>
        <v>0</v>
      </c>
    </row>
    <row r="29" spans="1:21" x14ac:dyDescent="0.25">
      <c r="A29" s="461" t="s">
        <v>5</v>
      </c>
      <c r="B29" s="461"/>
      <c r="C29" s="97">
        <f>SUM(C13:C28)</f>
        <v>345.25</v>
      </c>
      <c r="D29" s="97">
        <f>SUM(D13:D28)</f>
        <v>339.42999999999995</v>
      </c>
      <c r="E29" s="97">
        <f>SUM(E13:E28)</f>
        <v>684.68</v>
      </c>
      <c r="F29" s="457"/>
      <c r="G29" s="457"/>
      <c r="H29" s="102">
        <f>SUM(H13:H28)</f>
        <v>687.48979999999995</v>
      </c>
      <c r="I29" s="97">
        <f>SUM(I13:I28)</f>
        <v>3291926.74</v>
      </c>
      <c r="N29" s="515" t="s">
        <v>5</v>
      </c>
      <c r="O29" s="515"/>
      <c r="P29" s="516">
        <f>SUM(P13:P28)</f>
        <v>0</v>
      </c>
      <c r="Q29" s="516"/>
      <c r="R29" s="508"/>
      <c r="S29" s="508"/>
      <c r="T29" s="103">
        <f>SUM(T13:T28)</f>
        <v>0</v>
      </c>
      <c r="U29" s="99">
        <f>SUM(U13:U28)</f>
        <v>0</v>
      </c>
    </row>
    <row r="30" spans="1:21" x14ac:dyDescent="0.25">
      <c r="A30" s="27"/>
      <c r="B30" s="27"/>
      <c r="C30" s="104"/>
      <c r="D30" s="104"/>
      <c r="E30" s="104"/>
      <c r="F30" s="28"/>
      <c r="G30" s="28"/>
      <c r="H30" s="83"/>
      <c r="I30" s="104"/>
      <c r="N30" s="29"/>
      <c r="O30" s="29"/>
      <c r="P30" s="30"/>
      <c r="Q30" s="30"/>
      <c r="R30" s="31"/>
      <c r="S30" s="31"/>
      <c r="T30" s="105"/>
      <c r="U30" s="106"/>
    </row>
    <row r="31" spans="1:21" x14ac:dyDescent="0.25">
      <c r="A31" s="168" t="s">
        <v>97</v>
      </c>
      <c r="B31" s="27"/>
      <c r="C31" s="104"/>
      <c r="D31" s="104"/>
      <c r="E31" s="104"/>
      <c r="F31" s="28"/>
      <c r="G31" s="28"/>
      <c r="H31" s="83"/>
      <c r="I31" s="104"/>
      <c r="N31" s="29"/>
      <c r="O31" s="29"/>
      <c r="P31" s="30"/>
      <c r="Q31" s="30"/>
      <c r="R31" s="31"/>
      <c r="S31" s="31"/>
      <c r="T31" s="105"/>
      <c r="U31" s="106"/>
    </row>
    <row r="32" spans="1:21" hidden="1" x14ac:dyDescent="0.25">
      <c r="A32" s="168"/>
      <c r="B32" s="27"/>
      <c r="C32" s="104"/>
      <c r="D32" s="104"/>
      <c r="E32" s="104"/>
      <c r="F32" s="28"/>
      <c r="G32" s="28"/>
      <c r="H32" s="83"/>
      <c r="I32" s="104"/>
      <c r="N32" s="29"/>
      <c r="O32" s="29"/>
      <c r="P32" s="30"/>
      <c r="Q32" s="30"/>
      <c r="R32" s="31"/>
      <c r="S32" s="31"/>
      <c r="T32" s="105"/>
      <c r="U32" s="106"/>
    </row>
    <row r="33" spans="1:21" hidden="1" x14ac:dyDescent="0.25">
      <c r="A33" s="168"/>
      <c r="B33" s="27"/>
      <c r="C33" s="104"/>
      <c r="D33" s="104"/>
      <c r="E33" s="104"/>
      <c r="F33" s="541" t="s">
        <v>282</v>
      </c>
      <c r="G33" s="541"/>
      <c r="H33" s="541"/>
      <c r="I33" s="104"/>
      <c r="N33" s="29"/>
      <c r="O33" s="29"/>
      <c r="P33" s="30"/>
      <c r="Q33" s="30"/>
      <c r="R33" s="31"/>
      <c r="S33" s="31"/>
      <c r="T33" s="105"/>
      <c r="U33" s="106"/>
    </row>
    <row r="34" spans="1:21" hidden="1" x14ac:dyDescent="0.25">
      <c r="A34" s="3"/>
      <c r="B34" s="72"/>
      <c r="C34" s="72"/>
      <c r="D34" s="72"/>
      <c r="E34" s="72"/>
      <c r="F34" s="541"/>
      <c r="G34" s="541"/>
      <c r="H34" s="541"/>
      <c r="I34" s="25" t="s">
        <v>74</v>
      </c>
      <c r="N34" s="485" t="s">
        <v>35</v>
      </c>
      <c r="O34" s="485"/>
      <c r="P34" s="485"/>
      <c r="Q34" s="485"/>
      <c r="R34" s="485"/>
      <c r="S34" s="485"/>
      <c r="T34" s="485"/>
      <c r="U34" s="26" t="s">
        <v>74</v>
      </c>
    </row>
    <row r="35" spans="1:21" hidden="1" x14ac:dyDescent="0.25">
      <c r="A35" s="27"/>
      <c r="B35" s="27"/>
      <c r="C35" s="91" t="s">
        <v>124</v>
      </c>
      <c r="D35" s="91" t="s">
        <v>125</v>
      </c>
      <c r="E35" s="92" t="s">
        <v>8</v>
      </c>
      <c r="F35" s="541"/>
      <c r="G35" s="541"/>
      <c r="H35" s="541"/>
      <c r="I35" s="25" t="s">
        <v>36</v>
      </c>
      <c r="N35" s="29"/>
      <c r="O35" s="29"/>
      <c r="P35" s="30"/>
      <c r="Q35" s="30"/>
      <c r="R35" s="31"/>
      <c r="S35" s="31"/>
      <c r="T35" s="105"/>
      <c r="U35" s="26" t="s">
        <v>36</v>
      </c>
    </row>
    <row r="36" spans="1:21" hidden="1" x14ac:dyDescent="0.25">
      <c r="A36" s="447" t="s">
        <v>63</v>
      </c>
      <c r="B36" s="447"/>
      <c r="C36" s="93" t="s">
        <v>2</v>
      </c>
      <c r="D36" s="93" t="s">
        <v>2</v>
      </c>
      <c r="E36" s="93" t="s">
        <v>2</v>
      </c>
      <c r="F36" s="542"/>
      <c r="G36" s="542"/>
      <c r="H36" s="542"/>
      <c r="I36" s="32" t="s">
        <v>75</v>
      </c>
      <c r="N36" s="510" t="s">
        <v>63</v>
      </c>
      <c r="O36" s="510"/>
      <c r="P36" s="511" t="s">
        <v>24</v>
      </c>
      <c r="Q36" s="511"/>
      <c r="R36" s="511"/>
      <c r="S36" s="511"/>
      <c r="T36" s="511"/>
      <c r="U36" s="20" t="s">
        <v>75</v>
      </c>
    </row>
    <row r="37" spans="1:21" hidden="1" x14ac:dyDescent="0.25">
      <c r="A37" s="451" t="s">
        <v>56</v>
      </c>
      <c r="B37" s="451"/>
      <c r="C37" s="169">
        <v>0</v>
      </c>
      <c r="D37" s="169">
        <v>0</v>
      </c>
      <c r="E37" s="210">
        <f t="shared" ref="E37:E42" si="6">IF(D$43=0,C37*2,C37+D37)</f>
        <v>0</v>
      </c>
      <c r="F37" s="170"/>
      <c r="G37" s="170"/>
      <c r="H37" s="170"/>
      <c r="I37" s="119">
        <f t="shared" ref="I37:I42" si="7">ROUND(ROUND(E37*$C$8,4)*($H$8),2)</f>
        <v>0</v>
      </c>
      <c r="N37" s="512" t="s">
        <v>56</v>
      </c>
      <c r="O37" s="512"/>
      <c r="P37" s="483">
        <f t="shared" ref="P37:P42" si="8">IF($H$120=1,E37,0)</f>
        <v>0</v>
      </c>
      <c r="Q37" s="483"/>
      <c r="R37" s="483"/>
      <c r="S37" s="483"/>
      <c r="T37" s="483"/>
      <c r="U37" s="101">
        <f t="shared" ref="U37:U42" si="9">ROUND(ROUND(P37*$C$8,4)*($H$8),0)</f>
        <v>0</v>
      </c>
    </row>
    <row r="38" spans="1:21" hidden="1" x14ac:dyDescent="0.25">
      <c r="A38" s="453" t="s">
        <v>57</v>
      </c>
      <c r="B38" s="453"/>
      <c r="C38" s="172">
        <v>0</v>
      </c>
      <c r="D38" s="172">
        <v>0</v>
      </c>
      <c r="E38" s="125">
        <f t="shared" si="6"/>
        <v>0</v>
      </c>
      <c r="F38" s="173"/>
      <c r="G38" s="173"/>
      <c r="H38" s="173"/>
      <c r="I38" s="104">
        <f t="shared" si="7"/>
        <v>0</v>
      </c>
      <c r="N38" s="479" t="s">
        <v>57</v>
      </c>
      <c r="O38" s="479"/>
      <c r="P38" s="483">
        <f t="shared" si="8"/>
        <v>0</v>
      </c>
      <c r="Q38" s="483"/>
      <c r="R38" s="483"/>
      <c r="S38" s="483"/>
      <c r="T38" s="483"/>
      <c r="U38" s="101">
        <f t="shared" si="9"/>
        <v>0</v>
      </c>
    </row>
    <row r="39" spans="1:21" hidden="1" x14ac:dyDescent="0.25">
      <c r="A39" s="458" t="s">
        <v>58</v>
      </c>
      <c r="B39" s="458"/>
      <c r="C39" s="172">
        <v>0</v>
      </c>
      <c r="D39" s="172">
        <v>0</v>
      </c>
      <c r="E39" s="125">
        <f t="shared" si="6"/>
        <v>0</v>
      </c>
      <c r="F39" s="173"/>
      <c r="G39" s="173"/>
      <c r="H39" s="173"/>
      <c r="I39" s="104">
        <f t="shared" si="7"/>
        <v>0</v>
      </c>
      <c r="N39" s="509" t="s">
        <v>58</v>
      </c>
      <c r="O39" s="509"/>
      <c r="P39" s="483">
        <f t="shared" si="8"/>
        <v>0</v>
      </c>
      <c r="Q39" s="483"/>
      <c r="R39" s="483"/>
      <c r="S39" s="483"/>
      <c r="T39" s="483"/>
      <c r="U39" s="101">
        <f t="shared" si="9"/>
        <v>0</v>
      </c>
    </row>
    <row r="40" spans="1:21" hidden="1" x14ac:dyDescent="0.25">
      <c r="A40" s="453" t="s">
        <v>59</v>
      </c>
      <c r="B40" s="453"/>
      <c r="C40" s="172">
        <v>0</v>
      </c>
      <c r="D40" s="172">
        <v>0</v>
      </c>
      <c r="E40" s="125">
        <f t="shared" si="6"/>
        <v>0</v>
      </c>
      <c r="F40" s="173"/>
      <c r="G40" s="173"/>
      <c r="H40" s="173"/>
      <c r="I40" s="104">
        <f t="shared" si="7"/>
        <v>0</v>
      </c>
      <c r="N40" s="479" t="s">
        <v>59</v>
      </c>
      <c r="O40" s="479"/>
      <c r="P40" s="483">
        <f t="shared" si="8"/>
        <v>0</v>
      </c>
      <c r="Q40" s="483"/>
      <c r="R40" s="483"/>
      <c r="S40" s="483"/>
      <c r="T40" s="483"/>
      <c r="U40" s="101">
        <f t="shared" si="9"/>
        <v>0</v>
      </c>
    </row>
    <row r="41" spans="1:21" hidden="1" x14ac:dyDescent="0.25">
      <c r="A41" s="453" t="s">
        <v>60</v>
      </c>
      <c r="B41" s="453"/>
      <c r="C41" s="172">
        <v>0</v>
      </c>
      <c r="D41" s="172">
        <v>0</v>
      </c>
      <c r="E41" s="125">
        <f t="shared" si="6"/>
        <v>0</v>
      </c>
      <c r="F41" s="173"/>
      <c r="G41" s="173"/>
      <c r="H41" s="173"/>
      <c r="I41" s="104">
        <f t="shared" si="7"/>
        <v>0</v>
      </c>
      <c r="N41" s="479" t="s">
        <v>60</v>
      </c>
      <c r="O41" s="479"/>
      <c r="P41" s="483">
        <f t="shared" si="8"/>
        <v>0</v>
      </c>
      <c r="Q41" s="483"/>
      <c r="R41" s="483"/>
      <c r="S41" s="483"/>
      <c r="T41" s="483"/>
      <c r="U41" s="101">
        <f t="shared" si="9"/>
        <v>0</v>
      </c>
    </row>
    <row r="42" spans="1:21" hidden="1" x14ac:dyDescent="0.25">
      <c r="A42" s="453" t="s">
        <v>52</v>
      </c>
      <c r="B42" s="453"/>
      <c r="C42" s="171">
        <v>0</v>
      </c>
      <c r="D42" s="171">
        <v>0</v>
      </c>
      <c r="E42" s="177">
        <f t="shared" si="6"/>
        <v>0</v>
      </c>
      <c r="F42" s="173"/>
      <c r="G42" s="173"/>
      <c r="H42" s="173"/>
      <c r="I42" s="97">
        <f t="shared" si="7"/>
        <v>0</v>
      </c>
      <c r="N42" s="482" t="s">
        <v>52</v>
      </c>
      <c r="O42" s="482"/>
      <c r="P42" s="483">
        <f t="shared" si="8"/>
        <v>0</v>
      </c>
      <c r="Q42" s="483"/>
      <c r="R42" s="483"/>
      <c r="S42" s="483"/>
      <c r="T42" s="483"/>
      <c r="U42" s="101">
        <f t="shared" si="9"/>
        <v>0</v>
      </c>
    </row>
    <row r="43" spans="1:21" hidden="1" x14ac:dyDescent="0.25">
      <c r="A43" s="3"/>
      <c r="B43" s="55" t="s">
        <v>126</v>
      </c>
      <c r="C43" s="100">
        <f>SUM(C37:C42)</f>
        <v>0</v>
      </c>
      <c r="D43" s="100">
        <f>SUM(D37:D42)</f>
        <v>0</v>
      </c>
      <c r="E43" s="100">
        <f>SUM(E37:E42)</f>
        <v>0</v>
      </c>
      <c r="F43" s="33"/>
      <c r="G43" s="109"/>
      <c r="H43" s="110" t="s">
        <v>128</v>
      </c>
      <c r="I43" s="100">
        <f>SUM(I37:I42)</f>
        <v>0</v>
      </c>
      <c r="N43" s="480" t="s">
        <v>54</v>
      </c>
      <c r="O43" s="480"/>
      <c r="P43" s="480"/>
      <c r="Q43" s="480"/>
      <c r="R43" s="34">
        <f>SUM(P37:R42)</f>
        <v>0</v>
      </c>
      <c r="S43" s="508" t="s">
        <v>64</v>
      </c>
      <c r="T43" s="508"/>
      <c r="U43" s="106">
        <f>SUM(U37:U42)</f>
        <v>0</v>
      </c>
    </row>
    <row r="44" spans="1:21" ht="16.5" hidden="1" thickBot="1" x14ac:dyDescent="0.3">
      <c r="A44" s="3"/>
      <c r="B44" s="55"/>
      <c r="C44" s="104"/>
      <c r="D44" s="104"/>
      <c r="E44" s="119"/>
      <c r="F44" s="33"/>
      <c r="G44" s="109"/>
      <c r="H44" s="110"/>
      <c r="I44" s="104"/>
      <c r="N44" s="29"/>
      <c r="O44" s="29"/>
      <c r="P44" s="29"/>
      <c r="Q44" s="29"/>
      <c r="R44" s="34"/>
      <c r="S44" s="31"/>
      <c r="T44" s="31"/>
      <c r="U44" s="106"/>
    </row>
    <row r="45" spans="1:21" ht="16.5" hidden="1" thickBot="1" x14ac:dyDescent="0.3">
      <c r="A45" s="3"/>
      <c r="B45" s="55" t="s">
        <v>127</v>
      </c>
      <c r="E45" s="174">
        <f>H29+E43</f>
        <v>687.48979999999995</v>
      </c>
      <c r="F45" s="35"/>
      <c r="G45" s="109"/>
      <c r="H45" s="110" t="s">
        <v>129</v>
      </c>
      <c r="I45" s="97">
        <f>SUM(I43,I29)</f>
        <v>3291926.74</v>
      </c>
      <c r="N45" s="480" t="s">
        <v>55</v>
      </c>
      <c r="O45" s="480"/>
      <c r="P45" s="480"/>
      <c r="Q45" s="480"/>
      <c r="R45" s="36">
        <f>R43+T29</f>
        <v>0</v>
      </c>
      <c r="S45" s="508" t="s">
        <v>53</v>
      </c>
      <c r="T45" s="508"/>
      <c r="U45" s="111">
        <f>SUM(U43,U29)</f>
        <v>0</v>
      </c>
    </row>
    <row r="46" spans="1:21" hidden="1" x14ac:dyDescent="0.25">
      <c r="A46" s="27"/>
      <c r="B46" s="27"/>
      <c r="C46" s="27"/>
      <c r="D46" s="27"/>
      <c r="E46" s="27"/>
      <c r="F46" s="35"/>
      <c r="G46" s="28"/>
      <c r="H46" s="28"/>
      <c r="I46" s="104"/>
      <c r="N46" s="29"/>
      <c r="O46" s="29"/>
      <c r="P46" s="29"/>
      <c r="Q46" s="29"/>
      <c r="R46" s="36"/>
      <c r="S46" s="31"/>
      <c r="T46" s="31"/>
      <c r="U46" s="106"/>
    </row>
    <row r="47" spans="1:21" x14ac:dyDescent="0.25">
      <c r="A47" s="27"/>
      <c r="B47" s="55" t="s">
        <v>370</v>
      </c>
      <c r="C47" s="372" t="s">
        <v>370</v>
      </c>
      <c r="D47" s="372" t="s">
        <v>370</v>
      </c>
      <c r="E47" s="27"/>
      <c r="F47" s="35"/>
      <c r="G47" s="28"/>
      <c r="H47" s="28"/>
      <c r="I47" s="104"/>
      <c r="N47" s="29"/>
      <c r="O47" s="29"/>
      <c r="P47" s="29"/>
      <c r="Q47" s="29"/>
      <c r="R47" s="36"/>
      <c r="S47" s="31"/>
      <c r="T47" s="31"/>
      <c r="U47" s="106"/>
    </row>
    <row r="48" spans="1:21" x14ac:dyDescent="0.25">
      <c r="A48" s="27"/>
      <c r="B48" s="27"/>
      <c r="C48" s="91" t="s">
        <v>463</v>
      </c>
      <c r="D48" s="371" t="s">
        <v>464</v>
      </c>
      <c r="E48" s="92" t="s">
        <v>8</v>
      </c>
      <c r="F48" s="49" t="s">
        <v>130</v>
      </c>
      <c r="G48" s="112" t="s">
        <v>132</v>
      </c>
      <c r="H48" s="113" t="s">
        <v>133</v>
      </c>
      <c r="I48" s="104"/>
      <c r="N48" s="29"/>
      <c r="O48" s="29"/>
      <c r="P48" s="29"/>
      <c r="Q48" s="29"/>
      <c r="R48" s="36"/>
      <c r="S48" s="31"/>
      <c r="T48" s="31"/>
      <c r="U48" s="106"/>
    </row>
    <row r="49" spans="1:21" x14ac:dyDescent="0.25">
      <c r="A49" s="37" t="s">
        <v>87</v>
      </c>
      <c r="B49" s="37"/>
      <c r="C49" s="362" t="s">
        <v>2</v>
      </c>
      <c r="D49" s="362" t="s">
        <v>2</v>
      </c>
      <c r="E49" s="362" t="s">
        <v>2</v>
      </c>
      <c r="F49" s="95" t="s">
        <v>131</v>
      </c>
      <c r="G49" s="62" t="s">
        <v>131</v>
      </c>
      <c r="H49" s="114" t="s">
        <v>134</v>
      </c>
      <c r="I49" s="37"/>
      <c r="N49" s="482" t="s">
        <v>87</v>
      </c>
      <c r="O49" s="482"/>
      <c r="P49" s="503" t="s">
        <v>2</v>
      </c>
      <c r="Q49" s="503"/>
      <c r="R49" s="38" t="s">
        <v>25</v>
      </c>
      <c r="S49" s="63" t="s">
        <v>26</v>
      </c>
      <c r="T49" s="115" t="s">
        <v>27</v>
      </c>
      <c r="U49" s="38"/>
    </row>
    <row r="50" spans="1:21" x14ac:dyDescent="0.25">
      <c r="A50" s="459" t="s">
        <v>98</v>
      </c>
      <c r="B50" s="459"/>
      <c r="C50" s="165">
        <v>0</v>
      </c>
      <c r="D50" s="165">
        <v>0</v>
      </c>
      <c r="E50" s="125">
        <f>IF(D$59=0,C50*2,C50+D50)</f>
        <v>0</v>
      </c>
      <c r="F50" s="39" t="s">
        <v>21</v>
      </c>
      <c r="G50" s="39">
        <v>251</v>
      </c>
      <c r="H50" s="321">
        <f>'0664'!H50</f>
        <v>1047</v>
      </c>
      <c r="I50" s="104">
        <f>ROUND(E50*H50,2)</f>
        <v>0</v>
      </c>
      <c r="N50" s="504" t="s">
        <v>28</v>
      </c>
      <c r="O50" s="504"/>
      <c r="P50" s="505"/>
      <c r="Q50" s="505"/>
      <c r="R50" s="40" t="s">
        <v>21</v>
      </c>
      <c r="S50" s="40">
        <v>251</v>
      </c>
      <c r="T50" s="117">
        <f>H50</f>
        <v>1047</v>
      </c>
      <c r="U50" s="118">
        <f>ROUND(P50*T50,0)</f>
        <v>0</v>
      </c>
    </row>
    <row r="51" spans="1:21" x14ac:dyDescent="0.25">
      <c r="A51" s="460"/>
      <c r="B51" s="460"/>
      <c r="C51" s="165">
        <v>0</v>
      </c>
      <c r="D51" s="165">
        <v>0</v>
      </c>
      <c r="E51" s="125">
        <f t="shared" ref="E51:E58" si="10">IF(D$59=0,C51*2,C51+D51)</f>
        <v>0</v>
      </c>
      <c r="F51" s="39" t="s">
        <v>21</v>
      </c>
      <c r="G51" s="39">
        <v>252</v>
      </c>
      <c r="H51" s="321">
        <f>'0664'!H51</f>
        <v>3380</v>
      </c>
      <c r="I51" s="104">
        <f t="shared" ref="I51:I58" si="11">ROUND(E51*H51,2)</f>
        <v>0</v>
      </c>
      <c r="N51" s="504"/>
      <c r="O51" s="504"/>
      <c r="P51" s="506"/>
      <c r="Q51" s="506"/>
      <c r="R51" s="40" t="s">
        <v>21</v>
      </c>
      <c r="S51" s="40">
        <v>252</v>
      </c>
      <c r="T51" s="117">
        <f t="shared" ref="T51:T58" si="12">H51</f>
        <v>3380</v>
      </c>
      <c r="U51" s="118">
        <f t="shared" ref="U51:U58" si="13">ROUND(P51*T51,0)</f>
        <v>0</v>
      </c>
    </row>
    <row r="52" spans="1:21" x14ac:dyDescent="0.25">
      <c r="A52" s="460"/>
      <c r="B52" s="460"/>
      <c r="C52" s="165">
        <v>0</v>
      </c>
      <c r="D52" s="165">
        <v>0</v>
      </c>
      <c r="E52" s="125">
        <f t="shared" si="10"/>
        <v>0</v>
      </c>
      <c r="F52" s="39" t="s">
        <v>21</v>
      </c>
      <c r="G52" s="39">
        <v>253</v>
      </c>
      <c r="H52" s="321">
        <f>'0664'!H52</f>
        <v>6896</v>
      </c>
      <c r="I52" s="104">
        <f t="shared" si="11"/>
        <v>0</v>
      </c>
      <c r="N52" s="504"/>
      <c r="O52" s="504"/>
      <c r="P52" s="506"/>
      <c r="Q52" s="506"/>
      <c r="R52" s="40" t="s">
        <v>21</v>
      </c>
      <c r="S52" s="40">
        <v>253</v>
      </c>
      <c r="T52" s="117">
        <f t="shared" si="12"/>
        <v>6896</v>
      </c>
      <c r="U52" s="118">
        <f t="shared" si="13"/>
        <v>0</v>
      </c>
    </row>
    <row r="53" spans="1:21" x14ac:dyDescent="0.25">
      <c r="A53" s="460"/>
      <c r="B53" s="460"/>
      <c r="C53" s="165">
        <v>63</v>
      </c>
      <c r="D53" s="165">
        <v>59.62</v>
      </c>
      <c r="E53" s="125">
        <f t="shared" si="10"/>
        <v>122.62</v>
      </c>
      <c r="F53" s="41" t="s">
        <v>14</v>
      </c>
      <c r="G53" s="39">
        <v>251</v>
      </c>
      <c r="H53" s="321">
        <f>'0664'!H53</f>
        <v>1173</v>
      </c>
      <c r="I53" s="104">
        <f t="shared" si="11"/>
        <v>143833.26</v>
      </c>
      <c r="N53" s="504"/>
      <c r="O53" s="504"/>
      <c r="P53" s="506"/>
      <c r="Q53" s="506"/>
      <c r="R53" s="42" t="s">
        <v>14</v>
      </c>
      <c r="S53" s="40">
        <v>251</v>
      </c>
      <c r="T53" s="117">
        <f t="shared" si="12"/>
        <v>1173</v>
      </c>
      <c r="U53" s="118">
        <f t="shared" si="13"/>
        <v>0</v>
      </c>
    </row>
    <row r="54" spans="1:21" x14ac:dyDescent="0.25">
      <c r="A54" s="460"/>
      <c r="B54" s="460"/>
      <c r="C54" s="165">
        <v>2</v>
      </c>
      <c r="D54" s="165">
        <v>1.89</v>
      </c>
      <c r="E54" s="125">
        <f t="shared" si="10"/>
        <v>3.8899999999999997</v>
      </c>
      <c r="F54" s="41" t="s">
        <v>14</v>
      </c>
      <c r="G54" s="39">
        <v>252</v>
      </c>
      <c r="H54" s="321">
        <f>'0664'!H54</f>
        <v>3506</v>
      </c>
      <c r="I54" s="104">
        <f t="shared" si="11"/>
        <v>13638.34</v>
      </c>
      <c r="N54" s="504"/>
      <c r="O54" s="504"/>
      <c r="P54" s="506"/>
      <c r="Q54" s="506"/>
      <c r="R54" s="42" t="s">
        <v>14</v>
      </c>
      <c r="S54" s="40">
        <v>252</v>
      </c>
      <c r="T54" s="117">
        <f t="shared" si="12"/>
        <v>3506</v>
      </c>
      <c r="U54" s="118">
        <f t="shared" si="13"/>
        <v>0</v>
      </c>
    </row>
    <row r="55" spans="1:21" x14ac:dyDescent="0.25">
      <c r="A55" s="460"/>
      <c r="B55" s="460"/>
      <c r="C55" s="165">
        <v>0</v>
      </c>
      <c r="D55" s="165">
        <v>0</v>
      </c>
      <c r="E55" s="125">
        <f t="shared" si="10"/>
        <v>0</v>
      </c>
      <c r="F55" s="41" t="s">
        <v>14</v>
      </c>
      <c r="G55" s="39">
        <v>253</v>
      </c>
      <c r="H55" s="321">
        <f>'0664'!H55</f>
        <v>7023</v>
      </c>
      <c r="I55" s="104">
        <f t="shared" si="11"/>
        <v>0</v>
      </c>
      <c r="N55" s="504"/>
      <c r="O55" s="504"/>
      <c r="P55" s="506"/>
      <c r="Q55" s="506"/>
      <c r="R55" s="42" t="s">
        <v>14</v>
      </c>
      <c r="S55" s="40">
        <v>253</v>
      </c>
      <c r="T55" s="117">
        <f t="shared" si="12"/>
        <v>7023</v>
      </c>
      <c r="U55" s="118">
        <f t="shared" si="13"/>
        <v>0</v>
      </c>
    </row>
    <row r="56" spans="1:21" x14ac:dyDescent="0.25">
      <c r="A56" s="460"/>
      <c r="B56" s="460"/>
      <c r="C56" s="165">
        <v>0</v>
      </c>
      <c r="D56" s="165">
        <v>0</v>
      </c>
      <c r="E56" s="125">
        <f t="shared" si="10"/>
        <v>0</v>
      </c>
      <c r="F56" s="41" t="s">
        <v>15</v>
      </c>
      <c r="G56" s="39">
        <v>251</v>
      </c>
      <c r="H56" s="321">
        <f>'0664'!H56</f>
        <v>835</v>
      </c>
      <c r="I56" s="104">
        <f t="shared" si="11"/>
        <v>0</v>
      </c>
      <c r="N56" s="504"/>
      <c r="O56" s="504"/>
      <c r="P56" s="506"/>
      <c r="Q56" s="506"/>
      <c r="R56" s="42" t="s">
        <v>15</v>
      </c>
      <c r="S56" s="40">
        <v>251</v>
      </c>
      <c r="T56" s="117">
        <f t="shared" si="12"/>
        <v>835</v>
      </c>
      <c r="U56" s="118">
        <f t="shared" si="13"/>
        <v>0</v>
      </c>
    </row>
    <row r="57" spans="1:21" x14ac:dyDescent="0.25">
      <c r="A57" s="460"/>
      <c r="B57" s="460"/>
      <c r="C57" s="165">
        <v>0</v>
      </c>
      <c r="D57" s="165">
        <v>0</v>
      </c>
      <c r="E57" s="125">
        <f t="shared" si="10"/>
        <v>0</v>
      </c>
      <c r="F57" s="41" t="s">
        <v>15</v>
      </c>
      <c r="G57" s="39">
        <v>252</v>
      </c>
      <c r="H57" s="321">
        <f>'0664'!H57</f>
        <v>3168</v>
      </c>
      <c r="I57" s="104">
        <f t="shared" si="11"/>
        <v>0</v>
      </c>
      <c r="N57" s="504"/>
      <c r="O57" s="504"/>
      <c r="P57" s="506"/>
      <c r="Q57" s="506"/>
      <c r="R57" s="42" t="s">
        <v>15</v>
      </c>
      <c r="S57" s="40">
        <v>252</v>
      </c>
      <c r="T57" s="117">
        <f t="shared" si="12"/>
        <v>3168</v>
      </c>
      <c r="U57" s="118">
        <f t="shared" si="13"/>
        <v>0</v>
      </c>
    </row>
    <row r="58" spans="1:21" ht="16.5" thickBot="1" x14ac:dyDescent="0.3">
      <c r="A58" s="460"/>
      <c r="B58" s="460"/>
      <c r="C58" s="165">
        <v>0</v>
      </c>
      <c r="D58" s="165">
        <v>0</v>
      </c>
      <c r="E58" s="125">
        <f t="shared" si="10"/>
        <v>0</v>
      </c>
      <c r="F58" s="41" t="s">
        <v>15</v>
      </c>
      <c r="G58" s="39">
        <v>253</v>
      </c>
      <c r="H58" s="321">
        <f>'0664'!H58</f>
        <v>6685</v>
      </c>
      <c r="I58" s="104">
        <f t="shared" si="11"/>
        <v>0</v>
      </c>
      <c r="N58" s="504"/>
      <c r="O58" s="504"/>
      <c r="P58" s="507"/>
      <c r="Q58" s="507"/>
      <c r="R58" s="42" t="s">
        <v>15</v>
      </c>
      <c r="S58" s="40">
        <v>253</v>
      </c>
      <c r="T58" s="117">
        <f t="shared" si="12"/>
        <v>6685</v>
      </c>
      <c r="U58" s="120">
        <f t="shared" si="13"/>
        <v>0</v>
      </c>
    </row>
    <row r="59" spans="1:21" ht="16.5" thickBot="1" x14ac:dyDescent="0.3">
      <c r="A59" s="461" t="s">
        <v>16</v>
      </c>
      <c r="B59" s="461"/>
      <c r="C59" s="100">
        <f>SUM(C50:C58)</f>
        <v>65</v>
      </c>
      <c r="D59" s="100">
        <f>SUM(D50:D58)</f>
        <v>61.51</v>
      </c>
      <c r="E59" s="100">
        <f>SUM(E50:E58)</f>
        <v>126.51</v>
      </c>
      <c r="F59" s="461" t="s">
        <v>77</v>
      </c>
      <c r="G59" s="461"/>
      <c r="H59" s="461"/>
      <c r="I59" s="100">
        <f>SUM(I50:I58)</f>
        <v>157471.6</v>
      </c>
      <c r="N59" s="480" t="s">
        <v>16</v>
      </c>
      <c r="O59" s="480"/>
      <c r="P59" s="502">
        <f>SUM(P50:P58)</f>
        <v>0</v>
      </c>
      <c r="Q59" s="502"/>
      <c r="R59" s="480" t="s">
        <v>77</v>
      </c>
      <c r="S59" s="480"/>
      <c r="T59" s="480"/>
      <c r="U59" s="111">
        <f>SUM(U50:U58)</f>
        <v>0</v>
      </c>
    </row>
    <row r="60" spans="1:21" x14ac:dyDescent="0.25">
      <c r="A60" s="462"/>
      <c r="B60" s="462"/>
      <c r="C60" s="462"/>
      <c r="D60" s="462"/>
      <c r="E60" s="462"/>
      <c r="F60" s="462"/>
      <c r="G60" s="462"/>
      <c r="H60" s="462"/>
      <c r="I60" s="462"/>
      <c r="N60" s="484"/>
      <c r="O60" s="484"/>
      <c r="P60" s="484"/>
      <c r="Q60" s="484"/>
      <c r="R60" s="484"/>
      <c r="S60" s="484"/>
      <c r="T60" s="484"/>
      <c r="U60" s="484"/>
    </row>
    <row r="61" spans="1:21" x14ac:dyDescent="0.25">
      <c r="A61" s="463" t="s">
        <v>136</v>
      </c>
      <c r="B61" s="453"/>
      <c r="C61" s="453"/>
      <c r="D61" s="453"/>
      <c r="E61" s="453"/>
      <c r="F61" s="453"/>
      <c r="G61" s="453"/>
      <c r="H61" s="453"/>
      <c r="I61" s="453"/>
      <c r="N61" s="479" t="s">
        <v>88</v>
      </c>
      <c r="O61" s="479"/>
      <c r="P61" s="479"/>
      <c r="Q61" s="479"/>
      <c r="R61" s="479"/>
      <c r="S61" s="479"/>
      <c r="T61" s="479"/>
      <c r="U61" s="479"/>
    </row>
    <row r="62" spans="1:21" x14ac:dyDescent="0.25">
      <c r="A62" s="463" t="s">
        <v>138</v>
      </c>
      <c r="B62" s="453"/>
      <c r="C62" s="121">
        <f>E29</f>
        <v>684.68</v>
      </c>
      <c r="D62" s="464" t="s">
        <v>135</v>
      </c>
      <c r="E62" s="464"/>
      <c r="F62" s="464"/>
      <c r="G62" s="464"/>
      <c r="H62" s="335">
        <f>'0664'!H62</f>
        <v>193340.76</v>
      </c>
      <c r="I62" s="122"/>
      <c r="N62" s="478" t="s">
        <v>312</v>
      </c>
      <c r="O62" s="479"/>
      <c r="P62" s="43">
        <f>P29</f>
        <v>0</v>
      </c>
      <c r="Q62" s="498" t="s">
        <v>78</v>
      </c>
      <c r="R62" s="498"/>
      <c r="S62" s="498"/>
      <c r="T62" s="497">
        <f>H62</f>
        <v>193340.76</v>
      </c>
      <c r="U62" s="497"/>
    </row>
    <row r="63" spans="1:21" x14ac:dyDescent="0.25">
      <c r="B63" s="72"/>
      <c r="G63" s="44" t="s">
        <v>13</v>
      </c>
      <c r="H63" s="123">
        <f>ROUND(C62/H62,6)</f>
        <v>3.5409999999999999E-3</v>
      </c>
      <c r="I63" s="124"/>
      <c r="N63" s="479" t="s">
        <v>19</v>
      </c>
      <c r="O63" s="479"/>
      <c r="P63" s="479"/>
      <c r="Q63" s="479"/>
      <c r="R63" s="479"/>
      <c r="S63" s="479"/>
      <c r="T63" s="501">
        <f>ROUND(P62/T62,6)</f>
        <v>0</v>
      </c>
      <c r="U63" s="501"/>
    </row>
    <row r="64" spans="1:21" x14ac:dyDescent="0.25">
      <c r="A64" s="463" t="s">
        <v>137</v>
      </c>
      <c r="B64" s="453"/>
      <c r="C64" s="453"/>
      <c r="D64" s="453"/>
      <c r="E64" s="453"/>
      <c r="F64" s="453"/>
      <c r="G64" s="453"/>
      <c r="H64" s="453"/>
      <c r="I64" s="453"/>
      <c r="N64" s="479" t="s">
        <v>89</v>
      </c>
      <c r="O64" s="479"/>
      <c r="P64" s="479"/>
      <c r="Q64" s="479"/>
      <c r="R64" s="479"/>
      <c r="S64" s="479"/>
      <c r="T64" s="479"/>
      <c r="U64" s="479"/>
    </row>
    <row r="65" spans="1:21" x14ac:dyDescent="0.25">
      <c r="A65" s="463" t="s">
        <v>139</v>
      </c>
      <c r="B65" s="453"/>
      <c r="C65" s="121">
        <f>E45</f>
        <v>687.48979999999995</v>
      </c>
      <c r="D65" s="464" t="s">
        <v>140</v>
      </c>
      <c r="E65" s="464"/>
      <c r="F65" s="464"/>
      <c r="G65" s="464"/>
      <c r="H65" s="336">
        <f>'0664'!H65</f>
        <v>216845.88</v>
      </c>
      <c r="I65" s="125"/>
      <c r="N65" s="479" t="s">
        <v>80</v>
      </c>
      <c r="O65" s="479"/>
      <c r="P65" s="43">
        <f>R45</f>
        <v>0</v>
      </c>
      <c r="Q65" s="498" t="s">
        <v>79</v>
      </c>
      <c r="R65" s="498"/>
      <c r="S65" s="498"/>
      <c r="T65" s="497">
        <f>H65</f>
        <v>216845.88</v>
      </c>
      <c r="U65" s="497"/>
    </row>
    <row r="66" spans="1:21" s="37" customFormat="1" x14ac:dyDescent="0.25">
      <c r="A66" s="126"/>
      <c r="G66" s="45" t="s">
        <v>13</v>
      </c>
      <c r="H66" s="127">
        <f>ROUND(C65/H65,6)</f>
        <v>3.1700000000000001E-3</v>
      </c>
      <c r="I66" s="127"/>
      <c r="N66" s="482" t="s">
        <v>20</v>
      </c>
      <c r="O66" s="482"/>
      <c r="P66" s="482"/>
      <c r="Q66" s="482"/>
      <c r="R66" s="482"/>
      <c r="S66" s="482"/>
      <c r="T66" s="500">
        <f>ROUND(P65/T65,6)</f>
        <v>0</v>
      </c>
      <c r="U66" s="500"/>
    </row>
    <row r="67" spans="1:21" x14ac:dyDescent="0.25">
      <c r="G67" s="44"/>
      <c r="H67" s="123"/>
      <c r="I67" s="123"/>
      <c r="N67" s="48"/>
      <c r="O67" s="48"/>
      <c r="P67" s="48"/>
      <c r="Q67" s="48"/>
      <c r="R67" s="128"/>
      <c r="S67" s="48"/>
      <c r="T67" s="129"/>
      <c r="U67" s="130"/>
    </row>
    <row r="68" spans="1:21" x14ac:dyDescent="0.25">
      <c r="A68" s="453" t="s">
        <v>85</v>
      </c>
      <c r="B68" s="453"/>
      <c r="C68" s="453"/>
      <c r="D68" s="72"/>
      <c r="E68" s="46" t="s">
        <v>3</v>
      </c>
      <c r="F68" s="337">
        <f>'0664'!F68</f>
        <v>42465042</v>
      </c>
      <c r="G68" s="39" t="s">
        <v>6</v>
      </c>
      <c r="H68" s="131">
        <f>H63</f>
        <v>3.5409999999999999E-3</v>
      </c>
      <c r="I68" s="104">
        <f>ROUND(F68*H68,2)</f>
        <v>150368.71</v>
      </c>
      <c r="N68" s="479" t="s">
        <v>85</v>
      </c>
      <c r="O68" s="479"/>
      <c r="P68" s="479"/>
      <c r="Q68" s="47"/>
      <c r="R68" s="132">
        <f>F68</f>
        <v>42465042</v>
      </c>
      <c r="S68" s="40" t="s">
        <v>6</v>
      </c>
      <c r="T68" s="133">
        <f>T63</f>
        <v>0</v>
      </c>
      <c r="U68" s="99">
        <f>ROUND(R68*T68,0)</f>
        <v>0</v>
      </c>
    </row>
    <row r="69" spans="1:21" x14ac:dyDescent="0.25">
      <c r="A69" s="458" t="s">
        <v>96</v>
      </c>
      <c r="B69" s="453"/>
      <c r="C69" s="453"/>
      <c r="D69" s="72"/>
      <c r="E69" s="46"/>
      <c r="F69" s="136"/>
      <c r="G69" s="39"/>
      <c r="H69" s="131"/>
      <c r="I69" s="104"/>
      <c r="N69" s="479" t="s">
        <v>84</v>
      </c>
      <c r="O69" s="479"/>
      <c r="P69" s="479"/>
      <c r="Q69" s="54"/>
      <c r="R69" s="54"/>
      <c r="S69" s="54"/>
      <c r="T69" s="54"/>
      <c r="U69" s="54"/>
    </row>
    <row r="70" spans="1:21" x14ac:dyDescent="0.25">
      <c r="A70" s="465" t="s">
        <v>141</v>
      </c>
      <c r="B70" s="453"/>
      <c r="C70" s="453"/>
      <c r="D70" s="72"/>
      <c r="E70" s="46" t="s">
        <v>3</v>
      </c>
      <c r="F70" s="337">
        <f>'0664'!F70</f>
        <v>0</v>
      </c>
      <c r="G70" s="39" t="s">
        <v>6</v>
      </c>
      <c r="H70" s="131">
        <f>H63</f>
        <v>3.5409999999999999E-3</v>
      </c>
      <c r="I70" s="104">
        <f>ROUND(F70*H70,2)</f>
        <v>0</v>
      </c>
      <c r="N70" s="48"/>
      <c r="O70" s="48"/>
      <c r="P70" s="48"/>
      <c r="Q70" s="47"/>
      <c r="R70" s="132">
        <f>F70</f>
        <v>0</v>
      </c>
      <c r="S70" s="40" t="s">
        <v>6</v>
      </c>
      <c r="T70" s="133">
        <f>T63</f>
        <v>0</v>
      </c>
      <c r="U70" s="99">
        <f>ROUND(R70*T70,0)</f>
        <v>0</v>
      </c>
    </row>
    <row r="71" spans="1:21" x14ac:dyDescent="0.25">
      <c r="A71" s="463" t="s">
        <v>433</v>
      </c>
      <c r="B71" s="453"/>
      <c r="C71" s="453"/>
      <c r="D71" s="72"/>
      <c r="E71" s="46" t="s">
        <v>3</v>
      </c>
      <c r="F71" s="337">
        <f>'0664'!F71</f>
        <v>13414654</v>
      </c>
      <c r="G71" s="39" t="s">
        <v>6</v>
      </c>
      <c r="H71" s="131">
        <f>H63</f>
        <v>3.5409999999999999E-3</v>
      </c>
      <c r="I71" s="104">
        <f>ROUND(F71*H71,2)</f>
        <v>47501.29</v>
      </c>
      <c r="N71" s="479" t="s">
        <v>83</v>
      </c>
      <c r="O71" s="479"/>
      <c r="P71" s="479"/>
      <c r="Q71" s="47"/>
      <c r="R71" s="132">
        <f>F71</f>
        <v>13414654</v>
      </c>
      <c r="S71" s="40" t="s">
        <v>6</v>
      </c>
      <c r="T71" s="133">
        <f>T63</f>
        <v>0</v>
      </c>
      <c r="U71" s="99">
        <f>ROUND(R71*T71,0)</f>
        <v>0</v>
      </c>
    </row>
    <row r="72" spans="1:21" x14ac:dyDescent="0.25">
      <c r="A72" s="463" t="s">
        <v>434</v>
      </c>
      <c r="B72" s="453"/>
      <c r="C72" s="453"/>
      <c r="D72" s="72"/>
      <c r="E72" s="46" t="s">
        <v>3</v>
      </c>
      <c r="F72" s="337">
        <f>'0664'!F72</f>
        <v>14708421</v>
      </c>
      <c r="G72" s="39" t="s">
        <v>6</v>
      </c>
      <c r="H72" s="131">
        <f>H63</f>
        <v>3.5409999999999999E-3</v>
      </c>
      <c r="I72" s="104">
        <f>ROUND(F72*H72,2)</f>
        <v>52082.52</v>
      </c>
      <c r="N72" s="479" t="s">
        <v>82</v>
      </c>
      <c r="O72" s="479"/>
      <c r="P72" s="479"/>
      <c r="Q72" s="47"/>
      <c r="R72" s="134">
        <f>F72</f>
        <v>14708421</v>
      </c>
      <c r="S72" s="40" t="s">
        <v>6</v>
      </c>
      <c r="T72" s="133">
        <f>T63</f>
        <v>0</v>
      </c>
      <c r="U72" s="99">
        <f>ROUND(R72*T72,0)</f>
        <v>0</v>
      </c>
    </row>
    <row r="73" spans="1:21" x14ac:dyDescent="0.25">
      <c r="A73" s="263" t="s">
        <v>99</v>
      </c>
      <c r="D73" s="72"/>
      <c r="E73" s="41" t="s">
        <v>353</v>
      </c>
      <c r="F73" s="466"/>
      <c r="G73" s="466"/>
      <c r="H73" s="466"/>
      <c r="I73" s="104">
        <v>0</v>
      </c>
      <c r="N73" s="499" t="s">
        <v>118</v>
      </c>
      <c r="O73" s="499"/>
      <c r="P73" s="499"/>
      <c r="Q73" s="499"/>
      <c r="R73" s="499"/>
      <c r="S73" s="499"/>
      <c r="T73" s="499"/>
      <c r="U73" s="99">
        <f>IF($H$120=1,I73,0)</f>
        <v>0</v>
      </c>
    </row>
    <row r="74" spans="1:21" x14ac:dyDescent="0.25">
      <c r="A74" s="264" t="s">
        <v>142</v>
      </c>
      <c r="I74" s="104"/>
      <c r="N74" s="499" t="s">
        <v>43</v>
      </c>
      <c r="O74" s="499"/>
      <c r="P74" s="499"/>
      <c r="Q74" s="499"/>
      <c r="R74" s="499"/>
      <c r="S74" s="499"/>
      <c r="T74" s="499"/>
      <c r="U74" s="99">
        <f>IF($H$120=1,I74,0)</f>
        <v>0</v>
      </c>
    </row>
    <row r="75" spans="1:21" x14ac:dyDescent="0.25">
      <c r="A75" s="324" t="s">
        <v>101</v>
      </c>
      <c r="B75" s="72"/>
      <c r="C75" s="72"/>
      <c r="D75" s="72"/>
      <c r="E75" s="72"/>
      <c r="F75" s="72"/>
      <c r="G75" s="72"/>
      <c r="H75" s="72"/>
      <c r="I75" s="135"/>
      <c r="N75" s="382" t="s">
        <v>44</v>
      </c>
      <c r="O75" s="48"/>
      <c r="P75" s="48"/>
      <c r="Q75" s="48"/>
      <c r="R75" s="48"/>
      <c r="S75" s="48"/>
      <c r="T75" s="48"/>
      <c r="U75" s="106"/>
    </row>
    <row r="76" spans="1:21" x14ac:dyDescent="0.25">
      <c r="A76" s="463" t="s">
        <v>435</v>
      </c>
      <c r="B76" s="453"/>
      <c r="C76" s="453"/>
      <c r="D76" s="72"/>
      <c r="E76" s="46" t="s">
        <v>3</v>
      </c>
      <c r="F76" s="337">
        <f>'0664'!F76</f>
        <v>8720092</v>
      </c>
      <c r="G76" s="39" t="s">
        <v>6</v>
      </c>
      <c r="H76" s="131">
        <f>H63</f>
        <v>3.5409999999999999E-3</v>
      </c>
      <c r="I76" s="104">
        <f t="shared" ref="I76:I85" si="14">ROUND(F76*H76,2)</f>
        <v>30877.85</v>
      </c>
      <c r="N76" s="478" t="s">
        <v>366</v>
      </c>
      <c r="O76" s="479"/>
      <c r="P76" s="479"/>
      <c r="Q76" s="47"/>
      <c r="R76" s="134">
        <f t="shared" ref="R76:R85" si="15">F76</f>
        <v>8720092</v>
      </c>
      <c r="S76" s="40" t="s">
        <v>6</v>
      </c>
      <c r="T76" s="133">
        <f>T63</f>
        <v>0</v>
      </c>
      <c r="U76" s="99">
        <f t="shared" ref="U76:U85" si="16">ROUND(R76*T76,0)</f>
        <v>0</v>
      </c>
    </row>
    <row r="77" spans="1:21" x14ac:dyDescent="0.25">
      <c r="A77" s="463" t="s">
        <v>436</v>
      </c>
      <c r="B77" s="453"/>
      <c r="C77" s="453"/>
      <c r="D77" s="72"/>
      <c r="E77" s="46" t="s">
        <v>3</v>
      </c>
      <c r="F77" s="337">
        <f>'0664'!F77</f>
        <v>0</v>
      </c>
      <c r="G77" s="39" t="s">
        <v>6</v>
      </c>
      <c r="H77" s="131">
        <f>H63</f>
        <v>3.5409999999999999E-3</v>
      </c>
      <c r="I77" s="104">
        <f t="shared" si="14"/>
        <v>0</v>
      </c>
      <c r="N77" s="479" t="s">
        <v>367</v>
      </c>
      <c r="O77" s="479"/>
      <c r="P77" s="479"/>
      <c r="Q77" s="47"/>
      <c r="R77" s="134">
        <f t="shared" si="15"/>
        <v>0</v>
      </c>
      <c r="S77" s="40" t="s">
        <v>6</v>
      </c>
      <c r="T77" s="133">
        <f>T63</f>
        <v>0</v>
      </c>
      <c r="U77" s="99">
        <f t="shared" si="16"/>
        <v>0</v>
      </c>
    </row>
    <row r="78" spans="1:21" x14ac:dyDescent="0.25">
      <c r="A78" s="463" t="s">
        <v>437</v>
      </c>
      <c r="B78" s="453"/>
      <c r="C78" s="453"/>
      <c r="D78" s="72"/>
      <c r="E78" s="46" t="s">
        <v>4</v>
      </c>
      <c r="F78" s="337">
        <f>'0664'!F78</f>
        <v>0</v>
      </c>
      <c r="G78" s="39" t="s">
        <v>6</v>
      </c>
      <c r="H78" s="131">
        <f>H66</f>
        <v>3.1700000000000001E-3</v>
      </c>
      <c r="I78" s="104">
        <f t="shared" si="14"/>
        <v>0</v>
      </c>
      <c r="N78" s="478" t="s">
        <v>392</v>
      </c>
      <c r="O78" s="479"/>
      <c r="P78" s="479"/>
      <c r="Q78" s="47"/>
      <c r="R78" s="134">
        <f t="shared" si="15"/>
        <v>0</v>
      </c>
      <c r="S78" s="40" t="s">
        <v>6</v>
      </c>
      <c r="T78" s="133">
        <f>T66</f>
        <v>0</v>
      </c>
      <c r="U78" s="99">
        <f t="shared" si="16"/>
        <v>0</v>
      </c>
    </row>
    <row r="79" spans="1:21" x14ac:dyDescent="0.25">
      <c r="A79" s="463" t="s">
        <v>438</v>
      </c>
      <c r="B79" s="453"/>
      <c r="C79" s="453"/>
      <c r="D79" s="72"/>
      <c r="E79" s="46" t="s">
        <v>4</v>
      </c>
      <c r="F79" s="337">
        <f>'0664'!F79</f>
        <v>11278687</v>
      </c>
      <c r="G79" s="39" t="s">
        <v>6</v>
      </c>
      <c r="H79" s="131">
        <f>H66</f>
        <v>3.1700000000000001E-3</v>
      </c>
      <c r="I79" s="104">
        <f t="shared" si="14"/>
        <v>35753.440000000002</v>
      </c>
      <c r="N79" s="478" t="s">
        <v>393</v>
      </c>
      <c r="O79" s="479"/>
      <c r="P79" s="479"/>
      <c r="Q79" s="47"/>
      <c r="R79" s="134">
        <f t="shared" si="15"/>
        <v>11278687</v>
      </c>
      <c r="S79" s="40" t="s">
        <v>6</v>
      </c>
      <c r="T79" s="133">
        <f>T66</f>
        <v>0</v>
      </c>
      <c r="U79" s="99">
        <f t="shared" si="16"/>
        <v>0</v>
      </c>
    </row>
    <row r="80" spans="1:21" x14ac:dyDescent="0.25">
      <c r="A80" s="463" t="s">
        <v>439</v>
      </c>
      <c r="B80" s="453"/>
      <c r="C80" s="453"/>
      <c r="D80" s="72"/>
      <c r="E80" s="46" t="s">
        <v>4</v>
      </c>
      <c r="F80" s="337">
        <f>'0664'!F80</f>
        <v>206284749</v>
      </c>
      <c r="G80" s="39" t="s">
        <v>6</v>
      </c>
      <c r="H80" s="131">
        <f>H66</f>
        <v>3.1700000000000001E-3</v>
      </c>
      <c r="I80" s="104">
        <f t="shared" si="14"/>
        <v>653922.65</v>
      </c>
      <c r="N80" s="478" t="s">
        <v>397</v>
      </c>
      <c r="O80" s="479"/>
      <c r="P80" s="479"/>
      <c r="Q80" s="47"/>
      <c r="R80" s="134">
        <f t="shared" si="15"/>
        <v>206284749</v>
      </c>
      <c r="S80" s="40" t="s">
        <v>6</v>
      </c>
      <c r="T80" s="133">
        <f>T66</f>
        <v>0</v>
      </c>
      <c r="U80" s="99">
        <f t="shared" si="16"/>
        <v>0</v>
      </c>
    </row>
    <row r="81" spans="1:21" x14ac:dyDescent="0.25">
      <c r="A81" s="84" t="s">
        <v>440</v>
      </c>
      <c r="B81" s="72"/>
      <c r="C81" s="72"/>
      <c r="D81" s="72"/>
      <c r="E81" s="46"/>
      <c r="F81" s="337"/>
      <c r="G81" s="39"/>
      <c r="H81" s="131"/>
      <c r="I81" s="104"/>
      <c r="N81" s="419" t="s">
        <v>440</v>
      </c>
      <c r="O81" s="48"/>
      <c r="P81" s="48"/>
      <c r="Q81" s="47"/>
      <c r="R81" s="423"/>
      <c r="S81" s="40"/>
      <c r="T81" s="133"/>
      <c r="U81" s="120"/>
    </row>
    <row r="82" spans="1:21" x14ac:dyDescent="0.25">
      <c r="A82" s="264" t="s">
        <v>441</v>
      </c>
      <c r="B82" s="72"/>
      <c r="C82" s="72"/>
      <c r="D82" s="72"/>
      <c r="E82" s="46" t="s">
        <v>442</v>
      </c>
      <c r="F82" s="337">
        <f>'0664'!F82</f>
        <v>0</v>
      </c>
      <c r="G82" s="39" t="s">
        <v>6</v>
      </c>
      <c r="H82" s="131">
        <f>H66</f>
        <v>3.1700000000000001E-3</v>
      </c>
      <c r="I82" s="104">
        <v>120558.32</v>
      </c>
      <c r="N82" s="422" t="s">
        <v>441</v>
      </c>
      <c r="O82" s="48"/>
      <c r="P82" s="48"/>
      <c r="Q82" s="47"/>
      <c r="R82" s="134">
        <f t="shared" si="15"/>
        <v>0</v>
      </c>
      <c r="S82" s="40"/>
      <c r="T82" s="133"/>
      <c r="U82" s="99">
        <f t="shared" si="16"/>
        <v>0</v>
      </c>
    </row>
    <row r="83" spans="1:21" x14ac:dyDescent="0.25">
      <c r="A83" s="264" t="s">
        <v>443</v>
      </c>
      <c r="B83" s="72"/>
      <c r="C83" s="72"/>
      <c r="D83" s="72"/>
      <c r="E83" s="46" t="s">
        <v>442</v>
      </c>
      <c r="F83" s="337">
        <f>'0664'!F83</f>
        <v>0</v>
      </c>
      <c r="G83" s="39" t="s">
        <v>6</v>
      </c>
      <c r="H83" s="131">
        <f>H66</f>
        <v>3.1700000000000001E-3</v>
      </c>
      <c r="I83" s="104">
        <v>54799.23</v>
      </c>
      <c r="N83" s="422" t="s">
        <v>443</v>
      </c>
      <c r="O83" s="48"/>
      <c r="P83" s="48"/>
      <c r="Q83" s="47"/>
      <c r="R83" s="134">
        <f t="shared" si="15"/>
        <v>0</v>
      </c>
      <c r="S83" s="40"/>
      <c r="T83" s="133"/>
      <c r="U83" s="99">
        <f t="shared" si="16"/>
        <v>0</v>
      </c>
    </row>
    <row r="84" spans="1:21" x14ac:dyDescent="0.25">
      <c r="A84" s="420" t="s">
        <v>444</v>
      </c>
      <c r="B84" s="72"/>
      <c r="C84" s="72"/>
      <c r="D84" s="72"/>
      <c r="E84" s="46"/>
      <c r="F84" s="337"/>
      <c r="G84" s="39"/>
      <c r="H84" s="131"/>
      <c r="I84" s="104">
        <f>I82+I83</f>
        <v>175357.55000000002</v>
      </c>
      <c r="N84" s="421" t="s">
        <v>444</v>
      </c>
      <c r="O84" s="48"/>
      <c r="P84" s="48"/>
      <c r="Q84" s="47"/>
      <c r="R84" s="423"/>
      <c r="S84" s="40"/>
      <c r="T84" s="133"/>
      <c r="U84" s="99">
        <f>U82+U83</f>
        <v>0</v>
      </c>
    </row>
    <row r="85" spans="1:21" x14ac:dyDescent="0.25">
      <c r="A85" s="463" t="s">
        <v>398</v>
      </c>
      <c r="B85" s="453"/>
      <c r="C85" s="453"/>
      <c r="D85" s="72"/>
      <c r="E85" s="46" t="s">
        <v>4</v>
      </c>
      <c r="F85" s="337">
        <f>'0664'!F85</f>
        <v>0</v>
      </c>
      <c r="G85" s="39" t="s">
        <v>6</v>
      </c>
      <c r="H85" s="131">
        <f>H66</f>
        <v>3.1700000000000001E-3</v>
      </c>
      <c r="I85" s="104">
        <f t="shared" si="14"/>
        <v>0</v>
      </c>
      <c r="N85" s="478" t="s">
        <v>398</v>
      </c>
      <c r="O85" s="479"/>
      <c r="P85" s="479"/>
      <c r="Q85" s="47"/>
      <c r="R85" s="132">
        <f t="shared" si="15"/>
        <v>0</v>
      </c>
      <c r="S85" s="40" t="s">
        <v>6</v>
      </c>
      <c r="T85" s="133">
        <f>T66</f>
        <v>0</v>
      </c>
      <c r="U85" s="99">
        <f t="shared" si="16"/>
        <v>0</v>
      </c>
    </row>
    <row r="86" spans="1:21" x14ac:dyDescent="0.25">
      <c r="B86" s="72"/>
      <c r="C86" s="72"/>
      <c r="D86" s="72"/>
      <c r="E86" s="46"/>
      <c r="F86" s="136"/>
      <c r="G86" s="39"/>
      <c r="H86" s="131"/>
      <c r="I86" s="104"/>
      <c r="N86" s="48"/>
      <c r="O86" s="48"/>
      <c r="P86" s="48"/>
      <c r="Q86" s="47"/>
      <c r="R86" s="137"/>
      <c r="S86" s="40"/>
      <c r="T86" s="133"/>
      <c r="U86" s="106"/>
    </row>
    <row r="87" spans="1:21" x14ac:dyDescent="0.25">
      <c r="A87" s="463" t="s">
        <v>445</v>
      </c>
      <c r="B87" s="453"/>
      <c r="C87" s="453"/>
      <c r="D87" s="453"/>
      <c r="E87" s="453"/>
      <c r="F87" s="453"/>
      <c r="G87" s="453"/>
      <c r="H87" s="453"/>
      <c r="I87" s="453"/>
      <c r="N87" s="478" t="s">
        <v>429</v>
      </c>
      <c r="O87" s="479"/>
      <c r="P87" s="479"/>
      <c r="Q87" s="479"/>
      <c r="R87" s="479"/>
      <c r="S87" s="479"/>
      <c r="T87" s="479"/>
      <c r="U87" s="479"/>
    </row>
    <row r="88" spans="1:21" x14ac:dyDescent="0.25">
      <c r="B88" s="72"/>
      <c r="C88" s="466" t="s">
        <v>73</v>
      </c>
      <c r="D88" s="466"/>
      <c r="E88" s="72"/>
      <c r="F88" s="41" t="s">
        <v>37</v>
      </c>
      <c r="G88" s="72"/>
      <c r="H88" s="72"/>
      <c r="I88" s="72"/>
      <c r="N88" s="48"/>
      <c r="O88" s="48"/>
      <c r="P88" s="48"/>
      <c r="Q88" s="48"/>
      <c r="R88" s="48"/>
      <c r="S88" s="48"/>
      <c r="T88" s="48"/>
      <c r="U88" s="48"/>
    </row>
    <row r="89" spans="1:21" x14ac:dyDescent="0.25">
      <c r="A89" s="3"/>
      <c r="B89" s="138"/>
      <c r="C89" s="462" t="s">
        <v>144</v>
      </c>
      <c r="D89" s="462"/>
      <c r="E89" s="139" t="s">
        <v>150</v>
      </c>
      <c r="F89" s="140" t="s">
        <v>149</v>
      </c>
      <c r="G89" s="141"/>
      <c r="H89" s="141"/>
      <c r="I89" s="141"/>
      <c r="N89" s="495" t="s">
        <v>46</v>
      </c>
      <c r="O89" s="495"/>
      <c r="P89" s="496" t="s">
        <v>119</v>
      </c>
      <c r="Q89" s="496"/>
      <c r="R89" s="497" t="s">
        <v>40</v>
      </c>
      <c r="S89" s="497"/>
      <c r="T89" s="497"/>
      <c r="U89" s="497"/>
    </row>
    <row r="90" spans="1:21" x14ac:dyDescent="0.25">
      <c r="A90" s="27"/>
      <c r="B90" s="55" t="s">
        <v>148</v>
      </c>
      <c r="C90" s="467">
        <f>H13+H14+H19+H22+H25</f>
        <v>0</v>
      </c>
      <c r="D90" s="467"/>
      <c r="E90" s="49">
        <f>H8</f>
        <v>1.0438000000000001</v>
      </c>
      <c r="F90" s="338">
        <f>'0664'!F90</f>
        <v>957.94</v>
      </c>
      <c r="G90" s="41" t="s">
        <v>13</v>
      </c>
      <c r="H90" s="104">
        <f>ROUND(C90*E90*F90,2)</f>
        <v>0</v>
      </c>
      <c r="I90" s="107"/>
      <c r="N90" s="29" t="s">
        <v>22</v>
      </c>
      <c r="O90" s="50">
        <f>T13+T14+T19+T22+T25</f>
        <v>0</v>
      </c>
      <c r="P90" s="490">
        <f>T8</f>
        <v>1.0438000000000001</v>
      </c>
      <c r="Q90" s="490"/>
      <c r="R90" s="51">
        <f>F90</f>
        <v>957.94</v>
      </c>
      <c r="S90" s="42" t="s">
        <v>13</v>
      </c>
      <c r="T90" s="134">
        <f>ROUND(O90*P90*R90,0)</f>
        <v>0</v>
      </c>
      <c r="U90" s="105"/>
    </row>
    <row r="91" spans="1:21" x14ac:dyDescent="0.25">
      <c r="A91" s="52"/>
      <c r="B91" s="52" t="s">
        <v>147</v>
      </c>
      <c r="C91" s="467">
        <f>H15+H16+H20+H23+H26</f>
        <v>687.48979999999995</v>
      </c>
      <c r="D91" s="467"/>
      <c r="E91" s="49">
        <f>H8</f>
        <v>1.0438000000000001</v>
      </c>
      <c r="F91" s="338">
        <f>'0664'!F91</f>
        <v>914.63</v>
      </c>
      <c r="G91" s="41" t="s">
        <v>13</v>
      </c>
      <c r="H91" s="104">
        <f>ROUND(C91*E91*F91,2)</f>
        <v>656340.18000000005</v>
      </c>
      <c r="N91" s="53" t="s">
        <v>14</v>
      </c>
      <c r="O91" s="50">
        <f>T15+T16+T20+T23+T26</f>
        <v>0</v>
      </c>
      <c r="P91" s="490">
        <f>T8</f>
        <v>1.0438000000000001</v>
      </c>
      <c r="Q91" s="490"/>
      <c r="R91" s="51">
        <f>F91</f>
        <v>914.63</v>
      </c>
      <c r="S91" s="42" t="s">
        <v>13</v>
      </c>
      <c r="T91" s="134">
        <f>ROUND(O91*P91*R91,0)</f>
        <v>0</v>
      </c>
      <c r="U91" s="54"/>
    </row>
    <row r="92" spans="1:21" ht="16.5" thickBot="1" x14ac:dyDescent="0.3">
      <c r="A92" s="55"/>
      <c r="B92" s="55" t="s">
        <v>146</v>
      </c>
      <c r="C92" s="467">
        <f>H17+H18+H21+H24+H27+H28</f>
        <v>0</v>
      </c>
      <c r="D92" s="467"/>
      <c r="E92" s="49">
        <f>H8</f>
        <v>1.0438000000000001</v>
      </c>
      <c r="F92" s="338">
        <f>'0664'!F92</f>
        <v>916.84</v>
      </c>
      <c r="G92" s="41" t="s">
        <v>13</v>
      </c>
      <c r="H92" s="97">
        <f>ROUND(C92*E92*F92,2)</f>
        <v>0</v>
      </c>
      <c r="N92" s="56" t="s">
        <v>15</v>
      </c>
      <c r="O92" s="57">
        <f>T17+T18+T21+T24+T27+T28</f>
        <v>0</v>
      </c>
      <c r="P92" s="490">
        <f>T8</f>
        <v>1.0438000000000001</v>
      </c>
      <c r="Q92" s="490"/>
      <c r="R92" s="51">
        <f>F92</f>
        <v>916.84</v>
      </c>
      <c r="S92" s="42" t="s">
        <v>13</v>
      </c>
      <c r="T92" s="134">
        <f>ROUND(O92*P92*R92,0)</f>
        <v>0</v>
      </c>
      <c r="U92" s="54"/>
    </row>
    <row r="93" spans="1:21" ht="16.5" thickBot="1" x14ac:dyDescent="0.3">
      <c r="A93" s="58"/>
      <c r="B93" s="142" t="s">
        <v>145</v>
      </c>
      <c r="C93" s="469">
        <f>SUM(C90:C92)</f>
        <v>687.48979999999995</v>
      </c>
      <c r="D93" s="469"/>
      <c r="E93" s="143"/>
      <c r="F93" s="143"/>
      <c r="G93" s="143"/>
      <c r="H93" s="144" t="s">
        <v>143</v>
      </c>
      <c r="I93" s="104">
        <f>IF(A1=75,0,H92+H91+H90)</f>
        <v>656340.18000000005</v>
      </c>
      <c r="N93" s="59" t="s">
        <v>120</v>
      </c>
      <c r="O93" s="60">
        <f>SUM(O90:O92)</f>
        <v>0</v>
      </c>
      <c r="P93" s="491" t="s">
        <v>18</v>
      </c>
      <c r="Q93" s="492"/>
      <c r="R93" s="492"/>
      <c r="S93" s="492"/>
      <c r="T93" s="492"/>
      <c r="U93" s="99">
        <f>IF(N1=75,0,T92+T91+T90)</f>
        <v>0</v>
      </c>
    </row>
    <row r="94" spans="1:21" ht="16.5" thickTop="1" x14ac:dyDescent="0.25">
      <c r="A94" s="540" t="s">
        <v>90</v>
      </c>
      <c r="B94" s="540"/>
      <c r="C94" s="540"/>
      <c r="D94" s="540"/>
      <c r="E94" s="540"/>
      <c r="F94" s="540"/>
      <c r="G94" s="540"/>
      <c r="H94" s="540"/>
      <c r="I94" s="540"/>
      <c r="N94" s="493" t="s">
        <v>90</v>
      </c>
      <c r="O94" s="493"/>
      <c r="P94" s="493"/>
      <c r="Q94" s="493"/>
      <c r="R94" s="493"/>
      <c r="S94" s="493"/>
      <c r="T94" s="493"/>
      <c r="U94" s="493"/>
    </row>
    <row r="95" spans="1:21" x14ac:dyDescent="0.25">
      <c r="A95" s="145"/>
      <c r="B95" s="145"/>
      <c r="C95" s="145"/>
      <c r="D95" s="145"/>
      <c r="E95" s="145"/>
      <c r="F95" s="145"/>
      <c r="G95" s="145"/>
      <c r="H95" s="145"/>
      <c r="I95" s="145"/>
      <c r="N95" s="146"/>
      <c r="O95" s="146"/>
      <c r="P95" s="146"/>
      <c r="Q95" s="146"/>
      <c r="R95" s="146"/>
      <c r="S95" s="146"/>
      <c r="T95" s="146"/>
      <c r="U95" s="146"/>
    </row>
    <row r="96" spans="1:21" x14ac:dyDescent="0.25">
      <c r="A96" s="84" t="s">
        <v>446</v>
      </c>
      <c r="C96" s="46"/>
      <c r="D96" s="72"/>
      <c r="E96" s="46" t="s">
        <v>100</v>
      </c>
      <c r="F96" s="471"/>
      <c r="G96" s="471"/>
      <c r="H96" s="471"/>
      <c r="I96" s="471"/>
      <c r="N96" s="478" t="s">
        <v>426</v>
      </c>
      <c r="O96" s="479"/>
      <c r="P96" s="479"/>
      <c r="Q96" s="494"/>
      <c r="R96" s="494"/>
      <c r="S96" s="494"/>
      <c r="T96" s="494"/>
      <c r="U96" s="106"/>
    </row>
    <row r="97" spans="1:21" x14ac:dyDescent="0.25">
      <c r="B97" s="72"/>
      <c r="C97" s="91" t="s">
        <v>409</v>
      </c>
      <c r="D97" s="371" t="s">
        <v>410</v>
      </c>
      <c r="E97" s="92" t="s">
        <v>151</v>
      </c>
      <c r="F97" s="46"/>
      <c r="G97" s="46"/>
      <c r="H97" s="46"/>
      <c r="I97" s="46"/>
      <c r="N97" s="48"/>
      <c r="O97" s="48"/>
      <c r="P97" s="48"/>
      <c r="Q97" s="147"/>
      <c r="R97" s="147"/>
      <c r="S97" s="147"/>
      <c r="T97" s="147"/>
      <c r="U97" s="106"/>
    </row>
    <row r="98" spans="1:21" x14ac:dyDescent="0.25">
      <c r="B98" s="72"/>
      <c r="C98" s="362" t="s">
        <v>2</v>
      </c>
      <c r="D98" s="362" t="s">
        <v>2</v>
      </c>
      <c r="E98" s="362" t="s">
        <v>2</v>
      </c>
      <c r="F98" s="46"/>
      <c r="G98" s="46"/>
      <c r="H98" s="46"/>
      <c r="I98" s="46"/>
      <c r="N98" s="48"/>
      <c r="O98" s="48"/>
      <c r="P98" s="48"/>
      <c r="Q98" s="147"/>
      <c r="R98" s="147"/>
      <c r="S98" s="147"/>
      <c r="T98" s="147"/>
      <c r="U98" s="106"/>
    </row>
    <row r="99" spans="1:21" x14ac:dyDescent="0.25">
      <c r="A99" s="536" t="s">
        <v>470</v>
      </c>
      <c r="B99" s="461"/>
      <c r="C99" s="165">
        <v>0</v>
      </c>
      <c r="D99" s="165">
        <v>0</v>
      </c>
      <c r="E99" s="125">
        <f>C99</f>
        <v>0</v>
      </c>
      <c r="F99" s="148" t="s">
        <v>39</v>
      </c>
      <c r="G99" s="339">
        <f>'0664'!G99</f>
        <v>558</v>
      </c>
      <c r="I99" s="104">
        <f>ROUND(G99*E99,2)</f>
        <v>0</v>
      </c>
      <c r="N99" s="488" t="s">
        <v>65</v>
      </c>
      <c r="O99" s="488"/>
      <c r="P99" s="489">
        <f>IF(H120=1,E99,0)</f>
        <v>0</v>
      </c>
      <c r="Q99" s="489"/>
      <c r="R99" s="489"/>
      <c r="S99" s="86" t="s">
        <v>39</v>
      </c>
      <c r="T99" s="61">
        <f>G99</f>
        <v>558</v>
      </c>
      <c r="U99" s="99">
        <f>ROUND(T99*P99,0)</f>
        <v>0</v>
      </c>
    </row>
    <row r="100" spans="1:21" x14ac:dyDescent="0.25">
      <c r="A100" s="536" t="s">
        <v>471</v>
      </c>
      <c r="B100" s="461"/>
      <c r="C100" s="165">
        <v>0</v>
      </c>
      <c r="D100" s="165">
        <v>0</v>
      </c>
      <c r="E100" s="125">
        <f>C100</f>
        <v>0</v>
      </c>
      <c r="F100" s="148" t="s">
        <v>39</v>
      </c>
      <c r="G100" s="339">
        <f>'0664'!G100</f>
        <v>1707</v>
      </c>
      <c r="I100" s="104">
        <f>ROUND(G100*E100,2)</f>
        <v>0</v>
      </c>
      <c r="N100" s="488" t="s">
        <v>81</v>
      </c>
      <c r="O100" s="488"/>
      <c r="P100" s="483"/>
      <c r="Q100" s="483"/>
      <c r="R100" s="483"/>
      <c r="S100" s="86" t="s">
        <v>39</v>
      </c>
      <c r="T100" s="61">
        <f>G100</f>
        <v>1707</v>
      </c>
      <c r="U100" s="99">
        <f>ROUND(T100*P100,0)</f>
        <v>0</v>
      </c>
    </row>
    <row r="101" spans="1:21" x14ac:dyDescent="0.25">
      <c r="A101" s="149"/>
      <c r="B101" s="149"/>
      <c r="C101" s="68"/>
      <c r="D101" s="68"/>
      <c r="E101" s="68"/>
      <c r="F101" s="68"/>
      <c r="G101" s="150"/>
      <c r="H101" s="151"/>
      <c r="I101" s="104"/>
      <c r="N101" s="152"/>
      <c r="O101" s="152"/>
      <c r="P101" s="153"/>
      <c r="Q101" s="153"/>
      <c r="R101" s="153"/>
      <c r="S101" s="86"/>
      <c r="T101" s="61"/>
      <c r="U101" s="106"/>
    </row>
    <row r="102" spans="1:21" x14ac:dyDescent="0.25">
      <c r="A102" s="149"/>
      <c r="B102" s="149"/>
      <c r="C102" s="68"/>
      <c r="D102" s="68"/>
      <c r="E102" s="68"/>
      <c r="F102" s="68"/>
      <c r="G102" s="150"/>
      <c r="H102" s="151"/>
      <c r="I102" s="104"/>
      <c r="N102" s="152"/>
      <c r="O102" s="152"/>
      <c r="P102" s="153"/>
      <c r="Q102" s="153"/>
      <c r="R102" s="153"/>
      <c r="S102" s="86"/>
      <c r="T102" s="61"/>
      <c r="U102" s="106"/>
    </row>
    <row r="103" spans="1:21" hidden="1" x14ac:dyDescent="0.25">
      <c r="A103" s="463" t="s">
        <v>447</v>
      </c>
      <c r="B103" s="453"/>
      <c r="C103" s="453"/>
      <c r="D103" s="72"/>
      <c r="E103" s="41" t="s">
        <v>41</v>
      </c>
      <c r="F103" s="466"/>
      <c r="G103" s="466"/>
      <c r="H103" s="466"/>
      <c r="I103" s="466"/>
      <c r="N103" s="478" t="s">
        <v>362</v>
      </c>
      <c r="O103" s="479"/>
      <c r="P103" s="479"/>
      <c r="Q103" s="479"/>
      <c r="R103" s="479"/>
      <c r="S103" s="479"/>
      <c r="T103" s="479"/>
      <c r="U103" s="479"/>
    </row>
    <row r="104" spans="1:21" hidden="1" x14ac:dyDescent="0.25">
      <c r="B104" s="72"/>
      <c r="C104" s="462" t="s">
        <v>91</v>
      </c>
      <c r="D104" s="462"/>
      <c r="E104" s="462"/>
      <c r="F104" s="39"/>
      <c r="G104" s="39"/>
      <c r="H104" s="41" t="s">
        <v>152</v>
      </c>
      <c r="I104" s="39"/>
      <c r="N104" s="48"/>
      <c r="O104" s="48"/>
      <c r="P104" s="48"/>
      <c r="Q104" s="48"/>
      <c r="R104" s="48"/>
      <c r="S104" s="48"/>
      <c r="T104" s="48"/>
      <c r="U104" s="48"/>
    </row>
    <row r="105" spans="1:21" hidden="1" x14ac:dyDescent="0.25">
      <c r="B105" s="72"/>
      <c r="C105" s="91" t="s">
        <v>371</v>
      </c>
      <c r="D105" s="91" t="s">
        <v>351</v>
      </c>
      <c r="E105" s="159" t="s">
        <v>8</v>
      </c>
      <c r="F105" s="464" t="s">
        <v>153</v>
      </c>
      <c r="G105" s="466"/>
      <c r="H105" s="39" t="s">
        <v>38</v>
      </c>
      <c r="I105" s="39"/>
      <c r="N105" s="48"/>
      <c r="O105" s="48"/>
      <c r="P105" s="48"/>
      <c r="Q105" s="48"/>
      <c r="R105" s="48"/>
      <c r="S105" s="48"/>
      <c r="T105" s="48"/>
      <c r="U105" s="48"/>
    </row>
    <row r="106" spans="1:21" hidden="1" x14ac:dyDescent="0.25">
      <c r="A106" s="462" t="s">
        <v>94</v>
      </c>
      <c r="B106" s="462"/>
      <c r="C106" s="93" t="s">
        <v>2</v>
      </c>
      <c r="D106" s="93" t="s">
        <v>2</v>
      </c>
      <c r="E106" s="62" t="s">
        <v>2</v>
      </c>
      <c r="F106" s="462" t="s">
        <v>37</v>
      </c>
      <c r="G106" s="462"/>
      <c r="H106" s="62" t="s">
        <v>37</v>
      </c>
      <c r="I106" s="62" t="s">
        <v>8</v>
      </c>
      <c r="N106" s="484" t="s">
        <v>66</v>
      </c>
      <c r="O106" s="484"/>
      <c r="P106" s="489" t="s">
        <v>91</v>
      </c>
      <c r="Q106" s="489"/>
      <c r="R106" s="484" t="s">
        <v>67</v>
      </c>
      <c r="S106" s="484"/>
      <c r="T106" s="63" t="s">
        <v>68</v>
      </c>
      <c r="U106" s="63" t="s">
        <v>8</v>
      </c>
    </row>
    <row r="107" spans="1:21" hidden="1" x14ac:dyDescent="0.25">
      <c r="A107" s="473" t="s">
        <v>69</v>
      </c>
      <c r="B107" s="473"/>
      <c r="C107" s="163">
        <v>0</v>
      </c>
      <c r="D107" s="163">
        <v>0</v>
      </c>
      <c r="E107" s="210">
        <f>IF(D$59=0,C107*2,C107+D107)</f>
        <v>0</v>
      </c>
      <c r="F107" s="474">
        <v>0</v>
      </c>
      <c r="G107" s="474"/>
      <c r="H107" s="250">
        <f>IF(C107=0,0,125)</f>
        <v>0</v>
      </c>
      <c r="I107" s="104">
        <f>ROUND((H107+F107)*E107,2)</f>
        <v>0</v>
      </c>
      <c r="N107" s="479" t="s">
        <v>69</v>
      </c>
      <c r="O107" s="479"/>
      <c r="P107" s="483">
        <f>IF(H$120=1,C107,0)</f>
        <v>0</v>
      </c>
      <c r="Q107" s="483"/>
      <c r="R107" s="486">
        <f>F107</f>
        <v>0</v>
      </c>
      <c r="S107" s="486"/>
      <c r="T107" s="65">
        <f>H107</f>
        <v>0</v>
      </c>
      <c r="U107" s="99">
        <f>ROUND((T107+R107)*P107,0)</f>
        <v>0</v>
      </c>
    </row>
    <row r="108" spans="1:21" hidden="1" x14ac:dyDescent="0.25">
      <c r="A108" s="456" t="s">
        <v>70</v>
      </c>
      <c r="B108" s="456"/>
      <c r="C108" s="165">
        <v>0</v>
      </c>
      <c r="D108" s="165">
        <v>0</v>
      </c>
      <c r="E108" s="125">
        <f>IF(D$59=0,C108*2,C108+D108)</f>
        <v>0</v>
      </c>
      <c r="F108" s="468">
        <f>ROUND(F107/2,2)</f>
        <v>0</v>
      </c>
      <c r="G108" s="468"/>
      <c r="H108" s="250">
        <f>IF(C108=0,0,62.5)</f>
        <v>0</v>
      </c>
      <c r="I108" s="104">
        <f>ROUND((H108+F108)*E108,2)</f>
        <v>0</v>
      </c>
      <c r="N108" s="479" t="s">
        <v>70</v>
      </c>
      <c r="O108" s="479"/>
      <c r="P108" s="483">
        <f>IF(H$120=1,C108,0)</f>
        <v>0</v>
      </c>
      <c r="Q108" s="483"/>
      <c r="R108" s="487">
        <f>ROUND(R107/2,2)</f>
        <v>0</v>
      </c>
      <c r="S108" s="487"/>
      <c r="T108" s="65">
        <f>H108</f>
        <v>0</v>
      </c>
      <c r="U108" s="99">
        <f>ROUND((T108+R108)*P108,0)</f>
        <v>0</v>
      </c>
    </row>
    <row r="109" spans="1:21" ht="16.5" hidden="1" thickBot="1" x14ac:dyDescent="0.3">
      <c r="A109" s="456" t="s">
        <v>71</v>
      </c>
      <c r="B109" s="456"/>
      <c r="C109" s="165">
        <v>0</v>
      </c>
      <c r="D109" s="165">
        <v>0</v>
      </c>
      <c r="E109" s="125">
        <f>IF(D$59=0,C109*2,C109+D109)</f>
        <v>0</v>
      </c>
      <c r="F109" s="475"/>
      <c r="G109" s="475"/>
      <c r="H109" s="251">
        <f>IF(H107&gt;0,436,0)</f>
        <v>0</v>
      </c>
      <c r="I109" s="104">
        <f>ROUND(H109*E109,2)</f>
        <v>0</v>
      </c>
      <c r="N109" s="482" t="s">
        <v>71</v>
      </c>
      <c r="O109" s="482"/>
      <c r="P109" s="483">
        <f>IF(H$120=1,C109,0)</f>
        <v>0</v>
      </c>
      <c r="Q109" s="483"/>
      <c r="R109" s="484"/>
      <c r="S109" s="484"/>
      <c r="T109" s="67">
        <f>H109</f>
        <v>0</v>
      </c>
      <c r="U109" s="106">
        <f>ROUND(T109*P109,0)</f>
        <v>0</v>
      </c>
    </row>
    <row r="110" spans="1:21" ht="16.5" hidden="1" thickBot="1" x14ac:dyDescent="0.3">
      <c r="A110" s="466" t="s">
        <v>8</v>
      </c>
      <c r="B110" s="466"/>
      <c r="C110" s="68"/>
      <c r="D110" s="68"/>
      <c r="E110" s="68"/>
      <c r="F110" s="68"/>
      <c r="G110" s="68"/>
      <c r="H110" s="68"/>
      <c r="I110" s="100">
        <f>SUM(I107:I109)</f>
        <v>0</v>
      </c>
      <c r="N110" s="485" t="s">
        <v>8</v>
      </c>
      <c r="O110" s="485"/>
      <c r="P110" s="69"/>
      <c r="Q110" s="69"/>
      <c r="R110" s="69"/>
      <c r="S110" s="69"/>
      <c r="T110" s="69"/>
      <c r="U110" s="70">
        <f>SUM(U107:U109)</f>
        <v>0</v>
      </c>
    </row>
    <row r="111" spans="1:21" hidden="1" x14ac:dyDescent="0.25">
      <c r="A111" s="39"/>
      <c r="B111" s="39"/>
      <c r="C111" s="68"/>
      <c r="D111" s="68"/>
      <c r="E111" s="68"/>
      <c r="F111" s="68"/>
      <c r="G111" s="68"/>
      <c r="H111" s="68"/>
      <c r="I111" s="104"/>
      <c r="N111" s="40"/>
      <c r="O111" s="40"/>
      <c r="P111" s="69"/>
      <c r="Q111" s="69"/>
      <c r="R111" s="69"/>
      <c r="S111" s="69"/>
      <c r="T111" s="69"/>
      <c r="U111" s="160"/>
    </row>
    <row r="112" spans="1:21" x14ac:dyDescent="0.25">
      <c r="A112" s="463" t="s">
        <v>448</v>
      </c>
      <c r="B112" s="453"/>
      <c r="C112" s="453"/>
      <c r="D112" s="72"/>
      <c r="E112" s="71" t="s">
        <v>354</v>
      </c>
      <c r="F112" s="472"/>
      <c r="G112" s="472"/>
      <c r="H112" s="472"/>
      <c r="I112" s="125">
        <v>0</v>
      </c>
      <c r="N112" s="478" t="s">
        <v>427</v>
      </c>
      <c r="O112" s="479"/>
      <c r="P112" s="479"/>
      <c r="Q112" s="341"/>
      <c r="R112" s="341"/>
      <c r="S112" s="341"/>
      <c r="T112" s="341"/>
      <c r="U112" s="99">
        <f>IF($H$120=1,I112,0)</f>
        <v>0</v>
      </c>
    </row>
    <row r="113" spans="1:21" x14ac:dyDescent="0.25">
      <c r="A113" s="463" t="s">
        <v>449</v>
      </c>
      <c r="B113" s="453"/>
      <c r="C113" s="453"/>
      <c r="D113" s="72"/>
      <c r="E113" s="71" t="s">
        <v>45</v>
      </c>
      <c r="F113" s="472"/>
      <c r="G113" s="472"/>
      <c r="H113" s="472"/>
      <c r="I113" s="177">
        <v>0</v>
      </c>
      <c r="N113" s="478" t="s">
        <v>428</v>
      </c>
      <c r="O113" s="479"/>
      <c r="P113" s="479"/>
      <c r="Q113" s="341"/>
      <c r="R113" s="341"/>
      <c r="S113" s="341"/>
      <c r="T113" s="341"/>
      <c r="U113" s="99">
        <f>IF($H$120=1,I113,0)</f>
        <v>0</v>
      </c>
    </row>
    <row r="114" spans="1:21" ht="16.5" thickBot="1" x14ac:dyDescent="0.3">
      <c r="B114" s="72"/>
      <c r="C114" s="72"/>
      <c r="D114" s="72"/>
      <c r="E114" s="71"/>
      <c r="F114" s="71"/>
      <c r="G114" s="71"/>
      <c r="H114" s="71"/>
      <c r="I114" s="125"/>
      <c r="N114" s="480" t="s">
        <v>42</v>
      </c>
      <c r="O114" s="480"/>
      <c r="P114" s="480"/>
      <c r="Q114" s="480"/>
      <c r="R114" s="480"/>
      <c r="S114" s="480"/>
      <c r="T114" s="480"/>
      <c r="U114" s="154">
        <f>SUM(U112,U110,U100,U99,U93,U77,U76,U74,U73,U72,U71,U70,U68,U59,U45,U78,U79,U80,U85,U113)</f>
        <v>0</v>
      </c>
    </row>
    <row r="115" spans="1:21" ht="16.5" thickTop="1" x14ac:dyDescent="0.25">
      <c r="A115" s="461" t="s">
        <v>8</v>
      </c>
      <c r="B115" s="461"/>
      <c r="C115" s="461"/>
      <c r="D115" s="461"/>
      <c r="E115" s="461"/>
      <c r="F115" s="461"/>
      <c r="G115" s="461"/>
      <c r="H115" s="461"/>
      <c r="I115" s="97">
        <f>SUM(I113,I112,I110,I100,I99,I93,I85,I84,I80,I79,I78,I77,I76,I74,I73,I72,I71,I70,I68,I59,I45)</f>
        <v>5251602.53</v>
      </c>
      <c r="N115" s="29"/>
      <c r="O115" s="29"/>
      <c r="P115" s="29"/>
      <c r="Q115" s="29"/>
      <c r="R115" s="29"/>
      <c r="S115" s="29"/>
      <c r="T115" s="29"/>
      <c r="U115" s="160"/>
    </row>
    <row r="116" spans="1:21" x14ac:dyDescent="0.25">
      <c r="A116" s="27"/>
      <c r="B116" s="27"/>
      <c r="C116" s="27"/>
      <c r="D116" s="27"/>
      <c r="E116" s="27"/>
      <c r="F116" s="27"/>
      <c r="G116" s="27"/>
      <c r="H116" s="27"/>
      <c r="I116" s="104"/>
      <c r="N116" s="29"/>
      <c r="O116" s="29"/>
      <c r="P116" s="29"/>
      <c r="Q116" s="29"/>
      <c r="R116" s="29"/>
      <c r="S116" s="29"/>
      <c r="T116" s="29"/>
      <c r="U116" s="160"/>
    </row>
    <row r="117" spans="1:21" x14ac:dyDescent="0.25">
      <c r="A117" s="432" t="s">
        <v>467</v>
      </c>
      <c r="B117" s="27"/>
      <c r="C117" s="27"/>
      <c r="D117" s="27"/>
      <c r="E117" s="27"/>
      <c r="F117" s="27"/>
      <c r="G117" s="27"/>
      <c r="H117" s="27"/>
      <c r="I117" s="104">
        <f>I115-I84</f>
        <v>5076244.9800000004</v>
      </c>
      <c r="N117" s="29"/>
      <c r="O117" s="29"/>
      <c r="P117" s="29"/>
      <c r="Q117" s="29"/>
      <c r="R117" s="29"/>
      <c r="S117" s="29"/>
      <c r="T117" s="29"/>
      <c r="U117" s="160"/>
    </row>
    <row r="118" spans="1:21" x14ac:dyDescent="0.25">
      <c r="A118" s="27"/>
      <c r="B118" s="27"/>
      <c r="C118" s="27"/>
      <c r="D118" s="27"/>
      <c r="E118" s="27"/>
      <c r="F118" s="27"/>
      <c r="G118" s="27"/>
      <c r="H118" s="27"/>
      <c r="I118" s="104"/>
      <c r="N118" s="29"/>
      <c r="O118" s="29"/>
      <c r="P118" s="29"/>
      <c r="Q118" s="29"/>
      <c r="R118" s="29"/>
      <c r="S118" s="29"/>
      <c r="T118" s="29"/>
      <c r="U118" s="160"/>
    </row>
    <row r="119" spans="1:21" x14ac:dyDescent="0.25">
      <c r="A119" s="463" t="s">
        <v>468</v>
      </c>
      <c r="B119" s="453"/>
      <c r="C119" s="453"/>
      <c r="D119" s="453"/>
      <c r="E119" s="453"/>
      <c r="F119" s="453"/>
      <c r="G119" s="453"/>
      <c r="H119" s="84" t="s">
        <v>394</v>
      </c>
      <c r="I119" s="156"/>
      <c r="N119" s="481"/>
      <c r="O119" s="481"/>
      <c r="P119" s="481"/>
      <c r="Q119" s="481"/>
      <c r="R119" s="481"/>
      <c r="S119" s="481"/>
      <c r="T119" s="481"/>
      <c r="U119" s="481"/>
    </row>
    <row r="120" spans="1:21" x14ac:dyDescent="0.25">
      <c r="A120" s="453" t="s">
        <v>95</v>
      </c>
      <c r="B120" s="453"/>
      <c r="C120" s="453"/>
      <c r="D120" s="453"/>
      <c r="E120" s="453"/>
      <c r="F120" s="453"/>
      <c r="G120" s="453"/>
      <c r="H120" s="73" t="str">
        <f>IF(E29=0,"",IF((E14+E16+SUM(E18:E24))/E29&gt;0.75,1,""))</f>
        <v/>
      </c>
      <c r="I120" s="125">
        <f>U114</f>
        <v>0</v>
      </c>
      <c r="N120" s="476" t="s">
        <v>7</v>
      </c>
      <c r="O120" s="476"/>
      <c r="P120" s="476"/>
      <c r="Q120" s="476"/>
      <c r="R120" s="476"/>
      <c r="S120" s="476"/>
      <c r="T120" s="476"/>
      <c r="U120" s="476"/>
    </row>
    <row r="121" spans="1:21" x14ac:dyDescent="0.25">
      <c r="B121" s="72"/>
      <c r="C121" s="72"/>
      <c r="D121" s="72"/>
      <c r="E121" s="72"/>
      <c r="F121" s="72"/>
      <c r="G121" s="72"/>
      <c r="H121" s="68"/>
      <c r="I121" s="104"/>
      <c r="N121" s="74" t="s">
        <v>106</v>
      </c>
      <c r="O121" s="74"/>
      <c r="P121" s="74"/>
      <c r="Q121" s="74"/>
      <c r="R121" s="74"/>
      <c r="S121" s="74"/>
      <c r="T121" s="74"/>
      <c r="U121" s="74"/>
    </row>
    <row r="122" spans="1:21" x14ac:dyDescent="0.25">
      <c r="A122" s="3" t="s">
        <v>102</v>
      </c>
      <c r="B122" s="72"/>
      <c r="C122" s="72"/>
      <c r="D122" s="72"/>
      <c r="E122" s="72"/>
      <c r="F122" s="72"/>
      <c r="G122" s="287" t="s">
        <v>290</v>
      </c>
      <c r="H122" s="161">
        <f>IF(H120=1,I120,I117)</f>
        <v>5076244.9800000004</v>
      </c>
      <c r="I122" s="97">
        <f>ROUND(IF(E29=0,0,IF(E29&gt;250,-(((250/E29)*H122)*IF(G122="H",0.02,0.05)),IF(G122="H",-0.02*H122,-0.05*H122))),2)</f>
        <v>-37070.199999999997</v>
      </c>
      <c r="N122" s="75" t="s">
        <v>107</v>
      </c>
      <c r="O122" s="74"/>
      <c r="P122" s="74"/>
      <c r="Q122" s="74"/>
      <c r="R122" s="74"/>
      <c r="S122" s="74"/>
      <c r="T122" s="74"/>
      <c r="U122" s="74"/>
    </row>
    <row r="123" spans="1:21" x14ac:dyDescent="0.25">
      <c r="B123" s="72"/>
      <c r="C123" s="72"/>
      <c r="D123" s="72"/>
      <c r="E123" s="72"/>
      <c r="F123" s="72"/>
      <c r="G123" s="72"/>
      <c r="H123" s="68"/>
      <c r="I123" s="104"/>
      <c r="N123" s="76"/>
      <c r="O123" s="76"/>
      <c r="P123" s="76"/>
      <c r="Q123" s="76"/>
      <c r="R123" s="76"/>
      <c r="S123" s="76"/>
      <c r="T123" s="76"/>
      <c r="U123" s="76"/>
    </row>
    <row r="124" spans="1:21" x14ac:dyDescent="0.25">
      <c r="A124" s="345" t="s">
        <v>103</v>
      </c>
      <c r="B124" s="346"/>
      <c r="C124" s="346"/>
      <c r="D124" s="346"/>
      <c r="E124" s="346"/>
      <c r="F124" s="346"/>
      <c r="G124" s="346"/>
      <c r="H124" s="347"/>
      <c r="I124" s="348">
        <f>I115+I122</f>
        <v>5214532.33</v>
      </c>
      <c r="N124" s="76"/>
      <c r="O124" s="76"/>
      <c r="P124" s="76"/>
      <c r="Q124" s="76"/>
      <c r="R124" s="76"/>
      <c r="S124" s="76"/>
      <c r="T124" s="76"/>
      <c r="U124" s="76"/>
    </row>
    <row r="125" spans="1:21" x14ac:dyDescent="0.25">
      <c r="B125" s="72"/>
      <c r="C125" s="72"/>
      <c r="D125" s="72"/>
      <c r="E125" s="72"/>
      <c r="F125" s="72"/>
      <c r="G125" s="72"/>
      <c r="H125" s="68"/>
      <c r="I125" s="104"/>
      <c r="N125" s="76"/>
      <c r="O125" s="76"/>
      <c r="P125" s="76"/>
      <c r="Q125" s="76"/>
      <c r="R125" s="76"/>
      <c r="S125" s="76"/>
      <c r="T125" s="76"/>
      <c r="U125" s="76"/>
    </row>
    <row r="126" spans="1:21" x14ac:dyDescent="0.25">
      <c r="A126" s="3" t="s">
        <v>104</v>
      </c>
      <c r="B126" s="72"/>
      <c r="C126" s="162"/>
      <c r="D126" s="72"/>
      <c r="F126" s="72"/>
      <c r="G126" s="72"/>
      <c r="H126" s="68"/>
      <c r="I126" s="302">
        <v>-3917662.2</v>
      </c>
      <c r="N126" s="76"/>
      <c r="O126" s="76"/>
      <c r="P126" s="76"/>
      <c r="Q126" s="76"/>
      <c r="R126" s="76"/>
      <c r="S126" s="76"/>
      <c r="T126" s="76"/>
      <c r="U126" s="76"/>
    </row>
    <row r="127" spans="1:21" x14ac:dyDescent="0.25">
      <c r="B127" s="72"/>
      <c r="C127" s="72"/>
      <c r="D127" s="72"/>
      <c r="E127" s="72"/>
      <c r="F127" s="72"/>
      <c r="G127" s="72"/>
      <c r="H127" s="68"/>
      <c r="I127" s="104"/>
      <c r="N127" s="76"/>
      <c r="O127" s="76"/>
      <c r="P127" s="76"/>
      <c r="Q127" s="76"/>
      <c r="R127" s="76"/>
      <c r="S127" s="76"/>
      <c r="T127" s="76"/>
      <c r="U127" s="76"/>
    </row>
    <row r="128" spans="1:21" x14ac:dyDescent="0.25">
      <c r="A128" s="84" t="s">
        <v>297</v>
      </c>
      <c r="B128" s="72"/>
      <c r="C128" s="72"/>
      <c r="D128" s="72"/>
      <c r="E128" s="72"/>
      <c r="F128" s="72"/>
      <c r="G128" s="72"/>
      <c r="H128" s="68"/>
      <c r="I128" s="104">
        <f>I124+I126</f>
        <v>1296870.1299999999</v>
      </c>
      <c r="N128" s="76"/>
      <c r="O128" s="76"/>
      <c r="P128" s="76"/>
      <c r="Q128" s="76"/>
      <c r="R128" s="76"/>
      <c r="S128" s="76"/>
      <c r="T128" s="76"/>
      <c r="U128" s="76"/>
    </row>
    <row r="129" spans="1:21" x14ac:dyDescent="0.25">
      <c r="A129" s="84"/>
      <c r="B129" s="72"/>
      <c r="C129" s="72"/>
      <c r="D129" s="72"/>
      <c r="E129" s="72"/>
      <c r="F129" s="72"/>
      <c r="G129" s="72"/>
      <c r="H129" s="68"/>
      <c r="I129" s="104"/>
      <c r="N129" s="76"/>
      <c r="O129" s="76"/>
      <c r="P129" s="76"/>
      <c r="Q129" s="76"/>
      <c r="R129" s="76"/>
      <c r="S129" s="76"/>
      <c r="T129" s="76"/>
      <c r="U129" s="76"/>
    </row>
    <row r="130" spans="1:21" x14ac:dyDescent="0.25">
      <c r="A130" s="84" t="s">
        <v>298</v>
      </c>
      <c r="B130" s="72"/>
      <c r="C130" s="72"/>
      <c r="D130" s="72"/>
      <c r="E130" s="72"/>
      <c r="F130" s="72"/>
      <c r="G130" s="72"/>
      <c r="H130" s="68"/>
      <c r="I130" s="303">
        <f>'0664'!I130</f>
        <v>3</v>
      </c>
      <c r="N130" s="76"/>
      <c r="O130" s="76"/>
      <c r="P130" s="76"/>
      <c r="Q130" s="76"/>
      <c r="R130" s="76"/>
      <c r="S130" s="76"/>
      <c r="T130" s="76"/>
      <c r="U130" s="76"/>
    </row>
    <row r="131" spans="1:21" x14ac:dyDescent="0.25">
      <c r="B131" s="72"/>
      <c r="C131" s="72"/>
      <c r="D131" s="72"/>
      <c r="E131" s="72"/>
      <c r="F131" s="72"/>
      <c r="G131" s="72"/>
      <c r="H131" s="68"/>
      <c r="I131" s="104"/>
      <c r="N131" s="76"/>
      <c r="O131" s="76"/>
      <c r="P131" s="76"/>
      <c r="Q131" s="76"/>
      <c r="R131" s="76"/>
      <c r="S131" s="76"/>
      <c r="T131" s="76"/>
      <c r="U131" s="76"/>
    </row>
    <row r="132" spans="1:21" ht="16.5" thickBot="1" x14ac:dyDescent="0.3">
      <c r="A132" s="3" t="s">
        <v>105</v>
      </c>
      <c r="B132" s="72"/>
      <c r="C132" s="72"/>
      <c r="D132" s="72"/>
      <c r="E132" s="72"/>
      <c r="F132" s="72"/>
      <c r="G132" s="72"/>
      <c r="H132" s="68"/>
      <c r="I132" s="178">
        <f>ROUND(I128/I130,2)</f>
        <v>432290.04</v>
      </c>
      <c r="N132" s="76"/>
      <c r="O132" s="76"/>
      <c r="P132" s="76"/>
      <c r="Q132" s="76"/>
      <c r="R132" s="76"/>
      <c r="S132" s="76"/>
      <c r="T132" s="76"/>
      <c r="U132" s="76"/>
    </row>
    <row r="133" spans="1:21" ht="16.5" thickTop="1" x14ac:dyDescent="0.25">
      <c r="B133" s="72"/>
      <c r="C133" s="72"/>
      <c r="D133" s="72"/>
      <c r="E133" s="72"/>
      <c r="F133" s="72"/>
      <c r="G133" s="72"/>
      <c r="H133" s="68"/>
      <c r="I133" s="104"/>
      <c r="N133" s="76"/>
      <c r="O133" s="76"/>
      <c r="P133" s="76"/>
      <c r="Q133" s="76"/>
      <c r="R133" s="76"/>
      <c r="S133" s="76"/>
      <c r="T133" s="76"/>
      <c r="U133" s="76"/>
    </row>
    <row r="134" spans="1:21" ht="16.5" thickBot="1" x14ac:dyDescent="0.3">
      <c r="A134" s="3" t="s">
        <v>121</v>
      </c>
      <c r="B134" s="72"/>
      <c r="C134" s="72"/>
      <c r="D134" s="72"/>
      <c r="E134" s="72"/>
      <c r="F134" s="72"/>
      <c r="G134" s="72"/>
      <c r="H134" s="68"/>
      <c r="I134" s="155">
        <f>ROUND(IF(G122="H",(H122*0.02)+I122,(H122*0.05)+I122),2)</f>
        <v>64454.7</v>
      </c>
      <c r="N134" s="76"/>
      <c r="O134" s="76"/>
      <c r="P134" s="76"/>
      <c r="Q134" s="76"/>
      <c r="R134" s="76"/>
      <c r="S134" s="76"/>
      <c r="T134" s="76"/>
      <c r="U134" s="76"/>
    </row>
    <row r="135" spans="1:21" ht="16.5" thickTop="1" x14ac:dyDescent="0.25">
      <c r="B135" s="72"/>
      <c r="C135" s="72"/>
      <c r="D135" s="72"/>
      <c r="E135" s="72"/>
      <c r="F135" s="72"/>
      <c r="G135" s="72"/>
      <c r="H135" s="68"/>
      <c r="I135" s="156"/>
      <c r="N135" s="76"/>
      <c r="O135" s="76"/>
      <c r="P135" s="76"/>
      <c r="Q135" s="76"/>
      <c r="R135" s="76"/>
      <c r="S135" s="76"/>
      <c r="T135" s="76"/>
      <c r="U135" s="76"/>
    </row>
    <row r="136" spans="1:21" x14ac:dyDescent="0.25">
      <c r="B136" s="72"/>
      <c r="C136" s="72"/>
      <c r="D136" s="72"/>
      <c r="E136" s="72"/>
      <c r="F136" s="72"/>
      <c r="G136" s="72"/>
      <c r="H136" s="68"/>
      <c r="I136" s="104"/>
      <c r="N136" s="76"/>
      <c r="O136" s="76"/>
      <c r="P136" s="76"/>
      <c r="Q136" s="76"/>
      <c r="R136" s="76"/>
      <c r="S136" s="76"/>
      <c r="T136" s="76"/>
      <c r="U136" s="76"/>
    </row>
    <row r="137" spans="1:21" x14ac:dyDescent="0.25">
      <c r="B137" s="72"/>
      <c r="C137" s="72"/>
      <c r="D137" s="72"/>
      <c r="E137" s="72"/>
      <c r="F137" s="72"/>
      <c r="G137" s="72"/>
      <c r="H137" s="68"/>
      <c r="I137" s="156"/>
      <c r="N137" s="76"/>
      <c r="O137" s="76"/>
      <c r="P137" s="76"/>
      <c r="Q137" s="76"/>
      <c r="R137" s="76"/>
      <c r="S137" s="76"/>
      <c r="T137" s="76"/>
      <c r="U137" s="76"/>
    </row>
    <row r="138" spans="1:21" x14ac:dyDescent="0.25">
      <c r="A138" s="281" t="s">
        <v>7</v>
      </c>
      <c r="B138" s="281"/>
      <c r="C138" s="281"/>
      <c r="D138" s="281"/>
      <c r="E138" s="281"/>
      <c r="F138" s="281"/>
      <c r="G138" s="281"/>
      <c r="H138" s="281"/>
      <c r="I138" s="281"/>
      <c r="J138" s="156"/>
      <c r="N138" s="76"/>
      <c r="O138" s="76"/>
      <c r="P138" s="76"/>
      <c r="Q138" s="76"/>
      <c r="R138" s="76"/>
      <c r="S138" s="76"/>
      <c r="T138" s="76"/>
      <c r="U138" s="76"/>
    </row>
    <row r="139" spans="1:21" ht="15.75" customHeight="1" x14ac:dyDescent="0.25">
      <c r="A139" s="356" t="str">
        <f>'0664'!A139</f>
        <v>(a) Additional FTE includes FTE earned through Advanced Placement, International Baccalaureate, Advanced International Certificate of Education, Industry Certified Career</v>
      </c>
      <c r="B139" s="357"/>
      <c r="C139" s="357"/>
      <c r="D139" s="357"/>
      <c r="E139" s="357"/>
      <c r="F139" s="357"/>
      <c r="G139" s="357"/>
      <c r="H139" s="357"/>
      <c r="I139" s="357"/>
      <c r="J139" s="80"/>
      <c r="K139" s="79"/>
      <c r="L139" s="79"/>
      <c r="M139" s="79"/>
      <c r="N139" s="477"/>
      <c r="O139" s="477"/>
      <c r="P139" s="477"/>
      <c r="Q139" s="477"/>
      <c r="R139" s="477"/>
      <c r="S139" s="477"/>
      <c r="T139" s="477"/>
      <c r="U139" s="477"/>
    </row>
    <row r="140" spans="1:21" ht="15.75" customHeight="1" x14ac:dyDescent="0.25">
      <c r="A140" s="390" t="str">
        <f>'0664'!A140</f>
        <v xml:space="preserve">Education (CAPE), Early High School Graduation and the small district ESE Supplement, pursuant to s. 1011.62(1)(l-p), F.S. </v>
      </c>
      <c r="B140" s="357"/>
      <c r="C140" s="357"/>
      <c r="D140" s="357"/>
      <c r="E140" s="357"/>
      <c r="F140" s="357"/>
      <c r="G140" s="357"/>
      <c r="H140" s="357"/>
      <c r="I140" s="357"/>
      <c r="J140" s="80"/>
      <c r="K140" s="79"/>
      <c r="L140" s="79"/>
      <c r="M140" s="79"/>
      <c r="N140" s="76"/>
      <c r="O140" s="76"/>
      <c r="P140" s="76"/>
      <c r="Q140" s="76"/>
      <c r="R140" s="76"/>
      <c r="S140" s="76"/>
      <c r="T140" s="76"/>
      <c r="U140" s="76"/>
    </row>
    <row r="141" spans="1:21" x14ac:dyDescent="0.25">
      <c r="A141" s="356" t="str">
        <f>'0664'!A141</f>
        <v>(b) District allocations multiplied by percentage from item 3A.</v>
      </c>
      <c r="B141" s="281"/>
      <c r="C141" s="281"/>
      <c r="D141" s="281"/>
      <c r="E141" s="281"/>
      <c r="F141" s="281"/>
      <c r="G141" s="281"/>
      <c r="H141" s="281"/>
      <c r="I141" s="281"/>
      <c r="J141" s="79"/>
      <c r="K141" s="79"/>
      <c r="L141" s="79"/>
      <c r="M141" s="79"/>
      <c r="N141" s="81"/>
      <c r="O141" s="82"/>
      <c r="P141" s="82"/>
      <c r="Q141" s="82"/>
      <c r="R141" s="82"/>
      <c r="S141" s="82"/>
      <c r="T141" s="82"/>
      <c r="U141" s="82"/>
    </row>
    <row r="142" spans="1:21" s="79" customFormat="1" x14ac:dyDescent="0.2">
      <c r="A142" s="356" t="str">
        <f>'0664'!A142</f>
        <v>(c) District allocations multiplied by percentage from item 3B.</v>
      </c>
      <c r="B142" s="281"/>
      <c r="C142" s="281"/>
      <c r="D142" s="281"/>
      <c r="E142" s="281"/>
      <c r="F142" s="281"/>
      <c r="G142" s="281"/>
      <c r="H142" s="281"/>
      <c r="I142" s="281"/>
      <c r="N142" s="81"/>
    </row>
    <row r="143" spans="1:21" s="79" customFormat="1" ht="15.75" customHeight="1" x14ac:dyDescent="0.2">
      <c r="A143" s="356" t="str">
        <f>'0664'!A143</f>
        <v>(d) The Digital Classroom Allocation is provided pursuant to s. 1011.62(12), F.S.</v>
      </c>
      <c r="B143" s="281"/>
      <c r="C143" s="281"/>
      <c r="D143" s="281"/>
      <c r="E143" s="281"/>
      <c r="F143" s="281"/>
      <c r="G143" s="281"/>
      <c r="H143" s="281"/>
      <c r="I143" s="281"/>
      <c r="N143" s="81"/>
    </row>
    <row r="144" spans="1:21" s="79" customFormat="1" ht="15.75" customHeight="1" x14ac:dyDescent="0.2">
      <c r="A144" s="356" t="str">
        <f>'0664'!A144</f>
        <v>(e) School districts are required to pay for instructional materials used for the instruction of public high school students who are earning credit toward high school</v>
      </c>
      <c r="B144" s="281"/>
      <c r="C144" s="281"/>
      <c r="D144" s="281"/>
      <c r="E144" s="281"/>
      <c r="F144" s="281"/>
      <c r="G144" s="281"/>
      <c r="H144" s="281"/>
      <c r="I144" s="281"/>
      <c r="N144" s="81"/>
    </row>
    <row r="145" spans="1:14" s="79" customFormat="1" ht="15.75" customHeight="1" x14ac:dyDescent="0.2">
      <c r="A145" s="390" t="str">
        <f>'0664'!A145</f>
        <v xml:space="preserve">graduation under the dual enrollment program as provided in s. 1011.62(l)(i), F.S.  </v>
      </c>
      <c r="B145" s="281"/>
      <c r="C145" s="281"/>
      <c r="D145" s="281"/>
      <c r="E145" s="281"/>
      <c r="F145" s="281"/>
      <c r="G145" s="281"/>
      <c r="H145" s="281"/>
      <c r="I145" s="281"/>
      <c r="N145" s="81"/>
    </row>
    <row r="146" spans="1:14" s="79" customFormat="1" x14ac:dyDescent="0.2">
      <c r="A146" s="356" t="str">
        <f>'0664'!A146</f>
        <v>(f) This allocation will be frozen as of the 2021-22 FEFP Second Calculation and will not be recalculated throughout the year. Charter school allocations should be</v>
      </c>
      <c r="B146" s="281"/>
      <c r="C146" s="281"/>
      <c r="D146" s="281"/>
      <c r="E146" s="281"/>
      <c r="F146" s="281"/>
      <c r="G146" s="281"/>
      <c r="H146" s="281"/>
      <c r="I146" s="281"/>
      <c r="N146" s="81"/>
    </row>
    <row r="147" spans="1:14" s="79" customFormat="1" x14ac:dyDescent="0.2">
      <c r="A147" s="358" t="str">
        <f>'0664'!A147</f>
        <v xml:space="preserve">distributed on weighted FTE (or base funding as is done in the FEFP) and should not be recalculated with fluctuations in student enrollment later in the year. </v>
      </c>
      <c r="B147" s="281"/>
      <c r="C147" s="281"/>
      <c r="D147" s="281"/>
      <c r="E147" s="281"/>
      <c r="F147" s="281"/>
      <c r="G147" s="281"/>
      <c r="H147" s="281"/>
      <c r="I147" s="281"/>
      <c r="N147" s="81"/>
    </row>
    <row r="148" spans="1:14" s="79" customFormat="1" x14ac:dyDescent="0.2">
      <c r="A148" s="356" t="str">
        <f>'0664'!A148</f>
        <v>(g) Numbers entered here will be multiplied by the district level transportation funding per rider. "All Adjusted Fundable Riders" should include both basic and ESE Riders.</v>
      </c>
      <c r="B148" s="281"/>
      <c r="C148" s="281"/>
      <c r="D148" s="281"/>
      <c r="E148" s="281"/>
      <c r="F148" s="281"/>
      <c r="G148" s="281"/>
      <c r="H148" s="281"/>
      <c r="I148" s="281"/>
      <c r="N148" s="81"/>
    </row>
    <row r="149" spans="1:14" s="79" customFormat="1" x14ac:dyDescent="0.2">
      <c r="A149" s="390" t="str">
        <f>'0664'!A149</f>
        <v>"All Adjusted ESE Riders" should include only ESE Riders.</v>
      </c>
      <c r="B149" s="281"/>
      <c r="C149" s="281"/>
      <c r="D149" s="281"/>
      <c r="E149" s="281"/>
      <c r="F149" s="281"/>
      <c r="G149" s="281"/>
      <c r="H149" s="281"/>
      <c r="I149" s="281"/>
      <c r="N149" s="81"/>
    </row>
    <row r="150" spans="1:14" s="79" customFormat="1" x14ac:dyDescent="0.2">
      <c r="A150" s="356" t="str">
        <f>'0664'!A150</f>
        <v xml:space="preserve">(h) The Federally Connected Student Supplement provides additional funding for students on federal lands that receive Section 8003 impact aide pursuant to s. 1011.62(13), F.S. </v>
      </c>
      <c r="B150" s="281"/>
      <c r="C150" s="281"/>
      <c r="D150" s="281"/>
      <c r="E150" s="281"/>
      <c r="F150" s="281"/>
      <c r="G150" s="281"/>
      <c r="H150" s="281"/>
      <c r="I150" s="281"/>
      <c r="N150" s="81"/>
    </row>
    <row r="151" spans="1:14" s="79" customFormat="1" x14ac:dyDescent="0.2">
      <c r="A151" s="356" t="str">
        <f>'0664'!A151</f>
        <v>(i) Teacher Classroom Supply Assistance Program allocation pursuant to s. 1012.71, F.S., for certified teachers employed by a public school district or public charter school</v>
      </c>
      <c r="B151" s="281"/>
      <c r="C151" s="281"/>
      <c r="D151" s="281"/>
      <c r="E151" s="281"/>
      <c r="F151" s="281"/>
      <c r="G151" s="281"/>
      <c r="H151" s="281"/>
      <c r="I151" s="281"/>
      <c r="N151" s="81"/>
    </row>
    <row r="152" spans="1:14" s="79" customFormat="1" x14ac:dyDescent="0.2">
      <c r="A152" s="358" t="str">
        <f>'0664'!A152</f>
        <v xml:space="preserve">before September 1 of each year whose full-time or job-share responsibility is the classroom instruction of students in prekindergarten through grade 12, including </v>
      </c>
      <c r="B152" s="281"/>
      <c r="C152" s="281"/>
      <c r="D152" s="281"/>
      <c r="E152" s="281"/>
      <c r="F152" s="281"/>
      <c r="G152" s="281"/>
      <c r="H152" s="281"/>
      <c r="I152" s="281"/>
      <c r="N152" s="81"/>
    </row>
    <row r="153" spans="1:14" s="79" customFormat="1" ht="15.75" customHeight="1" x14ac:dyDescent="0.2">
      <c r="A153" s="358" t="str">
        <f>'0664'!A153</f>
        <v>full-time media specialists and certified school counselors serving students in prekindergarten through grade 12, who are funded through the FEFP.</v>
      </c>
      <c r="B153" s="281"/>
      <c r="C153" s="281"/>
      <c r="D153" s="281"/>
      <c r="E153" s="281"/>
      <c r="F153" s="281"/>
      <c r="G153" s="281"/>
      <c r="H153" s="281"/>
      <c r="I153" s="281"/>
      <c r="N153" s="81"/>
    </row>
    <row r="154" spans="1:14" s="79" customFormat="1" ht="15.75" customHeight="1" x14ac:dyDescent="0.2">
      <c r="A154" s="356" t="str">
        <f>'0664'!A154</f>
        <v xml:space="preserve">(j) Funding based on student eligibility and meals provided, if participating in the National School Lunch Program. </v>
      </c>
      <c r="B154" s="328"/>
      <c r="C154" s="328"/>
      <c r="D154" s="328"/>
      <c r="E154" s="328"/>
      <c r="F154" s="328"/>
      <c r="G154" s="328"/>
      <c r="H154" s="328"/>
      <c r="I154" s="328"/>
      <c r="N154" s="81"/>
    </row>
    <row r="155" spans="1:14" s="79" customFormat="1" ht="15.75" customHeight="1" x14ac:dyDescent="0.2">
      <c r="A155" s="356" t="str">
        <f>'0664'!A155</f>
        <v>(k) Consistent with s. 1002.33(20)(a), F.S., for charter schools with a population of 75% or more ESE students, the administrative fee shall be calculated based on</v>
      </c>
      <c r="B155" s="381"/>
      <c r="C155" s="381"/>
      <c r="D155" s="381"/>
      <c r="E155" s="381"/>
      <c r="F155" s="381"/>
      <c r="G155" s="381"/>
      <c r="H155" s="381"/>
      <c r="I155" s="381"/>
      <c r="N155" s="81"/>
    </row>
    <row r="156" spans="1:14" s="79" customFormat="1" ht="15.75" customHeight="1" x14ac:dyDescent="0.2">
      <c r="A156" s="390" t="str">
        <f>'0664'!A156</f>
        <v xml:space="preserve">unweighted full-time equivalent students. </v>
      </c>
      <c r="B156" s="381"/>
      <c r="C156" s="381"/>
      <c r="D156" s="381"/>
      <c r="E156" s="381"/>
      <c r="F156" s="381"/>
      <c r="G156" s="381"/>
      <c r="H156" s="381"/>
      <c r="I156" s="381"/>
      <c r="N156" s="81"/>
    </row>
    <row r="157" spans="1:14" s="79" customFormat="1" ht="15.75" customHeight="1" x14ac:dyDescent="0.2">
      <c r="A157" s="356"/>
      <c r="B157" s="381"/>
      <c r="C157" s="381"/>
      <c r="D157" s="381"/>
      <c r="E157" s="381"/>
      <c r="F157" s="381"/>
      <c r="G157" s="381"/>
      <c r="H157" s="381"/>
      <c r="I157" s="381"/>
      <c r="N157" s="81"/>
    </row>
    <row r="158" spans="1:14" s="79" customFormat="1" ht="15.75" customHeight="1" x14ac:dyDescent="0.25">
      <c r="A158" s="398" t="str">
        <f>'0664'!A158</f>
        <v>Administrative fees:</v>
      </c>
      <c r="B158" s="328"/>
      <c r="C158" s="328"/>
      <c r="D158" s="328"/>
      <c r="E158" s="328"/>
      <c r="F158" s="328"/>
      <c r="G158" s="328"/>
      <c r="H158" s="328"/>
      <c r="I158" s="328"/>
      <c r="J158" s="3"/>
      <c r="K158" s="3"/>
      <c r="L158" s="3"/>
      <c r="M158" s="3"/>
      <c r="N158" s="81"/>
    </row>
    <row r="159" spans="1:14" s="79" customFormat="1" ht="15.75" customHeight="1" x14ac:dyDescent="0.25">
      <c r="A159" s="399" t="str">
        <f>'0664'!A159</f>
        <v xml:space="preserve">Administrative fees charged by the school district pursuant to s. 1002.33(20)(a), F.S., shall be calculated based upon 5% of available funds from the FEFP and categorical </v>
      </c>
      <c r="B159" s="328"/>
      <c r="C159" s="328"/>
      <c r="D159" s="328"/>
      <c r="E159" s="328"/>
      <c r="F159" s="328"/>
      <c r="G159" s="328"/>
      <c r="H159" s="328"/>
      <c r="I159" s="328"/>
      <c r="J159" s="3"/>
      <c r="K159" s="3"/>
      <c r="L159" s="3"/>
      <c r="M159" s="3"/>
      <c r="N159" s="81"/>
    </row>
    <row r="160" spans="1:14" s="79" customFormat="1" ht="15.75" customHeight="1" x14ac:dyDescent="0.25">
      <c r="A160" s="400" t="str">
        <f>'0664'!A160</f>
        <v>funding for which charter students may be eligible.  To calculate the administrative fee to be withheld for schools with more than 250 students, divide the school</v>
      </c>
      <c r="B160" s="328"/>
      <c r="C160" s="328"/>
      <c r="D160" s="328"/>
      <c r="E160" s="328"/>
      <c r="F160" s="328"/>
      <c r="G160" s="328"/>
      <c r="H160" s="328"/>
      <c r="I160" s="328"/>
      <c r="J160" s="3"/>
      <c r="K160" s="3"/>
      <c r="L160" s="3"/>
      <c r="M160" s="3"/>
      <c r="N160" s="81"/>
    </row>
    <row r="161" spans="1:21" s="79" customFormat="1" ht="15.75" customHeight="1" x14ac:dyDescent="0.25">
      <c r="A161" s="400" t="str">
        <f>'0664'!A161</f>
        <v xml:space="preserve">population into 250. Multiply that fraction times the funds available, then times 5%.  </v>
      </c>
      <c r="B161" s="328"/>
      <c r="C161" s="328"/>
      <c r="D161" s="328"/>
      <c r="E161" s="328"/>
      <c r="F161" s="328"/>
      <c r="G161" s="328"/>
      <c r="H161" s="328"/>
      <c r="I161" s="328"/>
      <c r="J161" s="3"/>
      <c r="K161" s="3"/>
      <c r="L161" s="3"/>
      <c r="M161" s="3"/>
      <c r="N161" s="81"/>
    </row>
    <row r="162" spans="1:21" s="79" customFormat="1" ht="15.75" customHeight="1" x14ac:dyDescent="0.25">
      <c r="A162" s="399"/>
      <c r="B162" s="394"/>
      <c r="C162" s="394"/>
      <c r="D162" s="394"/>
      <c r="E162" s="394"/>
      <c r="F162" s="394"/>
      <c r="G162" s="394"/>
      <c r="H162" s="394"/>
      <c r="I162" s="394"/>
      <c r="N162" s="77"/>
      <c r="O162" s="3"/>
      <c r="P162" s="3"/>
      <c r="Q162" s="3"/>
      <c r="R162" s="3"/>
      <c r="S162" s="3"/>
      <c r="T162" s="3"/>
      <c r="U162" s="3"/>
    </row>
    <row r="163" spans="1:21" ht="15.75" customHeight="1" x14ac:dyDescent="0.25">
      <c r="A163" s="399" t="str">
        <f>'0664'!A163</f>
        <v xml:space="preserve">For high performing charter schools, administrative fees charged by the school district shall be calculated based upon 2% of available funds from the FEFP and categorical </v>
      </c>
      <c r="B163" s="328"/>
      <c r="C163" s="328"/>
      <c r="D163" s="328"/>
      <c r="E163" s="328"/>
      <c r="F163" s="328"/>
      <c r="G163" s="328"/>
      <c r="H163" s="328"/>
      <c r="I163" s="328"/>
      <c r="J163" s="79"/>
      <c r="K163" s="79"/>
      <c r="L163" s="79"/>
      <c r="M163" s="79"/>
      <c r="N163" s="81"/>
      <c r="O163" s="79"/>
      <c r="P163" s="79"/>
      <c r="Q163" s="79"/>
      <c r="R163" s="79"/>
      <c r="S163" s="79"/>
      <c r="T163" s="79"/>
      <c r="U163" s="79"/>
    </row>
    <row r="164" spans="1:21" ht="15.75" customHeight="1" x14ac:dyDescent="0.25">
      <c r="A164" s="400" t="str">
        <f>'0664'!A164</f>
        <v>funding for which charter students may be eligible.  To calculate the administrative fee to be withheld for schools with more than 250 students, divide the school</v>
      </c>
      <c r="B164" s="381"/>
      <c r="C164" s="381"/>
      <c r="D164" s="381"/>
      <c r="E164" s="381"/>
      <c r="F164" s="381"/>
      <c r="G164" s="381"/>
      <c r="H164" s="381"/>
      <c r="I164" s="381"/>
      <c r="J164" s="79"/>
      <c r="K164" s="79"/>
      <c r="L164" s="79"/>
      <c r="M164" s="79"/>
      <c r="N164" s="81"/>
      <c r="O164" s="79"/>
      <c r="P164" s="79"/>
      <c r="Q164" s="79"/>
      <c r="R164" s="79"/>
      <c r="S164" s="79"/>
      <c r="T164" s="79"/>
      <c r="U164" s="79"/>
    </row>
    <row r="165" spans="1:21" s="79" customFormat="1" ht="15.75" customHeight="1" x14ac:dyDescent="0.2">
      <c r="A165" s="400" t="str">
        <f>'0664'!A165</f>
        <v xml:space="preserve">population into 250. Multiply that fraction times the funds available, then times 2%.  </v>
      </c>
      <c r="B165" s="328"/>
      <c r="C165" s="328"/>
      <c r="D165" s="328"/>
      <c r="E165" s="328"/>
      <c r="F165" s="328"/>
      <c r="G165" s="328"/>
      <c r="H165" s="328"/>
      <c r="I165" s="328"/>
      <c r="N165" s="81"/>
    </row>
    <row r="166" spans="1:21" x14ac:dyDescent="0.25">
      <c r="A166" s="356"/>
      <c r="N166" s="77"/>
    </row>
    <row r="167" spans="1:21" x14ac:dyDescent="0.25">
      <c r="A167" s="398" t="str">
        <f>'0664'!A167</f>
        <v>Other:</v>
      </c>
      <c r="N167" s="77"/>
    </row>
    <row r="168" spans="1:21" x14ac:dyDescent="0.25">
      <c r="A168" s="399" t="str">
        <f>'0664'!A168</f>
        <v>FEFP and categorical funding are recalculated during the year to reflect the revised number of full-time equivalent students reported during the survey periods designated</v>
      </c>
      <c r="N168" s="77"/>
    </row>
    <row r="169" spans="1:21" x14ac:dyDescent="0.25">
      <c r="A169" s="402" t="str">
        <f>'0664'!A169</f>
        <v>by the Commissioner of Education.</v>
      </c>
      <c r="N169" s="77"/>
    </row>
    <row r="170" spans="1:21" x14ac:dyDescent="0.25">
      <c r="A170" s="399" t="str">
        <f>'0664'!A170</f>
        <v>Revenues flow to districts from state sources and from county tax collectors on various distribution schedules.</v>
      </c>
      <c r="N170" s="77"/>
    </row>
    <row r="171" spans="1:21" x14ac:dyDescent="0.25">
      <c r="A171" s="77"/>
      <c r="N171" s="77"/>
    </row>
    <row r="172" spans="1:21" x14ac:dyDescent="0.25">
      <c r="A172" s="77"/>
      <c r="N172" s="77"/>
    </row>
    <row r="173" spans="1:21" x14ac:dyDescent="0.25">
      <c r="A173" s="77"/>
      <c r="N173" s="77"/>
    </row>
    <row r="174" spans="1:21" x14ac:dyDescent="0.25">
      <c r="A174" s="77"/>
      <c r="N174" s="77"/>
    </row>
    <row r="175" spans="1:21" x14ac:dyDescent="0.25">
      <c r="A175" s="77"/>
      <c r="N175" s="77"/>
    </row>
    <row r="176" spans="1:21" x14ac:dyDescent="0.25">
      <c r="A176" s="77"/>
      <c r="N176" s="77"/>
    </row>
    <row r="177" spans="1:14" x14ac:dyDescent="0.25">
      <c r="A177" s="77"/>
      <c r="N177" s="77"/>
    </row>
    <row r="178" spans="1:14" x14ac:dyDescent="0.25">
      <c r="A178" s="77"/>
      <c r="N178" s="77"/>
    </row>
    <row r="179" spans="1:14" x14ac:dyDescent="0.25">
      <c r="A179" s="77"/>
      <c r="N179" s="77"/>
    </row>
    <row r="180" spans="1:14" x14ac:dyDescent="0.25">
      <c r="A180" s="77"/>
      <c r="N180" s="77"/>
    </row>
    <row r="181" spans="1:14" x14ac:dyDescent="0.25">
      <c r="A181" s="77"/>
      <c r="N181" s="77"/>
    </row>
    <row r="182" spans="1:14" x14ac:dyDescent="0.25">
      <c r="A182" s="77"/>
      <c r="N182" s="77"/>
    </row>
    <row r="183" spans="1:14" x14ac:dyDescent="0.25">
      <c r="A183" s="77"/>
      <c r="N183" s="77"/>
    </row>
    <row r="184" spans="1:14" x14ac:dyDescent="0.25">
      <c r="A184" s="77"/>
      <c r="N184" s="77"/>
    </row>
    <row r="185" spans="1:14" x14ac:dyDescent="0.25">
      <c r="A185" s="77"/>
      <c r="N185" s="77"/>
    </row>
    <row r="186" spans="1:14" x14ac:dyDescent="0.25">
      <c r="A186" s="77"/>
      <c r="N186" s="77"/>
    </row>
    <row r="187" spans="1:14" x14ac:dyDescent="0.25">
      <c r="A187" s="77"/>
      <c r="N187" s="77"/>
    </row>
    <row r="188" spans="1:14" x14ac:dyDescent="0.25">
      <c r="A188" s="77"/>
    </row>
    <row r="189" spans="1:14" x14ac:dyDescent="0.25">
      <c r="A189" s="77"/>
    </row>
    <row r="190" spans="1:14" x14ac:dyDescent="0.25">
      <c r="A190" s="77"/>
    </row>
    <row r="191" spans="1:14" x14ac:dyDescent="0.25">
      <c r="A191" s="77"/>
    </row>
    <row r="192" spans="1:14" x14ac:dyDescent="0.25">
      <c r="A192" s="77"/>
    </row>
    <row r="193" spans="1:1" x14ac:dyDescent="0.25">
      <c r="A193" s="77"/>
    </row>
    <row r="194" spans="1:1" x14ac:dyDescent="0.25">
      <c r="A194" s="77"/>
    </row>
    <row r="195" spans="1:1" x14ac:dyDescent="0.25">
      <c r="A195" s="77"/>
    </row>
    <row r="196" spans="1:1" x14ac:dyDescent="0.25">
      <c r="A196" s="77"/>
    </row>
    <row r="197" spans="1:1" x14ac:dyDescent="0.25">
      <c r="A197" s="77"/>
    </row>
    <row r="198" spans="1:1" x14ac:dyDescent="0.25">
      <c r="A198" s="77"/>
    </row>
    <row r="199" spans="1:1" x14ac:dyDescent="0.25">
      <c r="A199" s="77"/>
    </row>
    <row r="200" spans="1:1" x14ac:dyDescent="0.25">
      <c r="A200" s="77"/>
    </row>
    <row r="201" spans="1:1" x14ac:dyDescent="0.25">
      <c r="A201" s="77"/>
    </row>
    <row r="202" spans="1:1" x14ac:dyDescent="0.25">
      <c r="A202" s="77"/>
    </row>
    <row r="203" spans="1:1" x14ac:dyDescent="0.25">
      <c r="A203" s="77"/>
    </row>
    <row r="204" spans="1:1" x14ac:dyDescent="0.25">
      <c r="A204" s="77"/>
    </row>
    <row r="205" spans="1:1" x14ac:dyDescent="0.25">
      <c r="A205" s="77"/>
    </row>
    <row r="206" spans="1:1" x14ac:dyDescent="0.25">
      <c r="A206" s="77"/>
    </row>
  </sheetData>
  <mergeCells count="266">
    <mergeCell ref="A112:C112"/>
    <mergeCell ref="F112:H112"/>
    <mergeCell ref="N112:P112"/>
    <mergeCell ref="A109:B109"/>
    <mergeCell ref="F109:G109"/>
    <mergeCell ref="N109:O109"/>
    <mergeCell ref="P109:Q109"/>
    <mergeCell ref="N139:U139"/>
    <mergeCell ref="N119:U119"/>
    <mergeCell ref="N113:P113"/>
    <mergeCell ref="A113:C113"/>
    <mergeCell ref="F113:H113"/>
    <mergeCell ref="N114:T114"/>
    <mergeCell ref="A115:H115"/>
    <mergeCell ref="A119:G119"/>
    <mergeCell ref="N120:U120"/>
    <mergeCell ref="A120:G120"/>
    <mergeCell ref="R109:S109"/>
    <mergeCell ref="A110:B110"/>
    <mergeCell ref="N110:O110"/>
    <mergeCell ref="A107:B107"/>
    <mergeCell ref="F107:G107"/>
    <mergeCell ref="N107:O107"/>
    <mergeCell ref="P107:Q107"/>
    <mergeCell ref="R107:S107"/>
    <mergeCell ref="A108:B108"/>
    <mergeCell ref="F108:G108"/>
    <mergeCell ref="N108:O108"/>
    <mergeCell ref="P108:Q108"/>
    <mergeCell ref="R108:S108"/>
    <mergeCell ref="A103:C103"/>
    <mergeCell ref="F103:I103"/>
    <mergeCell ref="N103:U103"/>
    <mergeCell ref="C104:E104"/>
    <mergeCell ref="F105:G105"/>
    <mergeCell ref="A106:B106"/>
    <mergeCell ref="F106:G106"/>
    <mergeCell ref="N106:O106"/>
    <mergeCell ref="P106:Q106"/>
    <mergeCell ref="R106:S106"/>
    <mergeCell ref="A99:B99"/>
    <mergeCell ref="N99:O99"/>
    <mergeCell ref="P99:R99"/>
    <mergeCell ref="A100:B100"/>
    <mergeCell ref="N100:O100"/>
    <mergeCell ref="P100:R100"/>
    <mergeCell ref="C91:D91"/>
    <mergeCell ref="P91:Q91"/>
    <mergeCell ref="C92:D92"/>
    <mergeCell ref="P92:Q92"/>
    <mergeCell ref="C93:D93"/>
    <mergeCell ref="P93:T93"/>
    <mergeCell ref="A94:I94"/>
    <mergeCell ref="N94:U94"/>
    <mergeCell ref="F96:I96"/>
    <mergeCell ref="N96:P96"/>
    <mergeCell ref="Q96:T96"/>
    <mergeCell ref="A87:I87"/>
    <mergeCell ref="N87:U87"/>
    <mergeCell ref="C88:D88"/>
    <mergeCell ref="C89:D89"/>
    <mergeCell ref="N89:O89"/>
    <mergeCell ref="P89:Q89"/>
    <mergeCell ref="R89:U89"/>
    <mergeCell ref="C90:D90"/>
    <mergeCell ref="P90:Q90"/>
    <mergeCell ref="A80:C80"/>
    <mergeCell ref="N80:P80"/>
    <mergeCell ref="A85:C85"/>
    <mergeCell ref="N85:P85"/>
    <mergeCell ref="F73:H73"/>
    <mergeCell ref="N73:T73"/>
    <mergeCell ref="N74:T74"/>
    <mergeCell ref="A78:C78"/>
    <mergeCell ref="N78:P78"/>
    <mergeCell ref="A79:C79"/>
    <mergeCell ref="A69:C69"/>
    <mergeCell ref="N69:P69"/>
    <mergeCell ref="N79:P79"/>
    <mergeCell ref="A76:C76"/>
    <mergeCell ref="N76:P76"/>
    <mergeCell ref="A77:C77"/>
    <mergeCell ref="A70:C70"/>
    <mergeCell ref="A71:C71"/>
    <mergeCell ref="N71:P71"/>
    <mergeCell ref="A72:C72"/>
    <mergeCell ref="N77:P77"/>
    <mergeCell ref="N72:P72"/>
    <mergeCell ref="A65:B65"/>
    <mergeCell ref="D65:G65"/>
    <mergeCell ref="N65:O65"/>
    <mergeCell ref="Q65:S65"/>
    <mergeCell ref="T65:U65"/>
    <mergeCell ref="N66:S66"/>
    <mergeCell ref="T66:U66"/>
    <mergeCell ref="A68:C68"/>
    <mergeCell ref="N68:P68"/>
    <mergeCell ref="A62:B62"/>
    <mergeCell ref="D62:G62"/>
    <mergeCell ref="N62:O62"/>
    <mergeCell ref="Q62:S62"/>
    <mergeCell ref="T62:U62"/>
    <mergeCell ref="N63:S63"/>
    <mergeCell ref="T63:U63"/>
    <mergeCell ref="A64:I64"/>
    <mergeCell ref="N64:U64"/>
    <mergeCell ref="A59:B59"/>
    <mergeCell ref="F59:H59"/>
    <mergeCell ref="N59:O59"/>
    <mergeCell ref="P59:Q59"/>
    <mergeCell ref="R59:T59"/>
    <mergeCell ref="A60:I60"/>
    <mergeCell ref="N60:U60"/>
    <mergeCell ref="A61:I61"/>
    <mergeCell ref="N61:U61"/>
    <mergeCell ref="A50:B58"/>
    <mergeCell ref="N50:O58"/>
    <mergeCell ref="P50:Q50"/>
    <mergeCell ref="P51:Q51"/>
    <mergeCell ref="P52:Q52"/>
    <mergeCell ref="P53:Q53"/>
    <mergeCell ref="P54:Q54"/>
    <mergeCell ref="P55:Q55"/>
    <mergeCell ref="P56:Q56"/>
    <mergeCell ref="P57:Q57"/>
    <mergeCell ref="P58:Q58"/>
    <mergeCell ref="A42:B42"/>
    <mergeCell ref="N42:O42"/>
    <mergeCell ref="P42:T42"/>
    <mergeCell ref="N43:Q43"/>
    <mergeCell ref="S43:T43"/>
    <mergeCell ref="N45:Q45"/>
    <mergeCell ref="S45:T45"/>
    <mergeCell ref="N49:O49"/>
    <mergeCell ref="P49:Q49"/>
    <mergeCell ref="A39:B39"/>
    <mergeCell ref="N39:O39"/>
    <mergeCell ref="P39:T39"/>
    <mergeCell ref="A40:B40"/>
    <mergeCell ref="N40:O40"/>
    <mergeCell ref="P40:T40"/>
    <mergeCell ref="A41:B41"/>
    <mergeCell ref="N41:O41"/>
    <mergeCell ref="P41:T41"/>
    <mergeCell ref="N34:T34"/>
    <mergeCell ref="A36:B36"/>
    <mergeCell ref="N36:O36"/>
    <mergeCell ref="P36:T36"/>
    <mergeCell ref="A37:B37"/>
    <mergeCell ref="N37:O37"/>
    <mergeCell ref="P37:T37"/>
    <mergeCell ref="F33:H36"/>
    <mergeCell ref="A38:B38"/>
    <mergeCell ref="N38:O38"/>
    <mergeCell ref="P38:T38"/>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A20:B20"/>
    <mergeCell ref="F20:G20"/>
    <mergeCell ref="N20:O20"/>
    <mergeCell ref="P20:Q20"/>
    <mergeCell ref="R20:S20"/>
    <mergeCell ref="A21:B21"/>
    <mergeCell ref="F21:G21"/>
    <mergeCell ref="N21:O21"/>
    <mergeCell ref="P21:Q21"/>
    <mergeCell ref="R21:S21"/>
    <mergeCell ref="A18:B18"/>
    <mergeCell ref="F18:G18"/>
    <mergeCell ref="N18:O18"/>
    <mergeCell ref="P18:Q18"/>
    <mergeCell ref="R18:S18"/>
    <mergeCell ref="A19:B19"/>
    <mergeCell ref="F19:G19"/>
    <mergeCell ref="N19:O19"/>
    <mergeCell ref="P19:Q19"/>
    <mergeCell ref="R19:S19"/>
    <mergeCell ref="A16:B16"/>
    <mergeCell ref="F16:G16"/>
    <mergeCell ref="N16:O16"/>
    <mergeCell ref="P16:Q16"/>
    <mergeCell ref="R16:S16"/>
    <mergeCell ref="A17:B17"/>
    <mergeCell ref="F17:G17"/>
    <mergeCell ref="N17:O17"/>
    <mergeCell ref="P17:Q17"/>
    <mergeCell ref="R17:S17"/>
    <mergeCell ref="A14:B14"/>
    <mergeCell ref="F14:G14"/>
    <mergeCell ref="N14:O14"/>
    <mergeCell ref="P14:Q14"/>
    <mergeCell ref="R14:S14"/>
    <mergeCell ref="P15:Q15"/>
    <mergeCell ref="R15:S15"/>
    <mergeCell ref="A15:B15"/>
    <mergeCell ref="F15:G15"/>
    <mergeCell ref="N15:O15"/>
    <mergeCell ref="B1:I1"/>
    <mergeCell ref="A7:I7"/>
    <mergeCell ref="A11:B11"/>
    <mergeCell ref="F11:G11"/>
    <mergeCell ref="O1:U1"/>
    <mergeCell ref="N2:U2"/>
    <mergeCell ref="N3:U3"/>
    <mergeCell ref="A4:B4"/>
    <mergeCell ref="C4:E4"/>
    <mergeCell ref="N4:O4"/>
    <mergeCell ref="P4:Q4"/>
    <mergeCell ref="P8:Q8"/>
    <mergeCell ref="R8:S8"/>
    <mergeCell ref="T8:U8"/>
    <mergeCell ref="F10:G10"/>
    <mergeCell ref="R10:S10"/>
    <mergeCell ref="N7:U7"/>
    <mergeCell ref="N8:O8"/>
    <mergeCell ref="R13:S13"/>
    <mergeCell ref="A13:B13"/>
    <mergeCell ref="F13:G13"/>
    <mergeCell ref="A12:B12"/>
    <mergeCell ref="F12:G12"/>
    <mergeCell ref="N13:O13"/>
    <mergeCell ref="P13:Q13"/>
    <mergeCell ref="N11:O11"/>
    <mergeCell ref="P11:Q11"/>
    <mergeCell ref="R11:S11"/>
    <mergeCell ref="N12:O12"/>
    <mergeCell ref="P12:Q12"/>
    <mergeCell ref="R12:S12"/>
  </mergeCells>
  <pageMargins left="0.1" right="0.1" top="0.5" bottom="0.5" header="0" footer="0.1"/>
  <pageSetup scale="70" fitToHeight="3" orientation="portrait" r:id="rId1"/>
  <headerFooter alignWithMargins="0">
    <oddFooter>&amp;R&amp;P of &amp;N</oddFooter>
  </headerFooter>
  <rowBreaks count="1" manualBreakCount="1">
    <brk id="138" max="16383" man="1"/>
  </rowBreaks>
  <colBreaks count="1" manualBreakCount="1">
    <brk id="9" max="1048575" man="1"/>
  </col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3">
    <tabColor rgb="FFCCFFCC"/>
  </sheetPr>
  <dimension ref="A1:U206"/>
  <sheetViews>
    <sheetView showGridLines="0" zoomScaleNormal="100" workbookViewId="0">
      <pane ySplit="1" topLeftCell="A11" activePane="bottomLeft" state="frozen"/>
      <selection activeCell="I9" sqref="I9"/>
      <selection pane="bottomLeft" activeCell="D50" sqref="D50:D58"/>
    </sheetView>
  </sheetViews>
  <sheetFormatPr defaultRowHeight="15.75" x14ac:dyDescent="0.25"/>
  <cols>
    <col min="1" max="1" width="10.28515625" style="72"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72"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5">
        <v>50</v>
      </c>
      <c r="B1" s="441" t="s">
        <v>17</v>
      </c>
      <c r="C1" s="442"/>
      <c r="D1" s="442"/>
      <c r="E1" s="442"/>
      <c r="F1" s="442"/>
      <c r="G1" s="442"/>
      <c r="H1" s="442"/>
      <c r="I1" s="442"/>
      <c r="J1" s="157"/>
      <c r="K1" s="157"/>
      <c r="L1" s="157"/>
      <c r="N1" s="85">
        <f>A1</f>
        <v>50</v>
      </c>
      <c r="O1" s="527" t="s">
        <v>17</v>
      </c>
      <c r="P1" s="528"/>
      <c r="Q1" s="528"/>
      <c r="R1" s="528"/>
      <c r="S1" s="528"/>
      <c r="T1" s="528"/>
      <c r="U1" s="528"/>
    </row>
    <row r="2" spans="1:21" ht="21" x14ac:dyDescent="0.35">
      <c r="A2" s="1" t="s">
        <v>177</v>
      </c>
      <c r="B2" s="2"/>
      <c r="C2" s="2"/>
      <c r="D2" s="2"/>
      <c r="E2" s="2"/>
      <c r="F2" s="2"/>
      <c r="G2" s="2"/>
      <c r="H2" s="2"/>
      <c r="I2" s="2"/>
      <c r="N2" s="529" t="s">
        <v>23</v>
      </c>
      <c r="O2" s="529"/>
      <c r="P2" s="529"/>
      <c r="Q2" s="529"/>
      <c r="R2" s="529"/>
      <c r="S2" s="529"/>
      <c r="T2" s="529"/>
      <c r="U2" s="529"/>
    </row>
    <row r="3" spans="1:21" x14ac:dyDescent="0.25">
      <c r="A3" s="84" t="str">
        <f>'0664'!A3</f>
        <v>Based on the FLDOE 2022-23 FEFP Third Calculation</v>
      </c>
      <c r="N3" s="485" t="str">
        <f>A3</f>
        <v>Based on the FLDOE 2022-23 FEFP Third Calculation</v>
      </c>
      <c r="O3" s="485"/>
      <c r="P3" s="485"/>
      <c r="Q3" s="485"/>
      <c r="R3" s="485"/>
      <c r="S3" s="485"/>
      <c r="T3" s="485"/>
      <c r="U3" s="485"/>
    </row>
    <row r="4" spans="1:21" x14ac:dyDescent="0.25">
      <c r="A4" s="443" t="s">
        <v>0</v>
      </c>
      <c r="B4" s="443"/>
      <c r="C4" s="444" t="s">
        <v>9</v>
      </c>
      <c r="D4" s="444"/>
      <c r="E4" s="444"/>
      <c r="F4" s="4" t="str">
        <f>'0664'!F4</f>
        <v>Apr 2023</v>
      </c>
      <c r="G4" s="4"/>
      <c r="H4" s="4"/>
      <c r="I4" s="4"/>
      <c r="N4" s="530" t="s">
        <v>0</v>
      </c>
      <c r="O4" s="530"/>
      <c r="P4" s="531" t="str">
        <f>C4</f>
        <v>Palm Beach</v>
      </c>
      <c r="Q4" s="531"/>
      <c r="R4" s="5"/>
      <c r="S4" s="5"/>
      <c r="T4" s="5"/>
      <c r="U4" s="5"/>
    </row>
    <row r="5" spans="1:21" ht="12" customHeight="1" thickBot="1" x14ac:dyDescent="0.3">
      <c r="A5" s="262"/>
      <c r="B5" s="262"/>
      <c r="C5" s="253"/>
      <c r="D5" s="253"/>
      <c r="E5" s="253"/>
      <c r="F5" s="254"/>
      <c r="G5" s="254"/>
      <c r="H5" s="254"/>
      <c r="I5" s="254"/>
      <c r="N5" s="86"/>
      <c r="O5" s="86"/>
      <c r="P5" s="6"/>
      <c r="Q5" s="6"/>
      <c r="R5" s="5"/>
      <c r="S5" s="5"/>
      <c r="T5" s="5"/>
      <c r="U5" s="5"/>
    </row>
    <row r="6" spans="1:21" ht="12" customHeight="1" x14ac:dyDescent="0.25">
      <c r="A6" s="150"/>
      <c r="B6" s="150"/>
      <c r="C6" s="261"/>
      <c r="D6" s="261"/>
      <c r="E6" s="261"/>
      <c r="F6" s="4"/>
      <c r="G6" s="4"/>
      <c r="H6" s="4"/>
      <c r="I6" s="4"/>
      <c r="N6" s="86"/>
      <c r="O6" s="86"/>
      <c r="P6" s="6"/>
      <c r="Q6" s="6"/>
      <c r="R6" s="5"/>
      <c r="S6" s="5"/>
      <c r="T6" s="5"/>
      <c r="U6" s="5"/>
    </row>
    <row r="7" spans="1:21" x14ac:dyDescent="0.25">
      <c r="A7" s="445" t="str">
        <f>'0664'!A7:I7</f>
        <v>1.   2022-23 FEFP State and Local Funding</v>
      </c>
      <c r="B7" s="533"/>
      <c r="C7" s="533"/>
      <c r="D7" s="533"/>
      <c r="E7" s="533"/>
      <c r="F7" s="533"/>
      <c r="G7" s="533"/>
      <c r="H7" s="533"/>
      <c r="I7" s="533"/>
      <c r="N7" s="530" t="s">
        <v>86</v>
      </c>
      <c r="O7" s="530"/>
      <c r="P7" s="530"/>
      <c r="Q7" s="530"/>
      <c r="R7" s="530"/>
      <c r="S7" s="530"/>
      <c r="T7" s="530"/>
      <c r="U7" s="530"/>
    </row>
    <row r="8" spans="1:21" x14ac:dyDescent="0.25">
      <c r="A8" s="87"/>
      <c r="B8" s="88" t="s">
        <v>123</v>
      </c>
      <c r="C8" s="334">
        <f>'0664'!C8</f>
        <v>4587.3999999999996</v>
      </c>
      <c r="D8" s="89"/>
      <c r="E8" s="90"/>
      <c r="F8" s="87"/>
      <c r="G8" s="88" t="s">
        <v>122</v>
      </c>
      <c r="H8" s="320">
        <f>'0664'!H8</f>
        <v>1.0438000000000001</v>
      </c>
      <c r="I8" s="78"/>
      <c r="N8" s="534" t="s">
        <v>10</v>
      </c>
      <c r="O8" s="534"/>
      <c r="P8" s="535">
        <v>4154.45</v>
      </c>
      <c r="Q8" s="535"/>
      <c r="R8" s="518" t="s">
        <v>11</v>
      </c>
      <c r="S8" s="518"/>
      <c r="T8" s="519">
        <f>H8</f>
        <v>1.0438000000000001</v>
      </c>
      <c r="U8" s="519"/>
    </row>
    <row r="9" spans="1:21" x14ac:dyDescent="0.25">
      <c r="A9" s="7"/>
      <c r="B9" s="44" t="s">
        <v>370</v>
      </c>
      <c r="C9" s="372" t="s">
        <v>370</v>
      </c>
      <c r="D9" s="372" t="s">
        <v>370</v>
      </c>
      <c r="E9" s="8"/>
      <c r="F9" s="9"/>
      <c r="G9" s="9"/>
      <c r="H9" s="10"/>
      <c r="I9" s="340" t="str">
        <f>'0664'!I9</f>
        <v>2022-23</v>
      </c>
      <c r="N9" s="12"/>
      <c r="O9" s="12"/>
      <c r="P9" s="13"/>
      <c r="Q9" s="13"/>
      <c r="R9" s="14"/>
      <c r="S9" s="14"/>
      <c r="T9" s="15"/>
      <c r="U9" s="405" t="s">
        <v>405</v>
      </c>
    </row>
    <row r="10" spans="1:21" x14ac:dyDescent="0.25">
      <c r="A10" s="7"/>
      <c r="B10" s="7"/>
      <c r="C10" s="91" t="s">
        <v>463</v>
      </c>
      <c r="D10" s="371" t="s">
        <v>464</v>
      </c>
      <c r="E10" s="92" t="s">
        <v>8</v>
      </c>
      <c r="F10" s="446" t="s">
        <v>1</v>
      </c>
      <c r="G10" s="446"/>
      <c r="H10" s="10" t="s">
        <v>73</v>
      </c>
      <c r="I10" s="11" t="s">
        <v>36</v>
      </c>
      <c r="N10" s="12"/>
      <c r="O10" s="12"/>
      <c r="P10" s="13"/>
      <c r="Q10" s="13"/>
      <c r="R10" s="520" t="s">
        <v>1</v>
      </c>
      <c r="S10" s="520"/>
      <c r="T10" s="15" t="s">
        <v>73</v>
      </c>
      <c r="U10" s="16" t="s">
        <v>36</v>
      </c>
    </row>
    <row r="11" spans="1:21" x14ac:dyDescent="0.25">
      <c r="A11" s="447" t="s">
        <v>1</v>
      </c>
      <c r="B11" s="447"/>
      <c r="C11" s="362" t="s">
        <v>2</v>
      </c>
      <c r="D11" s="362" t="s">
        <v>2</v>
      </c>
      <c r="E11" s="362" t="s">
        <v>2</v>
      </c>
      <c r="F11" s="448" t="s">
        <v>76</v>
      </c>
      <c r="G11" s="448"/>
      <c r="H11" s="17" t="s">
        <v>72</v>
      </c>
      <c r="I11" s="18" t="s">
        <v>75</v>
      </c>
      <c r="N11" s="510" t="s">
        <v>1</v>
      </c>
      <c r="O11" s="510"/>
      <c r="P11" s="521" t="s">
        <v>24</v>
      </c>
      <c r="Q11" s="521"/>
      <c r="R11" s="522" t="s">
        <v>76</v>
      </c>
      <c r="S11" s="522"/>
      <c r="T11" s="19" t="s">
        <v>72</v>
      </c>
      <c r="U11" s="20" t="s">
        <v>75</v>
      </c>
    </row>
    <row r="12" spans="1:21" x14ac:dyDescent="0.25">
      <c r="A12" s="449" t="s">
        <v>47</v>
      </c>
      <c r="B12" s="449"/>
      <c r="C12" s="94"/>
      <c r="D12" s="94"/>
      <c r="E12" s="95" t="s">
        <v>48</v>
      </c>
      <c r="F12" s="450" t="s">
        <v>49</v>
      </c>
      <c r="G12" s="450"/>
      <c r="H12" s="21" t="s">
        <v>50</v>
      </c>
      <c r="I12" s="22" t="s">
        <v>51</v>
      </c>
      <c r="N12" s="523" t="s">
        <v>47</v>
      </c>
      <c r="O12" s="523"/>
      <c r="P12" s="524" t="s">
        <v>48</v>
      </c>
      <c r="Q12" s="524"/>
      <c r="R12" s="525" t="s">
        <v>49</v>
      </c>
      <c r="S12" s="525"/>
      <c r="T12" s="23" t="s">
        <v>50</v>
      </c>
      <c r="U12" s="24" t="s">
        <v>51</v>
      </c>
    </row>
    <row r="13" spans="1:21" x14ac:dyDescent="0.25">
      <c r="A13" s="451" t="s">
        <v>29</v>
      </c>
      <c r="B13" s="451"/>
      <c r="C13" s="165">
        <v>0</v>
      </c>
      <c r="D13" s="163">
        <v>0</v>
      </c>
      <c r="E13" s="210">
        <f>IF(D$29=0,C13*2,C13+D13)</f>
        <v>0</v>
      </c>
      <c r="F13" s="537">
        <f>'0664'!F13:G13</f>
        <v>1.1259999999999999</v>
      </c>
      <c r="G13" s="537"/>
      <c r="H13" s="167">
        <f>ROUND(E13*F13,4)</f>
        <v>0</v>
      </c>
      <c r="I13" s="119">
        <f t="shared" ref="I13:I28" si="0">ROUND(ROUND(H13*$C$8,4)*($H$8),2)</f>
        <v>0</v>
      </c>
      <c r="N13" s="512" t="s">
        <v>29</v>
      </c>
      <c r="O13" s="512"/>
      <c r="P13" s="513">
        <f t="shared" ref="P13:P28" si="1">IF($H$120=1,E13,0)</f>
        <v>0</v>
      </c>
      <c r="Q13" s="513"/>
      <c r="R13" s="526">
        <v>1</v>
      </c>
      <c r="S13" s="526"/>
      <c r="T13" s="98">
        <f>ROUND(P13*R13,4)</f>
        <v>0</v>
      </c>
      <c r="U13" s="99">
        <f t="shared" ref="U13:U28" si="2">ROUND(ROUND(T13*$C$8,4)*($H$8),0)</f>
        <v>0</v>
      </c>
    </row>
    <row r="14" spans="1:21" x14ac:dyDescent="0.25">
      <c r="A14" s="453" t="s">
        <v>30</v>
      </c>
      <c r="B14" s="453"/>
      <c r="C14" s="165">
        <v>0</v>
      </c>
      <c r="D14" s="165">
        <v>0</v>
      </c>
      <c r="E14" s="125">
        <f t="shared" ref="E14:E28" si="3">IF(D$29=0,C14*2,C14+D14)</f>
        <v>0</v>
      </c>
      <c r="F14" s="532">
        <f>'0664'!F14:G14</f>
        <v>1.1259999999999999</v>
      </c>
      <c r="G14" s="532"/>
      <c r="H14" s="83">
        <f t="shared" ref="H14:H28" si="4">ROUND(E14*F14,4)</f>
        <v>0</v>
      </c>
      <c r="I14" s="104">
        <f t="shared" si="0"/>
        <v>0</v>
      </c>
      <c r="J14" s="68" t="str">
        <f>IF(ROUND(E14,2)=ROUND(SUM(E50:E52),2)," ","CHECK PK-3 LINES BELOW")</f>
        <v xml:space="preserve"> </v>
      </c>
      <c r="N14" s="479" t="s">
        <v>30</v>
      </c>
      <c r="O14" s="479"/>
      <c r="P14" s="513">
        <f t="shared" si="1"/>
        <v>0</v>
      </c>
      <c r="Q14" s="513"/>
      <c r="R14" s="517">
        <v>1</v>
      </c>
      <c r="S14" s="517"/>
      <c r="T14" s="98">
        <f t="shared" ref="T14:T28" si="5">ROUND(P14*R14,4)</f>
        <v>0</v>
      </c>
      <c r="U14" s="99">
        <f t="shared" si="2"/>
        <v>0</v>
      </c>
    </row>
    <row r="15" spans="1:21" x14ac:dyDescent="0.25">
      <c r="A15" s="453" t="s">
        <v>31</v>
      </c>
      <c r="B15" s="453"/>
      <c r="C15" s="165">
        <v>0</v>
      </c>
      <c r="D15" s="165">
        <v>0</v>
      </c>
      <c r="E15" s="125">
        <f t="shared" si="3"/>
        <v>0</v>
      </c>
      <c r="F15" s="532">
        <f>'0664'!F15:G15</f>
        <v>1</v>
      </c>
      <c r="G15" s="532"/>
      <c r="H15" s="83">
        <f t="shared" si="4"/>
        <v>0</v>
      </c>
      <c r="I15" s="104">
        <f t="shared" si="0"/>
        <v>0</v>
      </c>
      <c r="N15" s="479" t="s">
        <v>31</v>
      </c>
      <c r="O15" s="479"/>
      <c r="P15" s="513">
        <f t="shared" si="1"/>
        <v>0</v>
      </c>
      <c r="Q15" s="513"/>
      <c r="R15" s="517">
        <v>1</v>
      </c>
      <c r="S15" s="517"/>
      <c r="T15" s="98">
        <f t="shared" si="5"/>
        <v>0</v>
      </c>
      <c r="U15" s="99">
        <f t="shared" si="2"/>
        <v>0</v>
      </c>
    </row>
    <row r="16" spans="1:21" x14ac:dyDescent="0.25">
      <c r="A16" s="453" t="s">
        <v>32</v>
      </c>
      <c r="B16" s="453"/>
      <c r="C16" s="165">
        <v>0</v>
      </c>
      <c r="D16" s="165">
        <v>0</v>
      </c>
      <c r="E16" s="125">
        <f t="shared" si="3"/>
        <v>0</v>
      </c>
      <c r="F16" s="532">
        <f>'0664'!F16:G16</f>
        <v>1</v>
      </c>
      <c r="G16" s="532"/>
      <c r="H16" s="83">
        <f t="shared" si="4"/>
        <v>0</v>
      </c>
      <c r="I16" s="104">
        <f t="shared" si="0"/>
        <v>0</v>
      </c>
      <c r="J16" s="68" t="str">
        <f>IF(ROUND(E16,2)=ROUND(SUM(E53:E55),2)," ","CHECK 4-8 LINES BELOW")</f>
        <v xml:space="preserve"> </v>
      </c>
      <c r="N16" s="479" t="s">
        <v>32</v>
      </c>
      <c r="O16" s="479"/>
      <c r="P16" s="513">
        <f t="shared" si="1"/>
        <v>0</v>
      </c>
      <c r="Q16" s="513"/>
      <c r="R16" s="517">
        <v>1</v>
      </c>
      <c r="S16" s="517"/>
      <c r="T16" s="98">
        <f t="shared" si="5"/>
        <v>0</v>
      </c>
      <c r="U16" s="99">
        <f t="shared" si="2"/>
        <v>0</v>
      </c>
    </row>
    <row r="17" spans="1:21" x14ac:dyDescent="0.25">
      <c r="A17" s="453" t="s">
        <v>33</v>
      </c>
      <c r="B17" s="453"/>
      <c r="C17" s="165">
        <v>452.59</v>
      </c>
      <c r="D17" s="165">
        <v>446.86</v>
      </c>
      <c r="E17" s="125">
        <f t="shared" si="3"/>
        <v>899.45</v>
      </c>
      <c r="F17" s="532">
        <f>'0664'!F17:G17</f>
        <v>0.999</v>
      </c>
      <c r="G17" s="532"/>
      <c r="H17" s="83">
        <f t="shared" si="4"/>
        <v>898.55060000000003</v>
      </c>
      <c r="I17" s="104">
        <f t="shared" si="0"/>
        <v>4302555.1100000003</v>
      </c>
      <c r="N17" s="479" t="s">
        <v>33</v>
      </c>
      <c r="O17" s="479"/>
      <c r="P17" s="513">
        <f t="shared" si="1"/>
        <v>0</v>
      </c>
      <c r="Q17" s="513"/>
      <c r="R17" s="517">
        <v>1</v>
      </c>
      <c r="S17" s="517"/>
      <c r="T17" s="98">
        <f t="shared" si="5"/>
        <v>0</v>
      </c>
      <c r="U17" s="99">
        <f t="shared" si="2"/>
        <v>0</v>
      </c>
    </row>
    <row r="18" spans="1:21" x14ac:dyDescent="0.25">
      <c r="A18" s="453" t="s">
        <v>34</v>
      </c>
      <c r="B18" s="453"/>
      <c r="C18" s="165">
        <v>41.68</v>
      </c>
      <c r="D18" s="165">
        <v>38.9</v>
      </c>
      <c r="E18" s="125">
        <f t="shared" si="3"/>
        <v>80.58</v>
      </c>
      <c r="F18" s="532">
        <f>'0664'!F18:G18</f>
        <v>0.999</v>
      </c>
      <c r="G18" s="532"/>
      <c r="H18" s="83">
        <f t="shared" si="4"/>
        <v>80.499399999999994</v>
      </c>
      <c r="I18" s="104">
        <f t="shared" si="0"/>
        <v>385457.54</v>
      </c>
      <c r="J18" s="68" t="str">
        <f>IF(ROUND(E18,2)=ROUND(SUM(E56:E58),2)," ","CHECK 4-8 LINES BELOW")</f>
        <v xml:space="preserve"> </v>
      </c>
      <c r="N18" s="479" t="s">
        <v>34</v>
      </c>
      <c r="O18" s="479"/>
      <c r="P18" s="513">
        <f t="shared" si="1"/>
        <v>0</v>
      </c>
      <c r="Q18" s="513"/>
      <c r="R18" s="517">
        <v>1</v>
      </c>
      <c r="S18" s="517"/>
      <c r="T18" s="98">
        <f t="shared" si="5"/>
        <v>0</v>
      </c>
      <c r="U18" s="101">
        <f t="shared" si="2"/>
        <v>0</v>
      </c>
    </row>
    <row r="19" spans="1:21" x14ac:dyDescent="0.25">
      <c r="A19" s="453" t="s">
        <v>108</v>
      </c>
      <c r="B19" s="453"/>
      <c r="C19" s="165">
        <v>0</v>
      </c>
      <c r="D19" s="165">
        <v>0</v>
      </c>
      <c r="E19" s="125">
        <f t="shared" si="3"/>
        <v>0</v>
      </c>
      <c r="F19" s="532">
        <f>'0664'!F19:G19</f>
        <v>3.6739999999999999</v>
      </c>
      <c r="G19" s="532"/>
      <c r="H19" s="83">
        <f t="shared" si="4"/>
        <v>0</v>
      </c>
      <c r="I19" s="104">
        <f t="shared" si="0"/>
        <v>0</v>
      </c>
      <c r="N19" s="479" t="s">
        <v>108</v>
      </c>
      <c r="O19" s="479"/>
      <c r="P19" s="513">
        <f t="shared" si="1"/>
        <v>0</v>
      </c>
      <c r="Q19" s="513"/>
      <c r="R19" s="517">
        <v>1</v>
      </c>
      <c r="S19" s="517"/>
      <c r="T19" s="98">
        <f t="shared" si="5"/>
        <v>0</v>
      </c>
      <c r="U19" s="99">
        <f t="shared" si="2"/>
        <v>0</v>
      </c>
    </row>
    <row r="20" spans="1:21" x14ac:dyDescent="0.25">
      <c r="A20" s="453" t="s">
        <v>109</v>
      </c>
      <c r="B20" s="453"/>
      <c r="C20" s="165">
        <v>0</v>
      </c>
      <c r="D20" s="165">
        <v>0</v>
      </c>
      <c r="E20" s="125">
        <f t="shared" si="3"/>
        <v>0</v>
      </c>
      <c r="F20" s="532">
        <f>'0664'!F20:G20</f>
        <v>3.6739999999999999</v>
      </c>
      <c r="G20" s="532"/>
      <c r="H20" s="83">
        <f t="shared" si="4"/>
        <v>0</v>
      </c>
      <c r="I20" s="104">
        <f t="shared" si="0"/>
        <v>0</v>
      </c>
      <c r="N20" s="479" t="s">
        <v>109</v>
      </c>
      <c r="O20" s="479"/>
      <c r="P20" s="513">
        <f t="shared" si="1"/>
        <v>0</v>
      </c>
      <c r="Q20" s="513"/>
      <c r="R20" s="517">
        <v>1</v>
      </c>
      <c r="S20" s="517"/>
      <c r="T20" s="98">
        <f t="shared" si="5"/>
        <v>0</v>
      </c>
      <c r="U20" s="99">
        <f t="shared" si="2"/>
        <v>0</v>
      </c>
    </row>
    <row r="21" spans="1:21" x14ac:dyDescent="0.25">
      <c r="A21" s="453" t="s">
        <v>110</v>
      </c>
      <c r="B21" s="453"/>
      <c r="C21" s="165">
        <v>0</v>
      </c>
      <c r="D21" s="165">
        <v>0</v>
      </c>
      <c r="E21" s="125">
        <f t="shared" si="3"/>
        <v>0</v>
      </c>
      <c r="F21" s="532">
        <f>'0664'!F21:G21</f>
        <v>3.6739999999999999</v>
      </c>
      <c r="G21" s="532"/>
      <c r="H21" s="83">
        <f t="shared" si="4"/>
        <v>0</v>
      </c>
      <c r="I21" s="104">
        <f t="shared" si="0"/>
        <v>0</v>
      </c>
      <c r="N21" s="479" t="s">
        <v>110</v>
      </c>
      <c r="O21" s="479"/>
      <c r="P21" s="513">
        <f t="shared" si="1"/>
        <v>0</v>
      </c>
      <c r="Q21" s="513"/>
      <c r="R21" s="517">
        <v>1</v>
      </c>
      <c r="S21" s="517"/>
      <c r="T21" s="98">
        <f t="shared" si="5"/>
        <v>0</v>
      </c>
      <c r="U21" s="99">
        <f t="shared" si="2"/>
        <v>0</v>
      </c>
    </row>
    <row r="22" spans="1:21" x14ac:dyDescent="0.25">
      <c r="A22" s="453" t="s">
        <v>111</v>
      </c>
      <c r="B22" s="453"/>
      <c r="C22" s="165">
        <v>0</v>
      </c>
      <c r="D22" s="165">
        <v>0</v>
      </c>
      <c r="E22" s="125">
        <f t="shared" si="3"/>
        <v>0</v>
      </c>
      <c r="F22" s="532">
        <f>'0664'!F22:G22</f>
        <v>5.4009999999999998</v>
      </c>
      <c r="G22" s="532"/>
      <c r="H22" s="83">
        <f t="shared" si="4"/>
        <v>0</v>
      </c>
      <c r="I22" s="104">
        <f t="shared" si="0"/>
        <v>0</v>
      </c>
      <c r="N22" s="479" t="s">
        <v>111</v>
      </c>
      <c r="O22" s="479"/>
      <c r="P22" s="513">
        <f t="shared" si="1"/>
        <v>0</v>
      </c>
      <c r="Q22" s="513"/>
      <c r="R22" s="517">
        <v>1</v>
      </c>
      <c r="S22" s="517"/>
      <c r="T22" s="98">
        <f t="shared" si="5"/>
        <v>0</v>
      </c>
      <c r="U22" s="99">
        <f t="shared" si="2"/>
        <v>0</v>
      </c>
    </row>
    <row r="23" spans="1:21" x14ac:dyDescent="0.25">
      <c r="A23" s="453" t="s">
        <v>112</v>
      </c>
      <c r="B23" s="453"/>
      <c r="C23" s="165">
        <v>0</v>
      </c>
      <c r="D23" s="165">
        <v>0</v>
      </c>
      <c r="E23" s="125">
        <f t="shared" si="3"/>
        <v>0</v>
      </c>
      <c r="F23" s="532">
        <f>'0664'!F23:G23</f>
        <v>5.4009999999999998</v>
      </c>
      <c r="G23" s="532"/>
      <c r="H23" s="83">
        <f t="shared" si="4"/>
        <v>0</v>
      </c>
      <c r="I23" s="104">
        <f t="shared" si="0"/>
        <v>0</v>
      </c>
      <c r="N23" s="479" t="s">
        <v>112</v>
      </c>
      <c r="O23" s="479"/>
      <c r="P23" s="513">
        <f t="shared" si="1"/>
        <v>0</v>
      </c>
      <c r="Q23" s="513"/>
      <c r="R23" s="517">
        <v>1</v>
      </c>
      <c r="S23" s="517"/>
      <c r="T23" s="98">
        <f t="shared" si="5"/>
        <v>0</v>
      </c>
      <c r="U23" s="99">
        <f t="shared" si="2"/>
        <v>0</v>
      </c>
    </row>
    <row r="24" spans="1:21" x14ac:dyDescent="0.25">
      <c r="A24" s="453" t="s">
        <v>113</v>
      </c>
      <c r="B24" s="453"/>
      <c r="C24" s="165">
        <v>0</v>
      </c>
      <c r="D24" s="165">
        <v>0</v>
      </c>
      <c r="E24" s="125">
        <f t="shared" si="3"/>
        <v>0</v>
      </c>
      <c r="F24" s="532">
        <f>'0664'!F24:G24</f>
        <v>5.4009999999999998</v>
      </c>
      <c r="G24" s="532"/>
      <c r="H24" s="83">
        <f t="shared" si="4"/>
        <v>0</v>
      </c>
      <c r="I24" s="104">
        <f t="shared" si="0"/>
        <v>0</v>
      </c>
      <c r="N24" s="479" t="s">
        <v>113</v>
      </c>
      <c r="O24" s="479"/>
      <c r="P24" s="513">
        <f t="shared" si="1"/>
        <v>0</v>
      </c>
      <c r="Q24" s="513"/>
      <c r="R24" s="517">
        <v>1</v>
      </c>
      <c r="S24" s="517"/>
      <c r="T24" s="98">
        <f t="shared" si="5"/>
        <v>0</v>
      </c>
      <c r="U24" s="99">
        <f t="shared" si="2"/>
        <v>0</v>
      </c>
    </row>
    <row r="25" spans="1:21" x14ac:dyDescent="0.25">
      <c r="A25" s="453" t="s">
        <v>114</v>
      </c>
      <c r="B25" s="453"/>
      <c r="C25" s="165">
        <v>0</v>
      </c>
      <c r="D25" s="165">
        <v>0</v>
      </c>
      <c r="E25" s="125">
        <f t="shared" si="3"/>
        <v>0</v>
      </c>
      <c r="F25" s="532">
        <f>'0664'!F25:G25</f>
        <v>1.206</v>
      </c>
      <c r="G25" s="532"/>
      <c r="H25" s="83">
        <f t="shared" si="4"/>
        <v>0</v>
      </c>
      <c r="I25" s="104">
        <f t="shared" si="0"/>
        <v>0</v>
      </c>
      <c r="N25" s="479" t="s">
        <v>114</v>
      </c>
      <c r="O25" s="479"/>
      <c r="P25" s="513">
        <f t="shared" si="1"/>
        <v>0</v>
      </c>
      <c r="Q25" s="513"/>
      <c r="R25" s="517">
        <v>1</v>
      </c>
      <c r="S25" s="517"/>
      <c r="T25" s="98">
        <f t="shared" si="5"/>
        <v>0</v>
      </c>
      <c r="U25" s="99">
        <f t="shared" si="2"/>
        <v>0</v>
      </c>
    </row>
    <row r="26" spans="1:21" x14ac:dyDescent="0.25">
      <c r="A26" s="453" t="s">
        <v>115</v>
      </c>
      <c r="B26" s="453"/>
      <c r="C26" s="165">
        <v>0</v>
      </c>
      <c r="D26" s="165">
        <v>0</v>
      </c>
      <c r="E26" s="125">
        <f t="shared" si="3"/>
        <v>0</v>
      </c>
      <c r="F26" s="532">
        <f>'0664'!F26:G26</f>
        <v>1.206</v>
      </c>
      <c r="G26" s="532"/>
      <c r="H26" s="83">
        <f t="shared" si="4"/>
        <v>0</v>
      </c>
      <c r="I26" s="104">
        <f t="shared" si="0"/>
        <v>0</v>
      </c>
      <c r="N26" s="479" t="s">
        <v>115</v>
      </c>
      <c r="O26" s="479"/>
      <c r="P26" s="513">
        <f t="shared" si="1"/>
        <v>0</v>
      </c>
      <c r="Q26" s="513"/>
      <c r="R26" s="517">
        <v>1</v>
      </c>
      <c r="S26" s="517"/>
      <c r="T26" s="98">
        <f t="shared" si="5"/>
        <v>0</v>
      </c>
      <c r="U26" s="99">
        <f t="shared" si="2"/>
        <v>0</v>
      </c>
    </row>
    <row r="27" spans="1:21" x14ac:dyDescent="0.25">
      <c r="A27" s="453" t="s">
        <v>116</v>
      </c>
      <c r="B27" s="453"/>
      <c r="C27" s="165">
        <v>12.13</v>
      </c>
      <c r="D27" s="165">
        <v>11.07</v>
      </c>
      <c r="E27" s="125">
        <f t="shared" si="3"/>
        <v>23.200000000000003</v>
      </c>
      <c r="F27" s="532">
        <f>'0664'!F27:G27</f>
        <v>1.206</v>
      </c>
      <c r="G27" s="532"/>
      <c r="H27" s="83">
        <f t="shared" si="4"/>
        <v>27.979199999999999</v>
      </c>
      <c r="I27" s="104">
        <f t="shared" si="0"/>
        <v>133973.59</v>
      </c>
      <c r="N27" s="479" t="s">
        <v>116</v>
      </c>
      <c r="O27" s="479"/>
      <c r="P27" s="513">
        <f t="shared" si="1"/>
        <v>0</v>
      </c>
      <c r="Q27" s="513"/>
      <c r="R27" s="517">
        <v>1</v>
      </c>
      <c r="S27" s="517"/>
      <c r="T27" s="98">
        <f t="shared" si="5"/>
        <v>0</v>
      </c>
      <c r="U27" s="99">
        <f t="shared" si="2"/>
        <v>0</v>
      </c>
    </row>
    <row r="28" spans="1:21" x14ac:dyDescent="0.25">
      <c r="A28" s="453" t="s">
        <v>117</v>
      </c>
      <c r="B28" s="453"/>
      <c r="C28" s="116">
        <v>28.41</v>
      </c>
      <c r="D28" s="116">
        <v>28.7</v>
      </c>
      <c r="E28" s="177">
        <f t="shared" si="3"/>
        <v>57.11</v>
      </c>
      <c r="F28" s="532">
        <f>'0664'!F28:G28</f>
        <v>0.999</v>
      </c>
      <c r="G28" s="532"/>
      <c r="H28" s="96">
        <f t="shared" si="4"/>
        <v>57.052900000000001</v>
      </c>
      <c r="I28" s="97">
        <f t="shared" si="0"/>
        <v>273188.01</v>
      </c>
      <c r="N28" s="482" t="s">
        <v>117</v>
      </c>
      <c r="O28" s="482"/>
      <c r="P28" s="513">
        <f t="shared" si="1"/>
        <v>0</v>
      </c>
      <c r="Q28" s="513"/>
      <c r="R28" s="514">
        <v>1</v>
      </c>
      <c r="S28" s="514"/>
      <c r="T28" s="98">
        <f t="shared" si="5"/>
        <v>0</v>
      </c>
      <c r="U28" s="99">
        <f t="shared" si="2"/>
        <v>0</v>
      </c>
    </row>
    <row r="29" spans="1:21" x14ac:dyDescent="0.25">
      <c r="A29" s="461" t="s">
        <v>5</v>
      </c>
      <c r="B29" s="461"/>
      <c r="C29" s="97">
        <f>SUM(C13:C28)</f>
        <v>534.80999999999995</v>
      </c>
      <c r="D29" s="97">
        <f>SUM(D13:D28)</f>
        <v>525.53</v>
      </c>
      <c r="E29" s="97">
        <f>SUM(E13:E28)</f>
        <v>1060.3400000000001</v>
      </c>
      <c r="F29" s="457"/>
      <c r="G29" s="457"/>
      <c r="H29" s="102">
        <f>SUM(H13:H28)</f>
        <v>1064.0821000000001</v>
      </c>
      <c r="I29" s="97">
        <f>SUM(I13:I28)</f>
        <v>5095174.25</v>
      </c>
      <c r="N29" s="515" t="s">
        <v>5</v>
      </c>
      <c r="O29" s="515"/>
      <c r="P29" s="516">
        <f>SUM(P13:P28)</f>
        <v>0</v>
      </c>
      <c r="Q29" s="516"/>
      <c r="R29" s="508"/>
      <c r="S29" s="508"/>
      <c r="T29" s="103">
        <f>SUM(T13:T28)</f>
        <v>0</v>
      </c>
      <c r="U29" s="99">
        <f>SUM(U13:U28)</f>
        <v>0</v>
      </c>
    </row>
    <row r="30" spans="1:21" x14ac:dyDescent="0.25">
      <c r="A30" s="27"/>
      <c r="B30" s="27"/>
      <c r="C30" s="104"/>
      <c r="D30" s="104"/>
      <c r="E30" s="104"/>
      <c r="F30" s="28"/>
      <c r="G30" s="28"/>
      <c r="H30" s="83"/>
      <c r="I30" s="104"/>
      <c r="N30" s="29"/>
      <c r="O30" s="29"/>
      <c r="P30" s="30"/>
      <c r="Q30" s="30"/>
      <c r="R30" s="31"/>
      <c r="S30" s="31"/>
      <c r="T30" s="105"/>
      <c r="U30" s="106"/>
    </row>
    <row r="31" spans="1:21" x14ac:dyDescent="0.25">
      <c r="A31" s="168" t="s">
        <v>97</v>
      </c>
      <c r="B31" s="27"/>
      <c r="C31" s="104"/>
      <c r="D31" s="104"/>
      <c r="E31" s="104"/>
      <c r="F31" s="28"/>
      <c r="G31" s="28"/>
      <c r="H31" s="83"/>
      <c r="I31" s="104"/>
      <c r="N31" s="29"/>
      <c r="O31" s="29"/>
      <c r="P31" s="30"/>
      <c r="Q31" s="30"/>
      <c r="R31" s="31"/>
      <c r="S31" s="31"/>
      <c r="T31" s="105"/>
      <c r="U31" s="106"/>
    </row>
    <row r="32" spans="1:21" hidden="1" x14ac:dyDescent="0.25">
      <c r="A32" s="168"/>
      <c r="B32" s="27"/>
      <c r="C32" s="104"/>
      <c r="D32" s="104"/>
      <c r="E32" s="104"/>
      <c r="F32" s="28"/>
      <c r="G32" s="28"/>
      <c r="H32" s="83"/>
      <c r="I32" s="104"/>
      <c r="N32" s="29"/>
      <c r="O32" s="29"/>
      <c r="P32" s="30"/>
      <c r="Q32" s="30"/>
      <c r="R32" s="31"/>
      <c r="S32" s="31"/>
      <c r="T32" s="105"/>
      <c r="U32" s="106"/>
    </row>
    <row r="33" spans="1:21" hidden="1" x14ac:dyDescent="0.25">
      <c r="A33" s="168"/>
      <c r="B33" s="27"/>
      <c r="C33" s="104"/>
      <c r="D33" s="104"/>
      <c r="E33" s="104"/>
      <c r="F33" s="541" t="s">
        <v>282</v>
      </c>
      <c r="G33" s="541"/>
      <c r="H33" s="541"/>
      <c r="I33" s="104"/>
      <c r="N33" s="29"/>
      <c r="O33" s="29"/>
      <c r="P33" s="30"/>
      <c r="Q33" s="30"/>
      <c r="R33" s="31"/>
      <c r="S33" s="31"/>
      <c r="T33" s="105"/>
      <c r="U33" s="106"/>
    </row>
    <row r="34" spans="1:21" hidden="1" x14ac:dyDescent="0.25">
      <c r="A34" s="3"/>
      <c r="B34" s="72"/>
      <c r="C34" s="72"/>
      <c r="D34" s="72"/>
      <c r="E34" s="72"/>
      <c r="F34" s="541"/>
      <c r="G34" s="541"/>
      <c r="H34" s="541"/>
      <c r="I34" s="25" t="s">
        <v>74</v>
      </c>
      <c r="N34" s="485" t="s">
        <v>35</v>
      </c>
      <c r="O34" s="485"/>
      <c r="P34" s="485"/>
      <c r="Q34" s="485"/>
      <c r="R34" s="485"/>
      <c r="S34" s="485"/>
      <c r="T34" s="485"/>
      <c r="U34" s="26" t="s">
        <v>74</v>
      </c>
    </row>
    <row r="35" spans="1:21" hidden="1" x14ac:dyDescent="0.25">
      <c r="A35" s="27"/>
      <c r="B35" s="27"/>
      <c r="C35" s="91" t="s">
        <v>124</v>
      </c>
      <c r="D35" s="91" t="s">
        <v>125</v>
      </c>
      <c r="E35" s="92" t="s">
        <v>8</v>
      </c>
      <c r="F35" s="541"/>
      <c r="G35" s="541"/>
      <c r="H35" s="541"/>
      <c r="I35" s="25" t="s">
        <v>36</v>
      </c>
      <c r="N35" s="29"/>
      <c r="O35" s="29"/>
      <c r="P35" s="30"/>
      <c r="Q35" s="30"/>
      <c r="R35" s="31"/>
      <c r="S35" s="31"/>
      <c r="T35" s="105"/>
      <c r="U35" s="26" t="s">
        <v>36</v>
      </c>
    </row>
    <row r="36" spans="1:21" hidden="1" x14ac:dyDescent="0.25">
      <c r="A36" s="447" t="s">
        <v>63</v>
      </c>
      <c r="B36" s="447"/>
      <c r="C36" s="93" t="s">
        <v>2</v>
      </c>
      <c r="D36" s="93" t="s">
        <v>2</v>
      </c>
      <c r="E36" s="93" t="s">
        <v>2</v>
      </c>
      <c r="F36" s="542"/>
      <c r="G36" s="542"/>
      <c r="H36" s="542"/>
      <c r="I36" s="32" t="s">
        <v>75</v>
      </c>
      <c r="N36" s="510" t="s">
        <v>63</v>
      </c>
      <c r="O36" s="510"/>
      <c r="P36" s="511" t="s">
        <v>24</v>
      </c>
      <c r="Q36" s="511"/>
      <c r="R36" s="511"/>
      <c r="S36" s="511"/>
      <c r="T36" s="511"/>
      <c r="U36" s="20" t="s">
        <v>75</v>
      </c>
    </row>
    <row r="37" spans="1:21" hidden="1" x14ac:dyDescent="0.25">
      <c r="A37" s="451" t="s">
        <v>56</v>
      </c>
      <c r="B37" s="451"/>
      <c r="C37" s="169">
        <v>0</v>
      </c>
      <c r="D37" s="169">
        <v>0</v>
      </c>
      <c r="E37" s="210">
        <f t="shared" ref="E37:E42" si="6">IF(D$43=0,C37*2,C37+D37)</f>
        <v>0</v>
      </c>
      <c r="F37" s="170"/>
      <c r="G37" s="170"/>
      <c r="H37" s="170"/>
      <c r="I37" s="119">
        <f t="shared" ref="I37:I42" si="7">ROUND(ROUND(E37*$C$8,4)*($H$8),2)</f>
        <v>0</v>
      </c>
      <c r="N37" s="512" t="s">
        <v>56</v>
      </c>
      <c r="O37" s="512"/>
      <c r="P37" s="483">
        <f t="shared" ref="P37:P42" si="8">IF($H$120=1,E37,0)</f>
        <v>0</v>
      </c>
      <c r="Q37" s="483"/>
      <c r="R37" s="483"/>
      <c r="S37" s="483"/>
      <c r="T37" s="483"/>
      <c r="U37" s="101">
        <f t="shared" ref="U37:U42" si="9">ROUND(ROUND(P37*$C$8,4)*($H$8),0)</f>
        <v>0</v>
      </c>
    </row>
    <row r="38" spans="1:21" hidden="1" x14ac:dyDescent="0.25">
      <c r="A38" s="453" t="s">
        <v>57</v>
      </c>
      <c r="B38" s="453"/>
      <c r="C38" s="172">
        <v>0</v>
      </c>
      <c r="D38" s="172">
        <v>0</v>
      </c>
      <c r="E38" s="125">
        <f t="shared" si="6"/>
        <v>0</v>
      </c>
      <c r="F38" s="173"/>
      <c r="G38" s="173"/>
      <c r="H38" s="173"/>
      <c r="I38" s="104">
        <f t="shared" si="7"/>
        <v>0</v>
      </c>
      <c r="N38" s="479" t="s">
        <v>57</v>
      </c>
      <c r="O38" s="479"/>
      <c r="P38" s="483">
        <f t="shared" si="8"/>
        <v>0</v>
      </c>
      <c r="Q38" s="483"/>
      <c r="R38" s="483"/>
      <c r="S38" s="483"/>
      <c r="T38" s="483"/>
      <c r="U38" s="101">
        <f t="shared" si="9"/>
        <v>0</v>
      </c>
    </row>
    <row r="39" spans="1:21" hidden="1" x14ac:dyDescent="0.25">
      <c r="A39" s="458" t="s">
        <v>58</v>
      </c>
      <c r="B39" s="458"/>
      <c r="C39" s="172">
        <v>0</v>
      </c>
      <c r="D39" s="172">
        <v>0</v>
      </c>
      <c r="E39" s="125">
        <f t="shared" si="6"/>
        <v>0</v>
      </c>
      <c r="F39" s="173"/>
      <c r="G39" s="173"/>
      <c r="H39" s="173"/>
      <c r="I39" s="104">
        <f t="shared" si="7"/>
        <v>0</v>
      </c>
      <c r="N39" s="509" t="s">
        <v>58</v>
      </c>
      <c r="O39" s="509"/>
      <c r="P39" s="483">
        <f t="shared" si="8"/>
        <v>0</v>
      </c>
      <c r="Q39" s="483"/>
      <c r="R39" s="483"/>
      <c r="S39" s="483"/>
      <c r="T39" s="483"/>
      <c r="U39" s="101">
        <f t="shared" si="9"/>
        <v>0</v>
      </c>
    </row>
    <row r="40" spans="1:21" hidden="1" x14ac:dyDescent="0.25">
      <c r="A40" s="453" t="s">
        <v>59</v>
      </c>
      <c r="B40" s="453"/>
      <c r="C40" s="172">
        <v>0</v>
      </c>
      <c r="D40" s="172">
        <v>0</v>
      </c>
      <c r="E40" s="125">
        <f t="shared" si="6"/>
        <v>0</v>
      </c>
      <c r="F40" s="173"/>
      <c r="G40" s="173"/>
      <c r="H40" s="173"/>
      <c r="I40" s="104">
        <f t="shared" si="7"/>
        <v>0</v>
      </c>
      <c r="N40" s="479" t="s">
        <v>59</v>
      </c>
      <c r="O40" s="479"/>
      <c r="P40" s="483">
        <f t="shared" si="8"/>
        <v>0</v>
      </c>
      <c r="Q40" s="483"/>
      <c r="R40" s="483"/>
      <c r="S40" s="483"/>
      <c r="T40" s="483"/>
      <c r="U40" s="101">
        <f t="shared" si="9"/>
        <v>0</v>
      </c>
    </row>
    <row r="41" spans="1:21" hidden="1" x14ac:dyDescent="0.25">
      <c r="A41" s="453" t="s">
        <v>60</v>
      </c>
      <c r="B41" s="453"/>
      <c r="C41" s="172">
        <v>0</v>
      </c>
      <c r="D41" s="172">
        <v>0</v>
      </c>
      <c r="E41" s="125">
        <f t="shared" si="6"/>
        <v>0</v>
      </c>
      <c r="F41" s="173"/>
      <c r="G41" s="173"/>
      <c r="H41" s="173"/>
      <c r="I41" s="104">
        <f t="shared" si="7"/>
        <v>0</v>
      </c>
      <c r="N41" s="479" t="s">
        <v>60</v>
      </c>
      <c r="O41" s="479"/>
      <c r="P41" s="483">
        <f t="shared" si="8"/>
        <v>0</v>
      </c>
      <c r="Q41" s="483"/>
      <c r="R41" s="483"/>
      <c r="S41" s="483"/>
      <c r="T41" s="483"/>
      <c r="U41" s="101">
        <f t="shared" si="9"/>
        <v>0</v>
      </c>
    </row>
    <row r="42" spans="1:21" hidden="1" x14ac:dyDescent="0.25">
      <c r="A42" s="453" t="s">
        <v>52</v>
      </c>
      <c r="B42" s="453"/>
      <c r="C42" s="171">
        <v>0</v>
      </c>
      <c r="D42" s="171">
        <v>0</v>
      </c>
      <c r="E42" s="177">
        <f t="shared" si="6"/>
        <v>0</v>
      </c>
      <c r="F42" s="173"/>
      <c r="G42" s="173"/>
      <c r="H42" s="173"/>
      <c r="I42" s="97">
        <f t="shared" si="7"/>
        <v>0</v>
      </c>
      <c r="N42" s="482" t="s">
        <v>52</v>
      </c>
      <c r="O42" s="482"/>
      <c r="P42" s="483">
        <f t="shared" si="8"/>
        <v>0</v>
      </c>
      <c r="Q42" s="483"/>
      <c r="R42" s="483"/>
      <c r="S42" s="483"/>
      <c r="T42" s="483"/>
      <c r="U42" s="101">
        <f t="shared" si="9"/>
        <v>0</v>
      </c>
    </row>
    <row r="43" spans="1:21" hidden="1" x14ac:dyDescent="0.25">
      <c r="A43" s="3"/>
      <c r="B43" s="55" t="s">
        <v>126</v>
      </c>
      <c r="C43" s="100">
        <f>SUM(C37:C42)</f>
        <v>0</v>
      </c>
      <c r="D43" s="100">
        <f>SUM(D37:D42)</f>
        <v>0</v>
      </c>
      <c r="E43" s="100">
        <f>SUM(E37:E42)</f>
        <v>0</v>
      </c>
      <c r="F43" s="33"/>
      <c r="G43" s="109"/>
      <c r="H43" s="110" t="s">
        <v>128</v>
      </c>
      <c r="I43" s="100">
        <f>SUM(I37:I42)</f>
        <v>0</v>
      </c>
      <c r="N43" s="480" t="s">
        <v>54</v>
      </c>
      <c r="O43" s="480"/>
      <c r="P43" s="480"/>
      <c r="Q43" s="480"/>
      <c r="R43" s="34">
        <f>SUM(P37:R42)</f>
        <v>0</v>
      </c>
      <c r="S43" s="508" t="s">
        <v>64</v>
      </c>
      <c r="T43" s="508"/>
      <c r="U43" s="106">
        <f>SUM(U37:U42)</f>
        <v>0</v>
      </c>
    </row>
    <row r="44" spans="1:21" ht="16.5" hidden="1" thickBot="1" x14ac:dyDescent="0.3">
      <c r="A44" s="3"/>
      <c r="B44" s="55"/>
      <c r="C44" s="104"/>
      <c r="D44" s="104"/>
      <c r="E44" s="119"/>
      <c r="F44" s="33"/>
      <c r="G44" s="109"/>
      <c r="H44" s="110"/>
      <c r="I44" s="104"/>
      <c r="N44" s="29"/>
      <c r="O44" s="29"/>
      <c r="P44" s="29"/>
      <c r="Q44" s="29"/>
      <c r="R44" s="34"/>
      <c r="S44" s="31"/>
      <c r="T44" s="31"/>
      <c r="U44" s="106"/>
    </row>
    <row r="45" spans="1:21" ht="16.5" hidden="1" thickBot="1" x14ac:dyDescent="0.3">
      <c r="A45" s="3"/>
      <c r="B45" s="55" t="s">
        <v>127</v>
      </c>
      <c r="E45" s="174">
        <f>H29+E43</f>
        <v>1064.0821000000001</v>
      </c>
      <c r="F45" s="35"/>
      <c r="G45" s="109"/>
      <c r="H45" s="110" t="s">
        <v>129</v>
      </c>
      <c r="I45" s="97">
        <f>SUM(I43,I29)</f>
        <v>5095174.25</v>
      </c>
      <c r="N45" s="480" t="s">
        <v>55</v>
      </c>
      <c r="O45" s="480"/>
      <c r="P45" s="480"/>
      <c r="Q45" s="480"/>
      <c r="R45" s="36">
        <f>R43+T29</f>
        <v>0</v>
      </c>
      <c r="S45" s="508" t="s">
        <v>53</v>
      </c>
      <c r="T45" s="508"/>
      <c r="U45" s="111">
        <f>SUM(U43,U29)</f>
        <v>0</v>
      </c>
    </row>
    <row r="46" spans="1:21" hidden="1" x14ac:dyDescent="0.25">
      <c r="A46" s="27"/>
      <c r="B46" s="27"/>
      <c r="C46" s="27"/>
      <c r="D46" s="27"/>
      <c r="E46" s="27"/>
      <c r="F46" s="35"/>
      <c r="G46" s="28"/>
      <c r="H46" s="28"/>
      <c r="I46" s="104"/>
      <c r="N46" s="29"/>
      <c r="O46" s="29"/>
      <c r="P46" s="29"/>
      <c r="Q46" s="29"/>
      <c r="R46" s="36"/>
      <c r="S46" s="31"/>
      <c r="T46" s="31"/>
      <c r="U46" s="106"/>
    </row>
    <row r="47" spans="1:21" x14ac:dyDescent="0.25">
      <c r="A47" s="27"/>
      <c r="B47" s="55" t="s">
        <v>370</v>
      </c>
      <c r="C47" s="372" t="s">
        <v>370</v>
      </c>
      <c r="D47" s="372" t="s">
        <v>370</v>
      </c>
      <c r="E47" s="27"/>
      <c r="F47" s="35"/>
      <c r="G47" s="28"/>
      <c r="H47" s="28"/>
      <c r="I47" s="104"/>
      <c r="N47" s="29"/>
      <c r="O47" s="29"/>
      <c r="P47" s="29"/>
      <c r="Q47" s="29"/>
      <c r="R47" s="36"/>
      <c r="S47" s="31"/>
      <c r="T47" s="31"/>
      <c r="U47" s="106"/>
    </row>
    <row r="48" spans="1:21" x14ac:dyDescent="0.25">
      <c r="A48" s="27"/>
      <c r="B48" s="27"/>
      <c r="C48" s="91" t="s">
        <v>463</v>
      </c>
      <c r="D48" s="371" t="s">
        <v>464</v>
      </c>
      <c r="E48" s="92" t="s">
        <v>8</v>
      </c>
      <c r="F48" s="49" t="s">
        <v>130</v>
      </c>
      <c r="G48" s="112" t="s">
        <v>132</v>
      </c>
      <c r="H48" s="113" t="s">
        <v>133</v>
      </c>
      <c r="I48" s="104"/>
      <c r="N48" s="29"/>
      <c r="O48" s="29"/>
      <c r="P48" s="29"/>
      <c r="Q48" s="29"/>
      <c r="R48" s="36"/>
      <c r="S48" s="31"/>
      <c r="T48" s="31"/>
      <c r="U48" s="106"/>
    </row>
    <row r="49" spans="1:21" x14ac:dyDescent="0.25">
      <c r="A49" s="37" t="s">
        <v>87</v>
      </c>
      <c r="B49" s="37"/>
      <c r="C49" s="362" t="s">
        <v>2</v>
      </c>
      <c r="D49" s="362" t="s">
        <v>2</v>
      </c>
      <c r="E49" s="362" t="s">
        <v>2</v>
      </c>
      <c r="F49" s="95" t="s">
        <v>131</v>
      </c>
      <c r="G49" s="62" t="s">
        <v>131</v>
      </c>
      <c r="H49" s="114" t="s">
        <v>134</v>
      </c>
      <c r="I49" s="37"/>
      <c r="N49" s="482" t="s">
        <v>87</v>
      </c>
      <c r="O49" s="482"/>
      <c r="P49" s="503" t="s">
        <v>2</v>
      </c>
      <c r="Q49" s="503"/>
      <c r="R49" s="38" t="s">
        <v>25</v>
      </c>
      <c r="S49" s="63" t="s">
        <v>26</v>
      </c>
      <c r="T49" s="115" t="s">
        <v>27</v>
      </c>
      <c r="U49" s="38"/>
    </row>
    <row r="50" spans="1:21" x14ac:dyDescent="0.25">
      <c r="A50" s="459" t="s">
        <v>98</v>
      </c>
      <c r="B50" s="459"/>
      <c r="C50" s="165">
        <v>0</v>
      </c>
      <c r="D50" s="165">
        <v>0</v>
      </c>
      <c r="E50" s="125">
        <f>IF(D$59=0,C50*2,C50+D50)</f>
        <v>0</v>
      </c>
      <c r="F50" s="39" t="s">
        <v>21</v>
      </c>
      <c r="G50" s="39">
        <v>251</v>
      </c>
      <c r="H50" s="321">
        <f>'0664'!H50</f>
        <v>1047</v>
      </c>
      <c r="I50" s="104">
        <f>ROUND(E50*H50,2)</f>
        <v>0</v>
      </c>
      <c r="N50" s="504" t="s">
        <v>28</v>
      </c>
      <c r="O50" s="504"/>
      <c r="P50" s="505"/>
      <c r="Q50" s="505"/>
      <c r="R50" s="40" t="s">
        <v>21</v>
      </c>
      <c r="S50" s="40">
        <v>251</v>
      </c>
      <c r="T50" s="117">
        <f>H50</f>
        <v>1047</v>
      </c>
      <c r="U50" s="118">
        <f>ROUND(P50*T50,0)</f>
        <v>0</v>
      </c>
    </row>
    <row r="51" spans="1:21" x14ac:dyDescent="0.25">
      <c r="A51" s="460"/>
      <c r="B51" s="460"/>
      <c r="C51" s="165">
        <v>0</v>
      </c>
      <c r="D51" s="165">
        <v>0</v>
      </c>
      <c r="E51" s="125">
        <f t="shared" ref="E51:E58" si="10">IF(D$59=0,C51*2,C51+D51)</f>
        <v>0</v>
      </c>
      <c r="F51" s="39" t="s">
        <v>21</v>
      </c>
      <c r="G51" s="39">
        <v>252</v>
      </c>
      <c r="H51" s="321">
        <f>'0664'!H51</f>
        <v>3380</v>
      </c>
      <c r="I51" s="104">
        <f t="shared" ref="I51:I58" si="11">ROUND(E51*H51,2)</f>
        <v>0</v>
      </c>
      <c r="N51" s="504"/>
      <c r="O51" s="504"/>
      <c r="P51" s="506"/>
      <c r="Q51" s="506"/>
      <c r="R51" s="40" t="s">
        <v>21</v>
      </c>
      <c r="S51" s="40">
        <v>252</v>
      </c>
      <c r="T51" s="117">
        <f t="shared" ref="T51:T58" si="12">H51</f>
        <v>3380</v>
      </c>
      <c r="U51" s="118">
        <f t="shared" ref="U51:U58" si="13">ROUND(P51*T51,0)</f>
        <v>0</v>
      </c>
    </row>
    <row r="52" spans="1:21" x14ac:dyDescent="0.25">
      <c r="A52" s="460"/>
      <c r="B52" s="460"/>
      <c r="C52" s="165">
        <v>0</v>
      </c>
      <c r="D52" s="165">
        <v>0</v>
      </c>
      <c r="E52" s="125">
        <f t="shared" si="10"/>
        <v>0</v>
      </c>
      <c r="F52" s="39" t="s">
        <v>21</v>
      </c>
      <c r="G52" s="39">
        <v>253</v>
      </c>
      <c r="H52" s="321">
        <f>'0664'!H52</f>
        <v>6896</v>
      </c>
      <c r="I52" s="104">
        <f t="shared" si="11"/>
        <v>0</v>
      </c>
      <c r="N52" s="504"/>
      <c r="O52" s="504"/>
      <c r="P52" s="506"/>
      <c r="Q52" s="506"/>
      <c r="R52" s="40" t="s">
        <v>21</v>
      </c>
      <c r="S52" s="40">
        <v>253</v>
      </c>
      <c r="T52" s="117">
        <f t="shared" si="12"/>
        <v>6896</v>
      </c>
      <c r="U52" s="118">
        <f t="shared" si="13"/>
        <v>0</v>
      </c>
    </row>
    <row r="53" spans="1:21" x14ac:dyDescent="0.25">
      <c r="A53" s="460"/>
      <c r="B53" s="460"/>
      <c r="C53" s="165">
        <v>0</v>
      </c>
      <c r="D53" s="165">
        <v>0</v>
      </c>
      <c r="E53" s="125">
        <f t="shared" si="10"/>
        <v>0</v>
      </c>
      <c r="F53" s="41" t="s">
        <v>14</v>
      </c>
      <c r="G53" s="39">
        <v>251</v>
      </c>
      <c r="H53" s="321">
        <f>'0664'!H53</f>
        <v>1173</v>
      </c>
      <c r="I53" s="104">
        <f t="shared" si="11"/>
        <v>0</v>
      </c>
      <c r="N53" s="504"/>
      <c r="O53" s="504"/>
      <c r="P53" s="506"/>
      <c r="Q53" s="506"/>
      <c r="R53" s="42" t="s">
        <v>14</v>
      </c>
      <c r="S53" s="40">
        <v>251</v>
      </c>
      <c r="T53" s="117">
        <f t="shared" si="12"/>
        <v>1173</v>
      </c>
      <c r="U53" s="118">
        <f t="shared" si="13"/>
        <v>0</v>
      </c>
    </row>
    <row r="54" spans="1:21" x14ac:dyDescent="0.25">
      <c r="A54" s="460"/>
      <c r="B54" s="460"/>
      <c r="C54" s="165">
        <v>0</v>
      </c>
      <c r="D54" s="165">
        <v>0</v>
      </c>
      <c r="E54" s="125">
        <f t="shared" si="10"/>
        <v>0</v>
      </c>
      <c r="F54" s="41" t="s">
        <v>14</v>
      </c>
      <c r="G54" s="39">
        <v>252</v>
      </c>
      <c r="H54" s="321">
        <f>'0664'!H54</f>
        <v>3506</v>
      </c>
      <c r="I54" s="104">
        <f t="shared" si="11"/>
        <v>0</v>
      </c>
      <c r="N54" s="504"/>
      <c r="O54" s="504"/>
      <c r="P54" s="506"/>
      <c r="Q54" s="506"/>
      <c r="R54" s="42" t="s">
        <v>14</v>
      </c>
      <c r="S54" s="40">
        <v>252</v>
      </c>
      <c r="T54" s="117">
        <f t="shared" si="12"/>
        <v>3506</v>
      </c>
      <c r="U54" s="118">
        <f t="shared" si="13"/>
        <v>0</v>
      </c>
    </row>
    <row r="55" spans="1:21" x14ac:dyDescent="0.25">
      <c r="A55" s="460"/>
      <c r="B55" s="460"/>
      <c r="C55" s="165">
        <v>0</v>
      </c>
      <c r="D55" s="165">
        <v>0</v>
      </c>
      <c r="E55" s="125">
        <f t="shared" si="10"/>
        <v>0</v>
      </c>
      <c r="F55" s="41" t="s">
        <v>14</v>
      </c>
      <c r="G55" s="39">
        <v>253</v>
      </c>
      <c r="H55" s="321">
        <f>'0664'!H55</f>
        <v>7023</v>
      </c>
      <c r="I55" s="104">
        <f t="shared" si="11"/>
        <v>0</v>
      </c>
      <c r="N55" s="504"/>
      <c r="O55" s="504"/>
      <c r="P55" s="506"/>
      <c r="Q55" s="506"/>
      <c r="R55" s="42" t="s">
        <v>14</v>
      </c>
      <c r="S55" s="40">
        <v>253</v>
      </c>
      <c r="T55" s="117">
        <f t="shared" si="12"/>
        <v>7023</v>
      </c>
      <c r="U55" s="118">
        <f t="shared" si="13"/>
        <v>0</v>
      </c>
    </row>
    <row r="56" spans="1:21" x14ac:dyDescent="0.25">
      <c r="A56" s="460"/>
      <c r="B56" s="460"/>
      <c r="C56" s="165">
        <v>41.18</v>
      </c>
      <c r="D56" s="165">
        <v>38.43</v>
      </c>
      <c r="E56" s="125">
        <f t="shared" si="10"/>
        <v>79.61</v>
      </c>
      <c r="F56" s="41" t="s">
        <v>15</v>
      </c>
      <c r="G56" s="39">
        <v>251</v>
      </c>
      <c r="H56" s="321">
        <f>'0664'!H56</f>
        <v>835</v>
      </c>
      <c r="I56" s="104">
        <f t="shared" si="11"/>
        <v>66474.350000000006</v>
      </c>
      <c r="N56" s="504"/>
      <c r="O56" s="504"/>
      <c r="P56" s="506"/>
      <c r="Q56" s="506"/>
      <c r="R56" s="42" t="s">
        <v>15</v>
      </c>
      <c r="S56" s="40">
        <v>251</v>
      </c>
      <c r="T56" s="117">
        <f t="shared" si="12"/>
        <v>835</v>
      </c>
      <c r="U56" s="118">
        <f t="shared" si="13"/>
        <v>0</v>
      </c>
    </row>
    <row r="57" spans="1:21" x14ac:dyDescent="0.25">
      <c r="A57" s="460"/>
      <c r="B57" s="460"/>
      <c r="C57" s="165">
        <v>0.5</v>
      </c>
      <c r="D57" s="165">
        <v>0.47</v>
      </c>
      <c r="E57" s="125">
        <f t="shared" si="10"/>
        <v>0.97</v>
      </c>
      <c r="F57" s="41" t="s">
        <v>15</v>
      </c>
      <c r="G57" s="39">
        <v>252</v>
      </c>
      <c r="H57" s="321">
        <f>'0664'!H57</f>
        <v>3168</v>
      </c>
      <c r="I57" s="104">
        <f t="shared" si="11"/>
        <v>3072.96</v>
      </c>
      <c r="N57" s="504"/>
      <c r="O57" s="504"/>
      <c r="P57" s="506"/>
      <c r="Q57" s="506"/>
      <c r="R57" s="42" t="s">
        <v>15</v>
      </c>
      <c r="S57" s="40">
        <v>252</v>
      </c>
      <c r="T57" s="117">
        <f t="shared" si="12"/>
        <v>3168</v>
      </c>
      <c r="U57" s="118">
        <f t="shared" si="13"/>
        <v>0</v>
      </c>
    </row>
    <row r="58" spans="1:21" ht="16.5" thickBot="1" x14ac:dyDescent="0.3">
      <c r="A58" s="460"/>
      <c r="B58" s="460"/>
      <c r="C58" s="165">
        <v>0</v>
      </c>
      <c r="D58" s="165">
        <v>0</v>
      </c>
      <c r="E58" s="125">
        <f t="shared" si="10"/>
        <v>0</v>
      </c>
      <c r="F58" s="41" t="s">
        <v>15</v>
      </c>
      <c r="G58" s="39">
        <v>253</v>
      </c>
      <c r="H58" s="321">
        <f>'0664'!H58</f>
        <v>6685</v>
      </c>
      <c r="I58" s="104">
        <f t="shared" si="11"/>
        <v>0</v>
      </c>
      <c r="N58" s="504"/>
      <c r="O58" s="504"/>
      <c r="P58" s="507"/>
      <c r="Q58" s="507"/>
      <c r="R58" s="42" t="s">
        <v>15</v>
      </c>
      <c r="S58" s="40">
        <v>253</v>
      </c>
      <c r="T58" s="117">
        <f t="shared" si="12"/>
        <v>6685</v>
      </c>
      <c r="U58" s="120">
        <f t="shared" si="13"/>
        <v>0</v>
      </c>
    </row>
    <row r="59" spans="1:21" ht="16.5" thickBot="1" x14ac:dyDescent="0.3">
      <c r="A59" s="461" t="s">
        <v>16</v>
      </c>
      <c r="B59" s="461"/>
      <c r="C59" s="100">
        <f>SUM(C50:C58)</f>
        <v>41.68</v>
      </c>
      <c r="D59" s="100">
        <f>SUM(D50:D58)</f>
        <v>38.9</v>
      </c>
      <c r="E59" s="100">
        <f>SUM(E50:E58)</f>
        <v>80.58</v>
      </c>
      <c r="F59" s="461" t="s">
        <v>77</v>
      </c>
      <c r="G59" s="461"/>
      <c r="H59" s="461"/>
      <c r="I59" s="100">
        <f>SUM(I50:I58)</f>
        <v>69547.310000000012</v>
      </c>
      <c r="N59" s="480" t="s">
        <v>16</v>
      </c>
      <c r="O59" s="480"/>
      <c r="P59" s="502">
        <f>SUM(P50:P58)</f>
        <v>0</v>
      </c>
      <c r="Q59" s="502"/>
      <c r="R59" s="480" t="s">
        <v>77</v>
      </c>
      <c r="S59" s="480"/>
      <c r="T59" s="480"/>
      <c r="U59" s="111">
        <f>SUM(U50:U58)</f>
        <v>0</v>
      </c>
    </row>
    <row r="60" spans="1:21" x14ac:dyDescent="0.25">
      <c r="A60" s="462"/>
      <c r="B60" s="462"/>
      <c r="C60" s="462"/>
      <c r="D60" s="462"/>
      <c r="E60" s="462"/>
      <c r="F60" s="462"/>
      <c r="G60" s="462"/>
      <c r="H60" s="462"/>
      <c r="I60" s="462"/>
      <c r="N60" s="484"/>
      <c r="O60" s="484"/>
      <c r="P60" s="484"/>
      <c r="Q60" s="484"/>
      <c r="R60" s="484"/>
      <c r="S60" s="484"/>
      <c r="T60" s="484"/>
      <c r="U60" s="484"/>
    </row>
    <row r="61" spans="1:21" x14ac:dyDescent="0.25">
      <c r="A61" s="463" t="s">
        <v>136</v>
      </c>
      <c r="B61" s="453"/>
      <c r="C61" s="453"/>
      <c r="D61" s="453"/>
      <c r="E61" s="453"/>
      <c r="F61" s="453"/>
      <c r="G61" s="453"/>
      <c r="H61" s="453"/>
      <c r="I61" s="453"/>
      <c r="N61" s="479" t="s">
        <v>88</v>
      </c>
      <c r="O61" s="479"/>
      <c r="P61" s="479"/>
      <c r="Q61" s="479"/>
      <c r="R61" s="479"/>
      <c r="S61" s="479"/>
      <c r="T61" s="479"/>
      <c r="U61" s="479"/>
    </row>
    <row r="62" spans="1:21" x14ac:dyDescent="0.25">
      <c r="A62" s="463" t="s">
        <v>138</v>
      </c>
      <c r="B62" s="453"/>
      <c r="C62" s="121">
        <f>E29</f>
        <v>1060.3400000000001</v>
      </c>
      <c r="D62" s="464" t="s">
        <v>135</v>
      </c>
      <c r="E62" s="464"/>
      <c r="F62" s="464"/>
      <c r="G62" s="464"/>
      <c r="H62" s="335">
        <f>'0664'!H62</f>
        <v>193340.76</v>
      </c>
      <c r="I62" s="122"/>
      <c r="N62" s="478" t="s">
        <v>312</v>
      </c>
      <c r="O62" s="479"/>
      <c r="P62" s="43">
        <f>P29</f>
        <v>0</v>
      </c>
      <c r="Q62" s="498" t="s">
        <v>78</v>
      </c>
      <c r="R62" s="498"/>
      <c r="S62" s="498"/>
      <c r="T62" s="497">
        <f>H62</f>
        <v>193340.76</v>
      </c>
      <c r="U62" s="497"/>
    </row>
    <row r="63" spans="1:21" x14ac:dyDescent="0.25">
      <c r="B63" s="72"/>
      <c r="G63" s="44" t="s">
        <v>13</v>
      </c>
      <c r="H63" s="123">
        <f>ROUND(C62/H62,6)</f>
        <v>5.4840000000000002E-3</v>
      </c>
      <c r="I63" s="124"/>
      <c r="N63" s="479" t="s">
        <v>19</v>
      </c>
      <c r="O63" s="479"/>
      <c r="P63" s="479"/>
      <c r="Q63" s="479"/>
      <c r="R63" s="479"/>
      <c r="S63" s="479"/>
      <c r="T63" s="501">
        <f>ROUND(P62/T62,6)</f>
        <v>0</v>
      </c>
      <c r="U63" s="501"/>
    </row>
    <row r="64" spans="1:21" x14ac:dyDescent="0.25">
      <c r="A64" s="463" t="s">
        <v>137</v>
      </c>
      <c r="B64" s="453"/>
      <c r="C64" s="453"/>
      <c r="D64" s="453"/>
      <c r="E64" s="453"/>
      <c r="F64" s="453"/>
      <c r="G64" s="453"/>
      <c r="H64" s="453"/>
      <c r="I64" s="453"/>
      <c r="N64" s="479" t="s">
        <v>89</v>
      </c>
      <c r="O64" s="479"/>
      <c r="P64" s="479"/>
      <c r="Q64" s="479"/>
      <c r="R64" s="479"/>
      <c r="S64" s="479"/>
      <c r="T64" s="479"/>
      <c r="U64" s="479"/>
    </row>
    <row r="65" spans="1:21" x14ac:dyDescent="0.25">
      <c r="A65" s="463" t="s">
        <v>139</v>
      </c>
      <c r="B65" s="453"/>
      <c r="C65" s="121">
        <f>E45</f>
        <v>1064.0821000000001</v>
      </c>
      <c r="D65" s="464" t="s">
        <v>140</v>
      </c>
      <c r="E65" s="464"/>
      <c r="F65" s="464"/>
      <c r="G65" s="464"/>
      <c r="H65" s="336">
        <f>'0664'!H65</f>
        <v>216845.88</v>
      </c>
      <c r="I65" s="125"/>
      <c r="N65" s="479" t="s">
        <v>80</v>
      </c>
      <c r="O65" s="479"/>
      <c r="P65" s="43">
        <f>R45</f>
        <v>0</v>
      </c>
      <c r="Q65" s="498" t="s">
        <v>79</v>
      </c>
      <c r="R65" s="498"/>
      <c r="S65" s="498"/>
      <c r="T65" s="497">
        <f>H65</f>
        <v>216845.88</v>
      </c>
      <c r="U65" s="497"/>
    </row>
    <row r="66" spans="1:21" s="37" customFormat="1" x14ac:dyDescent="0.25">
      <c r="A66" s="126"/>
      <c r="G66" s="45" t="s">
        <v>13</v>
      </c>
      <c r="H66" s="127">
        <f>ROUND(C65/H65,6)</f>
        <v>4.9069999999999999E-3</v>
      </c>
      <c r="I66" s="127"/>
      <c r="N66" s="482" t="s">
        <v>20</v>
      </c>
      <c r="O66" s="482"/>
      <c r="P66" s="482"/>
      <c r="Q66" s="482"/>
      <c r="R66" s="482"/>
      <c r="S66" s="482"/>
      <c r="T66" s="500">
        <f>ROUND(P65/T65,6)</f>
        <v>0</v>
      </c>
      <c r="U66" s="500"/>
    </row>
    <row r="67" spans="1:21" x14ac:dyDescent="0.25">
      <c r="G67" s="44"/>
      <c r="H67" s="123"/>
      <c r="I67" s="123"/>
      <c r="N67" s="48"/>
      <c r="O67" s="48"/>
      <c r="P67" s="48"/>
      <c r="Q67" s="48"/>
      <c r="R67" s="128"/>
      <c r="S67" s="48"/>
      <c r="T67" s="129"/>
      <c r="U67" s="130"/>
    </row>
    <row r="68" spans="1:21" x14ac:dyDescent="0.25">
      <c r="A68" s="453" t="s">
        <v>85</v>
      </c>
      <c r="B68" s="453"/>
      <c r="C68" s="453"/>
      <c r="D68" s="72"/>
      <c r="E68" s="46" t="s">
        <v>3</v>
      </c>
      <c r="F68" s="337">
        <f>'0664'!F68</f>
        <v>42465042</v>
      </c>
      <c r="G68" s="39" t="s">
        <v>6</v>
      </c>
      <c r="H68" s="131">
        <f>H63</f>
        <v>5.4840000000000002E-3</v>
      </c>
      <c r="I68" s="104">
        <f>ROUND(F68*H68,2)</f>
        <v>232878.29</v>
      </c>
      <c r="N68" s="479" t="s">
        <v>85</v>
      </c>
      <c r="O68" s="479"/>
      <c r="P68" s="479"/>
      <c r="Q68" s="47"/>
      <c r="R68" s="132">
        <f>F68</f>
        <v>42465042</v>
      </c>
      <c r="S68" s="40" t="s">
        <v>6</v>
      </c>
      <c r="T68" s="133">
        <f>T63</f>
        <v>0</v>
      </c>
      <c r="U68" s="99">
        <f>ROUND(R68*T68,0)</f>
        <v>0</v>
      </c>
    </row>
    <row r="69" spans="1:21" x14ac:dyDescent="0.25">
      <c r="A69" s="458" t="s">
        <v>96</v>
      </c>
      <c r="B69" s="453"/>
      <c r="C69" s="453"/>
      <c r="D69" s="72"/>
      <c r="E69" s="46"/>
      <c r="F69" s="136"/>
      <c r="G69" s="39"/>
      <c r="H69" s="131"/>
      <c r="I69" s="104"/>
      <c r="N69" s="479" t="s">
        <v>84</v>
      </c>
      <c r="O69" s="479"/>
      <c r="P69" s="479"/>
      <c r="Q69" s="54"/>
      <c r="R69" s="54"/>
      <c r="S69" s="54"/>
      <c r="T69" s="54"/>
      <c r="U69" s="54"/>
    </row>
    <row r="70" spans="1:21" x14ac:dyDescent="0.25">
      <c r="A70" s="465" t="s">
        <v>141</v>
      </c>
      <c r="B70" s="453"/>
      <c r="C70" s="453"/>
      <c r="D70" s="72"/>
      <c r="E70" s="46" t="s">
        <v>3</v>
      </c>
      <c r="F70" s="337">
        <f>'0664'!F70</f>
        <v>0</v>
      </c>
      <c r="G70" s="39" t="s">
        <v>6</v>
      </c>
      <c r="H70" s="131">
        <f>H63</f>
        <v>5.4840000000000002E-3</v>
      </c>
      <c r="I70" s="104">
        <f>ROUND(F70*H70,2)</f>
        <v>0</v>
      </c>
      <c r="N70" s="48"/>
      <c r="O70" s="48"/>
      <c r="P70" s="48"/>
      <c r="Q70" s="47"/>
      <c r="R70" s="132">
        <f>F70</f>
        <v>0</v>
      </c>
      <c r="S70" s="40" t="s">
        <v>6</v>
      </c>
      <c r="T70" s="133">
        <f>T63</f>
        <v>0</v>
      </c>
      <c r="U70" s="99">
        <f>ROUND(R70*T70,0)</f>
        <v>0</v>
      </c>
    </row>
    <row r="71" spans="1:21" x14ac:dyDescent="0.25">
      <c r="A71" s="463" t="s">
        <v>433</v>
      </c>
      <c r="B71" s="453"/>
      <c r="C71" s="453"/>
      <c r="D71" s="72"/>
      <c r="E71" s="46" t="s">
        <v>3</v>
      </c>
      <c r="F71" s="337">
        <f>'0664'!F71</f>
        <v>13414654</v>
      </c>
      <c r="G71" s="39" t="s">
        <v>6</v>
      </c>
      <c r="H71" s="131">
        <f>H63</f>
        <v>5.4840000000000002E-3</v>
      </c>
      <c r="I71" s="104">
        <f>ROUND(F71*H71,2)</f>
        <v>73565.960000000006</v>
      </c>
      <c r="N71" s="479" t="s">
        <v>83</v>
      </c>
      <c r="O71" s="479"/>
      <c r="P71" s="479"/>
      <c r="Q71" s="47"/>
      <c r="R71" s="132">
        <f>F71</f>
        <v>13414654</v>
      </c>
      <c r="S71" s="40" t="s">
        <v>6</v>
      </c>
      <c r="T71" s="133">
        <f>T63</f>
        <v>0</v>
      </c>
      <c r="U71" s="99">
        <f>ROUND(R71*T71,0)</f>
        <v>0</v>
      </c>
    </row>
    <row r="72" spans="1:21" x14ac:dyDescent="0.25">
      <c r="A72" s="463" t="s">
        <v>434</v>
      </c>
      <c r="B72" s="453"/>
      <c r="C72" s="453"/>
      <c r="D72" s="72"/>
      <c r="E72" s="46" t="s">
        <v>3</v>
      </c>
      <c r="F72" s="337">
        <f>'0664'!F72</f>
        <v>14708421</v>
      </c>
      <c r="G72" s="39" t="s">
        <v>6</v>
      </c>
      <c r="H72" s="131">
        <f>H63</f>
        <v>5.4840000000000002E-3</v>
      </c>
      <c r="I72" s="104">
        <f>ROUND(F72*H72,2)</f>
        <v>80660.98</v>
      </c>
      <c r="N72" s="479" t="s">
        <v>82</v>
      </c>
      <c r="O72" s="479"/>
      <c r="P72" s="479"/>
      <c r="Q72" s="47"/>
      <c r="R72" s="134">
        <f>F72</f>
        <v>14708421</v>
      </c>
      <c r="S72" s="40" t="s">
        <v>6</v>
      </c>
      <c r="T72" s="133">
        <f>T63</f>
        <v>0</v>
      </c>
      <c r="U72" s="99">
        <f>ROUND(R72*T72,0)</f>
        <v>0</v>
      </c>
    </row>
    <row r="73" spans="1:21" x14ac:dyDescent="0.25">
      <c r="A73" s="263" t="s">
        <v>99</v>
      </c>
      <c r="D73" s="72"/>
      <c r="E73" s="41" t="s">
        <v>353</v>
      </c>
      <c r="F73" s="466"/>
      <c r="G73" s="466"/>
      <c r="H73" s="466"/>
      <c r="I73" s="104">
        <v>0</v>
      </c>
      <c r="N73" s="499" t="s">
        <v>118</v>
      </c>
      <c r="O73" s="499"/>
      <c r="P73" s="499"/>
      <c r="Q73" s="499"/>
      <c r="R73" s="499"/>
      <c r="S73" s="499"/>
      <c r="T73" s="499"/>
      <c r="U73" s="99">
        <f>IF($H$120=1,I73,0)</f>
        <v>0</v>
      </c>
    </row>
    <row r="74" spans="1:21" x14ac:dyDescent="0.25">
      <c r="A74" s="264" t="s">
        <v>142</v>
      </c>
      <c r="I74" s="104"/>
      <c r="N74" s="499" t="s">
        <v>43</v>
      </c>
      <c r="O74" s="499"/>
      <c r="P74" s="499"/>
      <c r="Q74" s="499"/>
      <c r="R74" s="499"/>
      <c r="S74" s="499"/>
      <c r="T74" s="499"/>
      <c r="U74" s="99">
        <f>IF($H$120=1,I74,0)</f>
        <v>0</v>
      </c>
    </row>
    <row r="75" spans="1:21" x14ac:dyDescent="0.25">
      <c r="A75" s="324" t="s">
        <v>101</v>
      </c>
      <c r="B75" s="72"/>
      <c r="C75" s="72"/>
      <c r="D75" s="72"/>
      <c r="E75" s="72"/>
      <c r="F75" s="72"/>
      <c r="G75" s="72"/>
      <c r="H75" s="72"/>
      <c r="I75" s="135"/>
      <c r="N75" s="382" t="s">
        <v>44</v>
      </c>
      <c r="O75" s="48"/>
      <c r="P75" s="48"/>
      <c r="Q75" s="48"/>
      <c r="R75" s="48"/>
      <c r="S75" s="48"/>
      <c r="T75" s="48"/>
      <c r="U75" s="106"/>
    </row>
    <row r="76" spans="1:21" x14ac:dyDescent="0.25">
      <c r="A76" s="463" t="s">
        <v>435</v>
      </c>
      <c r="B76" s="453"/>
      <c r="C76" s="453"/>
      <c r="D76" s="72"/>
      <c r="E76" s="46" t="s">
        <v>3</v>
      </c>
      <c r="F76" s="337">
        <f>'0664'!F76</f>
        <v>8720092</v>
      </c>
      <c r="G76" s="39" t="s">
        <v>6</v>
      </c>
      <c r="H76" s="131">
        <f>H63</f>
        <v>5.4840000000000002E-3</v>
      </c>
      <c r="I76" s="104">
        <f t="shared" ref="I76:I85" si="14">ROUND(F76*H76,2)</f>
        <v>47820.98</v>
      </c>
      <c r="N76" s="478" t="s">
        <v>366</v>
      </c>
      <c r="O76" s="479"/>
      <c r="P76" s="479"/>
      <c r="Q76" s="47"/>
      <c r="R76" s="134">
        <f t="shared" ref="R76:R85" si="15">F76</f>
        <v>8720092</v>
      </c>
      <c r="S76" s="40" t="s">
        <v>6</v>
      </c>
      <c r="T76" s="133">
        <f>T63</f>
        <v>0</v>
      </c>
      <c r="U76" s="99">
        <f t="shared" ref="U76:U85" si="16">ROUND(R76*T76,0)</f>
        <v>0</v>
      </c>
    </row>
    <row r="77" spans="1:21" x14ac:dyDescent="0.25">
      <c r="A77" s="463" t="s">
        <v>436</v>
      </c>
      <c r="B77" s="453"/>
      <c r="C77" s="453"/>
      <c r="D77" s="72"/>
      <c r="E77" s="46" t="s">
        <v>3</v>
      </c>
      <c r="F77" s="337">
        <f>'0664'!F77</f>
        <v>0</v>
      </c>
      <c r="G77" s="39" t="s">
        <v>6</v>
      </c>
      <c r="H77" s="131">
        <f>H63</f>
        <v>5.4840000000000002E-3</v>
      </c>
      <c r="I77" s="104">
        <f t="shared" si="14"/>
        <v>0</v>
      </c>
      <c r="N77" s="479" t="s">
        <v>367</v>
      </c>
      <c r="O77" s="479"/>
      <c r="P77" s="479"/>
      <c r="Q77" s="47"/>
      <c r="R77" s="134">
        <f t="shared" si="15"/>
        <v>0</v>
      </c>
      <c r="S77" s="40" t="s">
        <v>6</v>
      </c>
      <c r="T77" s="133">
        <f>T63</f>
        <v>0</v>
      </c>
      <c r="U77" s="99">
        <f t="shared" si="16"/>
        <v>0</v>
      </c>
    </row>
    <row r="78" spans="1:21" x14ac:dyDescent="0.25">
      <c r="A78" s="463" t="s">
        <v>437</v>
      </c>
      <c r="B78" s="453"/>
      <c r="C78" s="453"/>
      <c r="D78" s="72"/>
      <c r="E78" s="46" t="s">
        <v>4</v>
      </c>
      <c r="F78" s="337">
        <f>'0664'!F78</f>
        <v>0</v>
      </c>
      <c r="G78" s="39" t="s">
        <v>6</v>
      </c>
      <c r="H78" s="131">
        <f>H66</f>
        <v>4.9069999999999999E-3</v>
      </c>
      <c r="I78" s="104">
        <f t="shared" si="14"/>
        <v>0</v>
      </c>
      <c r="N78" s="478" t="s">
        <v>392</v>
      </c>
      <c r="O78" s="479"/>
      <c r="P78" s="479"/>
      <c r="Q78" s="47"/>
      <c r="R78" s="134">
        <f t="shared" si="15"/>
        <v>0</v>
      </c>
      <c r="S78" s="40" t="s">
        <v>6</v>
      </c>
      <c r="T78" s="133">
        <f>T66</f>
        <v>0</v>
      </c>
      <c r="U78" s="99">
        <f t="shared" si="16"/>
        <v>0</v>
      </c>
    </row>
    <row r="79" spans="1:21" x14ac:dyDescent="0.25">
      <c r="A79" s="463" t="s">
        <v>438</v>
      </c>
      <c r="B79" s="453"/>
      <c r="C79" s="453"/>
      <c r="D79" s="72"/>
      <c r="E79" s="46" t="s">
        <v>4</v>
      </c>
      <c r="F79" s="337">
        <f>'0664'!F79</f>
        <v>11278687</v>
      </c>
      <c r="G79" s="39" t="s">
        <v>6</v>
      </c>
      <c r="H79" s="131">
        <f>H66</f>
        <v>4.9069999999999999E-3</v>
      </c>
      <c r="I79" s="104">
        <f t="shared" si="14"/>
        <v>55344.52</v>
      </c>
      <c r="N79" s="478" t="s">
        <v>393</v>
      </c>
      <c r="O79" s="479"/>
      <c r="P79" s="479"/>
      <c r="Q79" s="47"/>
      <c r="R79" s="134">
        <f t="shared" si="15"/>
        <v>11278687</v>
      </c>
      <c r="S79" s="40" t="s">
        <v>6</v>
      </c>
      <c r="T79" s="133">
        <f>T66</f>
        <v>0</v>
      </c>
      <c r="U79" s="99">
        <f t="shared" si="16"/>
        <v>0</v>
      </c>
    </row>
    <row r="80" spans="1:21" x14ac:dyDescent="0.25">
      <c r="A80" s="463" t="s">
        <v>439</v>
      </c>
      <c r="B80" s="453"/>
      <c r="C80" s="453"/>
      <c r="D80" s="72"/>
      <c r="E80" s="46" t="s">
        <v>4</v>
      </c>
      <c r="F80" s="337">
        <f>'0664'!F80</f>
        <v>206284749</v>
      </c>
      <c r="G80" s="39" t="s">
        <v>6</v>
      </c>
      <c r="H80" s="131">
        <f>H66</f>
        <v>4.9069999999999999E-3</v>
      </c>
      <c r="I80" s="104">
        <f t="shared" si="14"/>
        <v>1012239.26</v>
      </c>
      <c r="N80" s="478" t="s">
        <v>397</v>
      </c>
      <c r="O80" s="479"/>
      <c r="P80" s="479"/>
      <c r="Q80" s="47"/>
      <c r="R80" s="134">
        <f t="shared" si="15"/>
        <v>206284749</v>
      </c>
      <c r="S80" s="40" t="s">
        <v>6</v>
      </c>
      <c r="T80" s="133">
        <f>T66</f>
        <v>0</v>
      </c>
      <c r="U80" s="99">
        <f t="shared" si="16"/>
        <v>0</v>
      </c>
    </row>
    <row r="81" spans="1:21" x14ac:dyDescent="0.25">
      <c r="A81" s="84" t="s">
        <v>440</v>
      </c>
      <c r="B81" s="72"/>
      <c r="C81" s="72"/>
      <c r="D81" s="72"/>
      <c r="E81" s="46"/>
      <c r="F81" s="337"/>
      <c r="G81" s="39"/>
      <c r="H81" s="131"/>
      <c r="I81" s="104"/>
      <c r="N81" s="419" t="s">
        <v>440</v>
      </c>
      <c r="O81" s="48"/>
      <c r="P81" s="48"/>
      <c r="Q81" s="47"/>
      <c r="R81" s="423"/>
      <c r="S81" s="40"/>
      <c r="T81" s="133"/>
      <c r="U81" s="120"/>
    </row>
    <row r="82" spans="1:21" x14ac:dyDescent="0.25">
      <c r="A82" s="264" t="s">
        <v>441</v>
      </c>
      <c r="B82" s="72"/>
      <c r="C82" s="72"/>
      <c r="D82" s="72"/>
      <c r="E82" s="46" t="s">
        <v>442</v>
      </c>
      <c r="F82" s="337">
        <f>'0664'!F82</f>
        <v>0</v>
      </c>
      <c r="G82" s="39" t="s">
        <v>6</v>
      </c>
      <c r="H82" s="131">
        <f>H66</f>
        <v>4.9069999999999999E-3</v>
      </c>
      <c r="I82" s="104">
        <v>183732.76</v>
      </c>
      <c r="N82" s="422" t="s">
        <v>441</v>
      </c>
      <c r="O82" s="48"/>
      <c r="P82" s="48"/>
      <c r="Q82" s="47"/>
      <c r="R82" s="134">
        <f t="shared" si="15"/>
        <v>0</v>
      </c>
      <c r="S82" s="40"/>
      <c r="T82" s="133"/>
      <c r="U82" s="99">
        <f t="shared" si="16"/>
        <v>0</v>
      </c>
    </row>
    <row r="83" spans="1:21" x14ac:dyDescent="0.25">
      <c r="A83" s="264" t="s">
        <v>443</v>
      </c>
      <c r="B83" s="72"/>
      <c r="C83" s="72"/>
      <c r="D83" s="72"/>
      <c r="E83" s="46" t="s">
        <v>442</v>
      </c>
      <c r="F83" s="337">
        <f>'0664'!F83</f>
        <v>0</v>
      </c>
      <c r="G83" s="39" t="s">
        <v>6</v>
      </c>
      <c r="H83" s="131">
        <f>H66</f>
        <v>4.9069999999999999E-3</v>
      </c>
      <c r="I83" s="104">
        <v>83514.89</v>
      </c>
      <c r="N83" s="422" t="s">
        <v>443</v>
      </c>
      <c r="O83" s="48"/>
      <c r="P83" s="48"/>
      <c r="Q83" s="47"/>
      <c r="R83" s="134">
        <f t="shared" si="15"/>
        <v>0</v>
      </c>
      <c r="S83" s="40"/>
      <c r="T83" s="133"/>
      <c r="U83" s="99">
        <f t="shared" si="16"/>
        <v>0</v>
      </c>
    </row>
    <row r="84" spans="1:21" x14ac:dyDescent="0.25">
      <c r="A84" s="420" t="s">
        <v>444</v>
      </c>
      <c r="B84" s="72"/>
      <c r="C84" s="72"/>
      <c r="D84" s="72"/>
      <c r="E84" s="46"/>
      <c r="F84" s="337"/>
      <c r="G84" s="39"/>
      <c r="H84" s="131"/>
      <c r="I84" s="104">
        <f>I82+I83</f>
        <v>267247.65000000002</v>
      </c>
      <c r="N84" s="421" t="s">
        <v>444</v>
      </c>
      <c r="O84" s="48"/>
      <c r="P84" s="48"/>
      <c r="Q84" s="47"/>
      <c r="R84" s="423"/>
      <c r="S84" s="40"/>
      <c r="T84" s="133"/>
      <c r="U84" s="99">
        <f>U82+U83</f>
        <v>0</v>
      </c>
    </row>
    <row r="85" spans="1:21" x14ac:dyDescent="0.25">
      <c r="A85" s="463" t="s">
        <v>398</v>
      </c>
      <c r="B85" s="453"/>
      <c r="C85" s="453"/>
      <c r="D85" s="72"/>
      <c r="E85" s="46" t="s">
        <v>4</v>
      </c>
      <c r="F85" s="337">
        <f>'0664'!F85</f>
        <v>0</v>
      </c>
      <c r="G85" s="39" t="s">
        <v>6</v>
      </c>
      <c r="H85" s="131">
        <f>H66</f>
        <v>4.9069999999999999E-3</v>
      </c>
      <c r="I85" s="104">
        <f t="shared" si="14"/>
        <v>0</v>
      </c>
      <c r="N85" s="478" t="s">
        <v>398</v>
      </c>
      <c r="O85" s="479"/>
      <c r="P85" s="479"/>
      <c r="Q85" s="47"/>
      <c r="R85" s="132">
        <f t="shared" si="15"/>
        <v>0</v>
      </c>
      <c r="S85" s="40" t="s">
        <v>6</v>
      </c>
      <c r="T85" s="133">
        <f>T66</f>
        <v>0</v>
      </c>
      <c r="U85" s="99">
        <f t="shared" si="16"/>
        <v>0</v>
      </c>
    </row>
    <row r="86" spans="1:21" x14ac:dyDescent="0.25">
      <c r="B86" s="72"/>
      <c r="C86" s="72"/>
      <c r="D86" s="72"/>
      <c r="E86" s="46"/>
      <c r="F86" s="136"/>
      <c r="G86" s="39"/>
      <c r="H86" s="131"/>
      <c r="I86" s="104"/>
      <c r="N86" s="48"/>
      <c r="O86" s="48"/>
      <c r="P86" s="48"/>
      <c r="Q86" s="47"/>
      <c r="R86" s="137"/>
      <c r="S86" s="40"/>
      <c r="T86" s="133"/>
      <c r="U86" s="106"/>
    </row>
    <row r="87" spans="1:21" x14ac:dyDescent="0.25">
      <c r="A87" s="463" t="s">
        <v>445</v>
      </c>
      <c r="B87" s="453"/>
      <c r="C87" s="453"/>
      <c r="D87" s="453"/>
      <c r="E87" s="453"/>
      <c r="F87" s="453"/>
      <c r="G87" s="453"/>
      <c r="H87" s="453"/>
      <c r="I87" s="453"/>
      <c r="N87" s="478" t="s">
        <v>429</v>
      </c>
      <c r="O87" s="479"/>
      <c r="P87" s="479"/>
      <c r="Q87" s="479"/>
      <c r="R87" s="479"/>
      <c r="S87" s="479"/>
      <c r="T87" s="479"/>
      <c r="U87" s="479"/>
    </row>
    <row r="88" spans="1:21" x14ac:dyDescent="0.25">
      <c r="B88" s="72"/>
      <c r="C88" s="466" t="s">
        <v>73</v>
      </c>
      <c r="D88" s="466"/>
      <c r="E88" s="72"/>
      <c r="F88" s="41" t="s">
        <v>37</v>
      </c>
      <c r="G88" s="72"/>
      <c r="H88" s="72"/>
      <c r="I88" s="72"/>
      <c r="N88" s="48"/>
      <c r="O88" s="48"/>
      <c r="P88" s="48"/>
      <c r="Q88" s="48"/>
      <c r="R88" s="48"/>
      <c r="S88" s="48"/>
      <c r="T88" s="48"/>
      <c r="U88" s="48"/>
    </row>
    <row r="89" spans="1:21" x14ac:dyDescent="0.25">
      <c r="A89" s="3"/>
      <c r="B89" s="138"/>
      <c r="C89" s="462" t="s">
        <v>144</v>
      </c>
      <c r="D89" s="462"/>
      <c r="E89" s="139" t="s">
        <v>150</v>
      </c>
      <c r="F89" s="140" t="s">
        <v>149</v>
      </c>
      <c r="G89" s="141"/>
      <c r="H89" s="141"/>
      <c r="I89" s="141"/>
      <c r="N89" s="495" t="s">
        <v>46</v>
      </c>
      <c r="O89" s="495"/>
      <c r="P89" s="496" t="s">
        <v>119</v>
      </c>
      <c r="Q89" s="496"/>
      <c r="R89" s="497" t="s">
        <v>40</v>
      </c>
      <c r="S89" s="497"/>
      <c r="T89" s="497"/>
      <c r="U89" s="497"/>
    </row>
    <row r="90" spans="1:21" x14ac:dyDescent="0.25">
      <c r="A90" s="27"/>
      <c r="B90" s="55" t="s">
        <v>148</v>
      </c>
      <c r="C90" s="467">
        <f>H13+H14+H19+H22+H25</f>
        <v>0</v>
      </c>
      <c r="D90" s="467"/>
      <c r="E90" s="49">
        <f>H8</f>
        <v>1.0438000000000001</v>
      </c>
      <c r="F90" s="338">
        <f>'0664'!F90</f>
        <v>957.94</v>
      </c>
      <c r="G90" s="41" t="s">
        <v>13</v>
      </c>
      <c r="H90" s="104">
        <f>ROUND(C90*E90*F90,2)</f>
        <v>0</v>
      </c>
      <c r="I90" s="107"/>
      <c r="N90" s="29" t="s">
        <v>22</v>
      </c>
      <c r="O90" s="50">
        <f>T13+T14+T19+T22+T25</f>
        <v>0</v>
      </c>
      <c r="P90" s="490">
        <f>T8</f>
        <v>1.0438000000000001</v>
      </c>
      <c r="Q90" s="490"/>
      <c r="R90" s="51">
        <f>F90</f>
        <v>957.94</v>
      </c>
      <c r="S90" s="42" t="s">
        <v>13</v>
      </c>
      <c r="T90" s="134">
        <f>ROUND(O90*P90*R90,0)</f>
        <v>0</v>
      </c>
      <c r="U90" s="105"/>
    </row>
    <row r="91" spans="1:21" x14ac:dyDescent="0.25">
      <c r="A91" s="52"/>
      <c r="B91" s="52" t="s">
        <v>147</v>
      </c>
      <c r="C91" s="467">
        <f>H15+H16+H20+H23+H26</f>
        <v>0</v>
      </c>
      <c r="D91" s="467"/>
      <c r="E91" s="49">
        <f>H8</f>
        <v>1.0438000000000001</v>
      </c>
      <c r="F91" s="338">
        <f>'0664'!F91</f>
        <v>914.63</v>
      </c>
      <c r="G91" s="41" t="s">
        <v>13</v>
      </c>
      <c r="H91" s="104">
        <f>ROUND(C91*E91*F91,2)</f>
        <v>0</v>
      </c>
      <c r="N91" s="53" t="s">
        <v>14</v>
      </c>
      <c r="O91" s="50">
        <f>T15+T16+T20+T23+T26</f>
        <v>0</v>
      </c>
      <c r="P91" s="490">
        <f>T8</f>
        <v>1.0438000000000001</v>
      </c>
      <c r="Q91" s="490"/>
      <c r="R91" s="51">
        <f>F91</f>
        <v>914.63</v>
      </c>
      <c r="S91" s="42" t="s">
        <v>13</v>
      </c>
      <c r="T91" s="134">
        <f>ROUND(O91*P91*R91,0)</f>
        <v>0</v>
      </c>
      <c r="U91" s="54"/>
    </row>
    <row r="92" spans="1:21" ht="16.5" thickBot="1" x14ac:dyDescent="0.3">
      <c r="A92" s="55"/>
      <c r="B92" s="55" t="s">
        <v>146</v>
      </c>
      <c r="C92" s="467">
        <f>H17+H18+H21+H24+H27+H28</f>
        <v>1064.0821000000001</v>
      </c>
      <c r="D92" s="467"/>
      <c r="E92" s="49">
        <f>H8</f>
        <v>1.0438000000000001</v>
      </c>
      <c r="F92" s="338">
        <f>'0664'!F92</f>
        <v>916.84</v>
      </c>
      <c r="G92" s="41" t="s">
        <v>13</v>
      </c>
      <c r="H92" s="97">
        <f>ROUND(C92*E92*F92,2)</f>
        <v>1018324.01</v>
      </c>
      <c r="N92" s="56" t="s">
        <v>15</v>
      </c>
      <c r="O92" s="57">
        <f>T17+T18+T21+T24+T27+T28</f>
        <v>0</v>
      </c>
      <c r="P92" s="490">
        <f>T8</f>
        <v>1.0438000000000001</v>
      </c>
      <c r="Q92" s="490"/>
      <c r="R92" s="51">
        <f>F92</f>
        <v>916.84</v>
      </c>
      <c r="S92" s="42" t="s">
        <v>13</v>
      </c>
      <c r="T92" s="134">
        <f>ROUND(O92*P92*R92,0)</f>
        <v>0</v>
      </c>
      <c r="U92" s="54"/>
    </row>
    <row r="93" spans="1:21" ht="16.5" thickBot="1" x14ac:dyDescent="0.3">
      <c r="A93" s="58"/>
      <c r="B93" s="142" t="s">
        <v>145</v>
      </c>
      <c r="C93" s="469">
        <f>SUM(C90:C92)</f>
        <v>1064.0821000000001</v>
      </c>
      <c r="D93" s="469"/>
      <c r="E93" s="143"/>
      <c r="F93" s="143"/>
      <c r="G93" s="143"/>
      <c r="H93" s="144" t="s">
        <v>143</v>
      </c>
      <c r="I93" s="104">
        <f>IF(A1=75,0,H92+H91+H90)</f>
        <v>1018324.01</v>
      </c>
      <c r="N93" s="59" t="s">
        <v>120</v>
      </c>
      <c r="O93" s="60">
        <f>SUM(O90:O92)</f>
        <v>0</v>
      </c>
      <c r="P93" s="491" t="s">
        <v>18</v>
      </c>
      <c r="Q93" s="492"/>
      <c r="R93" s="492"/>
      <c r="S93" s="492"/>
      <c r="T93" s="492"/>
      <c r="U93" s="99">
        <f>IF(N1=75,0,T92+T91+T90)</f>
        <v>0</v>
      </c>
    </row>
    <row r="94" spans="1:21" ht="16.5" thickTop="1" x14ac:dyDescent="0.25">
      <c r="A94" s="540" t="s">
        <v>90</v>
      </c>
      <c r="B94" s="540"/>
      <c r="C94" s="540"/>
      <c r="D94" s="540"/>
      <c r="E94" s="540"/>
      <c r="F94" s="540"/>
      <c r="G94" s="540"/>
      <c r="H94" s="540"/>
      <c r="I94" s="540"/>
      <c r="N94" s="493" t="s">
        <v>90</v>
      </c>
      <c r="O94" s="493"/>
      <c r="P94" s="493"/>
      <c r="Q94" s="493"/>
      <c r="R94" s="493"/>
      <c r="S94" s="493"/>
      <c r="T94" s="493"/>
      <c r="U94" s="493"/>
    </row>
    <row r="95" spans="1:21" x14ac:dyDescent="0.25">
      <c r="A95" s="145"/>
      <c r="B95" s="145"/>
      <c r="C95" s="145"/>
      <c r="D95" s="145"/>
      <c r="E95" s="145"/>
      <c r="F95" s="145"/>
      <c r="G95" s="145"/>
      <c r="H95" s="145"/>
      <c r="I95" s="145"/>
      <c r="N95" s="146"/>
      <c r="O95" s="146"/>
      <c r="P95" s="146"/>
      <c r="Q95" s="146"/>
      <c r="R95" s="146"/>
      <c r="S95" s="146"/>
      <c r="T95" s="146"/>
      <c r="U95" s="146"/>
    </row>
    <row r="96" spans="1:21" x14ac:dyDescent="0.25">
      <c r="A96" s="84" t="s">
        <v>446</v>
      </c>
      <c r="C96" s="46"/>
      <c r="D96" s="72"/>
      <c r="E96" s="46" t="s">
        <v>100</v>
      </c>
      <c r="F96" s="471"/>
      <c r="G96" s="471"/>
      <c r="H96" s="471"/>
      <c r="I96" s="471"/>
      <c r="N96" s="478" t="s">
        <v>426</v>
      </c>
      <c r="O96" s="479"/>
      <c r="P96" s="479"/>
      <c r="Q96" s="494"/>
      <c r="R96" s="494"/>
      <c r="S96" s="494"/>
      <c r="T96" s="494"/>
      <c r="U96" s="106"/>
    </row>
    <row r="97" spans="1:21" x14ac:dyDescent="0.25">
      <c r="B97" s="72"/>
      <c r="C97" s="91" t="s">
        <v>409</v>
      </c>
      <c r="D97" s="371" t="s">
        <v>410</v>
      </c>
      <c r="E97" s="92" t="s">
        <v>151</v>
      </c>
      <c r="F97" s="46"/>
      <c r="G97" s="46"/>
      <c r="H97" s="46"/>
      <c r="I97" s="46"/>
      <c r="N97" s="48"/>
      <c r="O97" s="48"/>
      <c r="P97" s="48"/>
      <c r="Q97" s="147"/>
      <c r="R97" s="147"/>
      <c r="S97" s="147"/>
      <c r="T97" s="147"/>
      <c r="U97" s="106"/>
    </row>
    <row r="98" spans="1:21" x14ac:dyDescent="0.25">
      <c r="B98" s="72"/>
      <c r="C98" s="362" t="s">
        <v>2</v>
      </c>
      <c r="D98" s="362" t="s">
        <v>2</v>
      </c>
      <c r="E98" s="362" t="s">
        <v>2</v>
      </c>
      <c r="F98" s="46"/>
      <c r="G98" s="46"/>
      <c r="H98" s="46"/>
      <c r="I98" s="46"/>
      <c r="N98" s="48"/>
      <c r="O98" s="48"/>
      <c r="P98" s="48"/>
      <c r="Q98" s="147"/>
      <c r="R98" s="147"/>
      <c r="S98" s="147"/>
      <c r="T98" s="147"/>
      <c r="U98" s="106"/>
    </row>
    <row r="99" spans="1:21" x14ac:dyDescent="0.25">
      <c r="A99" s="536" t="s">
        <v>470</v>
      </c>
      <c r="B99" s="461"/>
      <c r="C99" s="165">
        <v>1</v>
      </c>
      <c r="D99" s="165">
        <v>0</v>
      </c>
      <c r="E99" s="125">
        <f>C99</f>
        <v>1</v>
      </c>
      <c r="F99" s="148" t="s">
        <v>39</v>
      </c>
      <c r="G99" s="339">
        <f>'0664'!G99</f>
        <v>558</v>
      </c>
      <c r="I99" s="104">
        <f>ROUND(G99*E99,2)</f>
        <v>558</v>
      </c>
      <c r="N99" s="488" t="s">
        <v>65</v>
      </c>
      <c r="O99" s="488"/>
      <c r="P99" s="489">
        <f>IF(H120=1,E99,0)</f>
        <v>0</v>
      </c>
      <c r="Q99" s="489"/>
      <c r="R99" s="489"/>
      <c r="S99" s="86" t="s">
        <v>39</v>
      </c>
      <c r="T99" s="61">
        <f>G99</f>
        <v>558</v>
      </c>
      <c r="U99" s="99">
        <f>ROUND(T99*P99,0)</f>
        <v>0</v>
      </c>
    </row>
    <row r="100" spans="1:21" x14ac:dyDescent="0.25">
      <c r="A100" s="536" t="s">
        <v>471</v>
      </c>
      <c r="B100" s="461"/>
      <c r="C100" s="165">
        <v>0</v>
      </c>
      <c r="D100" s="165">
        <v>0</v>
      </c>
      <c r="E100" s="125">
        <f>C100</f>
        <v>0</v>
      </c>
      <c r="F100" s="148" t="s">
        <v>39</v>
      </c>
      <c r="G100" s="339">
        <f>'0664'!G100</f>
        <v>1707</v>
      </c>
      <c r="I100" s="104">
        <f>ROUND(G100*E100,2)</f>
        <v>0</v>
      </c>
      <c r="N100" s="488" t="s">
        <v>81</v>
      </c>
      <c r="O100" s="488"/>
      <c r="P100" s="483"/>
      <c r="Q100" s="483"/>
      <c r="R100" s="483"/>
      <c r="S100" s="86" t="s">
        <v>39</v>
      </c>
      <c r="T100" s="61">
        <f>G100</f>
        <v>1707</v>
      </c>
      <c r="U100" s="99">
        <f>ROUND(T100*P100,0)</f>
        <v>0</v>
      </c>
    </row>
    <row r="101" spans="1:21" x14ac:dyDescent="0.25">
      <c r="A101" s="149"/>
      <c r="B101" s="149"/>
      <c r="C101" s="68"/>
      <c r="D101" s="68"/>
      <c r="E101" s="68"/>
      <c r="F101" s="68"/>
      <c r="G101" s="150"/>
      <c r="H101" s="151"/>
      <c r="I101" s="104"/>
      <c r="N101" s="152"/>
      <c r="O101" s="152"/>
      <c r="P101" s="153"/>
      <c r="Q101" s="153"/>
      <c r="R101" s="153"/>
      <c r="S101" s="86"/>
      <c r="T101" s="61"/>
      <c r="U101" s="106"/>
    </row>
    <row r="102" spans="1:21" x14ac:dyDescent="0.25">
      <c r="A102" s="149"/>
      <c r="B102" s="149"/>
      <c r="C102" s="68"/>
      <c r="D102" s="68"/>
      <c r="E102" s="68"/>
      <c r="F102" s="68"/>
      <c r="G102" s="150"/>
      <c r="H102" s="151"/>
      <c r="I102" s="104"/>
      <c r="N102" s="152"/>
      <c r="O102" s="152"/>
      <c r="P102" s="153"/>
      <c r="Q102" s="153"/>
      <c r="R102" s="153"/>
      <c r="S102" s="86"/>
      <c r="T102" s="61"/>
      <c r="U102" s="106"/>
    </row>
    <row r="103" spans="1:21" hidden="1" x14ac:dyDescent="0.25">
      <c r="A103" s="463" t="s">
        <v>447</v>
      </c>
      <c r="B103" s="453"/>
      <c r="C103" s="453"/>
      <c r="D103" s="72"/>
      <c r="E103" s="41" t="s">
        <v>41</v>
      </c>
      <c r="F103" s="466"/>
      <c r="G103" s="466"/>
      <c r="H103" s="466"/>
      <c r="I103" s="466"/>
      <c r="N103" s="478" t="s">
        <v>362</v>
      </c>
      <c r="O103" s="479"/>
      <c r="P103" s="479"/>
      <c r="Q103" s="479"/>
      <c r="R103" s="479"/>
      <c r="S103" s="479"/>
      <c r="T103" s="479"/>
      <c r="U103" s="479"/>
    </row>
    <row r="104" spans="1:21" hidden="1" x14ac:dyDescent="0.25">
      <c r="B104" s="72"/>
      <c r="C104" s="462" t="s">
        <v>91</v>
      </c>
      <c r="D104" s="462"/>
      <c r="E104" s="462"/>
      <c r="F104" s="39"/>
      <c r="G104" s="39"/>
      <c r="H104" s="41" t="s">
        <v>152</v>
      </c>
      <c r="I104" s="39"/>
      <c r="N104" s="48"/>
      <c r="O104" s="48"/>
      <c r="P104" s="48"/>
      <c r="Q104" s="48"/>
      <c r="R104" s="48"/>
      <c r="S104" s="48"/>
      <c r="T104" s="48"/>
      <c r="U104" s="48"/>
    </row>
    <row r="105" spans="1:21" hidden="1" x14ac:dyDescent="0.25">
      <c r="B105" s="72"/>
      <c r="C105" s="91" t="s">
        <v>371</v>
      </c>
      <c r="D105" s="91" t="s">
        <v>351</v>
      </c>
      <c r="E105" s="159" t="s">
        <v>8</v>
      </c>
      <c r="F105" s="464" t="s">
        <v>153</v>
      </c>
      <c r="G105" s="466"/>
      <c r="H105" s="39" t="s">
        <v>38</v>
      </c>
      <c r="I105" s="39"/>
      <c r="N105" s="48"/>
      <c r="O105" s="48"/>
      <c r="P105" s="48"/>
      <c r="Q105" s="48"/>
      <c r="R105" s="48"/>
      <c r="S105" s="48"/>
      <c r="T105" s="48"/>
      <c r="U105" s="48"/>
    </row>
    <row r="106" spans="1:21" hidden="1" x14ac:dyDescent="0.25">
      <c r="A106" s="462" t="s">
        <v>94</v>
      </c>
      <c r="B106" s="462"/>
      <c r="C106" s="93" t="s">
        <v>2</v>
      </c>
      <c r="D106" s="93" t="s">
        <v>2</v>
      </c>
      <c r="E106" s="62" t="s">
        <v>2</v>
      </c>
      <c r="F106" s="462" t="s">
        <v>37</v>
      </c>
      <c r="G106" s="462"/>
      <c r="H106" s="62" t="s">
        <v>37</v>
      </c>
      <c r="I106" s="62" t="s">
        <v>8</v>
      </c>
      <c r="N106" s="484" t="s">
        <v>66</v>
      </c>
      <c r="O106" s="484"/>
      <c r="P106" s="489" t="s">
        <v>91</v>
      </c>
      <c r="Q106" s="489"/>
      <c r="R106" s="484" t="s">
        <v>67</v>
      </c>
      <c r="S106" s="484"/>
      <c r="T106" s="63" t="s">
        <v>68</v>
      </c>
      <c r="U106" s="63" t="s">
        <v>8</v>
      </c>
    </row>
    <row r="107" spans="1:21" hidden="1" x14ac:dyDescent="0.25">
      <c r="A107" s="473" t="s">
        <v>69</v>
      </c>
      <c r="B107" s="473"/>
      <c r="C107" s="163">
        <v>0</v>
      </c>
      <c r="D107" s="163">
        <v>0</v>
      </c>
      <c r="E107" s="210">
        <f>IF(D$59=0,C107*2,C107+D107)</f>
        <v>0</v>
      </c>
      <c r="F107" s="474">
        <v>0</v>
      </c>
      <c r="G107" s="474"/>
      <c r="H107" s="250">
        <f>IF(C107=0,0,125)</f>
        <v>0</v>
      </c>
      <c r="I107" s="104">
        <f>ROUND((H107+F107)*E107,2)</f>
        <v>0</v>
      </c>
      <c r="N107" s="479" t="s">
        <v>69</v>
      </c>
      <c r="O107" s="479"/>
      <c r="P107" s="483">
        <f>IF(H$120=1,C107,0)</f>
        <v>0</v>
      </c>
      <c r="Q107" s="483"/>
      <c r="R107" s="486">
        <f>F107</f>
        <v>0</v>
      </c>
      <c r="S107" s="486"/>
      <c r="T107" s="65">
        <f>H107</f>
        <v>0</v>
      </c>
      <c r="U107" s="99">
        <f>ROUND((T107+R107)*P107,0)</f>
        <v>0</v>
      </c>
    </row>
    <row r="108" spans="1:21" hidden="1" x14ac:dyDescent="0.25">
      <c r="A108" s="456" t="s">
        <v>70</v>
      </c>
      <c r="B108" s="456"/>
      <c r="C108" s="165">
        <v>0</v>
      </c>
      <c r="D108" s="165">
        <v>0</v>
      </c>
      <c r="E108" s="125">
        <f>IF(D$59=0,C108*2,C108+D108)</f>
        <v>0</v>
      </c>
      <c r="F108" s="468">
        <f>ROUND(F107/2,2)</f>
        <v>0</v>
      </c>
      <c r="G108" s="468"/>
      <c r="H108" s="250">
        <f>IF(C108=0,0,62.5)</f>
        <v>0</v>
      </c>
      <c r="I108" s="104">
        <f>ROUND((H108+F108)*E108,2)</f>
        <v>0</v>
      </c>
      <c r="N108" s="479" t="s">
        <v>70</v>
      </c>
      <c r="O108" s="479"/>
      <c r="P108" s="483">
        <f>IF(H$120=1,C108,0)</f>
        <v>0</v>
      </c>
      <c r="Q108" s="483"/>
      <c r="R108" s="487">
        <f>ROUND(R107/2,2)</f>
        <v>0</v>
      </c>
      <c r="S108" s="487"/>
      <c r="T108" s="65">
        <f>H108</f>
        <v>0</v>
      </c>
      <c r="U108" s="99">
        <f>ROUND((T108+R108)*P108,0)</f>
        <v>0</v>
      </c>
    </row>
    <row r="109" spans="1:21" ht="16.5" hidden="1" thickBot="1" x14ac:dyDescent="0.3">
      <c r="A109" s="456" t="s">
        <v>71</v>
      </c>
      <c r="B109" s="456"/>
      <c r="C109" s="165">
        <v>0</v>
      </c>
      <c r="D109" s="165">
        <v>0</v>
      </c>
      <c r="E109" s="125">
        <f>IF(D$59=0,C109*2,C109+D109)</f>
        <v>0</v>
      </c>
      <c r="F109" s="475"/>
      <c r="G109" s="475"/>
      <c r="H109" s="251">
        <f>IF(H107&gt;0,436,0)</f>
        <v>0</v>
      </c>
      <c r="I109" s="104">
        <f>ROUND(H109*E109,2)</f>
        <v>0</v>
      </c>
      <c r="N109" s="482" t="s">
        <v>71</v>
      </c>
      <c r="O109" s="482"/>
      <c r="P109" s="483">
        <f>IF(H$120=1,C109,0)</f>
        <v>0</v>
      </c>
      <c r="Q109" s="483"/>
      <c r="R109" s="484"/>
      <c r="S109" s="484"/>
      <c r="T109" s="67">
        <f>H109</f>
        <v>0</v>
      </c>
      <c r="U109" s="106">
        <f>ROUND(T109*P109,0)</f>
        <v>0</v>
      </c>
    </row>
    <row r="110" spans="1:21" ht="16.5" hidden="1" thickBot="1" x14ac:dyDescent="0.3">
      <c r="A110" s="466" t="s">
        <v>8</v>
      </c>
      <c r="B110" s="466"/>
      <c r="C110" s="68"/>
      <c r="D110" s="68"/>
      <c r="E110" s="68"/>
      <c r="F110" s="68"/>
      <c r="G110" s="68"/>
      <c r="H110" s="68"/>
      <c r="I110" s="100">
        <f>SUM(I107:I109)</f>
        <v>0</v>
      </c>
      <c r="N110" s="485" t="s">
        <v>8</v>
      </c>
      <c r="O110" s="485"/>
      <c r="P110" s="69"/>
      <c r="Q110" s="69"/>
      <c r="R110" s="69"/>
      <c r="S110" s="69"/>
      <c r="T110" s="69"/>
      <c r="U110" s="70">
        <f>SUM(U107:U109)</f>
        <v>0</v>
      </c>
    </row>
    <row r="111" spans="1:21" hidden="1" x14ac:dyDescent="0.25">
      <c r="A111" s="39"/>
      <c r="B111" s="39"/>
      <c r="C111" s="68"/>
      <c r="D111" s="68"/>
      <c r="E111" s="68"/>
      <c r="F111" s="68"/>
      <c r="G111" s="68"/>
      <c r="H111" s="68"/>
      <c r="I111" s="104"/>
      <c r="N111" s="40"/>
      <c r="O111" s="40"/>
      <c r="P111" s="69"/>
      <c r="Q111" s="69"/>
      <c r="R111" s="69"/>
      <c r="S111" s="69"/>
      <c r="T111" s="69"/>
      <c r="U111" s="160"/>
    </row>
    <row r="112" spans="1:21" x14ac:dyDescent="0.25">
      <c r="A112" s="463" t="s">
        <v>448</v>
      </c>
      <c r="B112" s="453"/>
      <c r="C112" s="453"/>
      <c r="D112" s="72"/>
      <c r="E112" s="71" t="s">
        <v>354</v>
      </c>
      <c r="F112" s="472"/>
      <c r="G112" s="472"/>
      <c r="H112" s="472"/>
      <c r="I112" s="125">
        <v>0</v>
      </c>
      <c r="N112" s="478" t="s">
        <v>427</v>
      </c>
      <c r="O112" s="479"/>
      <c r="P112" s="479"/>
      <c r="Q112" s="341"/>
      <c r="R112" s="341"/>
      <c r="S112" s="341"/>
      <c r="T112" s="341"/>
      <c r="U112" s="99">
        <f>IF($H$120=1,I112,0)</f>
        <v>0</v>
      </c>
    </row>
    <row r="113" spans="1:21" x14ac:dyDescent="0.25">
      <c r="A113" s="463" t="s">
        <v>449</v>
      </c>
      <c r="B113" s="453"/>
      <c r="C113" s="453"/>
      <c r="D113" s="72"/>
      <c r="E113" s="71" t="s">
        <v>45</v>
      </c>
      <c r="F113" s="472"/>
      <c r="G113" s="472"/>
      <c r="H113" s="472"/>
      <c r="I113" s="177">
        <v>0</v>
      </c>
      <c r="N113" s="478" t="s">
        <v>428</v>
      </c>
      <c r="O113" s="479"/>
      <c r="P113" s="479"/>
      <c r="Q113" s="341"/>
      <c r="R113" s="341"/>
      <c r="S113" s="341"/>
      <c r="T113" s="341"/>
      <c r="U113" s="99">
        <f>IF($H$120=1,I113,0)</f>
        <v>0</v>
      </c>
    </row>
    <row r="114" spans="1:21" ht="16.5" thickBot="1" x14ac:dyDescent="0.3">
      <c r="B114" s="72"/>
      <c r="C114" s="72"/>
      <c r="D114" s="72"/>
      <c r="E114" s="71"/>
      <c r="F114" s="71"/>
      <c r="G114" s="71"/>
      <c r="H114" s="71"/>
      <c r="I114" s="125"/>
      <c r="N114" s="480" t="s">
        <v>42</v>
      </c>
      <c r="O114" s="480"/>
      <c r="P114" s="480"/>
      <c r="Q114" s="480"/>
      <c r="R114" s="480"/>
      <c r="S114" s="480"/>
      <c r="T114" s="480"/>
      <c r="U114" s="154">
        <f>SUM(U112,U110,U100,U99,U93,U77,U76,U74,U73,U72,U71,U70,U68,U59,U45,U78,U79,U80,U85,U113)</f>
        <v>0</v>
      </c>
    </row>
    <row r="115" spans="1:21" ht="16.5" thickTop="1" x14ac:dyDescent="0.25">
      <c r="A115" s="461" t="s">
        <v>8</v>
      </c>
      <c r="B115" s="461"/>
      <c r="C115" s="461"/>
      <c r="D115" s="461"/>
      <c r="E115" s="461"/>
      <c r="F115" s="461"/>
      <c r="G115" s="461"/>
      <c r="H115" s="461"/>
      <c r="I115" s="97">
        <f>SUM(I113,I112,I110,I100,I99,I93,I85,I84,I80,I79,I78,I77,I76,I74,I73,I72,I71,I70,I68,I59,I45)</f>
        <v>7953361.21</v>
      </c>
      <c r="N115" s="29"/>
      <c r="O115" s="29"/>
      <c r="P115" s="29"/>
      <c r="Q115" s="29"/>
      <c r="R115" s="29"/>
      <c r="S115" s="29"/>
      <c r="T115" s="29"/>
      <c r="U115" s="160"/>
    </row>
    <row r="116" spans="1:21" x14ac:dyDescent="0.25">
      <c r="A116" s="27"/>
      <c r="B116" s="27"/>
      <c r="C116" s="27"/>
      <c r="D116" s="27"/>
      <c r="E116" s="27"/>
      <c r="F116" s="27"/>
      <c r="G116" s="27"/>
      <c r="H116" s="27"/>
      <c r="I116" s="104"/>
      <c r="N116" s="29"/>
      <c r="O116" s="29"/>
      <c r="P116" s="29"/>
      <c r="Q116" s="29"/>
      <c r="R116" s="29"/>
      <c r="S116" s="29"/>
      <c r="T116" s="29"/>
      <c r="U116" s="160"/>
    </row>
    <row r="117" spans="1:21" x14ac:dyDescent="0.25">
      <c r="A117" s="432" t="s">
        <v>467</v>
      </c>
      <c r="B117" s="27"/>
      <c r="C117" s="27"/>
      <c r="D117" s="27"/>
      <c r="E117" s="27"/>
      <c r="F117" s="27"/>
      <c r="G117" s="27"/>
      <c r="H117" s="27"/>
      <c r="I117" s="104">
        <f>I115-I84</f>
        <v>7686113.5599999996</v>
      </c>
      <c r="N117" s="29"/>
      <c r="O117" s="29"/>
      <c r="P117" s="29"/>
      <c r="Q117" s="29"/>
      <c r="R117" s="29"/>
      <c r="S117" s="29"/>
      <c r="T117" s="29"/>
      <c r="U117" s="160"/>
    </row>
    <row r="118" spans="1:21" x14ac:dyDescent="0.25">
      <c r="A118" s="27"/>
      <c r="B118" s="27"/>
      <c r="C118" s="27"/>
      <c r="D118" s="27"/>
      <c r="E118" s="27"/>
      <c r="F118" s="27"/>
      <c r="G118" s="27"/>
      <c r="H118" s="27"/>
      <c r="I118" s="104"/>
      <c r="N118" s="29"/>
      <c r="O118" s="29"/>
      <c r="P118" s="29"/>
      <c r="Q118" s="29"/>
      <c r="R118" s="29"/>
      <c r="S118" s="29"/>
      <c r="T118" s="29"/>
      <c r="U118" s="160"/>
    </row>
    <row r="119" spans="1:21" x14ac:dyDescent="0.25">
      <c r="A119" s="463" t="s">
        <v>468</v>
      </c>
      <c r="B119" s="453"/>
      <c r="C119" s="453"/>
      <c r="D119" s="453"/>
      <c r="E119" s="453"/>
      <c r="F119" s="453"/>
      <c r="G119" s="453"/>
      <c r="H119" s="84" t="s">
        <v>394</v>
      </c>
      <c r="I119" s="156"/>
      <c r="N119" s="481"/>
      <c r="O119" s="481"/>
      <c r="P119" s="481"/>
      <c r="Q119" s="481"/>
      <c r="R119" s="481"/>
      <c r="S119" s="481"/>
      <c r="T119" s="481"/>
      <c r="U119" s="481"/>
    </row>
    <row r="120" spans="1:21" x14ac:dyDescent="0.25">
      <c r="A120" s="453" t="s">
        <v>95</v>
      </c>
      <c r="B120" s="453"/>
      <c r="C120" s="453"/>
      <c r="D120" s="453"/>
      <c r="E120" s="453"/>
      <c r="F120" s="453"/>
      <c r="G120" s="453"/>
      <c r="H120" s="73" t="str">
        <f>IF(E29=0,"",IF((E14+E16+SUM(E18:E24))/E29&gt;0.75,1,""))</f>
        <v/>
      </c>
      <c r="I120" s="125">
        <f>U114</f>
        <v>0</v>
      </c>
      <c r="N120" s="476" t="s">
        <v>7</v>
      </c>
      <c r="O120" s="476"/>
      <c r="P120" s="476"/>
      <c r="Q120" s="476"/>
      <c r="R120" s="476"/>
      <c r="S120" s="476"/>
      <c r="T120" s="476"/>
      <c r="U120" s="476"/>
    </row>
    <row r="121" spans="1:21" x14ac:dyDescent="0.25">
      <c r="B121" s="72"/>
      <c r="C121" s="72"/>
      <c r="D121" s="72"/>
      <c r="E121" s="72"/>
      <c r="F121" s="72"/>
      <c r="G121" s="72"/>
      <c r="H121" s="68"/>
      <c r="I121" s="104"/>
      <c r="N121" s="74" t="s">
        <v>106</v>
      </c>
      <c r="O121" s="74"/>
      <c r="P121" s="74"/>
      <c r="Q121" s="74"/>
      <c r="R121" s="74"/>
      <c r="S121" s="74"/>
      <c r="T121" s="74"/>
      <c r="U121" s="74"/>
    </row>
    <row r="122" spans="1:21" x14ac:dyDescent="0.25">
      <c r="A122" s="3" t="s">
        <v>102</v>
      </c>
      <c r="B122" s="72"/>
      <c r="C122" s="72"/>
      <c r="D122" s="72"/>
      <c r="E122" s="72"/>
      <c r="F122" s="72"/>
      <c r="G122" s="426" t="s">
        <v>290</v>
      </c>
      <c r="H122" s="161">
        <f>IF(H120=1,I120,I117)</f>
        <v>7686113.5599999996</v>
      </c>
      <c r="I122" s="97">
        <f>ROUND(IF(E29=0,0,IF(E29&gt;250,-(((250/E29)*H122)*IF(G122="H",0.02,0.05)),IF(G122="H",-0.02*H122,-0.05*H122))),2)</f>
        <v>-36243.629999999997</v>
      </c>
      <c r="N122" s="75" t="s">
        <v>107</v>
      </c>
      <c r="O122" s="74"/>
      <c r="P122" s="74"/>
      <c r="Q122" s="74"/>
      <c r="R122" s="74"/>
      <c r="S122" s="74"/>
      <c r="T122" s="74"/>
      <c r="U122" s="74"/>
    </row>
    <row r="123" spans="1:21" x14ac:dyDescent="0.25">
      <c r="B123" s="72"/>
      <c r="C123" s="72"/>
      <c r="D123" s="72"/>
      <c r="E123" s="72"/>
      <c r="F123" s="72"/>
      <c r="G123" s="72"/>
      <c r="H123" s="68"/>
      <c r="I123" s="104"/>
      <c r="N123" s="76"/>
      <c r="O123" s="76"/>
      <c r="P123" s="76"/>
      <c r="Q123" s="76"/>
      <c r="R123" s="76"/>
      <c r="S123" s="76"/>
      <c r="T123" s="76"/>
      <c r="U123" s="76"/>
    </row>
    <row r="124" spans="1:21" x14ac:dyDescent="0.25">
      <c r="A124" s="345" t="s">
        <v>103</v>
      </c>
      <c r="B124" s="346"/>
      <c r="C124" s="346"/>
      <c r="D124" s="346"/>
      <c r="E124" s="346"/>
      <c r="F124" s="346"/>
      <c r="G124" s="346"/>
      <c r="H124" s="347"/>
      <c r="I124" s="348">
        <f>I115+I122</f>
        <v>7917117.5800000001</v>
      </c>
      <c r="N124" s="76"/>
      <c r="O124" s="76"/>
      <c r="P124" s="76"/>
      <c r="Q124" s="76"/>
      <c r="R124" s="76"/>
      <c r="S124" s="76"/>
      <c r="T124" s="76"/>
      <c r="U124" s="76"/>
    </row>
    <row r="125" spans="1:21" x14ac:dyDescent="0.25">
      <c r="B125" s="72"/>
      <c r="C125" s="72"/>
      <c r="D125" s="72"/>
      <c r="E125" s="72"/>
      <c r="F125" s="72"/>
      <c r="G125" s="72"/>
      <c r="H125" s="68"/>
      <c r="I125" s="104"/>
      <c r="N125" s="76"/>
      <c r="O125" s="76"/>
      <c r="P125" s="76"/>
      <c r="Q125" s="76"/>
      <c r="R125" s="76"/>
      <c r="S125" s="76"/>
      <c r="T125" s="76"/>
      <c r="U125" s="76"/>
    </row>
    <row r="126" spans="1:21" x14ac:dyDescent="0.25">
      <c r="A126" s="3" t="s">
        <v>104</v>
      </c>
      <c r="B126" s="72"/>
      <c r="C126" s="162"/>
      <c r="D126" s="72"/>
      <c r="F126" s="72"/>
      <c r="G126" s="72"/>
      <c r="H126" s="68"/>
      <c r="I126" s="302">
        <v>-5921781.9199999999</v>
      </c>
      <c r="N126" s="76"/>
      <c r="O126" s="76"/>
      <c r="P126" s="76"/>
      <c r="Q126" s="76"/>
      <c r="R126" s="76"/>
      <c r="S126" s="76"/>
      <c r="T126" s="76"/>
      <c r="U126" s="76"/>
    </row>
    <row r="127" spans="1:21" x14ac:dyDescent="0.25">
      <c r="B127" s="72"/>
      <c r="C127" s="72"/>
      <c r="D127" s="72"/>
      <c r="E127" s="72"/>
      <c r="F127" s="72"/>
      <c r="G127" s="72"/>
      <c r="H127" s="68"/>
      <c r="I127" s="104"/>
      <c r="N127" s="76"/>
      <c r="O127" s="76"/>
      <c r="P127" s="76"/>
      <c r="Q127" s="76"/>
      <c r="R127" s="76"/>
      <c r="S127" s="76"/>
      <c r="T127" s="76"/>
      <c r="U127" s="76"/>
    </row>
    <row r="128" spans="1:21" x14ac:dyDescent="0.25">
      <c r="A128" s="84" t="s">
        <v>297</v>
      </c>
      <c r="B128" s="72"/>
      <c r="C128" s="72"/>
      <c r="D128" s="72"/>
      <c r="E128" s="72"/>
      <c r="F128" s="72"/>
      <c r="G128" s="72"/>
      <c r="H128" s="68"/>
      <c r="I128" s="104">
        <f>I124+I126</f>
        <v>1995335.6600000001</v>
      </c>
      <c r="N128" s="76"/>
      <c r="O128" s="76"/>
      <c r="P128" s="76"/>
      <c r="Q128" s="76"/>
      <c r="R128" s="76"/>
      <c r="S128" s="76"/>
      <c r="T128" s="76"/>
      <c r="U128" s="76"/>
    </row>
    <row r="129" spans="1:21" x14ac:dyDescent="0.25">
      <c r="A129" s="84"/>
      <c r="B129" s="72"/>
      <c r="C129" s="72"/>
      <c r="D129" s="72"/>
      <c r="E129" s="72"/>
      <c r="F129" s="72"/>
      <c r="G129" s="72"/>
      <c r="H129" s="68"/>
      <c r="I129" s="104"/>
      <c r="N129" s="76"/>
      <c r="O129" s="76"/>
      <c r="P129" s="76"/>
      <c r="Q129" s="76"/>
      <c r="R129" s="76"/>
      <c r="S129" s="76"/>
      <c r="T129" s="76"/>
      <c r="U129" s="76"/>
    </row>
    <row r="130" spans="1:21" x14ac:dyDescent="0.25">
      <c r="A130" s="84" t="s">
        <v>298</v>
      </c>
      <c r="B130" s="72"/>
      <c r="C130" s="72"/>
      <c r="D130" s="72"/>
      <c r="E130" s="72"/>
      <c r="F130" s="72"/>
      <c r="G130" s="72"/>
      <c r="H130" s="68"/>
      <c r="I130" s="303">
        <f>'0664'!I130</f>
        <v>3</v>
      </c>
      <c r="N130" s="76"/>
      <c r="O130" s="76"/>
      <c r="P130" s="76"/>
      <c r="Q130" s="76"/>
      <c r="R130" s="76"/>
      <c r="S130" s="76"/>
      <c r="T130" s="76"/>
      <c r="U130" s="76"/>
    </row>
    <row r="131" spans="1:21" x14ac:dyDescent="0.25">
      <c r="B131" s="72"/>
      <c r="C131" s="72"/>
      <c r="D131" s="72"/>
      <c r="E131" s="72"/>
      <c r="F131" s="72"/>
      <c r="G131" s="72"/>
      <c r="H131" s="68"/>
      <c r="I131" s="104"/>
      <c r="N131" s="76"/>
      <c r="O131" s="76"/>
      <c r="P131" s="76"/>
      <c r="Q131" s="76"/>
      <c r="R131" s="76"/>
      <c r="S131" s="76"/>
      <c r="T131" s="76"/>
      <c r="U131" s="76"/>
    </row>
    <row r="132" spans="1:21" ht="16.5" thickBot="1" x14ac:dyDescent="0.3">
      <c r="A132" s="3" t="s">
        <v>105</v>
      </c>
      <c r="B132" s="72"/>
      <c r="C132" s="72"/>
      <c r="D132" s="72"/>
      <c r="E132" s="72"/>
      <c r="F132" s="72"/>
      <c r="G132" s="72"/>
      <c r="H132" s="68"/>
      <c r="I132" s="178">
        <f>ROUND(I128/I130,2)</f>
        <v>665111.89</v>
      </c>
      <c r="N132" s="76"/>
      <c r="O132" s="76"/>
      <c r="P132" s="76"/>
      <c r="Q132" s="76"/>
      <c r="R132" s="76"/>
      <c r="S132" s="76"/>
      <c r="T132" s="76"/>
      <c r="U132" s="76"/>
    </row>
    <row r="133" spans="1:21" ht="16.5" thickTop="1" x14ac:dyDescent="0.25">
      <c r="B133" s="72"/>
      <c r="C133" s="72"/>
      <c r="D133" s="72"/>
      <c r="E133" s="72"/>
      <c r="F133" s="72"/>
      <c r="G133" s="72"/>
      <c r="H133" s="68"/>
      <c r="I133" s="104"/>
      <c r="N133" s="76"/>
      <c r="O133" s="76"/>
      <c r="P133" s="76"/>
      <c r="Q133" s="76"/>
      <c r="R133" s="76"/>
      <c r="S133" s="76"/>
      <c r="T133" s="76"/>
      <c r="U133" s="76"/>
    </row>
    <row r="134" spans="1:21" ht="16.5" thickBot="1" x14ac:dyDescent="0.3">
      <c r="A134" s="3" t="s">
        <v>121</v>
      </c>
      <c r="B134" s="72"/>
      <c r="C134" s="72"/>
      <c r="D134" s="72"/>
      <c r="E134" s="72"/>
      <c r="F134" s="72"/>
      <c r="G134" s="72"/>
      <c r="H134" s="68"/>
      <c r="I134" s="155">
        <f>ROUND(IF(G122="H",(H122*0.02)+I122,(H122*0.05)+I122),2)</f>
        <v>117478.64</v>
      </c>
      <c r="N134" s="76"/>
      <c r="O134" s="76"/>
      <c r="P134" s="76"/>
      <c r="Q134" s="76"/>
      <c r="R134" s="76"/>
      <c r="S134" s="76"/>
      <c r="T134" s="76"/>
      <c r="U134" s="76"/>
    </row>
    <row r="135" spans="1:21" ht="16.5" thickTop="1" x14ac:dyDescent="0.25">
      <c r="B135" s="72"/>
      <c r="C135" s="72"/>
      <c r="D135" s="72"/>
      <c r="E135" s="72"/>
      <c r="F135" s="72"/>
      <c r="G135" s="72"/>
      <c r="H135" s="68"/>
      <c r="I135" s="156"/>
      <c r="N135" s="76"/>
      <c r="O135" s="76"/>
      <c r="P135" s="76"/>
      <c r="Q135" s="76"/>
      <c r="R135" s="76"/>
      <c r="S135" s="76"/>
      <c r="T135" s="76"/>
      <c r="U135" s="76"/>
    </row>
    <row r="136" spans="1:21" x14ac:dyDescent="0.25">
      <c r="B136" s="72"/>
      <c r="C136" s="72"/>
      <c r="D136" s="72"/>
      <c r="E136" s="72"/>
      <c r="F136" s="72"/>
      <c r="G136" s="72"/>
      <c r="H136" s="68"/>
      <c r="I136" s="104"/>
      <c r="N136" s="76"/>
      <c r="O136" s="76"/>
      <c r="P136" s="76"/>
      <c r="Q136" s="76"/>
      <c r="R136" s="76"/>
      <c r="S136" s="76"/>
      <c r="T136" s="76"/>
      <c r="U136" s="76"/>
    </row>
    <row r="137" spans="1:21" x14ac:dyDescent="0.25">
      <c r="B137" s="72"/>
      <c r="C137" s="72"/>
      <c r="D137" s="72"/>
      <c r="E137" s="72"/>
      <c r="F137" s="72"/>
      <c r="G137" s="72"/>
      <c r="H137" s="68"/>
      <c r="I137" s="156"/>
      <c r="N137" s="76"/>
      <c r="O137" s="76"/>
      <c r="P137" s="76"/>
      <c r="Q137" s="76"/>
      <c r="R137" s="76"/>
      <c r="S137" s="76"/>
      <c r="T137" s="76"/>
      <c r="U137" s="76"/>
    </row>
    <row r="138" spans="1:21" x14ac:dyDescent="0.25">
      <c r="A138" s="281" t="s">
        <v>7</v>
      </c>
      <c r="B138" s="281"/>
      <c r="C138" s="281"/>
      <c r="D138" s="281"/>
      <c r="E138" s="281"/>
      <c r="F138" s="281"/>
      <c r="G138" s="281"/>
      <c r="H138" s="281"/>
      <c r="I138" s="281"/>
      <c r="J138" s="156"/>
      <c r="N138" s="76"/>
      <c r="O138" s="76"/>
      <c r="P138" s="76"/>
      <c r="Q138" s="76"/>
      <c r="R138" s="76"/>
      <c r="S138" s="76"/>
      <c r="T138" s="76"/>
      <c r="U138" s="76"/>
    </row>
    <row r="139" spans="1:21" ht="15.75" customHeight="1" x14ac:dyDescent="0.25">
      <c r="A139" s="356" t="str">
        <f>'0664'!A139</f>
        <v>(a) Additional FTE includes FTE earned through Advanced Placement, International Baccalaureate, Advanced International Certificate of Education, Industry Certified Career</v>
      </c>
      <c r="B139" s="357"/>
      <c r="C139" s="357"/>
      <c r="D139" s="357"/>
      <c r="E139" s="357"/>
      <c r="F139" s="357"/>
      <c r="G139" s="357"/>
      <c r="H139" s="357"/>
      <c r="I139" s="357"/>
      <c r="J139" s="80"/>
      <c r="K139" s="79"/>
      <c r="L139" s="79"/>
      <c r="M139" s="79"/>
      <c r="N139" s="477"/>
      <c r="O139" s="477"/>
      <c r="P139" s="477"/>
      <c r="Q139" s="477"/>
      <c r="R139" s="477"/>
      <c r="S139" s="477"/>
      <c r="T139" s="477"/>
      <c r="U139" s="477"/>
    </row>
    <row r="140" spans="1:21" ht="15.75" customHeight="1" x14ac:dyDescent="0.25">
      <c r="A140" s="390" t="str">
        <f>'0664'!A140</f>
        <v xml:space="preserve">Education (CAPE), Early High School Graduation and the small district ESE Supplement, pursuant to s. 1011.62(1)(l-p), F.S. </v>
      </c>
      <c r="B140" s="357"/>
      <c r="C140" s="357"/>
      <c r="D140" s="357"/>
      <c r="E140" s="357"/>
      <c r="F140" s="357"/>
      <c r="G140" s="357"/>
      <c r="H140" s="357"/>
      <c r="I140" s="357"/>
      <c r="J140" s="80"/>
      <c r="K140" s="79"/>
      <c r="L140" s="79"/>
      <c r="M140" s="79"/>
      <c r="N140" s="76"/>
      <c r="O140" s="76"/>
      <c r="P140" s="76"/>
      <c r="Q140" s="76"/>
      <c r="R140" s="76"/>
      <c r="S140" s="76"/>
      <c r="T140" s="76"/>
      <c r="U140" s="76"/>
    </row>
    <row r="141" spans="1:21" x14ac:dyDescent="0.25">
      <c r="A141" s="356" t="str">
        <f>'0664'!A141</f>
        <v>(b) District allocations multiplied by percentage from item 3A.</v>
      </c>
      <c r="B141" s="281"/>
      <c r="C141" s="281"/>
      <c r="D141" s="281"/>
      <c r="E141" s="281"/>
      <c r="F141" s="281"/>
      <c r="G141" s="281"/>
      <c r="H141" s="281"/>
      <c r="I141" s="281"/>
      <c r="J141" s="79"/>
      <c r="K141" s="79"/>
      <c r="L141" s="79"/>
      <c r="M141" s="79"/>
      <c r="N141" s="81"/>
      <c r="O141" s="82"/>
      <c r="P141" s="82"/>
      <c r="Q141" s="82"/>
      <c r="R141" s="82"/>
      <c r="S141" s="82"/>
      <c r="T141" s="82"/>
      <c r="U141" s="82"/>
    </row>
    <row r="142" spans="1:21" s="79" customFormat="1" x14ac:dyDescent="0.2">
      <c r="A142" s="356" t="str">
        <f>'0664'!A142</f>
        <v>(c) District allocations multiplied by percentage from item 3B.</v>
      </c>
      <c r="B142" s="281"/>
      <c r="C142" s="281"/>
      <c r="D142" s="281"/>
      <c r="E142" s="281"/>
      <c r="F142" s="281"/>
      <c r="G142" s="281"/>
      <c r="H142" s="281"/>
      <c r="I142" s="281"/>
      <c r="N142" s="81"/>
    </row>
    <row r="143" spans="1:21" s="79" customFormat="1" ht="15.75" customHeight="1" x14ac:dyDescent="0.2">
      <c r="A143" s="356" t="str">
        <f>'0664'!A143</f>
        <v>(d) The Digital Classroom Allocation is provided pursuant to s. 1011.62(12), F.S.</v>
      </c>
      <c r="B143" s="281"/>
      <c r="C143" s="281"/>
      <c r="D143" s="281"/>
      <c r="E143" s="281"/>
      <c r="F143" s="281"/>
      <c r="G143" s="281"/>
      <c r="H143" s="281"/>
      <c r="I143" s="281"/>
      <c r="N143" s="81"/>
    </row>
    <row r="144" spans="1:21" s="79" customFormat="1" ht="15.75" customHeight="1" x14ac:dyDescent="0.2">
      <c r="A144" s="356" t="str">
        <f>'0664'!A144</f>
        <v>(e) School districts are required to pay for instructional materials used for the instruction of public high school students who are earning credit toward high school</v>
      </c>
      <c r="B144" s="281"/>
      <c r="C144" s="281"/>
      <c r="D144" s="281"/>
      <c r="E144" s="281"/>
      <c r="F144" s="281"/>
      <c r="G144" s="281"/>
      <c r="H144" s="281"/>
      <c r="I144" s="281"/>
      <c r="N144" s="81"/>
    </row>
    <row r="145" spans="1:14" s="79" customFormat="1" ht="15.75" customHeight="1" x14ac:dyDescent="0.2">
      <c r="A145" s="390" t="str">
        <f>'0664'!A145</f>
        <v xml:space="preserve">graduation under the dual enrollment program as provided in s. 1011.62(l)(i), F.S.  </v>
      </c>
      <c r="B145" s="281"/>
      <c r="C145" s="281"/>
      <c r="D145" s="281"/>
      <c r="E145" s="281"/>
      <c r="F145" s="281"/>
      <c r="G145" s="281"/>
      <c r="H145" s="281"/>
      <c r="I145" s="281"/>
      <c r="N145" s="81"/>
    </row>
    <row r="146" spans="1:14" s="79" customFormat="1" x14ac:dyDescent="0.2">
      <c r="A146" s="356" t="str">
        <f>'0664'!A146</f>
        <v>(f) This allocation will be frozen as of the 2021-22 FEFP Second Calculation and will not be recalculated throughout the year. Charter school allocations should be</v>
      </c>
      <c r="B146" s="281"/>
      <c r="C146" s="281"/>
      <c r="D146" s="281"/>
      <c r="E146" s="281"/>
      <c r="F146" s="281"/>
      <c r="G146" s="281"/>
      <c r="H146" s="281"/>
      <c r="I146" s="281"/>
      <c r="N146" s="81"/>
    </row>
    <row r="147" spans="1:14" s="79" customFormat="1" x14ac:dyDescent="0.2">
      <c r="A147" s="358" t="str">
        <f>'0664'!A147</f>
        <v xml:space="preserve">distributed on weighted FTE (or base funding as is done in the FEFP) and should not be recalculated with fluctuations in student enrollment later in the year. </v>
      </c>
      <c r="B147" s="281"/>
      <c r="C147" s="281"/>
      <c r="D147" s="281"/>
      <c r="E147" s="281"/>
      <c r="F147" s="281"/>
      <c r="G147" s="281"/>
      <c r="H147" s="281"/>
      <c r="I147" s="281"/>
      <c r="N147" s="81"/>
    </row>
    <row r="148" spans="1:14" s="79" customFormat="1" x14ac:dyDescent="0.2">
      <c r="A148" s="356" t="str">
        <f>'0664'!A148</f>
        <v>(g) Numbers entered here will be multiplied by the district level transportation funding per rider. "All Adjusted Fundable Riders" should include both basic and ESE Riders.</v>
      </c>
      <c r="B148" s="281"/>
      <c r="C148" s="281"/>
      <c r="D148" s="281"/>
      <c r="E148" s="281"/>
      <c r="F148" s="281"/>
      <c r="G148" s="281"/>
      <c r="H148" s="281"/>
      <c r="I148" s="281"/>
      <c r="N148" s="81"/>
    </row>
    <row r="149" spans="1:14" s="79" customFormat="1" x14ac:dyDescent="0.2">
      <c r="A149" s="390" t="str">
        <f>'0664'!A149</f>
        <v>"All Adjusted ESE Riders" should include only ESE Riders.</v>
      </c>
      <c r="B149" s="281"/>
      <c r="C149" s="281"/>
      <c r="D149" s="281"/>
      <c r="E149" s="281"/>
      <c r="F149" s="281"/>
      <c r="G149" s="281"/>
      <c r="H149" s="281"/>
      <c r="I149" s="281"/>
      <c r="N149" s="81"/>
    </row>
    <row r="150" spans="1:14" s="79" customFormat="1" x14ac:dyDescent="0.2">
      <c r="A150" s="356" t="str">
        <f>'0664'!A150</f>
        <v xml:space="preserve">(h) The Federally Connected Student Supplement provides additional funding for students on federal lands that receive Section 8003 impact aide pursuant to s. 1011.62(13), F.S. </v>
      </c>
      <c r="B150" s="281"/>
      <c r="C150" s="281"/>
      <c r="D150" s="281"/>
      <c r="E150" s="281"/>
      <c r="F150" s="281"/>
      <c r="G150" s="281"/>
      <c r="H150" s="281"/>
      <c r="I150" s="281"/>
      <c r="N150" s="81"/>
    </row>
    <row r="151" spans="1:14" s="79" customFormat="1" x14ac:dyDescent="0.2">
      <c r="A151" s="356" t="str">
        <f>'0664'!A151</f>
        <v>(i) Teacher Classroom Supply Assistance Program allocation pursuant to s. 1012.71, F.S., for certified teachers employed by a public school district or public charter school</v>
      </c>
      <c r="B151" s="281"/>
      <c r="C151" s="281"/>
      <c r="D151" s="281"/>
      <c r="E151" s="281"/>
      <c r="F151" s="281"/>
      <c r="G151" s="281"/>
      <c r="H151" s="281"/>
      <c r="I151" s="281"/>
      <c r="N151" s="81"/>
    </row>
    <row r="152" spans="1:14" s="79" customFormat="1" x14ac:dyDescent="0.2">
      <c r="A152" s="358" t="str">
        <f>'0664'!A152</f>
        <v xml:space="preserve">before September 1 of each year whose full-time or job-share responsibility is the classroom instruction of students in prekindergarten through grade 12, including </v>
      </c>
      <c r="B152" s="281"/>
      <c r="C152" s="281"/>
      <c r="D152" s="281"/>
      <c r="E152" s="281"/>
      <c r="F152" s="281"/>
      <c r="G152" s="281"/>
      <c r="H152" s="281"/>
      <c r="I152" s="281"/>
      <c r="N152" s="81"/>
    </row>
    <row r="153" spans="1:14" s="79" customFormat="1" ht="15.75" customHeight="1" x14ac:dyDescent="0.2">
      <c r="A153" s="358" t="str">
        <f>'0664'!A153</f>
        <v>full-time media specialists and certified school counselors serving students in prekindergarten through grade 12, who are funded through the FEFP.</v>
      </c>
      <c r="B153" s="281"/>
      <c r="C153" s="281"/>
      <c r="D153" s="281"/>
      <c r="E153" s="281"/>
      <c r="F153" s="281"/>
      <c r="G153" s="281"/>
      <c r="H153" s="281"/>
      <c r="I153" s="281"/>
      <c r="N153" s="81"/>
    </row>
    <row r="154" spans="1:14" s="79" customFormat="1" ht="15.75" customHeight="1" x14ac:dyDescent="0.2">
      <c r="A154" s="356" t="str">
        <f>'0664'!A154</f>
        <v xml:space="preserve">(j) Funding based on student eligibility and meals provided, if participating in the National School Lunch Program. </v>
      </c>
      <c r="B154" s="328"/>
      <c r="C154" s="328"/>
      <c r="D154" s="328"/>
      <c r="E154" s="328"/>
      <c r="F154" s="328"/>
      <c r="G154" s="328"/>
      <c r="H154" s="328"/>
      <c r="I154" s="328"/>
      <c r="N154" s="81"/>
    </row>
    <row r="155" spans="1:14" s="79" customFormat="1" ht="15.75" customHeight="1" x14ac:dyDescent="0.2">
      <c r="A155" s="356" t="str">
        <f>'0664'!A155</f>
        <v>(k) Consistent with s. 1002.33(20)(a), F.S., for charter schools with a population of 75% or more ESE students, the administrative fee shall be calculated based on</v>
      </c>
      <c r="B155" s="381"/>
      <c r="C155" s="381"/>
      <c r="D155" s="381"/>
      <c r="E155" s="381"/>
      <c r="F155" s="381"/>
      <c r="G155" s="381"/>
      <c r="H155" s="381"/>
      <c r="I155" s="381"/>
      <c r="N155" s="81"/>
    </row>
    <row r="156" spans="1:14" s="79" customFormat="1" ht="15.75" customHeight="1" x14ac:dyDescent="0.2">
      <c r="A156" s="390" t="str">
        <f>'0664'!A156</f>
        <v xml:space="preserve">unweighted full-time equivalent students. </v>
      </c>
      <c r="B156" s="381"/>
      <c r="C156" s="381"/>
      <c r="D156" s="381"/>
      <c r="E156" s="381"/>
      <c r="F156" s="381"/>
      <c r="G156" s="381"/>
      <c r="H156" s="381"/>
      <c r="I156" s="381"/>
      <c r="N156" s="81"/>
    </row>
    <row r="157" spans="1:14" s="79" customFormat="1" ht="15.75" customHeight="1" x14ac:dyDescent="0.2">
      <c r="A157" s="356"/>
      <c r="B157" s="381"/>
      <c r="C157" s="381"/>
      <c r="D157" s="381"/>
      <c r="E157" s="381"/>
      <c r="F157" s="381"/>
      <c r="G157" s="381"/>
      <c r="H157" s="381"/>
      <c r="I157" s="381"/>
      <c r="N157" s="81"/>
    </row>
    <row r="158" spans="1:14" s="79" customFormat="1" ht="15.75" customHeight="1" x14ac:dyDescent="0.25">
      <c r="A158" s="398" t="str">
        <f>'0664'!A158</f>
        <v>Administrative fees:</v>
      </c>
      <c r="B158" s="328"/>
      <c r="C158" s="328"/>
      <c r="D158" s="328"/>
      <c r="E158" s="328"/>
      <c r="F158" s="328"/>
      <c r="G158" s="328"/>
      <c r="H158" s="328"/>
      <c r="I158" s="328"/>
      <c r="J158" s="3"/>
      <c r="K158" s="3"/>
      <c r="L158" s="3"/>
      <c r="M158" s="3"/>
      <c r="N158" s="81"/>
    </row>
    <row r="159" spans="1:14" s="79" customFormat="1" ht="15.75" customHeight="1" x14ac:dyDescent="0.25">
      <c r="A159" s="399" t="str">
        <f>'0664'!A159</f>
        <v xml:space="preserve">Administrative fees charged by the school district pursuant to s. 1002.33(20)(a), F.S., shall be calculated based upon 5% of available funds from the FEFP and categorical </v>
      </c>
      <c r="B159" s="328"/>
      <c r="C159" s="328"/>
      <c r="D159" s="328"/>
      <c r="E159" s="328"/>
      <c r="F159" s="328"/>
      <c r="G159" s="328"/>
      <c r="H159" s="328"/>
      <c r="I159" s="328"/>
      <c r="J159" s="3"/>
      <c r="K159" s="3"/>
      <c r="L159" s="3"/>
      <c r="M159" s="3"/>
      <c r="N159" s="81"/>
    </row>
    <row r="160" spans="1:14" s="79" customFormat="1" ht="15.75" customHeight="1" x14ac:dyDescent="0.25">
      <c r="A160" s="400" t="str">
        <f>'0664'!A160</f>
        <v>funding for which charter students may be eligible.  To calculate the administrative fee to be withheld for schools with more than 250 students, divide the school</v>
      </c>
      <c r="B160" s="328"/>
      <c r="C160" s="328"/>
      <c r="D160" s="328"/>
      <c r="E160" s="328"/>
      <c r="F160" s="328"/>
      <c r="G160" s="328"/>
      <c r="H160" s="328"/>
      <c r="I160" s="328"/>
      <c r="J160" s="3"/>
      <c r="K160" s="3"/>
      <c r="L160" s="3"/>
      <c r="M160" s="3"/>
      <c r="N160" s="81"/>
    </row>
    <row r="161" spans="1:21" s="79" customFormat="1" ht="15.75" customHeight="1" x14ac:dyDescent="0.25">
      <c r="A161" s="400" t="str">
        <f>'0664'!A161</f>
        <v xml:space="preserve">population into 250. Multiply that fraction times the funds available, then times 5%.  </v>
      </c>
      <c r="B161" s="328"/>
      <c r="C161" s="328"/>
      <c r="D161" s="328"/>
      <c r="E161" s="328"/>
      <c r="F161" s="328"/>
      <c r="G161" s="328"/>
      <c r="H161" s="328"/>
      <c r="I161" s="328"/>
      <c r="J161" s="3"/>
      <c r="K161" s="3"/>
      <c r="L161" s="3"/>
      <c r="M161" s="3"/>
      <c r="N161" s="81"/>
    </row>
    <row r="162" spans="1:21" s="79" customFormat="1" ht="15.75" customHeight="1" x14ac:dyDescent="0.25">
      <c r="A162" s="399"/>
      <c r="B162" s="394"/>
      <c r="C162" s="394"/>
      <c r="D162" s="394"/>
      <c r="E162" s="394"/>
      <c r="F162" s="394"/>
      <c r="G162" s="394"/>
      <c r="H162" s="394"/>
      <c r="I162" s="394"/>
      <c r="N162" s="77"/>
      <c r="O162" s="3"/>
      <c r="P162" s="3"/>
      <c r="Q162" s="3"/>
      <c r="R162" s="3"/>
      <c r="S162" s="3"/>
      <c r="T162" s="3"/>
      <c r="U162" s="3"/>
    </row>
    <row r="163" spans="1:21" ht="15.75" customHeight="1" x14ac:dyDescent="0.25">
      <c r="A163" s="399" t="str">
        <f>'0664'!A163</f>
        <v xml:space="preserve">For high performing charter schools, administrative fees charged by the school district shall be calculated based upon 2% of available funds from the FEFP and categorical </v>
      </c>
      <c r="B163" s="328"/>
      <c r="C163" s="328"/>
      <c r="D163" s="328"/>
      <c r="E163" s="328"/>
      <c r="F163" s="328"/>
      <c r="G163" s="328"/>
      <c r="H163" s="328"/>
      <c r="I163" s="328"/>
      <c r="J163" s="79"/>
      <c r="K163" s="79"/>
      <c r="L163" s="79"/>
      <c r="M163" s="79"/>
      <c r="N163" s="81"/>
      <c r="O163" s="79"/>
      <c r="P163" s="79"/>
      <c r="Q163" s="79"/>
      <c r="R163" s="79"/>
      <c r="S163" s="79"/>
      <c r="T163" s="79"/>
      <c r="U163" s="79"/>
    </row>
    <row r="164" spans="1:21" ht="15.75" customHeight="1" x14ac:dyDescent="0.25">
      <c r="A164" s="400" t="str">
        <f>'0664'!A164</f>
        <v>funding for which charter students may be eligible.  To calculate the administrative fee to be withheld for schools with more than 250 students, divide the school</v>
      </c>
      <c r="B164" s="381"/>
      <c r="C164" s="381"/>
      <c r="D164" s="381"/>
      <c r="E164" s="381"/>
      <c r="F164" s="381"/>
      <c r="G164" s="381"/>
      <c r="H164" s="381"/>
      <c r="I164" s="381"/>
      <c r="J164" s="79"/>
      <c r="K164" s="79"/>
      <c r="L164" s="79"/>
      <c r="M164" s="79"/>
      <c r="N164" s="81"/>
      <c r="O164" s="79"/>
      <c r="P164" s="79"/>
      <c r="Q164" s="79"/>
      <c r="R164" s="79"/>
      <c r="S164" s="79"/>
      <c r="T164" s="79"/>
      <c r="U164" s="79"/>
    </row>
    <row r="165" spans="1:21" s="79" customFormat="1" ht="15.75" customHeight="1" x14ac:dyDescent="0.2">
      <c r="A165" s="400" t="str">
        <f>'0664'!A165</f>
        <v xml:space="preserve">population into 250. Multiply that fraction times the funds available, then times 2%.  </v>
      </c>
      <c r="B165" s="328"/>
      <c r="C165" s="328"/>
      <c r="D165" s="328"/>
      <c r="E165" s="328"/>
      <c r="F165" s="328"/>
      <c r="G165" s="328"/>
      <c r="H165" s="328"/>
      <c r="I165" s="328"/>
      <c r="N165" s="81"/>
    </row>
    <row r="166" spans="1:21" x14ac:dyDescent="0.25">
      <c r="A166" s="356"/>
      <c r="N166" s="77"/>
    </row>
    <row r="167" spans="1:21" x14ac:dyDescent="0.25">
      <c r="A167" s="398" t="str">
        <f>'0664'!A167</f>
        <v>Other:</v>
      </c>
      <c r="N167" s="77"/>
    </row>
    <row r="168" spans="1:21" x14ac:dyDescent="0.25">
      <c r="A168" s="399" t="str">
        <f>'0664'!A168</f>
        <v>FEFP and categorical funding are recalculated during the year to reflect the revised number of full-time equivalent students reported during the survey periods designated</v>
      </c>
      <c r="N168" s="77"/>
    </row>
    <row r="169" spans="1:21" x14ac:dyDescent="0.25">
      <c r="A169" s="402" t="str">
        <f>'0664'!A169</f>
        <v>by the Commissioner of Education.</v>
      </c>
      <c r="N169" s="77"/>
    </row>
    <row r="170" spans="1:21" x14ac:dyDescent="0.25">
      <c r="A170" s="399" t="str">
        <f>'0664'!A170</f>
        <v>Revenues flow to districts from state sources and from county tax collectors on various distribution schedules.</v>
      </c>
      <c r="N170" s="77"/>
    </row>
    <row r="171" spans="1:21" x14ac:dyDescent="0.25">
      <c r="A171" s="77"/>
      <c r="N171" s="77"/>
    </row>
    <row r="172" spans="1:21" x14ac:dyDescent="0.25">
      <c r="A172" s="77"/>
      <c r="N172" s="77"/>
    </row>
    <row r="173" spans="1:21" x14ac:dyDescent="0.25">
      <c r="A173" s="77"/>
      <c r="N173" s="77"/>
    </row>
    <row r="174" spans="1:21" x14ac:dyDescent="0.25">
      <c r="A174" s="77"/>
      <c r="N174" s="77"/>
    </row>
    <row r="175" spans="1:21" x14ac:dyDescent="0.25">
      <c r="A175" s="77"/>
      <c r="N175" s="77"/>
    </row>
    <row r="176" spans="1:21" x14ac:dyDescent="0.25">
      <c r="A176" s="77"/>
      <c r="N176" s="77"/>
    </row>
    <row r="177" spans="1:14" x14ac:dyDescent="0.25">
      <c r="A177" s="77"/>
      <c r="N177" s="77"/>
    </row>
    <row r="178" spans="1:14" x14ac:dyDescent="0.25">
      <c r="A178" s="77"/>
      <c r="N178" s="77"/>
    </row>
    <row r="179" spans="1:14" x14ac:dyDescent="0.25">
      <c r="A179" s="77"/>
      <c r="N179" s="77"/>
    </row>
    <row r="180" spans="1:14" x14ac:dyDescent="0.25">
      <c r="A180" s="77"/>
      <c r="N180" s="77"/>
    </row>
    <row r="181" spans="1:14" x14ac:dyDescent="0.25">
      <c r="A181" s="77"/>
      <c r="N181" s="77"/>
    </row>
    <row r="182" spans="1:14" x14ac:dyDescent="0.25">
      <c r="A182" s="77"/>
      <c r="N182" s="77"/>
    </row>
    <row r="183" spans="1:14" x14ac:dyDescent="0.25">
      <c r="A183" s="77"/>
      <c r="N183" s="77"/>
    </row>
    <row r="184" spans="1:14" x14ac:dyDescent="0.25">
      <c r="A184" s="77"/>
      <c r="N184" s="77"/>
    </row>
    <row r="185" spans="1:14" x14ac:dyDescent="0.25">
      <c r="A185" s="77"/>
      <c r="N185" s="77"/>
    </row>
    <row r="186" spans="1:14" x14ac:dyDescent="0.25">
      <c r="A186" s="77"/>
      <c r="N186" s="77"/>
    </row>
    <row r="187" spans="1:14" x14ac:dyDescent="0.25">
      <c r="A187" s="77"/>
      <c r="N187" s="77"/>
    </row>
    <row r="188" spans="1:14" x14ac:dyDescent="0.25">
      <c r="A188" s="77"/>
    </row>
    <row r="189" spans="1:14" x14ac:dyDescent="0.25">
      <c r="A189" s="77"/>
    </row>
    <row r="190" spans="1:14" x14ac:dyDescent="0.25">
      <c r="A190" s="77"/>
    </row>
    <row r="191" spans="1:14" x14ac:dyDescent="0.25">
      <c r="A191" s="77"/>
    </row>
    <row r="192" spans="1:14" x14ac:dyDescent="0.25">
      <c r="A192" s="77"/>
    </row>
    <row r="193" spans="1:1" x14ac:dyDescent="0.25">
      <c r="A193" s="77"/>
    </row>
    <row r="194" spans="1:1" x14ac:dyDescent="0.25">
      <c r="A194" s="77"/>
    </row>
    <row r="195" spans="1:1" x14ac:dyDescent="0.25">
      <c r="A195" s="77"/>
    </row>
    <row r="196" spans="1:1" x14ac:dyDescent="0.25">
      <c r="A196" s="77"/>
    </row>
    <row r="197" spans="1:1" x14ac:dyDescent="0.25">
      <c r="A197" s="77"/>
    </row>
    <row r="198" spans="1:1" x14ac:dyDescent="0.25">
      <c r="A198" s="77"/>
    </row>
    <row r="199" spans="1:1" x14ac:dyDescent="0.25">
      <c r="A199" s="77"/>
    </row>
    <row r="200" spans="1:1" x14ac:dyDescent="0.25">
      <c r="A200" s="77"/>
    </row>
    <row r="201" spans="1:1" x14ac:dyDescent="0.25">
      <c r="A201" s="77"/>
    </row>
    <row r="202" spans="1:1" x14ac:dyDescent="0.25">
      <c r="A202" s="77"/>
    </row>
    <row r="203" spans="1:1" x14ac:dyDescent="0.25">
      <c r="A203" s="77"/>
    </row>
    <row r="204" spans="1:1" x14ac:dyDescent="0.25">
      <c r="A204" s="77"/>
    </row>
    <row r="205" spans="1:1" x14ac:dyDescent="0.25">
      <c r="A205" s="77"/>
    </row>
    <row r="206" spans="1:1" x14ac:dyDescent="0.25">
      <c r="A206" s="77"/>
    </row>
  </sheetData>
  <mergeCells count="266">
    <mergeCell ref="A112:C112"/>
    <mergeCell ref="F112:H112"/>
    <mergeCell ref="N112:P112"/>
    <mergeCell ref="A109:B109"/>
    <mergeCell ref="F109:G109"/>
    <mergeCell ref="N109:O109"/>
    <mergeCell ref="P109:Q109"/>
    <mergeCell ref="N139:U139"/>
    <mergeCell ref="N119:U119"/>
    <mergeCell ref="N113:P113"/>
    <mergeCell ref="A113:C113"/>
    <mergeCell ref="F113:H113"/>
    <mergeCell ref="N114:T114"/>
    <mergeCell ref="A115:H115"/>
    <mergeCell ref="A119:G119"/>
    <mergeCell ref="N120:U120"/>
    <mergeCell ref="A120:G120"/>
    <mergeCell ref="R109:S109"/>
    <mergeCell ref="A110:B110"/>
    <mergeCell ref="N110:O110"/>
    <mergeCell ref="A107:B107"/>
    <mergeCell ref="F107:G107"/>
    <mergeCell ref="N107:O107"/>
    <mergeCell ref="P107:Q107"/>
    <mergeCell ref="R107:S107"/>
    <mergeCell ref="A108:B108"/>
    <mergeCell ref="F108:G108"/>
    <mergeCell ref="N108:O108"/>
    <mergeCell ref="P108:Q108"/>
    <mergeCell ref="R108:S108"/>
    <mergeCell ref="A103:C103"/>
    <mergeCell ref="F103:I103"/>
    <mergeCell ref="N103:U103"/>
    <mergeCell ref="C104:E104"/>
    <mergeCell ref="F105:G105"/>
    <mergeCell ref="A106:B106"/>
    <mergeCell ref="F106:G106"/>
    <mergeCell ref="N106:O106"/>
    <mergeCell ref="P106:Q106"/>
    <mergeCell ref="R106:S106"/>
    <mergeCell ref="A99:B99"/>
    <mergeCell ref="N99:O99"/>
    <mergeCell ref="P99:R99"/>
    <mergeCell ref="A100:B100"/>
    <mergeCell ref="N100:O100"/>
    <mergeCell ref="P100:R100"/>
    <mergeCell ref="C91:D91"/>
    <mergeCell ref="P91:Q91"/>
    <mergeCell ref="C92:D92"/>
    <mergeCell ref="P92:Q92"/>
    <mergeCell ref="C93:D93"/>
    <mergeCell ref="P93:T93"/>
    <mergeCell ref="A94:I94"/>
    <mergeCell ref="N94:U94"/>
    <mergeCell ref="F96:I96"/>
    <mergeCell ref="N96:P96"/>
    <mergeCell ref="Q96:T96"/>
    <mergeCell ref="A87:I87"/>
    <mergeCell ref="N87:U87"/>
    <mergeCell ref="C88:D88"/>
    <mergeCell ref="C89:D89"/>
    <mergeCell ref="N89:O89"/>
    <mergeCell ref="P89:Q89"/>
    <mergeCell ref="R89:U89"/>
    <mergeCell ref="C90:D90"/>
    <mergeCell ref="P90:Q90"/>
    <mergeCell ref="A80:C80"/>
    <mergeCell ref="N80:P80"/>
    <mergeCell ref="A85:C85"/>
    <mergeCell ref="N85:P85"/>
    <mergeCell ref="F73:H73"/>
    <mergeCell ref="N73:T73"/>
    <mergeCell ref="N74:T74"/>
    <mergeCell ref="A78:C78"/>
    <mergeCell ref="N78:P78"/>
    <mergeCell ref="A79:C79"/>
    <mergeCell ref="A69:C69"/>
    <mergeCell ref="N69:P69"/>
    <mergeCell ref="N79:P79"/>
    <mergeCell ref="A76:C76"/>
    <mergeCell ref="N76:P76"/>
    <mergeCell ref="A77:C77"/>
    <mergeCell ref="A70:C70"/>
    <mergeCell ref="A71:C71"/>
    <mergeCell ref="N71:P71"/>
    <mergeCell ref="A72:C72"/>
    <mergeCell ref="N77:P77"/>
    <mergeCell ref="N72:P72"/>
    <mergeCell ref="A65:B65"/>
    <mergeCell ref="D65:G65"/>
    <mergeCell ref="N65:O65"/>
    <mergeCell ref="Q65:S65"/>
    <mergeCell ref="T65:U65"/>
    <mergeCell ref="N66:S66"/>
    <mergeCell ref="T66:U66"/>
    <mergeCell ref="A68:C68"/>
    <mergeCell ref="N68:P68"/>
    <mergeCell ref="A62:B62"/>
    <mergeCell ref="D62:G62"/>
    <mergeCell ref="N62:O62"/>
    <mergeCell ref="Q62:S62"/>
    <mergeCell ref="T62:U62"/>
    <mergeCell ref="N63:S63"/>
    <mergeCell ref="T63:U63"/>
    <mergeCell ref="A64:I64"/>
    <mergeCell ref="N64:U64"/>
    <mergeCell ref="A59:B59"/>
    <mergeCell ref="F59:H59"/>
    <mergeCell ref="N59:O59"/>
    <mergeCell ref="P59:Q59"/>
    <mergeCell ref="R59:T59"/>
    <mergeCell ref="A60:I60"/>
    <mergeCell ref="N60:U60"/>
    <mergeCell ref="A61:I61"/>
    <mergeCell ref="N61:U61"/>
    <mergeCell ref="A50:B58"/>
    <mergeCell ref="N50:O58"/>
    <mergeCell ref="P50:Q50"/>
    <mergeCell ref="P51:Q51"/>
    <mergeCell ref="P52:Q52"/>
    <mergeCell ref="P53:Q53"/>
    <mergeCell ref="P54:Q54"/>
    <mergeCell ref="P55:Q55"/>
    <mergeCell ref="P56:Q56"/>
    <mergeCell ref="P57:Q57"/>
    <mergeCell ref="P58:Q58"/>
    <mergeCell ref="A42:B42"/>
    <mergeCell ref="N42:O42"/>
    <mergeCell ref="P42:T42"/>
    <mergeCell ref="N43:Q43"/>
    <mergeCell ref="S43:T43"/>
    <mergeCell ref="N45:Q45"/>
    <mergeCell ref="S45:T45"/>
    <mergeCell ref="N49:O49"/>
    <mergeCell ref="P49:Q49"/>
    <mergeCell ref="A39:B39"/>
    <mergeCell ref="N39:O39"/>
    <mergeCell ref="P39:T39"/>
    <mergeCell ref="A40:B40"/>
    <mergeCell ref="N40:O40"/>
    <mergeCell ref="P40:T40"/>
    <mergeCell ref="A41:B41"/>
    <mergeCell ref="N41:O41"/>
    <mergeCell ref="P41:T41"/>
    <mergeCell ref="N34:T34"/>
    <mergeCell ref="A36:B36"/>
    <mergeCell ref="N36:O36"/>
    <mergeCell ref="P36:T36"/>
    <mergeCell ref="A37:B37"/>
    <mergeCell ref="N37:O37"/>
    <mergeCell ref="P37:T37"/>
    <mergeCell ref="F33:H36"/>
    <mergeCell ref="A38:B38"/>
    <mergeCell ref="N38:O38"/>
    <mergeCell ref="P38:T38"/>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A20:B20"/>
    <mergeCell ref="F20:G20"/>
    <mergeCell ref="N20:O20"/>
    <mergeCell ref="P20:Q20"/>
    <mergeCell ref="R20:S20"/>
    <mergeCell ref="A21:B21"/>
    <mergeCell ref="F21:G21"/>
    <mergeCell ref="N21:O21"/>
    <mergeCell ref="P21:Q21"/>
    <mergeCell ref="R21:S21"/>
    <mergeCell ref="A18:B18"/>
    <mergeCell ref="F18:G18"/>
    <mergeCell ref="N18:O18"/>
    <mergeCell ref="P18:Q18"/>
    <mergeCell ref="R18:S18"/>
    <mergeCell ref="A19:B19"/>
    <mergeCell ref="F19:G19"/>
    <mergeCell ref="N19:O19"/>
    <mergeCell ref="P19:Q19"/>
    <mergeCell ref="R19:S19"/>
    <mergeCell ref="A16:B16"/>
    <mergeCell ref="F16:G16"/>
    <mergeCell ref="N16:O16"/>
    <mergeCell ref="P16:Q16"/>
    <mergeCell ref="R16:S16"/>
    <mergeCell ref="A17:B17"/>
    <mergeCell ref="F17:G17"/>
    <mergeCell ref="N17:O17"/>
    <mergeCell ref="P17:Q17"/>
    <mergeCell ref="R17:S17"/>
    <mergeCell ref="A14:B14"/>
    <mergeCell ref="F14:G14"/>
    <mergeCell ref="N14:O14"/>
    <mergeCell ref="P14:Q14"/>
    <mergeCell ref="R14:S14"/>
    <mergeCell ref="P15:Q15"/>
    <mergeCell ref="R15:S15"/>
    <mergeCell ref="A15:B15"/>
    <mergeCell ref="F15:G15"/>
    <mergeCell ref="N15:O15"/>
    <mergeCell ref="B1:I1"/>
    <mergeCell ref="A7:I7"/>
    <mergeCell ref="A11:B11"/>
    <mergeCell ref="F11:G11"/>
    <mergeCell ref="O1:U1"/>
    <mergeCell ref="N2:U2"/>
    <mergeCell ref="N3:U3"/>
    <mergeCell ref="A4:B4"/>
    <mergeCell ref="C4:E4"/>
    <mergeCell ref="N4:O4"/>
    <mergeCell ref="P4:Q4"/>
    <mergeCell ref="P8:Q8"/>
    <mergeCell ref="R8:S8"/>
    <mergeCell ref="T8:U8"/>
    <mergeCell ref="F10:G10"/>
    <mergeCell ref="R10:S10"/>
    <mergeCell ref="N7:U7"/>
    <mergeCell ref="N8:O8"/>
    <mergeCell ref="R13:S13"/>
    <mergeCell ref="A13:B13"/>
    <mergeCell ref="F13:G13"/>
    <mergeCell ref="A12:B12"/>
    <mergeCell ref="F12:G12"/>
    <mergeCell ref="N13:O13"/>
    <mergeCell ref="P13:Q13"/>
    <mergeCell ref="N11:O11"/>
    <mergeCell ref="P11:Q11"/>
    <mergeCell ref="R11:S11"/>
    <mergeCell ref="N12:O12"/>
    <mergeCell ref="P12:Q12"/>
    <mergeCell ref="R12:S12"/>
  </mergeCells>
  <pageMargins left="0.1" right="0.1" top="0.5" bottom="0.5" header="0" footer="0.1"/>
  <pageSetup scale="70" fitToHeight="3" orientation="portrait" r:id="rId1"/>
  <headerFooter alignWithMargins="0">
    <oddFooter>&amp;R&amp;P of &amp;N</oddFooter>
  </headerFooter>
  <rowBreaks count="1" manualBreakCount="1">
    <brk id="138" max="16383" man="1"/>
  </rowBreaks>
  <colBreaks count="1" manualBreakCount="1">
    <brk id="9" max="1048575" man="1"/>
  </col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4">
    <tabColor rgb="FFCCFFCC"/>
  </sheetPr>
  <dimension ref="A1:U206"/>
  <sheetViews>
    <sheetView showGridLines="0" zoomScaleNormal="100" workbookViewId="0">
      <pane ySplit="1" topLeftCell="A11" activePane="bottomLeft" state="frozen"/>
      <selection activeCell="I9" sqref="I9"/>
      <selection pane="bottomLeft" activeCell="D57" sqref="D57"/>
    </sheetView>
  </sheetViews>
  <sheetFormatPr defaultRowHeight="15.75" x14ac:dyDescent="0.25"/>
  <cols>
    <col min="1" max="1" width="10.28515625" style="72" customWidth="1"/>
    <col min="2" max="2" width="30.28515625" style="3" bestFit="1" customWidth="1"/>
    <col min="3" max="4" width="10.7109375" style="3" customWidth="1"/>
    <col min="5" max="5" width="12.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72"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5">
        <v>50</v>
      </c>
      <c r="B1" s="441" t="s">
        <v>17</v>
      </c>
      <c r="C1" s="442"/>
      <c r="D1" s="442"/>
      <c r="E1" s="442"/>
      <c r="F1" s="442"/>
      <c r="G1" s="442"/>
      <c r="H1" s="442"/>
      <c r="I1" s="442"/>
      <c r="J1" s="157"/>
      <c r="K1" s="157"/>
      <c r="L1" s="157"/>
      <c r="N1" s="85">
        <f>A1</f>
        <v>50</v>
      </c>
      <c r="O1" s="527" t="s">
        <v>17</v>
      </c>
      <c r="P1" s="528"/>
      <c r="Q1" s="528"/>
      <c r="R1" s="528"/>
      <c r="S1" s="528"/>
      <c r="T1" s="528"/>
      <c r="U1" s="528"/>
    </row>
    <row r="2" spans="1:21" ht="21" x14ac:dyDescent="0.35">
      <c r="A2" s="1" t="s">
        <v>389</v>
      </c>
      <c r="B2" s="2"/>
      <c r="C2" s="2"/>
      <c r="D2" s="2"/>
      <c r="E2" s="2"/>
      <c r="F2" s="2"/>
      <c r="G2" s="2"/>
      <c r="H2" s="2"/>
      <c r="I2" s="2"/>
      <c r="N2" s="529" t="s">
        <v>23</v>
      </c>
      <c r="O2" s="529"/>
      <c r="P2" s="529"/>
      <c r="Q2" s="529"/>
      <c r="R2" s="529"/>
      <c r="S2" s="529"/>
      <c r="T2" s="529"/>
      <c r="U2" s="529"/>
    </row>
    <row r="3" spans="1:21" x14ac:dyDescent="0.25">
      <c r="A3" s="84" t="str">
        <f>'0664'!A3</f>
        <v>Based on the FLDOE 2022-23 FEFP Third Calculation</v>
      </c>
      <c r="N3" s="485" t="str">
        <f>A3</f>
        <v>Based on the FLDOE 2022-23 FEFP Third Calculation</v>
      </c>
      <c r="O3" s="485"/>
      <c r="P3" s="485"/>
      <c r="Q3" s="485"/>
      <c r="R3" s="485"/>
      <c r="S3" s="485"/>
      <c r="T3" s="485"/>
      <c r="U3" s="485"/>
    </row>
    <row r="4" spans="1:21" x14ac:dyDescent="0.25">
      <c r="A4" s="443" t="s">
        <v>0</v>
      </c>
      <c r="B4" s="443"/>
      <c r="C4" s="444" t="s">
        <v>9</v>
      </c>
      <c r="D4" s="444"/>
      <c r="E4" s="444"/>
      <c r="F4" s="4" t="str">
        <f>'0664'!F4</f>
        <v>Apr 2023</v>
      </c>
      <c r="G4" s="4"/>
      <c r="H4" s="4"/>
      <c r="I4" s="4"/>
      <c r="N4" s="530" t="s">
        <v>0</v>
      </c>
      <c r="O4" s="530"/>
      <c r="P4" s="531" t="str">
        <f>C4</f>
        <v>Palm Beach</v>
      </c>
      <c r="Q4" s="531"/>
      <c r="R4" s="5"/>
      <c r="S4" s="5"/>
      <c r="T4" s="5"/>
      <c r="U4" s="5"/>
    </row>
    <row r="5" spans="1:21" ht="12" customHeight="1" thickBot="1" x14ac:dyDescent="0.3">
      <c r="A5" s="262"/>
      <c r="B5" s="262"/>
      <c r="C5" s="253"/>
      <c r="D5" s="253"/>
      <c r="E5" s="253"/>
      <c r="F5" s="254"/>
      <c r="G5" s="254"/>
      <c r="H5" s="254"/>
      <c r="I5" s="254"/>
      <c r="N5" s="86"/>
      <c r="O5" s="86"/>
      <c r="P5" s="6"/>
      <c r="Q5" s="6"/>
      <c r="R5" s="5"/>
      <c r="S5" s="5"/>
      <c r="T5" s="5"/>
      <c r="U5" s="5"/>
    </row>
    <row r="6" spans="1:21" ht="12" customHeight="1" x14ac:dyDescent="0.25">
      <c r="A6" s="150"/>
      <c r="B6" s="150"/>
      <c r="C6" s="261"/>
      <c r="D6" s="261"/>
      <c r="E6" s="261"/>
      <c r="F6" s="4"/>
      <c r="G6" s="4"/>
      <c r="H6" s="4"/>
      <c r="I6" s="4"/>
      <c r="N6" s="86"/>
      <c r="O6" s="86"/>
      <c r="P6" s="6"/>
      <c r="Q6" s="6"/>
      <c r="R6" s="5"/>
      <c r="S6" s="5"/>
      <c r="T6" s="5"/>
      <c r="U6" s="5"/>
    </row>
    <row r="7" spans="1:21" x14ac:dyDescent="0.25">
      <c r="A7" s="445" t="str">
        <f>'0664'!A7:I7</f>
        <v>1.   2022-23 FEFP State and Local Funding</v>
      </c>
      <c r="B7" s="533"/>
      <c r="C7" s="533"/>
      <c r="D7" s="533"/>
      <c r="E7" s="533"/>
      <c r="F7" s="533"/>
      <c r="G7" s="533"/>
      <c r="H7" s="533"/>
      <c r="I7" s="533"/>
      <c r="N7" s="530" t="s">
        <v>86</v>
      </c>
      <c r="O7" s="530"/>
      <c r="P7" s="530"/>
      <c r="Q7" s="530"/>
      <c r="R7" s="530"/>
      <c r="S7" s="530"/>
      <c r="T7" s="530"/>
      <c r="U7" s="530"/>
    </row>
    <row r="8" spans="1:21" x14ac:dyDescent="0.25">
      <c r="A8" s="87"/>
      <c r="B8" s="88" t="s">
        <v>123</v>
      </c>
      <c r="C8" s="334">
        <f>'0664'!C8</f>
        <v>4587.3999999999996</v>
      </c>
      <c r="D8" s="89"/>
      <c r="E8" s="90"/>
      <c r="F8" s="87"/>
      <c r="G8" s="88" t="s">
        <v>122</v>
      </c>
      <c r="H8" s="320">
        <f>'0664'!H8</f>
        <v>1.0438000000000001</v>
      </c>
      <c r="I8" s="78"/>
      <c r="N8" s="534" t="s">
        <v>10</v>
      </c>
      <c r="O8" s="534"/>
      <c r="P8" s="535">
        <v>4154.45</v>
      </c>
      <c r="Q8" s="535"/>
      <c r="R8" s="518" t="s">
        <v>11</v>
      </c>
      <c r="S8" s="518"/>
      <c r="T8" s="519">
        <f>H8</f>
        <v>1.0438000000000001</v>
      </c>
      <c r="U8" s="519"/>
    </row>
    <row r="9" spans="1:21" x14ac:dyDescent="0.25">
      <c r="A9" s="7"/>
      <c r="B9" s="44" t="s">
        <v>370</v>
      </c>
      <c r="C9" s="41" t="s">
        <v>370</v>
      </c>
      <c r="D9" s="91" t="s">
        <v>370</v>
      </c>
      <c r="E9" s="8"/>
      <c r="F9" s="9"/>
      <c r="G9" s="9"/>
      <c r="H9" s="10"/>
      <c r="I9" s="340" t="str">
        <f>'0664'!I9</f>
        <v>2022-23</v>
      </c>
      <c r="N9" s="12"/>
      <c r="O9" s="12"/>
      <c r="P9" s="13"/>
      <c r="Q9" s="13"/>
      <c r="R9" s="14"/>
      <c r="S9" s="14"/>
      <c r="T9" s="15"/>
      <c r="U9" s="405" t="s">
        <v>405</v>
      </c>
    </row>
    <row r="10" spans="1:21" x14ac:dyDescent="0.25">
      <c r="A10" s="7"/>
      <c r="B10" s="7"/>
      <c r="C10" s="91" t="s">
        <v>463</v>
      </c>
      <c r="D10" s="371" t="s">
        <v>464</v>
      </c>
      <c r="E10" s="92" t="s">
        <v>8</v>
      </c>
      <c r="F10" s="446" t="s">
        <v>1</v>
      </c>
      <c r="G10" s="446"/>
      <c r="H10" s="10" t="s">
        <v>73</v>
      </c>
      <c r="I10" s="11" t="s">
        <v>36</v>
      </c>
      <c r="N10" s="12"/>
      <c r="O10" s="12"/>
      <c r="P10" s="13"/>
      <c r="Q10" s="13"/>
      <c r="R10" s="520" t="s">
        <v>1</v>
      </c>
      <c r="S10" s="520"/>
      <c r="T10" s="15" t="s">
        <v>73</v>
      </c>
      <c r="U10" s="16" t="s">
        <v>36</v>
      </c>
    </row>
    <row r="11" spans="1:21" x14ac:dyDescent="0.25">
      <c r="A11" s="447" t="s">
        <v>1</v>
      </c>
      <c r="B11" s="447"/>
      <c r="C11" s="362" t="s">
        <v>2</v>
      </c>
      <c r="D11" s="362" t="s">
        <v>2</v>
      </c>
      <c r="E11" s="362" t="s">
        <v>2</v>
      </c>
      <c r="F11" s="448" t="s">
        <v>76</v>
      </c>
      <c r="G11" s="448"/>
      <c r="H11" s="17" t="s">
        <v>72</v>
      </c>
      <c r="I11" s="18" t="s">
        <v>75</v>
      </c>
      <c r="N11" s="510" t="s">
        <v>1</v>
      </c>
      <c r="O11" s="510"/>
      <c r="P11" s="521" t="s">
        <v>24</v>
      </c>
      <c r="Q11" s="521"/>
      <c r="R11" s="522" t="s">
        <v>76</v>
      </c>
      <c r="S11" s="522"/>
      <c r="T11" s="19" t="s">
        <v>72</v>
      </c>
      <c r="U11" s="20" t="s">
        <v>75</v>
      </c>
    </row>
    <row r="12" spans="1:21" x14ac:dyDescent="0.25">
      <c r="A12" s="449" t="s">
        <v>47</v>
      </c>
      <c r="B12" s="449"/>
      <c r="C12" s="94"/>
      <c r="D12" s="94"/>
      <c r="E12" s="95" t="s">
        <v>48</v>
      </c>
      <c r="F12" s="450" t="s">
        <v>49</v>
      </c>
      <c r="G12" s="450"/>
      <c r="H12" s="21" t="s">
        <v>50</v>
      </c>
      <c r="I12" s="22" t="s">
        <v>51</v>
      </c>
      <c r="N12" s="523" t="s">
        <v>47</v>
      </c>
      <c r="O12" s="523"/>
      <c r="P12" s="524" t="s">
        <v>48</v>
      </c>
      <c r="Q12" s="524"/>
      <c r="R12" s="525" t="s">
        <v>49</v>
      </c>
      <c r="S12" s="525"/>
      <c r="T12" s="23" t="s">
        <v>50</v>
      </c>
      <c r="U12" s="24" t="s">
        <v>51</v>
      </c>
    </row>
    <row r="13" spans="1:21" x14ac:dyDescent="0.25">
      <c r="A13" s="451" t="s">
        <v>29</v>
      </c>
      <c r="B13" s="451"/>
      <c r="C13" s="165">
        <v>249.92</v>
      </c>
      <c r="D13" s="163">
        <v>249.2</v>
      </c>
      <c r="E13" s="210">
        <f>IF(D$29=0,C13*2,C13+D13)</f>
        <v>499.12</v>
      </c>
      <c r="F13" s="537">
        <f>'0664'!F13:G13</f>
        <v>1.1259999999999999</v>
      </c>
      <c r="G13" s="537"/>
      <c r="H13" s="167">
        <f>ROUND(E13*F13,4)</f>
        <v>562.00909999999999</v>
      </c>
      <c r="I13" s="119">
        <f t="shared" ref="I13:I28" si="0">ROUND(ROUND(H13*$C$8,4)*($H$8),2)</f>
        <v>2691083.98</v>
      </c>
      <c r="N13" s="512" t="s">
        <v>29</v>
      </c>
      <c r="O13" s="512"/>
      <c r="P13" s="513">
        <f t="shared" ref="P13:P28" si="1">IF($H$120=1,E13,0)</f>
        <v>0</v>
      </c>
      <c r="Q13" s="513"/>
      <c r="R13" s="526">
        <v>1</v>
      </c>
      <c r="S13" s="526"/>
      <c r="T13" s="98">
        <f>ROUND(P13*R13,4)</f>
        <v>0</v>
      </c>
      <c r="U13" s="99">
        <f t="shared" ref="U13:U28" si="2">ROUND(ROUND(T13*$C$8,4)*($H$8),0)</f>
        <v>0</v>
      </c>
    </row>
    <row r="14" spans="1:21" x14ac:dyDescent="0.25">
      <c r="A14" s="453" t="s">
        <v>30</v>
      </c>
      <c r="B14" s="453"/>
      <c r="C14" s="165">
        <v>21.5</v>
      </c>
      <c r="D14" s="165">
        <v>23.54</v>
      </c>
      <c r="E14" s="125">
        <f t="shared" ref="E14:E28" si="3">IF(D$29=0,C14*2,C14+D14)</f>
        <v>45.04</v>
      </c>
      <c r="F14" s="532">
        <f>'0664'!F14:G14</f>
        <v>1.1259999999999999</v>
      </c>
      <c r="G14" s="532"/>
      <c r="H14" s="83">
        <f t="shared" ref="H14:H28" si="4">ROUND(E14*F14,4)</f>
        <v>50.715000000000003</v>
      </c>
      <c r="I14" s="104">
        <f t="shared" si="0"/>
        <v>242840.06</v>
      </c>
      <c r="J14" s="68" t="str">
        <f>IF(ROUND(E14,2)=ROUND(SUM(E50:E52),2)," ","CHECK PK-3 LINES BELOW")</f>
        <v xml:space="preserve"> </v>
      </c>
      <c r="N14" s="479" t="s">
        <v>30</v>
      </c>
      <c r="O14" s="479"/>
      <c r="P14" s="513">
        <f t="shared" si="1"/>
        <v>0</v>
      </c>
      <c r="Q14" s="513"/>
      <c r="R14" s="517">
        <v>1</v>
      </c>
      <c r="S14" s="517"/>
      <c r="T14" s="98">
        <f t="shared" ref="T14:T28" si="5">ROUND(P14*R14,4)</f>
        <v>0</v>
      </c>
      <c r="U14" s="99">
        <f t="shared" si="2"/>
        <v>0</v>
      </c>
    </row>
    <row r="15" spans="1:21" x14ac:dyDescent="0.25">
      <c r="A15" s="453" t="s">
        <v>31</v>
      </c>
      <c r="B15" s="453"/>
      <c r="C15" s="165">
        <v>303.26</v>
      </c>
      <c r="D15" s="165">
        <v>295.35000000000002</v>
      </c>
      <c r="E15" s="125">
        <f t="shared" si="3"/>
        <v>598.61</v>
      </c>
      <c r="F15" s="532">
        <f>'0664'!F15:G15</f>
        <v>1</v>
      </c>
      <c r="G15" s="532"/>
      <c r="H15" s="83">
        <f t="shared" si="4"/>
        <v>598.61</v>
      </c>
      <c r="I15" s="104">
        <f t="shared" si="0"/>
        <v>2866341.1</v>
      </c>
      <c r="N15" s="479" t="s">
        <v>31</v>
      </c>
      <c r="O15" s="479"/>
      <c r="P15" s="513">
        <f t="shared" si="1"/>
        <v>0</v>
      </c>
      <c r="Q15" s="513"/>
      <c r="R15" s="517">
        <v>1</v>
      </c>
      <c r="S15" s="517"/>
      <c r="T15" s="98">
        <f t="shared" si="5"/>
        <v>0</v>
      </c>
      <c r="U15" s="99">
        <f t="shared" si="2"/>
        <v>0</v>
      </c>
    </row>
    <row r="16" spans="1:21" x14ac:dyDescent="0.25">
      <c r="A16" s="453" t="s">
        <v>32</v>
      </c>
      <c r="B16" s="453"/>
      <c r="C16" s="165">
        <v>39</v>
      </c>
      <c r="D16" s="165">
        <v>35.409999999999997</v>
      </c>
      <c r="E16" s="125">
        <f t="shared" si="3"/>
        <v>74.41</v>
      </c>
      <c r="F16" s="532">
        <f>'0664'!F16:G16</f>
        <v>1</v>
      </c>
      <c r="G16" s="532"/>
      <c r="H16" s="83">
        <f t="shared" si="4"/>
        <v>74.41</v>
      </c>
      <c r="I16" s="104">
        <f t="shared" si="0"/>
        <v>356299.5</v>
      </c>
      <c r="J16" s="68" t="str">
        <f>IF(ROUND(E16,2)=ROUND(SUM(E53:E55),2)," ","CHECK 4-8 LINES BELOW")</f>
        <v xml:space="preserve"> </v>
      </c>
      <c r="N16" s="479" t="s">
        <v>32</v>
      </c>
      <c r="O16" s="479"/>
      <c r="P16" s="513">
        <f t="shared" si="1"/>
        <v>0</v>
      </c>
      <c r="Q16" s="513"/>
      <c r="R16" s="517">
        <v>1</v>
      </c>
      <c r="S16" s="517"/>
      <c r="T16" s="98">
        <f t="shared" si="5"/>
        <v>0</v>
      </c>
      <c r="U16" s="99">
        <f t="shared" si="2"/>
        <v>0</v>
      </c>
    </row>
    <row r="17" spans="1:21" x14ac:dyDescent="0.25">
      <c r="A17" s="453" t="s">
        <v>33</v>
      </c>
      <c r="B17" s="453"/>
      <c r="C17" s="165"/>
      <c r="D17" s="165"/>
      <c r="E17" s="125">
        <f t="shared" si="3"/>
        <v>0</v>
      </c>
      <c r="F17" s="532">
        <f>'0664'!F17:G17</f>
        <v>0.999</v>
      </c>
      <c r="G17" s="532"/>
      <c r="H17" s="83">
        <f t="shared" si="4"/>
        <v>0</v>
      </c>
      <c r="I17" s="104">
        <f t="shared" si="0"/>
        <v>0</v>
      </c>
      <c r="N17" s="479" t="s">
        <v>33</v>
      </c>
      <c r="O17" s="479"/>
      <c r="P17" s="513">
        <f t="shared" si="1"/>
        <v>0</v>
      </c>
      <c r="Q17" s="513"/>
      <c r="R17" s="517">
        <v>1</v>
      </c>
      <c r="S17" s="517"/>
      <c r="T17" s="98">
        <f t="shared" si="5"/>
        <v>0</v>
      </c>
      <c r="U17" s="99">
        <f t="shared" si="2"/>
        <v>0</v>
      </c>
    </row>
    <row r="18" spans="1:21" x14ac:dyDescent="0.25">
      <c r="A18" s="453" t="s">
        <v>34</v>
      </c>
      <c r="B18" s="453"/>
      <c r="C18" s="165"/>
      <c r="D18" s="165"/>
      <c r="E18" s="125">
        <f t="shared" si="3"/>
        <v>0</v>
      </c>
      <c r="F18" s="532">
        <f>'0664'!F18:G18</f>
        <v>0.999</v>
      </c>
      <c r="G18" s="532"/>
      <c r="H18" s="83">
        <f t="shared" si="4"/>
        <v>0</v>
      </c>
      <c r="I18" s="104">
        <f t="shared" si="0"/>
        <v>0</v>
      </c>
      <c r="J18" s="68" t="str">
        <f>IF(ROUND(E18,2)=ROUND(SUM(E56:E58),2)," ","CHECK 4-8 LINES BELOW")</f>
        <v xml:space="preserve"> </v>
      </c>
      <c r="N18" s="479" t="s">
        <v>34</v>
      </c>
      <c r="O18" s="479"/>
      <c r="P18" s="513">
        <f t="shared" si="1"/>
        <v>0</v>
      </c>
      <c r="Q18" s="513"/>
      <c r="R18" s="517">
        <v>1</v>
      </c>
      <c r="S18" s="517"/>
      <c r="T18" s="98">
        <f t="shared" si="5"/>
        <v>0</v>
      </c>
      <c r="U18" s="101">
        <f t="shared" si="2"/>
        <v>0</v>
      </c>
    </row>
    <row r="19" spans="1:21" x14ac:dyDescent="0.25">
      <c r="A19" s="453" t="s">
        <v>108</v>
      </c>
      <c r="B19" s="453"/>
      <c r="C19" s="165">
        <v>0</v>
      </c>
      <c r="D19" s="165">
        <v>0</v>
      </c>
      <c r="E19" s="125">
        <f t="shared" si="3"/>
        <v>0</v>
      </c>
      <c r="F19" s="532">
        <f>'0664'!F19:G19</f>
        <v>3.6739999999999999</v>
      </c>
      <c r="G19" s="532"/>
      <c r="H19" s="83">
        <f t="shared" si="4"/>
        <v>0</v>
      </c>
      <c r="I19" s="104">
        <f t="shared" si="0"/>
        <v>0</v>
      </c>
      <c r="N19" s="479" t="s">
        <v>108</v>
      </c>
      <c r="O19" s="479"/>
      <c r="P19" s="513">
        <f t="shared" si="1"/>
        <v>0</v>
      </c>
      <c r="Q19" s="513"/>
      <c r="R19" s="517">
        <v>1</v>
      </c>
      <c r="S19" s="517"/>
      <c r="T19" s="98">
        <f t="shared" si="5"/>
        <v>0</v>
      </c>
      <c r="U19" s="99">
        <f t="shared" si="2"/>
        <v>0</v>
      </c>
    </row>
    <row r="20" spans="1:21" x14ac:dyDescent="0.25">
      <c r="A20" s="453" t="s">
        <v>109</v>
      </c>
      <c r="B20" s="453"/>
      <c r="C20" s="165">
        <v>0</v>
      </c>
      <c r="D20" s="165">
        <v>0</v>
      </c>
      <c r="E20" s="125">
        <f t="shared" si="3"/>
        <v>0</v>
      </c>
      <c r="F20" s="532">
        <f>'0664'!F20:G20</f>
        <v>3.6739999999999999</v>
      </c>
      <c r="G20" s="532"/>
      <c r="H20" s="83">
        <f t="shared" si="4"/>
        <v>0</v>
      </c>
      <c r="I20" s="104">
        <f t="shared" si="0"/>
        <v>0</v>
      </c>
      <c r="N20" s="479" t="s">
        <v>109</v>
      </c>
      <c r="O20" s="479"/>
      <c r="P20" s="513">
        <f t="shared" si="1"/>
        <v>0</v>
      </c>
      <c r="Q20" s="513"/>
      <c r="R20" s="517">
        <v>1</v>
      </c>
      <c r="S20" s="517"/>
      <c r="T20" s="98">
        <f t="shared" si="5"/>
        <v>0</v>
      </c>
      <c r="U20" s="99">
        <f t="shared" si="2"/>
        <v>0</v>
      </c>
    </row>
    <row r="21" spans="1:21" x14ac:dyDescent="0.25">
      <c r="A21" s="453" t="s">
        <v>110</v>
      </c>
      <c r="B21" s="453"/>
      <c r="C21" s="165">
        <v>0</v>
      </c>
      <c r="D21" s="165">
        <v>0</v>
      </c>
      <c r="E21" s="125">
        <f t="shared" si="3"/>
        <v>0</v>
      </c>
      <c r="F21" s="532">
        <f>'0664'!F21:G21</f>
        <v>3.6739999999999999</v>
      </c>
      <c r="G21" s="532"/>
      <c r="H21" s="83">
        <f t="shared" si="4"/>
        <v>0</v>
      </c>
      <c r="I21" s="104">
        <f t="shared" si="0"/>
        <v>0</v>
      </c>
      <c r="N21" s="479" t="s">
        <v>110</v>
      </c>
      <c r="O21" s="479"/>
      <c r="P21" s="513">
        <f t="shared" si="1"/>
        <v>0</v>
      </c>
      <c r="Q21" s="513"/>
      <c r="R21" s="517">
        <v>1</v>
      </c>
      <c r="S21" s="517"/>
      <c r="T21" s="98">
        <f t="shared" si="5"/>
        <v>0</v>
      </c>
      <c r="U21" s="99">
        <f t="shared" si="2"/>
        <v>0</v>
      </c>
    </row>
    <row r="22" spans="1:21" x14ac:dyDescent="0.25">
      <c r="A22" s="453" t="s">
        <v>111</v>
      </c>
      <c r="B22" s="453"/>
      <c r="C22" s="165">
        <v>0</v>
      </c>
      <c r="D22" s="165">
        <v>0</v>
      </c>
      <c r="E22" s="125">
        <f t="shared" si="3"/>
        <v>0</v>
      </c>
      <c r="F22" s="532">
        <f>'0664'!F22:G22</f>
        <v>5.4009999999999998</v>
      </c>
      <c r="G22" s="532"/>
      <c r="H22" s="83">
        <f t="shared" si="4"/>
        <v>0</v>
      </c>
      <c r="I22" s="104">
        <f t="shared" si="0"/>
        <v>0</v>
      </c>
      <c r="N22" s="479" t="s">
        <v>111</v>
      </c>
      <c r="O22" s="479"/>
      <c r="P22" s="513">
        <f t="shared" si="1"/>
        <v>0</v>
      </c>
      <c r="Q22" s="513"/>
      <c r="R22" s="517">
        <v>1</v>
      </c>
      <c r="S22" s="517"/>
      <c r="T22" s="98">
        <f t="shared" si="5"/>
        <v>0</v>
      </c>
      <c r="U22" s="99">
        <f t="shared" si="2"/>
        <v>0</v>
      </c>
    </row>
    <row r="23" spans="1:21" x14ac:dyDescent="0.25">
      <c r="A23" s="453" t="s">
        <v>112</v>
      </c>
      <c r="B23" s="453"/>
      <c r="C23" s="165">
        <v>0</v>
      </c>
      <c r="D23" s="165">
        <v>0</v>
      </c>
      <c r="E23" s="125">
        <f t="shared" si="3"/>
        <v>0</v>
      </c>
      <c r="F23" s="532">
        <f>'0664'!F23:G23</f>
        <v>5.4009999999999998</v>
      </c>
      <c r="G23" s="532"/>
      <c r="H23" s="83">
        <f t="shared" si="4"/>
        <v>0</v>
      </c>
      <c r="I23" s="104">
        <f t="shared" si="0"/>
        <v>0</v>
      </c>
      <c r="N23" s="479" t="s">
        <v>112</v>
      </c>
      <c r="O23" s="479"/>
      <c r="P23" s="513">
        <f t="shared" si="1"/>
        <v>0</v>
      </c>
      <c r="Q23" s="513"/>
      <c r="R23" s="517">
        <v>1</v>
      </c>
      <c r="S23" s="517"/>
      <c r="T23" s="98">
        <f t="shared" si="5"/>
        <v>0</v>
      </c>
      <c r="U23" s="99">
        <f t="shared" si="2"/>
        <v>0</v>
      </c>
    </row>
    <row r="24" spans="1:21" x14ac:dyDescent="0.25">
      <c r="A24" s="453" t="s">
        <v>113</v>
      </c>
      <c r="B24" s="453"/>
      <c r="C24" s="165">
        <v>0</v>
      </c>
      <c r="D24" s="165">
        <v>0</v>
      </c>
      <c r="E24" s="125">
        <f t="shared" si="3"/>
        <v>0</v>
      </c>
      <c r="F24" s="532">
        <f>'0664'!F24:G24</f>
        <v>5.4009999999999998</v>
      </c>
      <c r="G24" s="532"/>
      <c r="H24" s="83">
        <f t="shared" si="4"/>
        <v>0</v>
      </c>
      <c r="I24" s="104">
        <f t="shared" si="0"/>
        <v>0</v>
      </c>
      <c r="N24" s="479" t="s">
        <v>113</v>
      </c>
      <c r="O24" s="479"/>
      <c r="P24" s="513">
        <f t="shared" si="1"/>
        <v>0</v>
      </c>
      <c r="Q24" s="513"/>
      <c r="R24" s="517">
        <v>1</v>
      </c>
      <c r="S24" s="517"/>
      <c r="T24" s="98">
        <f t="shared" si="5"/>
        <v>0</v>
      </c>
      <c r="U24" s="99">
        <f t="shared" si="2"/>
        <v>0</v>
      </c>
    </row>
    <row r="25" spans="1:21" x14ac:dyDescent="0.25">
      <c r="A25" s="453" t="s">
        <v>114</v>
      </c>
      <c r="B25" s="453"/>
      <c r="C25" s="165">
        <v>21.58</v>
      </c>
      <c r="D25" s="165">
        <v>22.53</v>
      </c>
      <c r="E25" s="125">
        <f t="shared" si="3"/>
        <v>44.11</v>
      </c>
      <c r="F25" s="532">
        <f>'0664'!F25:G25</f>
        <v>1.206</v>
      </c>
      <c r="G25" s="532"/>
      <c r="H25" s="83">
        <f t="shared" si="4"/>
        <v>53.1967</v>
      </c>
      <c r="I25" s="104">
        <f t="shared" si="0"/>
        <v>254723.25</v>
      </c>
      <c r="N25" s="479" t="s">
        <v>114</v>
      </c>
      <c r="O25" s="479"/>
      <c r="P25" s="513">
        <f t="shared" si="1"/>
        <v>0</v>
      </c>
      <c r="Q25" s="513"/>
      <c r="R25" s="517">
        <v>1</v>
      </c>
      <c r="S25" s="517"/>
      <c r="T25" s="98">
        <f t="shared" si="5"/>
        <v>0</v>
      </c>
      <c r="U25" s="99">
        <f t="shared" si="2"/>
        <v>0</v>
      </c>
    </row>
    <row r="26" spans="1:21" x14ac:dyDescent="0.25">
      <c r="A26" s="453" t="s">
        <v>115</v>
      </c>
      <c r="B26" s="453"/>
      <c r="C26" s="165">
        <v>17.850000000000001</v>
      </c>
      <c r="D26" s="165">
        <v>17.600000000000001</v>
      </c>
      <c r="E26" s="125">
        <f t="shared" si="3"/>
        <v>35.450000000000003</v>
      </c>
      <c r="F26" s="532">
        <f>'0664'!F26:G26</f>
        <v>1.206</v>
      </c>
      <c r="G26" s="532"/>
      <c r="H26" s="83">
        <f t="shared" si="4"/>
        <v>42.752699999999997</v>
      </c>
      <c r="I26" s="104">
        <f t="shared" si="0"/>
        <v>204713.96</v>
      </c>
      <c r="N26" s="479" t="s">
        <v>115</v>
      </c>
      <c r="O26" s="479"/>
      <c r="P26" s="513">
        <f t="shared" si="1"/>
        <v>0</v>
      </c>
      <c r="Q26" s="513"/>
      <c r="R26" s="517">
        <v>1</v>
      </c>
      <c r="S26" s="517"/>
      <c r="T26" s="98">
        <f t="shared" si="5"/>
        <v>0</v>
      </c>
      <c r="U26" s="99">
        <f t="shared" si="2"/>
        <v>0</v>
      </c>
    </row>
    <row r="27" spans="1:21" x14ac:dyDescent="0.25">
      <c r="A27" s="453" t="s">
        <v>116</v>
      </c>
      <c r="B27" s="453"/>
      <c r="C27" s="165">
        <v>0</v>
      </c>
      <c r="D27" s="165">
        <v>0</v>
      </c>
      <c r="E27" s="125">
        <f t="shared" si="3"/>
        <v>0</v>
      </c>
      <c r="F27" s="532">
        <f>'0664'!F27:G27</f>
        <v>1.206</v>
      </c>
      <c r="G27" s="532"/>
      <c r="H27" s="83">
        <f t="shared" si="4"/>
        <v>0</v>
      </c>
      <c r="I27" s="104">
        <f t="shared" si="0"/>
        <v>0</v>
      </c>
      <c r="N27" s="479" t="s">
        <v>116</v>
      </c>
      <c r="O27" s="479"/>
      <c r="P27" s="513">
        <f t="shared" si="1"/>
        <v>0</v>
      </c>
      <c r="Q27" s="513"/>
      <c r="R27" s="517">
        <v>1</v>
      </c>
      <c r="S27" s="517"/>
      <c r="T27" s="98">
        <f t="shared" si="5"/>
        <v>0</v>
      </c>
      <c r="U27" s="99">
        <f t="shared" si="2"/>
        <v>0</v>
      </c>
    </row>
    <row r="28" spans="1:21" x14ac:dyDescent="0.25">
      <c r="A28" s="453" t="s">
        <v>117</v>
      </c>
      <c r="B28" s="453"/>
      <c r="C28" s="116">
        <v>0</v>
      </c>
      <c r="D28" s="116">
        <v>0</v>
      </c>
      <c r="E28" s="177">
        <f t="shared" si="3"/>
        <v>0</v>
      </c>
      <c r="F28" s="532">
        <f>'0664'!F28:G28</f>
        <v>0.999</v>
      </c>
      <c r="G28" s="532"/>
      <c r="H28" s="96">
        <f t="shared" si="4"/>
        <v>0</v>
      </c>
      <c r="I28" s="97">
        <f t="shared" si="0"/>
        <v>0</v>
      </c>
      <c r="N28" s="482" t="s">
        <v>117</v>
      </c>
      <c r="O28" s="482"/>
      <c r="P28" s="513">
        <f t="shared" si="1"/>
        <v>0</v>
      </c>
      <c r="Q28" s="513"/>
      <c r="R28" s="514">
        <v>1</v>
      </c>
      <c r="S28" s="514"/>
      <c r="T28" s="98">
        <f t="shared" si="5"/>
        <v>0</v>
      </c>
      <c r="U28" s="99">
        <f t="shared" si="2"/>
        <v>0</v>
      </c>
    </row>
    <row r="29" spans="1:21" x14ac:dyDescent="0.25">
      <c r="A29" s="461" t="s">
        <v>5</v>
      </c>
      <c r="B29" s="461"/>
      <c r="C29" s="97">
        <f>SUM(C13:C28)</f>
        <v>653.11</v>
      </c>
      <c r="D29" s="97">
        <f>SUM(D13:D28)</f>
        <v>643.63</v>
      </c>
      <c r="E29" s="97">
        <f>SUM(E13:E28)</f>
        <v>1296.74</v>
      </c>
      <c r="F29" s="457"/>
      <c r="G29" s="457"/>
      <c r="H29" s="102">
        <f>SUM(H13:H28)</f>
        <v>1381.6935000000001</v>
      </c>
      <c r="I29" s="97">
        <f>SUM(I13:I28)</f>
        <v>6616001.8500000006</v>
      </c>
      <c r="N29" s="515" t="s">
        <v>5</v>
      </c>
      <c r="O29" s="515"/>
      <c r="P29" s="516">
        <f>SUM(P13:P28)</f>
        <v>0</v>
      </c>
      <c r="Q29" s="516"/>
      <c r="R29" s="508"/>
      <c r="S29" s="508"/>
      <c r="T29" s="103">
        <f>SUM(T13:T28)</f>
        <v>0</v>
      </c>
      <c r="U29" s="99">
        <f>SUM(U13:U28)</f>
        <v>0</v>
      </c>
    </row>
    <row r="30" spans="1:21" x14ac:dyDescent="0.25">
      <c r="A30" s="27"/>
      <c r="B30" s="27"/>
      <c r="C30" s="104"/>
      <c r="D30" s="104"/>
      <c r="E30" s="104"/>
      <c r="F30" s="28"/>
      <c r="G30" s="28"/>
      <c r="H30" s="83"/>
      <c r="I30" s="104"/>
      <c r="N30" s="29"/>
      <c r="O30" s="29"/>
      <c r="P30" s="30"/>
      <c r="Q30" s="30"/>
      <c r="R30" s="31"/>
      <c r="S30" s="31"/>
      <c r="T30" s="105"/>
      <c r="U30" s="106"/>
    </row>
    <row r="31" spans="1:21" x14ac:dyDescent="0.25">
      <c r="A31" s="168" t="s">
        <v>97</v>
      </c>
      <c r="B31" s="27"/>
      <c r="C31" s="104"/>
      <c r="D31" s="104"/>
      <c r="E31" s="104"/>
      <c r="F31" s="28"/>
      <c r="G31" s="28"/>
      <c r="H31" s="83"/>
      <c r="I31" s="104"/>
      <c r="N31" s="29"/>
      <c r="O31" s="29"/>
      <c r="P31" s="30"/>
      <c r="Q31" s="30"/>
      <c r="R31" s="31"/>
      <c r="S31" s="31"/>
      <c r="T31" s="105"/>
      <c r="U31" s="106"/>
    </row>
    <row r="32" spans="1:21" hidden="1" x14ac:dyDescent="0.25">
      <c r="A32" s="168"/>
      <c r="B32" s="27"/>
      <c r="C32" s="104"/>
      <c r="D32" s="104"/>
      <c r="E32" s="104"/>
      <c r="F32" s="28"/>
      <c r="G32" s="28"/>
      <c r="H32" s="83"/>
      <c r="I32" s="104"/>
      <c r="N32" s="29"/>
      <c r="O32" s="29"/>
      <c r="P32" s="30"/>
      <c r="Q32" s="30"/>
      <c r="R32" s="31"/>
      <c r="S32" s="31"/>
      <c r="T32" s="105"/>
      <c r="U32" s="106"/>
    </row>
    <row r="33" spans="1:21" hidden="1" x14ac:dyDescent="0.25">
      <c r="A33" s="168"/>
      <c r="B33" s="27"/>
      <c r="C33" s="104"/>
      <c r="D33" s="104"/>
      <c r="E33" s="104"/>
      <c r="F33" s="541" t="s">
        <v>282</v>
      </c>
      <c r="G33" s="541"/>
      <c r="H33" s="541"/>
      <c r="I33" s="104"/>
      <c r="N33" s="29"/>
      <c r="O33" s="29"/>
      <c r="P33" s="30"/>
      <c r="Q33" s="30"/>
      <c r="R33" s="31"/>
      <c r="S33" s="31"/>
      <c r="T33" s="105"/>
      <c r="U33" s="106"/>
    </row>
    <row r="34" spans="1:21" hidden="1" x14ac:dyDescent="0.25">
      <c r="A34" s="3"/>
      <c r="B34" s="72"/>
      <c r="C34" s="72"/>
      <c r="D34" s="72"/>
      <c r="E34" s="72"/>
      <c r="F34" s="541"/>
      <c r="G34" s="541"/>
      <c r="H34" s="541"/>
      <c r="I34" s="25" t="s">
        <v>74</v>
      </c>
      <c r="N34" s="485" t="s">
        <v>35</v>
      </c>
      <c r="O34" s="485"/>
      <c r="P34" s="485"/>
      <c r="Q34" s="485"/>
      <c r="R34" s="485"/>
      <c r="S34" s="485"/>
      <c r="T34" s="485"/>
      <c r="U34" s="26" t="s">
        <v>74</v>
      </c>
    </row>
    <row r="35" spans="1:21" hidden="1" x14ac:dyDescent="0.25">
      <c r="A35" s="27"/>
      <c r="B35" s="27"/>
      <c r="C35" s="91" t="s">
        <v>124</v>
      </c>
      <c r="D35" s="91" t="s">
        <v>125</v>
      </c>
      <c r="E35" s="92" t="s">
        <v>8</v>
      </c>
      <c r="F35" s="541"/>
      <c r="G35" s="541"/>
      <c r="H35" s="541"/>
      <c r="I35" s="25" t="s">
        <v>36</v>
      </c>
      <c r="N35" s="29"/>
      <c r="O35" s="29"/>
      <c r="P35" s="30"/>
      <c r="Q35" s="30"/>
      <c r="R35" s="31"/>
      <c r="S35" s="31"/>
      <c r="T35" s="105"/>
      <c r="U35" s="26" t="s">
        <v>36</v>
      </c>
    </row>
    <row r="36" spans="1:21" hidden="1" x14ac:dyDescent="0.25">
      <c r="A36" s="447" t="s">
        <v>63</v>
      </c>
      <c r="B36" s="447"/>
      <c r="C36" s="93" t="s">
        <v>2</v>
      </c>
      <c r="D36" s="93" t="s">
        <v>2</v>
      </c>
      <c r="E36" s="93" t="s">
        <v>2</v>
      </c>
      <c r="F36" s="542"/>
      <c r="G36" s="542"/>
      <c r="H36" s="542"/>
      <c r="I36" s="32" t="s">
        <v>75</v>
      </c>
      <c r="N36" s="510" t="s">
        <v>63</v>
      </c>
      <c r="O36" s="510"/>
      <c r="P36" s="511" t="s">
        <v>24</v>
      </c>
      <c r="Q36" s="511"/>
      <c r="R36" s="511"/>
      <c r="S36" s="511"/>
      <c r="T36" s="511"/>
      <c r="U36" s="20" t="s">
        <v>75</v>
      </c>
    </row>
    <row r="37" spans="1:21" hidden="1" x14ac:dyDescent="0.25">
      <c r="A37" s="451" t="s">
        <v>56</v>
      </c>
      <c r="B37" s="451"/>
      <c r="C37" s="169">
        <v>0</v>
      </c>
      <c r="D37" s="169">
        <v>0</v>
      </c>
      <c r="E37" s="210">
        <f t="shared" ref="E37:E42" si="6">IF(D$43=0,C37*2,C37+D37)</f>
        <v>0</v>
      </c>
      <c r="F37" s="170"/>
      <c r="G37" s="170"/>
      <c r="H37" s="170"/>
      <c r="I37" s="119">
        <f t="shared" ref="I37:I42" si="7">ROUND(ROUND(E37*$C$8,4)*($H$8),2)</f>
        <v>0</v>
      </c>
      <c r="N37" s="512" t="s">
        <v>56</v>
      </c>
      <c r="O37" s="512"/>
      <c r="P37" s="483">
        <f t="shared" ref="P37:P42" si="8">IF($H$120=1,E37,0)</f>
        <v>0</v>
      </c>
      <c r="Q37" s="483"/>
      <c r="R37" s="483"/>
      <c r="S37" s="483"/>
      <c r="T37" s="483"/>
      <c r="U37" s="101">
        <f t="shared" ref="U37:U42" si="9">ROUND(ROUND(P37*$C$8,4)*($H$8),0)</f>
        <v>0</v>
      </c>
    </row>
    <row r="38" spans="1:21" hidden="1" x14ac:dyDescent="0.25">
      <c r="A38" s="453" t="s">
        <v>57</v>
      </c>
      <c r="B38" s="453"/>
      <c r="C38" s="172">
        <v>0</v>
      </c>
      <c r="D38" s="172">
        <v>0</v>
      </c>
      <c r="E38" s="125">
        <f t="shared" si="6"/>
        <v>0</v>
      </c>
      <c r="F38" s="173"/>
      <c r="G38" s="173"/>
      <c r="H38" s="173"/>
      <c r="I38" s="104">
        <f t="shared" si="7"/>
        <v>0</v>
      </c>
      <c r="N38" s="479" t="s">
        <v>57</v>
      </c>
      <c r="O38" s="479"/>
      <c r="P38" s="483">
        <f t="shared" si="8"/>
        <v>0</v>
      </c>
      <c r="Q38" s="483"/>
      <c r="R38" s="483"/>
      <c r="S38" s="483"/>
      <c r="T38" s="483"/>
      <c r="U38" s="101">
        <f t="shared" si="9"/>
        <v>0</v>
      </c>
    </row>
    <row r="39" spans="1:21" hidden="1" x14ac:dyDescent="0.25">
      <c r="A39" s="458" t="s">
        <v>58</v>
      </c>
      <c r="B39" s="458"/>
      <c r="C39" s="172">
        <v>0</v>
      </c>
      <c r="D39" s="172">
        <v>0</v>
      </c>
      <c r="E39" s="125">
        <f t="shared" si="6"/>
        <v>0</v>
      </c>
      <c r="F39" s="173"/>
      <c r="G39" s="173"/>
      <c r="H39" s="173"/>
      <c r="I39" s="104">
        <f t="shared" si="7"/>
        <v>0</v>
      </c>
      <c r="N39" s="509" t="s">
        <v>58</v>
      </c>
      <c r="O39" s="509"/>
      <c r="P39" s="483">
        <f t="shared" si="8"/>
        <v>0</v>
      </c>
      <c r="Q39" s="483"/>
      <c r="R39" s="483"/>
      <c r="S39" s="483"/>
      <c r="T39" s="483"/>
      <c r="U39" s="101">
        <f t="shared" si="9"/>
        <v>0</v>
      </c>
    </row>
    <row r="40" spans="1:21" hidden="1" x14ac:dyDescent="0.25">
      <c r="A40" s="453" t="s">
        <v>59</v>
      </c>
      <c r="B40" s="453"/>
      <c r="C40" s="172">
        <v>0</v>
      </c>
      <c r="D40" s="172">
        <v>0</v>
      </c>
      <c r="E40" s="125">
        <f t="shared" si="6"/>
        <v>0</v>
      </c>
      <c r="F40" s="173"/>
      <c r="G40" s="173"/>
      <c r="H40" s="173"/>
      <c r="I40" s="104">
        <f t="shared" si="7"/>
        <v>0</v>
      </c>
      <c r="N40" s="479" t="s">
        <v>59</v>
      </c>
      <c r="O40" s="479"/>
      <c r="P40" s="483">
        <f t="shared" si="8"/>
        <v>0</v>
      </c>
      <c r="Q40" s="483"/>
      <c r="R40" s="483"/>
      <c r="S40" s="483"/>
      <c r="T40" s="483"/>
      <c r="U40" s="101">
        <f t="shared" si="9"/>
        <v>0</v>
      </c>
    </row>
    <row r="41" spans="1:21" hidden="1" x14ac:dyDescent="0.25">
      <c r="A41" s="453" t="s">
        <v>60</v>
      </c>
      <c r="B41" s="453"/>
      <c r="C41" s="172">
        <v>0</v>
      </c>
      <c r="D41" s="172">
        <v>0</v>
      </c>
      <c r="E41" s="125">
        <f t="shared" si="6"/>
        <v>0</v>
      </c>
      <c r="F41" s="173"/>
      <c r="G41" s="173"/>
      <c r="H41" s="173"/>
      <c r="I41" s="104">
        <f t="shared" si="7"/>
        <v>0</v>
      </c>
      <c r="N41" s="479" t="s">
        <v>60</v>
      </c>
      <c r="O41" s="479"/>
      <c r="P41" s="483">
        <f t="shared" si="8"/>
        <v>0</v>
      </c>
      <c r="Q41" s="483"/>
      <c r="R41" s="483"/>
      <c r="S41" s="483"/>
      <c r="T41" s="483"/>
      <c r="U41" s="101">
        <f t="shared" si="9"/>
        <v>0</v>
      </c>
    </row>
    <row r="42" spans="1:21" hidden="1" x14ac:dyDescent="0.25">
      <c r="A42" s="453" t="s">
        <v>52</v>
      </c>
      <c r="B42" s="453"/>
      <c r="C42" s="171">
        <v>0</v>
      </c>
      <c r="D42" s="171">
        <v>0</v>
      </c>
      <c r="E42" s="177">
        <f t="shared" si="6"/>
        <v>0</v>
      </c>
      <c r="F42" s="173"/>
      <c r="G42" s="173"/>
      <c r="H42" s="173"/>
      <c r="I42" s="97">
        <f t="shared" si="7"/>
        <v>0</v>
      </c>
      <c r="N42" s="482" t="s">
        <v>52</v>
      </c>
      <c r="O42" s="482"/>
      <c r="P42" s="483">
        <f t="shared" si="8"/>
        <v>0</v>
      </c>
      <c r="Q42" s="483"/>
      <c r="R42" s="483"/>
      <c r="S42" s="483"/>
      <c r="T42" s="483"/>
      <c r="U42" s="101">
        <f t="shared" si="9"/>
        <v>0</v>
      </c>
    </row>
    <row r="43" spans="1:21" hidden="1" x14ac:dyDescent="0.25">
      <c r="A43" s="3"/>
      <c r="B43" s="55" t="s">
        <v>126</v>
      </c>
      <c r="C43" s="100">
        <f>SUM(C37:C42)</f>
        <v>0</v>
      </c>
      <c r="D43" s="100">
        <f>SUM(D37:D42)</f>
        <v>0</v>
      </c>
      <c r="E43" s="100">
        <f>SUM(E37:E42)</f>
        <v>0</v>
      </c>
      <c r="F43" s="33"/>
      <c r="G43" s="109"/>
      <c r="H43" s="110" t="s">
        <v>128</v>
      </c>
      <c r="I43" s="100">
        <f>SUM(I37:I42)</f>
        <v>0</v>
      </c>
      <c r="N43" s="480" t="s">
        <v>54</v>
      </c>
      <c r="O43" s="480"/>
      <c r="P43" s="480"/>
      <c r="Q43" s="480"/>
      <c r="R43" s="34">
        <f>SUM(P37:R42)</f>
        <v>0</v>
      </c>
      <c r="S43" s="508" t="s">
        <v>64</v>
      </c>
      <c r="T43" s="508"/>
      <c r="U43" s="106">
        <f>SUM(U37:U42)</f>
        <v>0</v>
      </c>
    </row>
    <row r="44" spans="1:21" ht="16.5" hidden="1" thickBot="1" x14ac:dyDescent="0.3">
      <c r="A44" s="3"/>
      <c r="B44" s="55"/>
      <c r="C44" s="104"/>
      <c r="D44" s="104"/>
      <c r="E44" s="119"/>
      <c r="F44" s="33"/>
      <c r="G44" s="109"/>
      <c r="H44" s="110"/>
      <c r="I44" s="104"/>
      <c r="N44" s="29"/>
      <c r="O44" s="29"/>
      <c r="P44" s="29"/>
      <c r="Q44" s="29"/>
      <c r="R44" s="34"/>
      <c r="S44" s="31"/>
      <c r="T44" s="31"/>
      <c r="U44" s="106"/>
    </row>
    <row r="45" spans="1:21" ht="16.5" hidden="1" thickBot="1" x14ac:dyDescent="0.3">
      <c r="A45" s="3"/>
      <c r="B45" s="55" t="s">
        <v>127</v>
      </c>
      <c r="E45" s="174">
        <f>H29+E43</f>
        <v>1381.6935000000001</v>
      </c>
      <c r="F45" s="35"/>
      <c r="G45" s="109"/>
      <c r="H45" s="110" t="s">
        <v>129</v>
      </c>
      <c r="I45" s="97">
        <f>SUM(I43,I29)</f>
        <v>6616001.8500000006</v>
      </c>
      <c r="N45" s="480" t="s">
        <v>55</v>
      </c>
      <c r="O45" s="480"/>
      <c r="P45" s="480"/>
      <c r="Q45" s="480"/>
      <c r="R45" s="36">
        <f>R43+T29</f>
        <v>0</v>
      </c>
      <c r="S45" s="508" t="s">
        <v>53</v>
      </c>
      <c r="T45" s="508"/>
      <c r="U45" s="111">
        <f>SUM(U43,U29)</f>
        <v>0</v>
      </c>
    </row>
    <row r="46" spans="1:21" hidden="1" x14ac:dyDescent="0.25">
      <c r="A46" s="27"/>
      <c r="B46" s="27"/>
      <c r="C46" s="27"/>
      <c r="D46" s="27"/>
      <c r="E46" s="27"/>
      <c r="F46" s="35"/>
      <c r="G46" s="28"/>
      <c r="H46" s="28"/>
      <c r="I46" s="104"/>
      <c r="N46" s="29"/>
      <c r="O46" s="29"/>
      <c r="P46" s="29"/>
      <c r="Q46" s="29"/>
      <c r="R46" s="36"/>
      <c r="S46" s="31"/>
      <c r="T46" s="31"/>
      <c r="U46" s="106"/>
    </row>
    <row r="47" spans="1:21" x14ac:dyDescent="0.25">
      <c r="A47" s="27"/>
      <c r="B47" s="55" t="s">
        <v>370</v>
      </c>
      <c r="C47" s="41" t="s">
        <v>370</v>
      </c>
      <c r="D47" s="91" t="s">
        <v>370</v>
      </c>
      <c r="E47" s="27"/>
      <c r="F47" s="35"/>
      <c r="G47" s="28"/>
      <c r="H47" s="28"/>
      <c r="I47" s="104"/>
      <c r="N47" s="29"/>
      <c r="O47" s="29"/>
      <c r="P47" s="29"/>
      <c r="Q47" s="29"/>
      <c r="R47" s="36"/>
      <c r="S47" s="31"/>
      <c r="T47" s="31"/>
      <c r="U47" s="106"/>
    </row>
    <row r="48" spans="1:21" x14ac:dyDescent="0.25">
      <c r="A48" s="27"/>
      <c r="B48" s="27"/>
      <c r="C48" s="91" t="s">
        <v>463</v>
      </c>
      <c r="D48" s="371" t="s">
        <v>464</v>
      </c>
      <c r="E48" s="92" t="s">
        <v>8</v>
      </c>
      <c r="F48" s="49" t="s">
        <v>130</v>
      </c>
      <c r="G48" s="112" t="s">
        <v>132</v>
      </c>
      <c r="H48" s="113" t="s">
        <v>133</v>
      </c>
      <c r="I48" s="104"/>
      <c r="N48" s="29"/>
      <c r="O48" s="29"/>
      <c r="P48" s="29"/>
      <c r="Q48" s="29"/>
      <c r="R48" s="36"/>
      <c r="S48" s="31"/>
      <c r="T48" s="31"/>
      <c r="U48" s="106"/>
    </row>
    <row r="49" spans="1:21" x14ac:dyDescent="0.25">
      <c r="A49" s="37" t="s">
        <v>87</v>
      </c>
      <c r="B49" s="37"/>
      <c r="C49" s="362" t="s">
        <v>2</v>
      </c>
      <c r="D49" s="362" t="s">
        <v>2</v>
      </c>
      <c r="E49" s="362" t="s">
        <v>2</v>
      </c>
      <c r="F49" s="95" t="s">
        <v>131</v>
      </c>
      <c r="G49" s="62" t="s">
        <v>131</v>
      </c>
      <c r="H49" s="114" t="s">
        <v>134</v>
      </c>
      <c r="I49" s="37"/>
      <c r="N49" s="482" t="s">
        <v>87</v>
      </c>
      <c r="O49" s="482"/>
      <c r="P49" s="503" t="s">
        <v>2</v>
      </c>
      <c r="Q49" s="503"/>
      <c r="R49" s="38" t="s">
        <v>25</v>
      </c>
      <c r="S49" s="63" t="s">
        <v>26</v>
      </c>
      <c r="T49" s="115" t="s">
        <v>27</v>
      </c>
      <c r="U49" s="38"/>
    </row>
    <row r="50" spans="1:21" x14ac:dyDescent="0.25">
      <c r="A50" s="459" t="s">
        <v>98</v>
      </c>
      <c r="B50" s="459"/>
      <c r="C50" s="165">
        <v>20</v>
      </c>
      <c r="D50" s="165">
        <v>21.9</v>
      </c>
      <c r="E50" s="125">
        <f>IF(D$59=0,C50*2,C50+D50)</f>
        <v>41.9</v>
      </c>
      <c r="F50" s="39" t="s">
        <v>21</v>
      </c>
      <c r="G50" s="39">
        <v>251</v>
      </c>
      <c r="H50" s="321">
        <f>'0664'!H50</f>
        <v>1047</v>
      </c>
      <c r="I50" s="104">
        <f>ROUND(E50*H50,2)</f>
        <v>43869.3</v>
      </c>
      <c r="N50" s="504" t="s">
        <v>28</v>
      </c>
      <c r="O50" s="504"/>
      <c r="P50" s="505"/>
      <c r="Q50" s="505"/>
      <c r="R50" s="40" t="s">
        <v>21</v>
      </c>
      <c r="S50" s="40">
        <v>251</v>
      </c>
      <c r="T50" s="117">
        <f>H50</f>
        <v>1047</v>
      </c>
      <c r="U50" s="118">
        <f>ROUND(P50*T50,0)</f>
        <v>0</v>
      </c>
    </row>
    <row r="51" spans="1:21" x14ac:dyDescent="0.25">
      <c r="A51" s="460"/>
      <c r="B51" s="460"/>
      <c r="C51" s="165">
        <v>1.5</v>
      </c>
      <c r="D51" s="165">
        <v>1.64</v>
      </c>
      <c r="E51" s="125">
        <f t="shared" ref="E51:E58" si="10">IF(D$59=0,C51*2,C51+D51)</f>
        <v>3.1399999999999997</v>
      </c>
      <c r="F51" s="39" t="s">
        <v>21</v>
      </c>
      <c r="G51" s="39">
        <v>252</v>
      </c>
      <c r="H51" s="321">
        <f>'0664'!H51</f>
        <v>3380</v>
      </c>
      <c r="I51" s="104">
        <f t="shared" ref="I51:I58" si="11">ROUND(E51*H51,2)</f>
        <v>10613.2</v>
      </c>
      <c r="N51" s="504"/>
      <c r="O51" s="504"/>
      <c r="P51" s="506"/>
      <c r="Q51" s="506"/>
      <c r="R51" s="40" t="s">
        <v>21</v>
      </c>
      <c r="S51" s="40">
        <v>252</v>
      </c>
      <c r="T51" s="117">
        <f t="shared" ref="T51:T58" si="12">H51</f>
        <v>3380</v>
      </c>
      <c r="U51" s="118">
        <f t="shared" ref="U51:U58" si="13">ROUND(P51*T51,0)</f>
        <v>0</v>
      </c>
    </row>
    <row r="52" spans="1:21" x14ac:dyDescent="0.25">
      <c r="A52" s="460"/>
      <c r="B52" s="460"/>
      <c r="C52" s="165">
        <v>0</v>
      </c>
      <c r="D52" s="165">
        <v>0</v>
      </c>
      <c r="E52" s="125">
        <f t="shared" si="10"/>
        <v>0</v>
      </c>
      <c r="F52" s="39" t="s">
        <v>21</v>
      </c>
      <c r="G52" s="39">
        <v>253</v>
      </c>
      <c r="H52" s="321">
        <f>'0664'!H52</f>
        <v>6896</v>
      </c>
      <c r="I52" s="104">
        <f t="shared" si="11"/>
        <v>0</v>
      </c>
      <c r="N52" s="504"/>
      <c r="O52" s="504"/>
      <c r="P52" s="506"/>
      <c r="Q52" s="506"/>
      <c r="R52" s="40" t="s">
        <v>21</v>
      </c>
      <c r="S52" s="40">
        <v>253</v>
      </c>
      <c r="T52" s="117">
        <f t="shared" si="12"/>
        <v>6896</v>
      </c>
      <c r="U52" s="118">
        <f t="shared" si="13"/>
        <v>0</v>
      </c>
    </row>
    <row r="53" spans="1:21" x14ac:dyDescent="0.25">
      <c r="A53" s="460"/>
      <c r="B53" s="460"/>
      <c r="C53" s="165">
        <v>34.5</v>
      </c>
      <c r="D53" s="165">
        <v>31.32</v>
      </c>
      <c r="E53" s="125">
        <f t="shared" si="10"/>
        <v>65.819999999999993</v>
      </c>
      <c r="F53" s="41" t="s">
        <v>14</v>
      </c>
      <c r="G53" s="39">
        <v>251</v>
      </c>
      <c r="H53" s="321">
        <f>'0664'!H53</f>
        <v>1173</v>
      </c>
      <c r="I53" s="104">
        <f t="shared" si="11"/>
        <v>77206.86</v>
      </c>
      <c r="N53" s="504"/>
      <c r="O53" s="504"/>
      <c r="P53" s="506"/>
      <c r="Q53" s="506"/>
      <c r="R53" s="42" t="s">
        <v>14</v>
      </c>
      <c r="S53" s="40">
        <v>251</v>
      </c>
      <c r="T53" s="117">
        <f t="shared" si="12"/>
        <v>1173</v>
      </c>
      <c r="U53" s="118">
        <f t="shared" si="13"/>
        <v>0</v>
      </c>
    </row>
    <row r="54" spans="1:21" x14ac:dyDescent="0.25">
      <c r="A54" s="460"/>
      <c r="B54" s="460"/>
      <c r="C54" s="165">
        <v>4.5</v>
      </c>
      <c r="D54" s="165">
        <v>4.09</v>
      </c>
      <c r="E54" s="125">
        <f t="shared" si="10"/>
        <v>8.59</v>
      </c>
      <c r="F54" s="41" t="s">
        <v>14</v>
      </c>
      <c r="G54" s="39">
        <v>252</v>
      </c>
      <c r="H54" s="321">
        <f>'0664'!H54</f>
        <v>3506</v>
      </c>
      <c r="I54" s="104">
        <f t="shared" si="11"/>
        <v>30116.54</v>
      </c>
      <c r="N54" s="504"/>
      <c r="O54" s="504"/>
      <c r="P54" s="506"/>
      <c r="Q54" s="506"/>
      <c r="R54" s="42" t="s">
        <v>14</v>
      </c>
      <c r="S54" s="40">
        <v>252</v>
      </c>
      <c r="T54" s="117">
        <f t="shared" si="12"/>
        <v>3506</v>
      </c>
      <c r="U54" s="118">
        <f t="shared" si="13"/>
        <v>0</v>
      </c>
    </row>
    <row r="55" spans="1:21" x14ac:dyDescent="0.25">
      <c r="A55" s="460"/>
      <c r="B55" s="460"/>
      <c r="C55" s="165">
        <v>0</v>
      </c>
      <c r="D55" s="165">
        <v>0</v>
      </c>
      <c r="E55" s="125">
        <f t="shared" si="10"/>
        <v>0</v>
      </c>
      <c r="F55" s="41" t="s">
        <v>14</v>
      </c>
      <c r="G55" s="39">
        <v>253</v>
      </c>
      <c r="H55" s="321">
        <f>'0664'!H55</f>
        <v>7023</v>
      </c>
      <c r="I55" s="104">
        <f t="shared" si="11"/>
        <v>0</v>
      </c>
      <c r="N55" s="504"/>
      <c r="O55" s="504"/>
      <c r="P55" s="506"/>
      <c r="Q55" s="506"/>
      <c r="R55" s="42" t="s">
        <v>14</v>
      </c>
      <c r="S55" s="40">
        <v>253</v>
      </c>
      <c r="T55" s="117">
        <f t="shared" si="12"/>
        <v>7023</v>
      </c>
      <c r="U55" s="118">
        <f t="shared" si="13"/>
        <v>0</v>
      </c>
    </row>
    <row r="56" spans="1:21" x14ac:dyDescent="0.25">
      <c r="A56" s="460"/>
      <c r="B56" s="460"/>
      <c r="C56" s="165">
        <v>0</v>
      </c>
      <c r="D56" s="165">
        <v>0</v>
      </c>
      <c r="E56" s="125">
        <f t="shared" si="10"/>
        <v>0</v>
      </c>
      <c r="F56" s="41" t="s">
        <v>15</v>
      </c>
      <c r="G56" s="39">
        <v>251</v>
      </c>
      <c r="H56" s="321">
        <f>'0664'!H56</f>
        <v>835</v>
      </c>
      <c r="I56" s="104">
        <f t="shared" si="11"/>
        <v>0</v>
      </c>
      <c r="N56" s="504"/>
      <c r="O56" s="504"/>
      <c r="P56" s="506"/>
      <c r="Q56" s="506"/>
      <c r="R56" s="42" t="s">
        <v>15</v>
      </c>
      <c r="S56" s="40">
        <v>251</v>
      </c>
      <c r="T56" s="117">
        <f t="shared" si="12"/>
        <v>835</v>
      </c>
      <c r="U56" s="118">
        <f t="shared" si="13"/>
        <v>0</v>
      </c>
    </row>
    <row r="57" spans="1:21" x14ac:dyDescent="0.25">
      <c r="A57" s="460"/>
      <c r="B57" s="460"/>
      <c r="C57" s="165">
        <v>0</v>
      </c>
      <c r="D57" s="165">
        <v>0</v>
      </c>
      <c r="E57" s="125">
        <f t="shared" si="10"/>
        <v>0</v>
      </c>
      <c r="F57" s="41" t="s">
        <v>15</v>
      </c>
      <c r="G57" s="39">
        <v>252</v>
      </c>
      <c r="H57" s="321">
        <f>'0664'!H57</f>
        <v>3168</v>
      </c>
      <c r="I57" s="104">
        <f t="shared" si="11"/>
        <v>0</v>
      </c>
      <c r="N57" s="504"/>
      <c r="O57" s="504"/>
      <c r="P57" s="506"/>
      <c r="Q57" s="506"/>
      <c r="R57" s="42" t="s">
        <v>15</v>
      </c>
      <c r="S57" s="40">
        <v>252</v>
      </c>
      <c r="T57" s="117">
        <f t="shared" si="12"/>
        <v>3168</v>
      </c>
      <c r="U57" s="118">
        <f t="shared" si="13"/>
        <v>0</v>
      </c>
    </row>
    <row r="58" spans="1:21" ht="16.5" thickBot="1" x14ac:dyDescent="0.3">
      <c r="A58" s="460"/>
      <c r="B58" s="460"/>
      <c r="C58" s="165">
        <v>0</v>
      </c>
      <c r="D58" s="165">
        <v>0</v>
      </c>
      <c r="E58" s="125">
        <f t="shared" si="10"/>
        <v>0</v>
      </c>
      <c r="F58" s="41" t="s">
        <v>15</v>
      </c>
      <c r="G58" s="39">
        <v>253</v>
      </c>
      <c r="H58" s="321">
        <f>'0664'!H58</f>
        <v>6685</v>
      </c>
      <c r="I58" s="104">
        <f t="shared" si="11"/>
        <v>0</v>
      </c>
      <c r="N58" s="504"/>
      <c r="O58" s="504"/>
      <c r="P58" s="507"/>
      <c r="Q58" s="507"/>
      <c r="R58" s="42" t="s">
        <v>15</v>
      </c>
      <c r="S58" s="40">
        <v>253</v>
      </c>
      <c r="T58" s="117">
        <f t="shared" si="12"/>
        <v>6685</v>
      </c>
      <c r="U58" s="120">
        <f t="shared" si="13"/>
        <v>0</v>
      </c>
    </row>
    <row r="59" spans="1:21" ht="16.5" thickBot="1" x14ac:dyDescent="0.3">
      <c r="A59" s="461" t="s">
        <v>16</v>
      </c>
      <c r="B59" s="461"/>
      <c r="C59" s="100">
        <f>SUM(C50:C58)</f>
        <v>60.5</v>
      </c>
      <c r="D59" s="100">
        <f>SUM(D50:D58)</f>
        <v>58.95</v>
      </c>
      <c r="E59" s="100">
        <f>SUM(E50:E58)</f>
        <v>119.44999999999999</v>
      </c>
      <c r="F59" s="461" t="s">
        <v>77</v>
      </c>
      <c r="G59" s="461"/>
      <c r="H59" s="461"/>
      <c r="I59" s="100">
        <f>SUM(I50:I58)</f>
        <v>161805.9</v>
      </c>
      <c r="N59" s="480" t="s">
        <v>16</v>
      </c>
      <c r="O59" s="480"/>
      <c r="P59" s="502">
        <f>SUM(P50:P58)</f>
        <v>0</v>
      </c>
      <c r="Q59" s="502"/>
      <c r="R59" s="480" t="s">
        <v>77</v>
      </c>
      <c r="S59" s="480"/>
      <c r="T59" s="480"/>
      <c r="U59" s="111">
        <f>SUM(U50:U58)</f>
        <v>0</v>
      </c>
    </row>
    <row r="60" spans="1:21" x14ac:dyDescent="0.25">
      <c r="A60" s="462"/>
      <c r="B60" s="462"/>
      <c r="C60" s="462"/>
      <c r="D60" s="462"/>
      <c r="E60" s="462"/>
      <c r="F60" s="462"/>
      <c r="G60" s="462"/>
      <c r="H60" s="462"/>
      <c r="I60" s="462"/>
      <c r="N60" s="484"/>
      <c r="O60" s="484"/>
      <c r="P60" s="484"/>
      <c r="Q60" s="484"/>
      <c r="R60" s="484"/>
      <c r="S60" s="484"/>
      <c r="T60" s="484"/>
      <c r="U60" s="484"/>
    </row>
    <row r="61" spans="1:21" x14ac:dyDescent="0.25">
      <c r="A61" s="463" t="s">
        <v>136</v>
      </c>
      <c r="B61" s="453"/>
      <c r="C61" s="453"/>
      <c r="D61" s="453"/>
      <c r="E61" s="453"/>
      <c r="F61" s="453"/>
      <c r="G61" s="453"/>
      <c r="H61" s="453"/>
      <c r="I61" s="453"/>
      <c r="N61" s="479" t="s">
        <v>88</v>
      </c>
      <c r="O61" s="479"/>
      <c r="P61" s="479"/>
      <c r="Q61" s="479"/>
      <c r="R61" s="479"/>
      <c r="S61" s="479"/>
      <c r="T61" s="479"/>
      <c r="U61" s="479"/>
    </row>
    <row r="62" spans="1:21" x14ac:dyDescent="0.25">
      <c r="A62" s="463" t="s">
        <v>138</v>
      </c>
      <c r="B62" s="453"/>
      <c r="C62" s="121">
        <f>E29</f>
        <v>1296.74</v>
      </c>
      <c r="D62" s="464" t="s">
        <v>135</v>
      </c>
      <c r="E62" s="464"/>
      <c r="F62" s="464"/>
      <c r="G62" s="464"/>
      <c r="H62" s="335">
        <f>'0664'!H62</f>
        <v>193340.76</v>
      </c>
      <c r="I62" s="122"/>
      <c r="N62" s="478" t="s">
        <v>312</v>
      </c>
      <c r="O62" s="479"/>
      <c r="P62" s="43">
        <f>P29</f>
        <v>0</v>
      </c>
      <c r="Q62" s="498" t="s">
        <v>78</v>
      </c>
      <c r="R62" s="498"/>
      <c r="S62" s="498"/>
      <c r="T62" s="497">
        <f>H62</f>
        <v>193340.76</v>
      </c>
      <c r="U62" s="497"/>
    </row>
    <row r="63" spans="1:21" x14ac:dyDescent="0.25">
      <c r="B63" s="72"/>
      <c r="G63" s="44" t="s">
        <v>13</v>
      </c>
      <c r="H63" s="123">
        <f>ROUND(C62/H62,6)</f>
        <v>6.7070000000000003E-3</v>
      </c>
      <c r="I63" s="124"/>
      <c r="N63" s="479" t="s">
        <v>19</v>
      </c>
      <c r="O63" s="479"/>
      <c r="P63" s="479"/>
      <c r="Q63" s="479"/>
      <c r="R63" s="479"/>
      <c r="S63" s="479"/>
      <c r="T63" s="501">
        <f>ROUND(P62/T62,6)</f>
        <v>0</v>
      </c>
      <c r="U63" s="501"/>
    </row>
    <row r="64" spans="1:21" x14ac:dyDescent="0.25">
      <c r="A64" s="463" t="s">
        <v>137</v>
      </c>
      <c r="B64" s="453"/>
      <c r="C64" s="453"/>
      <c r="D64" s="453"/>
      <c r="E64" s="453"/>
      <c r="F64" s="453"/>
      <c r="G64" s="453"/>
      <c r="H64" s="453"/>
      <c r="I64" s="453"/>
      <c r="N64" s="479" t="s">
        <v>89</v>
      </c>
      <c r="O64" s="479"/>
      <c r="P64" s="479"/>
      <c r="Q64" s="479"/>
      <c r="R64" s="479"/>
      <c r="S64" s="479"/>
      <c r="T64" s="479"/>
      <c r="U64" s="479"/>
    </row>
    <row r="65" spans="1:21" x14ac:dyDescent="0.25">
      <c r="A65" s="463" t="s">
        <v>139</v>
      </c>
      <c r="B65" s="453"/>
      <c r="C65" s="121">
        <f>E45</f>
        <v>1381.6935000000001</v>
      </c>
      <c r="D65" s="464" t="s">
        <v>140</v>
      </c>
      <c r="E65" s="464"/>
      <c r="F65" s="464"/>
      <c r="G65" s="464"/>
      <c r="H65" s="336">
        <f>'0664'!H65</f>
        <v>216845.88</v>
      </c>
      <c r="I65" s="125"/>
      <c r="N65" s="479" t="s">
        <v>80</v>
      </c>
      <c r="O65" s="479"/>
      <c r="P65" s="43">
        <f>R45</f>
        <v>0</v>
      </c>
      <c r="Q65" s="498" t="s">
        <v>79</v>
      </c>
      <c r="R65" s="498"/>
      <c r="S65" s="498"/>
      <c r="T65" s="497">
        <f>H65</f>
        <v>216845.88</v>
      </c>
      <c r="U65" s="497"/>
    </row>
    <row r="66" spans="1:21" s="37" customFormat="1" x14ac:dyDescent="0.25">
      <c r="A66" s="126"/>
      <c r="G66" s="45" t="s">
        <v>13</v>
      </c>
      <c r="H66" s="127">
        <f>ROUND(C65/H65,6)</f>
        <v>6.3720000000000001E-3</v>
      </c>
      <c r="I66" s="127"/>
      <c r="N66" s="482" t="s">
        <v>20</v>
      </c>
      <c r="O66" s="482"/>
      <c r="P66" s="482"/>
      <c r="Q66" s="482"/>
      <c r="R66" s="482"/>
      <c r="S66" s="482"/>
      <c r="T66" s="500">
        <f>ROUND(P65/T65,6)</f>
        <v>0</v>
      </c>
      <c r="U66" s="500"/>
    </row>
    <row r="67" spans="1:21" x14ac:dyDescent="0.25">
      <c r="G67" s="44"/>
      <c r="H67" s="123"/>
      <c r="I67" s="123"/>
      <c r="N67" s="48"/>
      <c r="O67" s="48"/>
      <c r="P67" s="48"/>
      <c r="Q67" s="48"/>
      <c r="R67" s="128"/>
      <c r="S67" s="48"/>
      <c r="T67" s="129"/>
      <c r="U67" s="130"/>
    </row>
    <row r="68" spans="1:21" x14ac:dyDescent="0.25">
      <c r="A68" s="453" t="s">
        <v>85</v>
      </c>
      <c r="B68" s="453"/>
      <c r="C68" s="453"/>
      <c r="D68" s="72"/>
      <c r="E68" s="46" t="s">
        <v>3</v>
      </c>
      <c r="F68" s="337">
        <f>'0664'!F68</f>
        <v>42465042</v>
      </c>
      <c r="G68" s="39" t="s">
        <v>6</v>
      </c>
      <c r="H68" s="131">
        <f>H63</f>
        <v>6.7070000000000003E-3</v>
      </c>
      <c r="I68" s="104">
        <f>ROUND(F68*H68,2)</f>
        <v>284813.03999999998</v>
      </c>
      <c r="N68" s="479" t="s">
        <v>85</v>
      </c>
      <c r="O68" s="479"/>
      <c r="P68" s="479"/>
      <c r="Q68" s="47"/>
      <c r="R68" s="132">
        <f>F68</f>
        <v>42465042</v>
      </c>
      <c r="S68" s="40" t="s">
        <v>6</v>
      </c>
      <c r="T68" s="133">
        <f>T63</f>
        <v>0</v>
      </c>
      <c r="U68" s="99">
        <f>ROUND(R68*T68,0)</f>
        <v>0</v>
      </c>
    </row>
    <row r="69" spans="1:21" x14ac:dyDescent="0.25">
      <c r="A69" s="458" t="s">
        <v>96</v>
      </c>
      <c r="B69" s="453"/>
      <c r="C69" s="453"/>
      <c r="D69" s="72"/>
      <c r="E69" s="46"/>
      <c r="F69" s="136"/>
      <c r="G69" s="39"/>
      <c r="H69" s="131"/>
      <c r="I69" s="104"/>
      <c r="N69" s="479" t="s">
        <v>84</v>
      </c>
      <c r="O69" s="479"/>
      <c r="P69" s="479"/>
      <c r="Q69" s="54"/>
      <c r="R69" s="54"/>
      <c r="S69" s="54"/>
      <c r="T69" s="54"/>
      <c r="U69" s="54"/>
    </row>
    <row r="70" spans="1:21" x14ac:dyDescent="0.25">
      <c r="A70" s="465" t="s">
        <v>141</v>
      </c>
      <c r="B70" s="453"/>
      <c r="C70" s="453"/>
      <c r="D70" s="72"/>
      <c r="E70" s="46" t="s">
        <v>3</v>
      </c>
      <c r="F70" s="337">
        <f>'0664'!F70</f>
        <v>0</v>
      </c>
      <c r="G70" s="39" t="s">
        <v>6</v>
      </c>
      <c r="H70" s="131">
        <f>H63</f>
        <v>6.7070000000000003E-3</v>
      </c>
      <c r="I70" s="104">
        <f>ROUND(F70*H70,2)</f>
        <v>0</v>
      </c>
      <c r="N70" s="48"/>
      <c r="O70" s="48"/>
      <c r="P70" s="48"/>
      <c r="Q70" s="47"/>
      <c r="R70" s="132">
        <f>F70</f>
        <v>0</v>
      </c>
      <c r="S70" s="40" t="s">
        <v>6</v>
      </c>
      <c r="T70" s="133">
        <f>T63</f>
        <v>0</v>
      </c>
      <c r="U70" s="99">
        <f>ROUND(R70*T70,0)</f>
        <v>0</v>
      </c>
    </row>
    <row r="71" spans="1:21" x14ac:dyDescent="0.25">
      <c r="A71" s="463" t="s">
        <v>433</v>
      </c>
      <c r="B71" s="453"/>
      <c r="C71" s="453"/>
      <c r="D71" s="72"/>
      <c r="E71" s="46" t="s">
        <v>3</v>
      </c>
      <c r="F71" s="337">
        <f>'0664'!F71</f>
        <v>13414654</v>
      </c>
      <c r="G71" s="39" t="s">
        <v>6</v>
      </c>
      <c r="H71" s="131">
        <f>H63</f>
        <v>6.7070000000000003E-3</v>
      </c>
      <c r="I71" s="104">
        <f>ROUND(F71*H71,2)</f>
        <v>89972.08</v>
      </c>
      <c r="N71" s="479" t="s">
        <v>83</v>
      </c>
      <c r="O71" s="479"/>
      <c r="P71" s="479"/>
      <c r="Q71" s="47"/>
      <c r="R71" s="132">
        <f>F71</f>
        <v>13414654</v>
      </c>
      <c r="S71" s="40" t="s">
        <v>6</v>
      </c>
      <c r="T71" s="133">
        <f>T63</f>
        <v>0</v>
      </c>
      <c r="U71" s="99">
        <f>ROUND(R71*T71,0)</f>
        <v>0</v>
      </c>
    </row>
    <row r="72" spans="1:21" x14ac:dyDescent="0.25">
      <c r="A72" s="463" t="s">
        <v>434</v>
      </c>
      <c r="B72" s="453"/>
      <c r="C72" s="453"/>
      <c r="D72" s="72"/>
      <c r="E72" s="46" t="s">
        <v>3</v>
      </c>
      <c r="F72" s="337">
        <f>'0664'!F72</f>
        <v>14708421</v>
      </c>
      <c r="G72" s="39" t="s">
        <v>6</v>
      </c>
      <c r="H72" s="131">
        <f>H63</f>
        <v>6.7070000000000003E-3</v>
      </c>
      <c r="I72" s="104">
        <f>ROUND(F72*H72,2)</f>
        <v>98649.38</v>
      </c>
      <c r="N72" s="479" t="s">
        <v>82</v>
      </c>
      <c r="O72" s="479"/>
      <c r="P72" s="479"/>
      <c r="Q72" s="47"/>
      <c r="R72" s="134">
        <f>F72</f>
        <v>14708421</v>
      </c>
      <c r="S72" s="40" t="s">
        <v>6</v>
      </c>
      <c r="T72" s="133">
        <f>T63</f>
        <v>0</v>
      </c>
      <c r="U72" s="99">
        <f>ROUND(R72*T72,0)</f>
        <v>0</v>
      </c>
    </row>
    <row r="73" spans="1:21" x14ac:dyDescent="0.25">
      <c r="A73" s="263" t="s">
        <v>99</v>
      </c>
      <c r="D73" s="72"/>
      <c r="E73" s="41" t="s">
        <v>353</v>
      </c>
      <c r="F73" s="466"/>
      <c r="G73" s="466"/>
      <c r="H73" s="466"/>
      <c r="I73" s="104">
        <v>0</v>
      </c>
      <c r="N73" s="499" t="s">
        <v>118</v>
      </c>
      <c r="O73" s="499"/>
      <c r="P73" s="499"/>
      <c r="Q73" s="499"/>
      <c r="R73" s="499"/>
      <c r="S73" s="499"/>
      <c r="T73" s="499"/>
      <c r="U73" s="99">
        <f>IF($H$120=1,I73,0)</f>
        <v>0</v>
      </c>
    </row>
    <row r="74" spans="1:21" x14ac:dyDescent="0.25">
      <c r="A74" s="264" t="s">
        <v>142</v>
      </c>
      <c r="I74" s="104"/>
      <c r="N74" s="499" t="s">
        <v>43</v>
      </c>
      <c r="O74" s="499"/>
      <c r="P74" s="499"/>
      <c r="Q74" s="499"/>
      <c r="R74" s="499"/>
      <c r="S74" s="499"/>
      <c r="T74" s="499"/>
      <c r="U74" s="99">
        <f>IF($H$120=1,I74,0)</f>
        <v>0</v>
      </c>
    </row>
    <row r="75" spans="1:21" x14ac:dyDescent="0.25">
      <c r="A75" s="324" t="s">
        <v>101</v>
      </c>
      <c r="B75" s="72"/>
      <c r="C75" s="72"/>
      <c r="D75" s="72"/>
      <c r="E75" s="72"/>
      <c r="F75" s="72"/>
      <c r="G75" s="72"/>
      <c r="H75" s="72"/>
      <c r="I75" s="135"/>
      <c r="N75" s="382" t="s">
        <v>44</v>
      </c>
      <c r="O75" s="48"/>
      <c r="P75" s="48"/>
      <c r="Q75" s="48"/>
      <c r="R75" s="48"/>
      <c r="S75" s="48"/>
      <c r="T75" s="48"/>
      <c r="U75" s="106"/>
    </row>
    <row r="76" spans="1:21" x14ac:dyDescent="0.25">
      <c r="A76" s="463" t="s">
        <v>435</v>
      </c>
      <c r="B76" s="453"/>
      <c r="C76" s="453"/>
      <c r="D76" s="72"/>
      <c r="E76" s="46" t="s">
        <v>3</v>
      </c>
      <c r="F76" s="337">
        <f>'0664'!F76</f>
        <v>8720092</v>
      </c>
      <c r="G76" s="39" t="s">
        <v>6</v>
      </c>
      <c r="H76" s="131">
        <f>H63</f>
        <v>6.7070000000000003E-3</v>
      </c>
      <c r="I76" s="104">
        <f t="shared" ref="I76:I85" si="14">ROUND(F76*H76,2)</f>
        <v>58485.66</v>
      </c>
      <c r="N76" s="478" t="s">
        <v>366</v>
      </c>
      <c r="O76" s="479"/>
      <c r="P76" s="479"/>
      <c r="Q76" s="47"/>
      <c r="R76" s="134">
        <f t="shared" ref="R76:R85" si="15">F76</f>
        <v>8720092</v>
      </c>
      <c r="S76" s="40" t="s">
        <v>6</v>
      </c>
      <c r="T76" s="133">
        <f>T63</f>
        <v>0</v>
      </c>
      <c r="U76" s="99">
        <f t="shared" ref="U76:U85" si="16">ROUND(R76*T76,0)</f>
        <v>0</v>
      </c>
    </row>
    <row r="77" spans="1:21" x14ac:dyDescent="0.25">
      <c r="A77" s="463" t="s">
        <v>436</v>
      </c>
      <c r="B77" s="453"/>
      <c r="C77" s="453"/>
      <c r="D77" s="72"/>
      <c r="E77" s="46" t="s">
        <v>3</v>
      </c>
      <c r="F77" s="337">
        <f>'0664'!F77</f>
        <v>0</v>
      </c>
      <c r="G77" s="39" t="s">
        <v>6</v>
      </c>
      <c r="H77" s="131">
        <f>H63</f>
        <v>6.7070000000000003E-3</v>
      </c>
      <c r="I77" s="104">
        <f t="shared" si="14"/>
        <v>0</v>
      </c>
      <c r="N77" s="479" t="s">
        <v>367</v>
      </c>
      <c r="O77" s="479"/>
      <c r="P77" s="479"/>
      <c r="Q77" s="47"/>
      <c r="R77" s="134">
        <f t="shared" si="15"/>
        <v>0</v>
      </c>
      <c r="S77" s="40" t="s">
        <v>6</v>
      </c>
      <c r="T77" s="133">
        <f>T63</f>
        <v>0</v>
      </c>
      <c r="U77" s="99">
        <f t="shared" si="16"/>
        <v>0</v>
      </c>
    </row>
    <row r="78" spans="1:21" x14ac:dyDescent="0.25">
      <c r="A78" s="463" t="s">
        <v>437</v>
      </c>
      <c r="B78" s="453"/>
      <c r="C78" s="453"/>
      <c r="D78" s="72"/>
      <c r="E78" s="46" t="s">
        <v>4</v>
      </c>
      <c r="F78" s="337">
        <f>'0664'!F78</f>
        <v>0</v>
      </c>
      <c r="G78" s="39" t="s">
        <v>6</v>
      </c>
      <c r="H78" s="131">
        <f>H66</f>
        <v>6.3720000000000001E-3</v>
      </c>
      <c r="I78" s="104">
        <f t="shared" si="14"/>
        <v>0</v>
      </c>
      <c r="N78" s="478" t="s">
        <v>392</v>
      </c>
      <c r="O78" s="479"/>
      <c r="P78" s="479"/>
      <c r="Q78" s="47"/>
      <c r="R78" s="134">
        <f t="shared" si="15"/>
        <v>0</v>
      </c>
      <c r="S78" s="40" t="s">
        <v>6</v>
      </c>
      <c r="T78" s="133">
        <f>T66</f>
        <v>0</v>
      </c>
      <c r="U78" s="99">
        <f t="shared" si="16"/>
        <v>0</v>
      </c>
    </row>
    <row r="79" spans="1:21" x14ac:dyDescent="0.25">
      <c r="A79" s="463" t="s">
        <v>438</v>
      </c>
      <c r="B79" s="453"/>
      <c r="C79" s="453"/>
      <c r="D79" s="72"/>
      <c r="E79" s="46" t="s">
        <v>4</v>
      </c>
      <c r="F79" s="337">
        <f>'0664'!F79</f>
        <v>11278687</v>
      </c>
      <c r="G79" s="39" t="s">
        <v>6</v>
      </c>
      <c r="H79" s="131">
        <f>H66</f>
        <v>6.3720000000000001E-3</v>
      </c>
      <c r="I79" s="104">
        <f t="shared" si="14"/>
        <v>71867.789999999994</v>
      </c>
      <c r="N79" s="478" t="s">
        <v>393</v>
      </c>
      <c r="O79" s="479"/>
      <c r="P79" s="479"/>
      <c r="Q79" s="47"/>
      <c r="R79" s="134">
        <f t="shared" si="15"/>
        <v>11278687</v>
      </c>
      <c r="S79" s="40" t="s">
        <v>6</v>
      </c>
      <c r="T79" s="133">
        <f>T66</f>
        <v>0</v>
      </c>
      <c r="U79" s="99">
        <f t="shared" si="16"/>
        <v>0</v>
      </c>
    </row>
    <row r="80" spans="1:21" x14ac:dyDescent="0.25">
      <c r="A80" s="463" t="s">
        <v>439</v>
      </c>
      <c r="B80" s="453"/>
      <c r="C80" s="453"/>
      <c r="D80" s="72"/>
      <c r="E80" s="46" t="s">
        <v>4</v>
      </c>
      <c r="F80" s="337">
        <f>'0664'!F80</f>
        <v>206284749</v>
      </c>
      <c r="G80" s="39" t="s">
        <v>6</v>
      </c>
      <c r="H80" s="131">
        <f>H66</f>
        <v>6.3720000000000001E-3</v>
      </c>
      <c r="I80" s="104">
        <f t="shared" si="14"/>
        <v>1314446.42</v>
      </c>
      <c r="N80" s="478" t="s">
        <v>397</v>
      </c>
      <c r="O80" s="479"/>
      <c r="P80" s="479"/>
      <c r="Q80" s="47"/>
      <c r="R80" s="134">
        <f t="shared" si="15"/>
        <v>206284749</v>
      </c>
      <c r="S80" s="40" t="s">
        <v>6</v>
      </c>
      <c r="T80" s="133">
        <f>T66</f>
        <v>0</v>
      </c>
      <c r="U80" s="99">
        <f t="shared" si="16"/>
        <v>0</v>
      </c>
    </row>
    <row r="81" spans="1:21" x14ac:dyDescent="0.25">
      <c r="A81" s="84" t="s">
        <v>440</v>
      </c>
      <c r="B81" s="72"/>
      <c r="C81" s="72"/>
      <c r="D81" s="72"/>
      <c r="E81" s="46"/>
      <c r="F81" s="337"/>
      <c r="G81" s="39"/>
      <c r="H81" s="131"/>
      <c r="I81" s="104"/>
      <c r="N81" s="419" t="s">
        <v>440</v>
      </c>
      <c r="O81" s="48"/>
      <c r="P81" s="48"/>
      <c r="Q81" s="47"/>
      <c r="R81" s="423"/>
      <c r="S81" s="40"/>
      <c r="T81" s="133"/>
      <c r="U81" s="120"/>
    </row>
    <row r="82" spans="1:21" x14ac:dyDescent="0.25">
      <c r="A82" s="264" t="s">
        <v>441</v>
      </c>
      <c r="B82" s="72"/>
      <c r="C82" s="72"/>
      <c r="D82" s="72"/>
      <c r="E82" s="46" t="s">
        <v>442</v>
      </c>
      <c r="F82" s="337">
        <f>'0664'!F82</f>
        <v>0</v>
      </c>
      <c r="G82" s="39" t="s">
        <v>6</v>
      </c>
      <c r="H82" s="131">
        <f>H66</f>
        <v>6.3720000000000001E-3</v>
      </c>
      <c r="I82" s="104">
        <v>243930.5</v>
      </c>
      <c r="N82" s="422" t="s">
        <v>441</v>
      </c>
      <c r="O82" s="48"/>
      <c r="P82" s="48"/>
      <c r="Q82" s="47"/>
      <c r="R82" s="134">
        <f t="shared" si="15"/>
        <v>0</v>
      </c>
      <c r="S82" s="40"/>
      <c r="T82" s="133"/>
      <c r="U82" s="99">
        <f t="shared" si="16"/>
        <v>0</v>
      </c>
    </row>
    <row r="83" spans="1:21" x14ac:dyDescent="0.25">
      <c r="A83" s="264" t="s">
        <v>443</v>
      </c>
      <c r="B83" s="72"/>
      <c r="C83" s="72"/>
      <c r="D83" s="72"/>
      <c r="E83" s="46" t="s">
        <v>442</v>
      </c>
      <c r="F83" s="337">
        <f>'0664'!F83</f>
        <v>0</v>
      </c>
      <c r="G83" s="39" t="s">
        <v>6</v>
      </c>
      <c r="H83" s="131">
        <f>H66</f>
        <v>6.3720000000000001E-3</v>
      </c>
      <c r="I83" s="104">
        <v>110877.5</v>
      </c>
      <c r="N83" s="422" t="s">
        <v>443</v>
      </c>
      <c r="O83" s="48"/>
      <c r="P83" s="48"/>
      <c r="Q83" s="47"/>
      <c r="R83" s="134">
        <f t="shared" si="15"/>
        <v>0</v>
      </c>
      <c r="S83" s="40"/>
      <c r="T83" s="133"/>
      <c r="U83" s="99">
        <f t="shared" si="16"/>
        <v>0</v>
      </c>
    </row>
    <row r="84" spans="1:21" x14ac:dyDescent="0.25">
      <c r="A84" s="420" t="s">
        <v>444</v>
      </c>
      <c r="B84" s="72"/>
      <c r="C84" s="72"/>
      <c r="D84" s="72"/>
      <c r="E84" s="46"/>
      <c r="F84" s="337"/>
      <c r="G84" s="39"/>
      <c r="H84" s="131"/>
      <c r="I84" s="104">
        <f>I82+I83</f>
        <v>354808</v>
      </c>
      <c r="N84" s="421" t="s">
        <v>444</v>
      </c>
      <c r="O84" s="48"/>
      <c r="P84" s="48"/>
      <c r="Q84" s="47"/>
      <c r="R84" s="423"/>
      <c r="S84" s="40"/>
      <c r="T84" s="133"/>
      <c r="U84" s="99">
        <f>U82+U83</f>
        <v>0</v>
      </c>
    </row>
    <row r="85" spans="1:21" x14ac:dyDescent="0.25">
      <c r="A85" s="463" t="s">
        <v>398</v>
      </c>
      <c r="B85" s="453"/>
      <c r="C85" s="453"/>
      <c r="D85" s="72"/>
      <c r="E85" s="46" t="s">
        <v>4</v>
      </c>
      <c r="F85" s="337">
        <f>'0664'!F85</f>
        <v>0</v>
      </c>
      <c r="G85" s="39" t="s">
        <v>6</v>
      </c>
      <c r="H85" s="131">
        <f>H66</f>
        <v>6.3720000000000001E-3</v>
      </c>
      <c r="I85" s="104">
        <f t="shared" si="14"/>
        <v>0</v>
      </c>
      <c r="N85" s="478" t="s">
        <v>398</v>
      </c>
      <c r="O85" s="479"/>
      <c r="P85" s="479"/>
      <c r="Q85" s="47"/>
      <c r="R85" s="132">
        <f t="shared" si="15"/>
        <v>0</v>
      </c>
      <c r="S85" s="40" t="s">
        <v>6</v>
      </c>
      <c r="T85" s="133">
        <f>T66</f>
        <v>0</v>
      </c>
      <c r="U85" s="99">
        <f t="shared" si="16"/>
        <v>0</v>
      </c>
    </row>
    <row r="86" spans="1:21" x14ac:dyDescent="0.25">
      <c r="B86" s="72"/>
      <c r="C86" s="72"/>
      <c r="D86" s="72"/>
      <c r="E86" s="46"/>
      <c r="F86" s="136"/>
      <c r="G86" s="39"/>
      <c r="H86" s="131"/>
      <c r="I86" s="104"/>
      <c r="N86" s="48"/>
      <c r="O86" s="48"/>
      <c r="P86" s="48"/>
      <c r="Q86" s="47"/>
      <c r="R86" s="137"/>
      <c r="S86" s="40"/>
      <c r="T86" s="133"/>
      <c r="U86" s="106"/>
    </row>
    <row r="87" spans="1:21" x14ac:dyDescent="0.25">
      <c r="A87" s="463" t="s">
        <v>445</v>
      </c>
      <c r="B87" s="453"/>
      <c r="C87" s="453"/>
      <c r="D87" s="453"/>
      <c r="E87" s="453"/>
      <c r="F87" s="453"/>
      <c r="G87" s="453"/>
      <c r="H87" s="453"/>
      <c r="I87" s="453"/>
      <c r="N87" s="478" t="s">
        <v>429</v>
      </c>
      <c r="O87" s="479"/>
      <c r="P87" s="479"/>
      <c r="Q87" s="479"/>
      <c r="R87" s="479"/>
      <c r="S87" s="479"/>
      <c r="T87" s="479"/>
      <c r="U87" s="479"/>
    </row>
    <row r="88" spans="1:21" x14ac:dyDescent="0.25">
      <c r="B88" s="72"/>
      <c r="C88" s="466" t="s">
        <v>73</v>
      </c>
      <c r="D88" s="466"/>
      <c r="E88" s="72"/>
      <c r="F88" s="41" t="s">
        <v>37</v>
      </c>
      <c r="G88" s="72"/>
      <c r="H88" s="72"/>
      <c r="I88" s="72"/>
      <c r="N88" s="48"/>
      <c r="O88" s="48"/>
      <c r="P88" s="48"/>
      <c r="Q88" s="48"/>
      <c r="R88" s="48"/>
      <c r="S88" s="48"/>
      <c r="T88" s="48"/>
      <c r="U88" s="48"/>
    </row>
    <row r="89" spans="1:21" x14ac:dyDescent="0.25">
      <c r="A89" s="3"/>
      <c r="B89" s="138"/>
      <c r="C89" s="462" t="s">
        <v>144</v>
      </c>
      <c r="D89" s="462"/>
      <c r="E89" s="139" t="s">
        <v>150</v>
      </c>
      <c r="F89" s="140" t="s">
        <v>149</v>
      </c>
      <c r="G89" s="141"/>
      <c r="H89" s="141"/>
      <c r="I89" s="141"/>
      <c r="N89" s="495" t="s">
        <v>46</v>
      </c>
      <c r="O89" s="495"/>
      <c r="P89" s="496" t="s">
        <v>119</v>
      </c>
      <c r="Q89" s="496"/>
      <c r="R89" s="497" t="s">
        <v>40</v>
      </c>
      <c r="S89" s="497"/>
      <c r="T89" s="497"/>
      <c r="U89" s="497"/>
    </row>
    <row r="90" spans="1:21" x14ac:dyDescent="0.25">
      <c r="A90" s="27"/>
      <c r="B90" s="55" t="s">
        <v>148</v>
      </c>
      <c r="C90" s="467">
        <f>H13+H14+H19+H22+H25</f>
        <v>665.92079999999999</v>
      </c>
      <c r="D90" s="467"/>
      <c r="E90" s="49">
        <f>H8</f>
        <v>1.0438000000000001</v>
      </c>
      <c r="F90" s="338">
        <f>'0664'!F90</f>
        <v>957.94</v>
      </c>
      <c r="G90" s="41" t="s">
        <v>13</v>
      </c>
      <c r="H90" s="104">
        <f>ROUND(C90*E90*F90,2)</f>
        <v>665852.72</v>
      </c>
      <c r="I90" s="107"/>
      <c r="N90" s="29" t="s">
        <v>22</v>
      </c>
      <c r="O90" s="50">
        <f>T13+T14+T19+T22+T25</f>
        <v>0</v>
      </c>
      <c r="P90" s="490">
        <f>T8</f>
        <v>1.0438000000000001</v>
      </c>
      <c r="Q90" s="490"/>
      <c r="R90" s="51">
        <f>F90</f>
        <v>957.94</v>
      </c>
      <c r="S90" s="42" t="s">
        <v>13</v>
      </c>
      <c r="T90" s="134">
        <f>ROUND(O90*P90*R90,0)</f>
        <v>0</v>
      </c>
      <c r="U90" s="105"/>
    </row>
    <row r="91" spans="1:21" x14ac:dyDescent="0.25">
      <c r="A91" s="52"/>
      <c r="B91" s="52" t="s">
        <v>147</v>
      </c>
      <c r="C91" s="467">
        <f>H15+H16+H20+H23+H26</f>
        <v>715.77269999999999</v>
      </c>
      <c r="D91" s="467"/>
      <c r="E91" s="49">
        <f>H8</f>
        <v>1.0438000000000001</v>
      </c>
      <c r="F91" s="338">
        <f>'0664'!F91</f>
        <v>914.63</v>
      </c>
      <c r="G91" s="41" t="s">
        <v>13</v>
      </c>
      <c r="H91" s="104">
        <f>ROUND(C91*E91*F91,2)</f>
        <v>683341.61</v>
      </c>
      <c r="N91" s="53" t="s">
        <v>14</v>
      </c>
      <c r="O91" s="50">
        <f>T15+T16+T20+T23+T26</f>
        <v>0</v>
      </c>
      <c r="P91" s="490">
        <f>T8</f>
        <v>1.0438000000000001</v>
      </c>
      <c r="Q91" s="490"/>
      <c r="R91" s="51">
        <f>F91</f>
        <v>914.63</v>
      </c>
      <c r="S91" s="42" t="s">
        <v>13</v>
      </c>
      <c r="T91" s="134">
        <f>ROUND(O91*P91*R91,0)</f>
        <v>0</v>
      </c>
      <c r="U91" s="54"/>
    </row>
    <row r="92" spans="1:21" ht="16.5" thickBot="1" x14ac:dyDescent="0.3">
      <c r="A92" s="55"/>
      <c r="B92" s="55" t="s">
        <v>146</v>
      </c>
      <c r="C92" s="467">
        <f>H17+H18+H21+H24+H27+H28</f>
        <v>0</v>
      </c>
      <c r="D92" s="467"/>
      <c r="E92" s="49">
        <f>H8</f>
        <v>1.0438000000000001</v>
      </c>
      <c r="F92" s="338">
        <f>'0664'!F92</f>
        <v>916.84</v>
      </c>
      <c r="G92" s="41" t="s">
        <v>13</v>
      </c>
      <c r="H92" s="97">
        <f>ROUND(C92*E92*F92,2)</f>
        <v>0</v>
      </c>
      <c r="N92" s="56" t="s">
        <v>15</v>
      </c>
      <c r="O92" s="57">
        <f>T17+T18+T21+T24+T27+T28</f>
        <v>0</v>
      </c>
      <c r="P92" s="490">
        <f>T8</f>
        <v>1.0438000000000001</v>
      </c>
      <c r="Q92" s="490"/>
      <c r="R92" s="51">
        <f>F92</f>
        <v>916.84</v>
      </c>
      <c r="S92" s="42" t="s">
        <v>13</v>
      </c>
      <c r="T92" s="134">
        <f>ROUND(O92*P92*R92,0)</f>
        <v>0</v>
      </c>
      <c r="U92" s="54"/>
    </row>
    <row r="93" spans="1:21" ht="16.5" thickBot="1" x14ac:dyDescent="0.3">
      <c r="A93" s="58"/>
      <c r="B93" s="142" t="s">
        <v>145</v>
      </c>
      <c r="C93" s="469">
        <f>SUM(C90:C92)</f>
        <v>1381.6934999999999</v>
      </c>
      <c r="D93" s="469"/>
      <c r="E93" s="143"/>
      <c r="F93" s="143"/>
      <c r="G93" s="143"/>
      <c r="H93" s="144" t="s">
        <v>143</v>
      </c>
      <c r="I93" s="104">
        <f>IF(A1=75,0,H92+H91+H90)</f>
        <v>1349194.33</v>
      </c>
      <c r="N93" s="59" t="s">
        <v>120</v>
      </c>
      <c r="O93" s="60">
        <f>SUM(O90:O92)</f>
        <v>0</v>
      </c>
      <c r="P93" s="491" t="s">
        <v>18</v>
      </c>
      <c r="Q93" s="492"/>
      <c r="R93" s="492"/>
      <c r="S93" s="492"/>
      <c r="T93" s="492"/>
      <c r="U93" s="99">
        <f>IF(N1=75,0,T92+T91+T90)</f>
        <v>0</v>
      </c>
    </row>
    <row r="94" spans="1:21" ht="16.5" thickTop="1" x14ac:dyDescent="0.25">
      <c r="A94" s="540" t="s">
        <v>90</v>
      </c>
      <c r="B94" s="540"/>
      <c r="C94" s="540"/>
      <c r="D94" s="540"/>
      <c r="E94" s="540"/>
      <c r="F94" s="540"/>
      <c r="G94" s="540"/>
      <c r="H94" s="540"/>
      <c r="I94" s="540"/>
      <c r="N94" s="493" t="s">
        <v>90</v>
      </c>
      <c r="O94" s="493"/>
      <c r="P94" s="493"/>
      <c r="Q94" s="493"/>
      <c r="R94" s="493"/>
      <c r="S94" s="493"/>
      <c r="T94" s="493"/>
      <c r="U94" s="493"/>
    </row>
    <row r="95" spans="1:21" x14ac:dyDescent="0.25">
      <c r="A95" s="145"/>
      <c r="B95" s="145"/>
      <c r="C95" s="145"/>
      <c r="D95" s="145"/>
      <c r="E95" s="145"/>
      <c r="F95" s="145"/>
      <c r="G95" s="145"/>
      <c r="H95" s="145"/>
      <c r="I95" s="145"/>
      <c r="N95" s="146"/>
      <c r="O95" s="146"/>
      <c r="P95" s="146"/>
      <c r="Q95" s="146"/>
      <c r="R95" s="146"/>
      <c r="S95" s="146"/>
      <c r="T95" s="146"/>
      <c r="U95" s="146"/>
    </row>
    <row r="96" spans="1:21" x14ac:dyDescent="0.25">
      <c r="A96" s="84" t="s">
        <v>446</v>
      </c>
      <c r="C96" s="46"/>
      <c r="D96" s="72"/>
      <c r="E96" s="46" t="s">
        <v>100</v>
      </c>
      <c r="F96" s="471"/>
      <c r="G96" s="471"/>
      <c r="H96" s="471"/>
      <c r="I96" s="471"/>
      <c r="N96" s="478" t="s">
        <v>426</v>
      </c>
      <c r="O96" s="479"/>
      <c r="P96" s="479"/>
      <c r="Q96" s="494"/>
      <c r="R96" s="494"/>
      <c r="S96" s="494"/>
      <c r="T96" s="494"/>
      <c r="U96" s="106"/>
    </row>
    <row r="97" spans="1:21" x14ac:dyDescent="0.25">
      <c r="B97" s="72"/>
      <c r="C97" s="91" t="s">
        <v>409</v>
      </c>
      <c r="D97" s="371" t="s">
        <v>410</v>
      </c>
      <c r="E97" s="92" t="s">
        <v>151</v>
      </c>
      <c r="F97" s="46"/>
      <c r="G97" s="46"/>
      <c r="H97" s="46"/>
      <c r="I97" s="46"/>
      <c r="N97" s="48"/>
      <c r="O97" s="48"/>
      <c r="P97" s="48"/>
      <c r="Q97" s="147"/>
      <c r="R97" s="147"/>
      <c r="S97" s="147"/>
      <c r="T97" s="147"/>
      <c r="U97" s="106"/>
    </row>
    <row r="98" spans="1:21" x14ac:dyDescent="0.25">
      <c r="B98" s="72"/>
      <c r="C98" s="362" t="s">
        <v>2</v>
      </c>
      <c r="D98" s="362" t="s">
        <v>2</v>
      </c>
      <c r="E98" s="362" t="s">
        <v>2</v>
      </c>
      <c r="F98" s="46"/>
      <c r="G98" s="46"/>
      <c r="H98" s="46"/>
      <c r="I98" s="46"/>
      <c r="N98" s="48"/>
      <c r="O98" s="48"/>
      <c r="P98" s="48"/>
      <c r="Q98" s="147"/>
      <c r="R98" s="147"/>
      <c r="S98" s="147"/>
      <c r="T98" s="147"/>
      <c r="U98" s="106"/>
    </row>
    <row r="99" spans="1:21" x14ac:dyDescent="0.25">
      <c r="A99" s="536" t="s">
        <v>470</v>
      </c>
      <c r="B99" s="461"/>
      <c r="C99" s="165">
        <v>196</v>
      </c>
      <c r="D99" s="165">
        <v>0</v>
      </c>
      <c r="E99" s="125">
        <f>C99</f>
        <v>196</v>
      </c>
      <c r="F99" s="148" t="s">
        <v>39</v>
      </c>
      <c r="G99" s="339">
        <f>'0664'!G99</f>
        <v>558</v>
      </c>
      <c r="I99" s="104">
        <f>ROUND(G99*E99,2)</f>
        <v>109368</v>
      </c>
      <c r="N99" s="488" t="s">
        <v>65</v>
      </c>
      <c r="O99" s="488"/>
      <c r="P99" s="489">
        <f>IF(H120=1,E99,0)</f>
        <v>0</v>
      </c>
      <c r="Q99" s="489"/>
      <c r="R99" s="489"/>
      <c r="S99" s="86" t="s">
        <v>39</v>
      </c>
      <c r="T99" s="61">
        <f>G99</f>
        <v>558</v>
      </c>
      <c r="U99" s="99">
        <f>ROUND(T99*P99,0)</f>
        <v>0</v>
      </c>
    </row>
    <row r="100" spans="1:21" x14ac:dyDescent="0.25">
      <c r="A100" s="536" t="s">
        <v>471</v>
      </c>
      <c r="B100" s="461"/>
      <c r="C100" s="165">
        <v>0</v>
      </c>
      <c r="D100" s="165">
        <v>0</v>
      </c>
      <c r="E100" s="125">
        <f>C100</f>
        <v>0</v>
      </c>
      <c r="F100" s="148" t="s">
        <v>39</v>
      </c>
      <c r="G100" s="339">
        <f>'0664'!G100</f>
        <v>1707</v>
      </c>
      <c r="I100" s="104">
        <f>ROUND(G100*E100,2)</f>
        <v>0</v>
      </c>
      <c r="N100" s="488" t="s">
        <v>81</v>
      </c>
      <c r="O100" s="488"/>
      <c r="P100" s="483"/>
      <c r="Q100" s="483"/>
      <c r="R100" s="483"/>
      <c r="S100" s="86" t="s">
        <v>39</v>
      </c>
      <c r="T100" s="61">
        <f>G100</f>
        <v>1707</v>
      </c>
      <c r="U100" s="99">
        <f>ROUND(T100*P100,0)</f>
        <v>0</v>
      </c>
    </row>
    <row r="101" spans="1:21" x14ac:dyDescent="0.25">
      <c r="A101" s="149"/>
      <c r="B101" s="149"/>
      <c r="C101" s="68"/>
      <c r="D101" s="68"/>
      <c r="E101" s="68"/>
      <c r="F101" s="68"/>
      <c r="G101" s="150"/>
      <c r="H101" s="151"/>
      <c r="I101" s="104"/>
      <c r="N101" s="152"/>
      <c r="O101" s="152"/>
      <c r="P101" s="153"/>
      <c r="Q101" s="153"/>
      <c r="R101" s="153"/>
      <c r="S101" s="86"/>
      <c r="T101" s="61"/>
      <c r="U101" s="106"/>
    </row>
    <row r="102" spans="1:21" x14ac:dyDescent="0.25">
      <c r="A102" s="149"/>
      <c r="B102" s="149"/>
      <c r="C102" s="68"/>
      <c r="D102" s="68"/>
      <c r="E102" s="68"/>
      <c r="F102" s="68"/>
      <c r="G102" s="150"/>
      <c r="H102" s="151"/>
      <c r="I102" s="104"/>
      <c r="N102" s="152"/>
      <c r="O102" s="152"/>
      <c r="P102" s="153"/>
      <c r="Q102" s="153"/>
      <c r="R102" s="153"/>
      <c r="S102" s="86"/>
      <c r="T102" s="61"/>
      <c r="U102" s="106"/>
    </row>
    <row r="103" spans="1:21" hidden="1" x14ac:dyDescent="0.25">
      <c r="A103" s="463" t="s">
        <v>447</v>
      </c>
      <c r="B103" s="453"/>
      <c r="C103" s="453"/>
      <c r="D103" s="72"/>
      <c r="E103" s="41" t="s">
        <v>41</v>
      </c>
      <c r="F103" s="466"/>
      <c r="G103" s="466"/>
      <c r="H103" s="466"/>
      <c r="I103" s="466"/>
      <c r="N103" s="478" t="s">
        <v>362</v>
      </c>
      <c r="O103" s="479"/>
      <c r="P103" s="479"/>
      <c r="Q103" s="479"/>
      <c r="R103" s="479"/>
      <c r="S103" s="479"/>
      <c r="T103" s="479"/>
      <c r="U103" s="479"/>
    </row>
    <row r="104" spans="1:21" hidden="1" x14ac:dyDescent="0.25">
      <c r="B104" s="72"/>
      <c r="C104" s="462" t="s">
        <v>91</v>
      </c>
      <c r="D104" s="462"/>
      <c r="E104" s="462"/>
      <c r="F104" s="39"/>
      <c r="G104" s="39"/>
      <c r="H104" s="41" t="s">
        <v>152</v>
      </c>
      <c r="I104" s="39"/>
      <c r="N104" s="48"/>
      <c r="O104" s="48"/>
      <c r="P104" s="48"/>
      <c r="Q104" s="48"/>
      <c r="R104" s="48"/>
      <c r="S104" s="48"/>
      <c r="T104" s="48"/>
      <c r="U104" s="48"/>
    </row>
    <row r="105" spans="1:21" hidden="1" x14ac:dyDescent="0.25">
      <c r="B105" s="72"/>
      <c r="C105" s="91" t="s">
        <v>371</v>
      </c>
      <c r="D105" s="91" t="s">
        <v>351</v>
      </c>
      <c r="E105" s="159" t="s">
        <v>8</v>
      </c>
      <c r="F105" s="464" t="s">
        <v>153</v>
      </c>
      <c r="G105" s="466"/>
      <c r="H105" s="39" t="s">
        <v>38</v>
      </c>
      <c r="I105" s="39"/>
      <c r="N105" s="48"/>
      <c r="O105" s="48"/>
      <c r="P105" s="48"/>
      <c r="Q105" s="48"/>
      <c r="R105" s="48"/>
      <c r="S105" s="48"/>
      <c r="T105" s="48"/>
      <c r="U105" s="48"/>
    </row>
    <row r="106" spans="1:21" hidden="1" x14ac:dyDescent="0.25">
      <c r="A106" s="462" t="s">
        <v>94</v>
      </c>
      <c r="B106" s="462"/>
      <c r="C106" s="93" t="s">
        <v>2</v>
      </c>
      <c r="D106" s="93" t="s">
        <v>2</v>
      </c>
      <c r="E106" s="62" t="s">
        <v>2</v>
      </c>
      <c r="F106" s="462" t="s">
        <v>37</v>
      </c>
      <c r="G106" s="462"/>
      <c r="H106" s="62" t="s">
        <v>37</v>
      </c>
      <c r="I106" s="62" t="s">
        <v>8</v>
      </c>
      <c r="N106" s="484" t="s">
        <v>66</v>
      </c>
      <c r="O106" s="484"/>
      <c r="P106" s="489" t="s">
        <v>91</v>
      </c>
      <c r="Q106" s="489"/>
      <c r="R106" s="484" t="s">
        <v>67</v>
      </c>
      <c r="S106" s="484"/>
      <c r="T106" s="63" t="s">
        <v>68</v>
      </c>
      <c r="U106" s="63" t="s">
        <v>8</v>
      </c>
    </row>
    <row r="107" spans="1:21" hidden="1" x14ac:dyDescent="0.25">
      <c r="A107" s="473" t="s">
        <v>69</v>
      </c>
      <c r="B107" s="473"/>
      <c r="C107" s="163">
        <v>0</v>
      </c>
      <c r="D107" s="163">
        <v>0</v>
      </c>
      <c r="E107" s="210">
        <f>IF(D$59=0,C107*2,C107+D107)</f>
        <v>0</v>
      </c>
      <c r="F107" s="474">
        <v>0</v>
      </c>
      <c r="G107" s="474"/>
      <c r="H107" s="250">
        <f>IF(C107=0,0,125)</f>
        <v>0</v>
      </c>
      <c r="I107" s="104">
        <f>ROUND((H107+F107)*E107,2)</f>
        <v>0</v>
      </c>
      <c r="N107" s="479" t="s">
        <v>69</v>
      </c>
      <c r="O107" s="479"/>
      <c r="P107" s="483">
        <f>IF(H$120=1,C107,0)</f>
        <v>0</v>
      </c>
      <c r="Q107" s="483"/>
      <c r="R107" s="486">
        <f>F107</f>
        <v>0</v>
      </c>
      <c r="S107" s="486"/>
      <c r="T107" s="65">
        <f>H107</f>
        <v>0</v>
      </c>
      <c r="U107" s="99">
        <f>ROUND((T107+R107)*P107,0)</f>
        <v>0</v>
      </c>
    </row>
    <row r="108" spans="1:21" hidden="1" x14ac:dyDescent="0.25">
      <c r="A108" s="456" t="s">
        <v>70</v>
      </c>
      <c r="B108" s="456"/>
      <c r="C108" s="165">
        <v>0</v>
      </c>
      <c r="D108" s="165">
        <v>0</v>
      </c>
      <c r="E108" s="125">
        <f>IF(D$59=0,C108*2,C108+D108)</f>
        <v>0</v>
      </c>
      <c r="F108" s="468">
        <f>ROUND(F107/2,2)</f>
        <v>0</v>
      </c>
      <c r="G108" s="468"/>
      <c r="H108" s="250">
        <f>IF(C108=0,0,62.5)</f>
        <v>0</v>
      </c>
      <c r="I108" s="104">
        <f>ROUND((H108+F108)*E108,2)</f>
        <v>0</v>
      </c>
      <c r="N108" s="479" t="s">
        <v>70</v>
      </c>
      <c r="O108" s="479"/>
      <c r="P108" s="483">
        <f>IF(H$120=1,C108,0)</f>
        <v>0</v>
      </c>
      <c r="Q108" s="483"/>
      <c r="R108" s="487">
        <f>ROUND(R107/2,2)</f>
        <v>0</v>
      </c>
      <c r="S108" s="487"/>
      <c r="T108" s="65">
        <f>H108</f>
        <v>0</v>
      </c>
      <c r="U108" s="99">
        <f>ROUND((T108+R108)*P108,0)</f>
        <v>0</v>
      </c>
    </row>
    <row r="109" spans="1:21" ht="16.5" hidden="1" thickBot="1" x14ac:dyDescent="0.3">
      <c r="A109" s="456" t="s">
        <v>71</v>
      </c>
      <c r="B109" s="456"/>
      <c r="C109" s="165">
        <v>0</v>
      </c>
      <c r="D109" s="165">
        <v>0</v>
      </c>
      <c r="E109" s="125">
        <f>IF(D$59=0,C109*2,C109+D109)</f>
        <v>0</v>
      </c>
      <c r="F109" s="475"/>
      <c r="G109" s="475"/>
      <c r="H109" s="251">
        <f>IF(H107&gt;0,436,0)</f>
        <v>0</v>
      </c>
      <c r="I109" s="104">
        <f>ROUND(H109*E109,2)</f>
        <v>0</v>
      </c>
      <c r="N109" s="482" t="s">
        <v>71</v>
      </c>
      <c r="O109" s="482"/>
      <c r="P109" s="483">
        <f>IF(H$120=1,C109,0)</f>
        <v>0</v>
      </c>
      <c r="Q109" s="483"/>
      <c r="R109" s="484"/>
      <c r="S109" s="484"/>
      <c r="T109" s="67">
        <f>H109</f>
        <v>0</v>
      </c>
      <c r="U109" s="106">
        <f>ROUND(T109*P109,0)</f>
        <v>0</v>
      </c>
    </row>
    <row r="110" spans="1:21" ht="16.5" hidden="1" thickBot="1" x14ac:dyDescent="0.3">
      <c r="A110" s="466" t="s">
        <v>8</v>
      </c>
      <c r="B110" s="466"/>
      <c r="C110" s="68"/>
      <c r="D110" s="68"/>
      <c r="E110" s="68"/>
      <c r="F110" s="68"/>
      <c r="G110" s="68"/>
      <c r="H110" s="68"/>
      <c r="I110" s="100">
        <f>SUM(I107:I109)</f>
        <v>0</v>
      </c>
      <c r="N110" s="485" t="s">
        <v>8</v>
      </c>
      <c r="O110" s="485"/>
      <c r="P110" s="69"/>
      <c r="Q110" s="69"/>
      <c r="R110" s="69"/>
      <c r="S110" s="69"/>
      <c r="T110" s="69"/>
      <c r="U110" s="70">
        <f>SUM(U107:U109)</f>
        <v>0</v>
      </c>
    </row>
    <row r="111" spans="1:21" hidden="1" x14ac:dyDescent="0.25">
      <c r="A111" s="39"/>
      <c r="B111" s="39"/>
      <c r="C111" s="68"/>
      <c r="D111" s="68"/>
      <c r="E111" s="68"/>
      <c r="F111" s="68"/>
      <c r="G111" s="68"/>
      <c r="H111" s="68"/>
      <c r="I111" s="104"/>
      <c r="N111" s="40"/>
      <c r="O111" s="40"/>
      <c r="P111" s="69"/>
      <c r="Q111" s="69"/>
      <c r="R111" s="69"/>
      <c r="S111" s="69"/>
      <c r="T111" s="69"/>
      <c r="U111" s="160"/>
    </row>
    <row r="112" spans="1:21" x14ac:dyDescent="0.25">
      <c r="A112" s="463" t="s">
        <v>448</v>
      </c>
      <c r="B112" s="453"/>
      <c r="C112" s="453"/>
      <c r="D112" s="72"/>
      <c r="E112" s="71" t="s">
        <v>354</v>
      </c>
      <c r="F112" s="472"/>
      <c r="G112" s="472"/>
      <c r="H112" s="472"/>
      <c r="I112" s="125">
        <v>0</v>
      </c>
      <c r="N112" s="478" t="s">
        <v>427</v>
      </c>
      <c r="O112" s="479"/>
      <c r="P112" s="479"/>
      <c r="Q112" s="341"/>
      <c r="R112" s="341"/>
      <c r="S112" s="341"/>
      <c r="T112" s="341"/>
      <c r="U112" s="99">
        <f>IF($H$120=1,I112,0)</f>
        <v>0</v>
      </c>
    </row>
    <row r="113" spans="1:21" x14ac:dyDescent="0.25">
      <c r="A113" s="463" t="s">
        <v>449</v>
      </c>
      <c r="B113" s="453"/>
      <c r="C113" s="453"/>
      <c r="D113" s="72"/>
      <c r="E113" s="71" t="s">
        <v>45</v>
      </c>
      <c r="F113" s="472"/>
      <c r="G113" s="472"/>
      <c r="H113" s="472"/>
      <c r="I113" s="177">
        <v>0</v>
      </c>
      <c r="N113" s="478" t="s">
        <v>428</v>
      </c>
      <c r="O113" s="479"/>
      <c r="P113" s="479"/>
      <c r="Q113" s="341"/>
      <c r="R113" s="341"/>
      <c r="S113" s="341"/>
      <c r="T113" s="341"/>
      <c r="U113" s="99">
        <f>IF($H$120=1,I113,0)</f>
        <v>0</v>
      </c>
    </row>
    <row r="114" spans="1:21" ht="16.5" thickBot="1" x14ac:dyDescent="0.3">
      <c r="B114" s="72"/>
      <c r="C114" s="72"/>
      <c r="D114" s="72"/>
      <c r="E114" s="71"/>
      <c r="F114" s="71"/>
      <c r="G114" s="71"/>
      <c r="H114" s="71"/>
      <c r="I114" s="125"/>
      <c r="N114" s="480" t="s">
        <v>42</v>
      </c>
      <c r="O114" s="480"/>
      <c r="P114" s="480"/>
      <c r="Q114" s="480"/>
      <c r="R114" s="480"/>
      <c r="S114" s="480"/>
      <c r="T114" s="480"/>
      <c r="U114" s="154">
        <f>SUM(U112,U110,U100,U99,U93,U77,U76,U74,U73,U72,U71,U70,U68,U59,U45,U78,U79,U80,U85,U113)</f>
        <v>0</v>
      </c>
    </row>
    <row r="115" spans="1:21" ht="16.5" thickTop="1" x14ac:dyDescent="0.25">
      <c r="A115" s="461" t="s">
        <v>8</v>
      </c>
      <c r="B115" s="461"/>
      <c r="C115" s="461"/>
      <c r="D115" s="461"/>
      <c r="E115" s="461"/>
      <c r="F115" s="461"/>
      <c r="G115" s="461"/>
      <c r="H115" s="461"/>
      <c r="I115" s="97">
        <f>SUM(I113,I112,I110,I100,I99,I93,I85,I84,I80,I79,I78,I77,I76,I74,I73,I72,I71,I70,I68,I59,I45)</f>
        <v>10509412.450000001</v>
      </c>
      <c r="N115" s="29"/>
      <c r="O115" s="29"/>
      <c r="P115" s="29"/>
      <c r="Q115" s="29"/>
      <c r="R115" s="29"/>
      <c r="S115" s="29"/>
      <c r="T115" s="29"/>
      <c r="U115" s="160"/>
    </row>
    <row r="116" spans="1:21" x14ac:dyDescent="0.25">
      <c r="A116" s="27"/>
      <c r="B116" s="27"/>
      <c r="C116" s="27"/>
      <c r="D116" s="27"/>
      <c r="E116" s="27"/>
      <c r="F116" s="27"/>
      <c r="G116" s="27"/>
      <c r="H116" s="27"/>
      <c r="I116" s="104"/>
      <c r="N116" s="29"/>
      <c r="O116" s="29"/>
      <c r="P116" s="29"/>
      <c r="Q116" s="29"/>
      <c r="R116" s="29"/>
      <c r="S116" s="29"/>
      <c r="T116" s="29"/>
      <c r="U116" s="160"/>
    </row>
    <row r="117" spans="1:21" x14ac:dyDescent="0.25">
      <c r="A117" s="432" t="s">
        <v>467</v>
      </c>
      <c r="B117" s="27"/>
      <c r="C117" s="27"/>
      <c r="D117" s="27"/>
      <c r="E117" s="27"/>
      <c r="F117" s="27"/>
      <c r="G117" s="27"/>
      <c r="H117" s="27"/>
      <c r="I117" s="104">
        <f>I115-I84</f>
        <v>10154604.450000001</v>
      </c>
      <c r="N117" s="29"/>
      <c r="O117" s="29"/>
      <c r="P117" s="29"/>
      <c r="Q117" s="29"/>
      <c r="R117" s="29"/>
      <c r="S117" s="29"/>
      <c r="T117" s="29"/>
      <c r="U117" s="160"/>
    </row>
    <row r="118" spans="1:21" x14ac:dyDescent="0.25">
      <c r="A118" s="27"/>
      <c r="B118" s="27"/>
      <c r="C118" s="27"/>
      <c r="D118" s="27"/>
      <c r="E118" s="27"/>
      <c r="F118" s="27"/>
      <c r="G118" s="27"/>
      <c r="H118" s="27"/>
      <c r="I118" s="104"/>
      <c r="N118" s="29"/>
      <c r="O118" s="29"/>
      <c r="P118" s="29"/>
      <c r="Q118" s="29"/>
      <c r="R118" s="29"/>
      <c r="S118" s="29"/>
      <c r="T118" s="29"/>
      <c r="U118" s="160"/>
    </row>
    <row r="119" spans="1:21" x14ac:dyDescent="0.25">
      <c r="A119" s="463" t="s">
        <v>468</v>
      </c>
      <c r="B119" s="453"/>
      <c r="C119" s="453"/>
      <c r="D119" s="453"/>
      <c r="E119" s="453"/>
      <c r="F119" s="453"/>
      <c r="G119" s="453"/>
      <c r="H119" s="84" t="s">
        <v>394</v>
      </c>
      <c r="I119" s="156"/>
      <c r="N119" s="481"/>
      <c r="O119" s="481"/>
      <c r="P119" s="481"/>
      <c r="Q119" s="481"/>
      <c r="R119" s="481"/>
      <c r="S119" s="481"/>
      <c r="T119" s="481"/>
      <c r="U119" s="481"/>
    </row>
    <row r="120" spans="1:21" x14ac:dyDescent="0.25">
      <c r="A120" s="453" t="s">
        <v>95</v>
      </c>
      <c r="B120" s="453"/>
      <c r="C120" s="453"/>
      <c r="D120" s="453"/>
      <c r="E120" s="453"/>
      <c r="F120" s="453"/>
      <c r="G120" s="453"/>
      <c r="H120" s="73" t="str">
        <f>IF(E29=0,"",IF((E14+E16+SUM(E18:E24))/E29&gt;0.75,1,""))</f>
        <v/>
      </c>
      <c r="I120" s="125">
        <f>U114</f>
        <v>0</v>
      </c>
      <c r="N120" s="476" t="s">
        <v>7</v>
      </c>
      <c r="O120" s="476"/>
      <c r="P120" s="476"/>
      <c r="Q120" s="476"/>
      <c r="R120" s="476"/>
      <c r="S120" s="476"/>
      <c r="T120" s="476"/>
      <c r="U120" s="476"/>
    </row>
    <row r="121" spans="1:21" x14ac:dyDescent="0.25">
      <c r="B121" s="72"/>
      <c r="C121" s="72"/>
      <c r="D121" s="72"/>
      <c r="E121" s="72"/>
      <c r="F121" s="72"/>
      <c r="G121" s="72"/>
      <c r="H121" s="68"/>
      <c r="I121" s="104"/>
      <c r="N121" s="74" t="s">
        <v>106</v>
      </c>
      <c r="O121" s="74"/>
      <c r="P121" s="74"/>
      <c r="Q121" s="74"/>
      <c r="R121" s="74"/>
      <c r="S121" s="74"/>
      <c r="T121" s="74"/>
      <c r="U121" s="74"/>
    </row>
    <row r="122" spans="1:21" x14ac:dyDescent="0.25">
      <c r="A122" s="3" t="s">
        <v>102</v>
      </c>
      <c r="B122" s="72"/>
      <c r="C122" s="72"/>
      <c r="D122" s="72"/>
      <c r="E122" s="72"/>
      <c r="F122" s="72"/>
      <c r="G122" s="286"/>
      <c r="H122" s="161">
        <f>IF(H120=1,I120,I117)</f>
        <v>10154604.450000001</v>
      </c>
      <c r="I122" s="97">
        <f>ROUND(IF(E29=0,0,IF(E29&gt;250,-(((250/E29)*H122)*IF(G122="H",0.02,0.05)),IF(G122="H",-0.02*H122,-0.05*H122))),2)</f>
        <v>-97885.9</v>
      </c>
      <c r="N122" s="75" t="s">
        <v>107</v>
      </c>
      <c r="O122" s="74"/>
      <c r="P122" s="74"/>
      <c r="Q122" s="74"/>
      <c r="R122" s="74"/>
      <c r="S122" s="74"/>
      <c r="T122" s="74"/>
      <c r="U122" s="74"/>
    </row>
    <row r="123" spans="1:21" x14ac:dyDescent="0.25">
      <c r="B123" s="72"/>
      <c r="C123" s="72"/>
      <c r="D123" s="72"/>
      <c r="E123" s="72"/>
      <c r="F123" s="72"/>
      <c r="G123" s="72"/>
      <c r="H123" s="68"/>
      <c r="I123" s="104"/>
      <c r="N123" s="76"/>
      <c r="O123" s="76"/>
      <c r="P123" s="76"/>
      <c r="Q123" s="76"/>
      <c r="R123" s="76"/>
      <c r="S123" s="76"/>
      <c r="T123" s="76"/>
      <c r="U123" s="76"/>
    </row>
    <row r="124" spans="1:21" x14ac:dyDescent="0.25">
      <c r="A124" s="345" t="s">
        <v>103</v>
      </c>
      <c r="B124" s="346"/>
      <c r="C124" s="346"/>
      <c r="D124" s="346"/>
      <c r="E124" s="346"/>
      <c r="F124" s="346"/>
      <c r="G124" s="346"/>
      <c r="H124" s="347"/>
      <c r="I124" s="348">
        <f>I115+I122</f>
        <v>10411526.550000001</v>
      </c>
      <c r="N124" s="76"/>
      <c r="O124" s="76"/>
      <c r="P124" s="76"/>
      <c r="Q124" s="76"/>
      <c r="R124" s="76"/>
      <c r="S124" s="76"/>
      <c r="T124" s="76"/>
      <c r="U124" s="76"/>
    </row>
    <row r="125" spans="1:21" x14ac:dyDescent="0.25">
      <c r="B125" s="72"/>
      <c r="C125" s="72"/>
      <c r="D125" s="72"/>
      <c r="E125" s="72"/>
      <c r="F125" s="72"/>
      <c r="G125" s="72"/>
      <c r="H125" s="68"/>
      <c r="I125" s="104"/>
      <c r="N125" s="76"/>
      <c r="O125" s="76"/>
      <c r="P125" s="76"/>
      <c r="Q125" s="76"/>
      <c r="R125" s="76"/>
      <c r="S125" s="76"/>
      <c r="T125" s="76"/>
      <c r="U125" s="76"/>
    </row>
    <row r="126" spans="1:21" x14ac:dyDescent="0.25">
      <c r="A126" s="3" t="s">
        <v>104</v>
      </c>
      <c r="B126" s="72"/>
      <c r="C126" s="162"/>
      <c r="D126" s="72"/>
      <c r="F126" s="72"/>
      <c r="G126" s="72"/>
      <c r="H126" s="68"/>
      <c r="I126" s="302">
        <v>-7823236.5</v>
      </c>
      <c r="N126" s="76"/>
      <c r="O126" s="76"/>
      <c r="P126" s="76"/>
      <c r="Q126" s="76"/>
      <c r="R126" s="76"/>
      <c r="S126" s="76"/>
      <c r="T126" s="76"/>
      <c r="U126" s="76"/>
    </row>
    <row r="127" spans="1:21" x14ac:dyDescent="0.25">
      <c r="B127" s="72"/>
      <c r="C127" s="72"/>
      <c r="D127" s="72"/>
      <c r="E127" s="72"/>
      <c r="F127" s="72"/>
      <c r="G127" s="72"/>
      <c r="H127" s="68"/>
      <c r="I127" s="104"/>
      <c r="N127" s="76"/>
      <c r="O127" s="76"/>
      <c r="P127" s="76"/>
      <c r="Q127" s="76"/>
      <c r="R127" s="76"/>
      <c r="S127" s="76"/>
      <c r="T127" s="76"/>
      <c r="U127" s="76"/>
    </row>
    <row r="128" spans="1:21" x14ac:dyDescent="0.25">
      <c r="A128" s="84" t="s">
        <v>297</v>
      </c>
      <c r="B128" s="72"/>
      <c r="C128" s="72"/>
      <c r="D128" s="72"/>
      <c r="E128" s="72"/>
      <c r="F128" s="72"/>
      <c r="G128" s="72"/>
      <c r="H128" s="68"/>
      <c r="I128" s="104">
        <f>I124+I126</f>
        <v>2588290.0500000007</v>
      </c>
      <c r="N128" s="76"/>
      <c r="O128" s="76"/>
      <c r="P128" s="76"/>
      <c r="Q128" s="76"/>
      <c r="R128" s="76"/>
      <c r="S128" s="76"/>
      <c r="T128" s="76"/>
      <c r="U128" s="76"/>
    </row>
    <row r="129" spans="1:21" x14ac:dyDescent="0.25">
      <c r="A129" s="84"/>
      <c r="B129" s="72"/>
      <c r="C129" s="72"/>
      <c r="D129" s="72"/>
      <c r="E129" s="72"/>
      <c r="F129" s="72"/>
      <c r="G129" s="72"/>
      <c r="H129" s="68"/>
      <c r="I129" s="104"/>
      <c r="N129" s="76"/>
      <c r="O129" s="76"/>
      <c r="P129" s="76"/>
      <c r="Q129" s="76"/>
      <c r="R129" s="76"/>
      <c r="S129" s="76"/>
      <c r="T129" s="76"/>
      <c r="U129" s="76"/>
    </row>
    <row r="130" spans="1:21" x14ac:dyDescent="0.25">
      <c r="A130" s="84" t="s">
        <v>298</v>
      </c>
      <c r="B130" s="72"/>
      <c r="C130" s="72"/>
      <c r="D130" s="72"/>
      <c r="E130" s="72"/>
      <c r="F130" s="72"/>
      <c r="G130" s="72"/>
      <c r="H130" s="68"/>
      <c r="I130" s="303">
        <f>'0664'!I130</f>
        <v>3</v>
      </c>
      <c r="N130" s="76"/>
      <c r="O130" s="76"/>
      <c r="P130" s="76"/>
      <c r="Q130" s="76"/>
      <c r="R130" s="76"/>
      <c r="S130" s="76"/>
      <c r="T130" s="76"/>
      <c r="U130" s="76"/>
    </row>
    <row r="131" spans="1:21" x14ac:dyDescent="0.25">
      <c r="B131" s="72"/>
      <c r="C131" s="72"/>
      <c r="D131" s="72"/>
      <c r="E131" s="72"/>
      <c r="F131" s="72"/>
      <c r="G131" s="72"/>
      <c r="H131" s="68"/>
      <c r="I131" s="104"/>
      <c r="N131" s="76"/>
      <c r="O131" s="76"/>
      <c r="P131" s="76"/>
      <c r="Q131" s="76"/>
      <c r="R131" s="76"/>
      <c r="S131" s="76"/>
      <c r="T131" s="76"/>
      <c r="U131" s="76"/>
    </row>
    <row r="132" spans="1:21" ht="16.5" thickBot="1" x14ac:dyDescent="0.3">
      <c r="A132" s="3" t="s">
        <v>105</v>
      </c>
      <c r="B132" s="72"/>
      <c r="C132" s="72"/>
      <c r="D132" s="72"/>
      <c r="E132" s="72"/>
      <c r="F132" s="72"/>
      <c r="G132" s="72"/>
      <c r="H132" s="68"/>
      <c r="I132" s="178">
        <f>ROUND(I128/I130,2)</f>
        <v>862763.35</v>
      </c>
      <c r="N132" s="76"/>
      <c r="O132" s="76"/>
      <c r="P132" s="76"/>
      <c r="Q132" s="76"/>
      <c r="R132" s="76"/>
      <c r="S132" s="76"/>
      <c r="T132" s="76"/>
      <c r="U132" s="76"/>
    </row>
    <row r="133" spans="1:21" ht="16.5" thickTop="1" x14ac:dyDescent="0.25">
      <c r="B133" s="72"/>
      <c r="C133" s="72"/>
      <c r="D133" s="72"/>
      <c r="E133" s="72"/>
      <c r="F133" s="72"/>
      <c r="G133" s="72"/>
      <c r="H133" s="68"/>
      <c r="I133" s="104"/>
      <c r="N133" s="76"/>
      <c r="O133" s="76"/>
      <c r="P133" s="76"/>
      <c r="Q133" s="76"/>
      <c r="R133" s="76"/>
      <c r="S133" s="76"/>
      <c r="T133" s="76"/>
      <c r="U133" s="76"/>
    </row>
    <row r="134" spans="1:21" ht="16.5" thickBot="1" x14ac:dyDescent="0.3">
      <c r="A134" s="3" t="s">
        <v>121</v>
      </c>
      <c r="B134" s="72"/>
      <c r="C134" s="72"/>
      <c r="D134" s="72"/>
      <c r="E134" s="72"/>
      <c r="F134" s="72"/>
      <c r="G134" s="72"/>
      <c r="H134" s="68"/>
      <c r="I134" s="155">
        <f>ROUND(IF(G122="H",(H122*0.02)+I122,(H122*0.05)+I122),2)</f>
        <v>409844.32</v>
      </c>
      <c r="N134" s="76"/>
      <c r="O134" s="76"/>
      <c r="P134" s="76"/>
      <c r="Q134" s="76"/>
      <c r="R134" s="76"/>
      <c r="S134" s="76"/>
      <c r="T134" s="76"/>
      <c r="U134" s="76"/>
    </row>
    <row r="135" spans="1:21" ht="16.5" thickTop="1" x14ac:dyDescent="0.25">
      <c r="B135" s="72"/>
      <c r="C135" s="72"/>
      <c r="D135" s="72"/>
      <c r="E135" s="72"/>
      <c r="F135" s="72"/>
      <c r="G135" s="72"/>
      <c r="H135" s="68"/>
      <c r="I135" s="156"/>
      <c r="N135" s="76"/>
      <c r="O135" s="76"/>
      <c r="P135" s="76"/>
      <c r="Q135" s="76"/>
      <c r="R135" s="76"/>
      <c r="S135" s="76"/>
      <c r="T135" s="76"/>
      <c r="U135" s="76"/>
    </row>
    <row r="136" spans="1:21" x14ac:dyDescent="0.25">
      <c r="B136" s="72"/>
      <c r="C136" s="72"/>
      <c r="D136" s="72"/>
      <c r="E136" s="72"/>
      <c r="F136" s="72"/>
      <c r="G136" s="72"/>
      <c r="H136" s="68"/>
      <c r="I136" s="104"/>
      <c r="N136" s="76"/>
      <c r="O136" s="76"/>
      <c r="P136" s="76"/>
      <c r="Q136" s="76"/>
      <c r="R136" s="76"/>
      <c r="S136" s="76"/>
      <c r="T136" s="76"/>
      <c r="U136" s="76"/>
    </row>
    <row r="137" spans="1:21" x14ac:dyDescent="0.25">
      <c r="B137" s="72"/>
      <c r="C137" s="72"/>
      <c r="D137" s="72"/>
      <c r="E137" s="72"/>
      <c r="F137" s="72"/>
      <c r="G137" s="72"/>
      <c r="H137" s="68"/>
      <c r="I137" s="156"/>
      <c r="N137" s="76"/>
      <c r="O137" s="76"/>
      <c r="P137" s="76"/>
      <c r="Q137" s="76"/>
      <c r="R137" s="76"/>
      <c r="S137" s="76"/>
      <c r="T137" s="76"/>
      <c r="U137" s="76"/>
    </row>
    <row r="138" spans="1:21" x14ac:dyDescent="0.25">
      <c r="A138" s="281" t="s">
        <v>7</v>
      </c>
      <c r="B138" s="281"/>
      <c r="C138" s="281"/>
      <c r="D138" s="281"/>
      <c r="E138" s="281"/>
      <c r="F138" s="281"/>
      <c r="G138" s="281"/>
      <c r="H138" s="281"/>
      <c r="I138" s="281"/>
      <c r="J138" s="156"/>
      <c r="N138" s="76"/>
      <c r="O138" s="76"/>
      <c r="P138" s="76"/>
      <c r="Q138" s="76"/>
      <c r="R138" s="76"/>
      <c r="S138" s="76"/>
      <c r="T138" s="76"/>
      <c r="U138" s="76"/>
    </row>
    <row r="139" spans="1:21" ht="15.75" customHeight="1" x14ac:dyDescent="0.25">
      <c r="A139" s="356" t="str">
        <f>'0664'!A139</f>
        <v>(a) Additional FTE includes FTE earned through Advanced Placement, International Baccalaureate, Advanced International Certificate of Education, Industry Certified Career</v>
      </c>
      <c r="B139" s="357"/>
      <c r="C139" s="357"/>
      <c r="D139" s="357"/>
      <c r="E139" s="357"/>
      <c r="F139" s="357"/>
      <c r="G139" s="357"/>
      <c r="H139" s="357"/>
      <c r="I139" s="357"/>
      <c r="J139" s="80"/>
      <c r="K139" s="79"/>
      <c r="L139" s="79"/>
      <c r="M139" s="79"/>
      <c r="N139" s="477"/>
      <c r="O139" s="477"/>
      <c r="P139" s="477"/>
      <c r="Q139" s="477"/>
      <c r="R139" s="477"/>
      <c r="S139" s="477"/>
      <c r="T139" s="477"/>
      <c r="U139" s="477"/>
    </row>
    <row r="140" spans="1:21" ht="15.75" customHeight="1" x14ac:dyDescent="0.25">
      <c r="A140" s="390" t="str">
        <f>'0664'!A140</f>
        <v xml:space="preserve">Education (CAPE), Early High School Graduation and the small district ESE Supplement, pursuant to s. 1011.62(1)(l-p), F.S. </v>
      </c>
      <c r="B140" s="357"/>
      <c r="C140" s="357"/>
      <c r="D140" s="357"/>
      <c r="E140" s="357"/>
      <c r="F140" s="357"/>
      <c r="G140" s="357"/>
      <c r="H140" s="357"/>
      <c r="I140" s="357"/>
      <c r="J140" s="80"/>
      <c r="K140" s="79"/>
      <c r="L140" s="79"/>
      <c r="M140" s="79"/>
      <c r="N140" s="76"/>
      <c r="O140" s="76"/>
      <c r="P140" s="76"/>
      <c r="Q140" s="76"/>
      <c r="R140" s="76"/>
      <c r="S140" s="76"/>
      <c r="T140" s="76"/>
      <c r="U140" s="76"/>
    </row>
    <row r="141" spans="1:21" x14ac:dyDescent="0.25">
      <c r="A141" s="356" t="str">
        <f>'0664'!A141</f>
        <v>(b) District allocations multiplied by percentage from item 3A.</v>
      </c>
      <c r="B141" s="281"/>
      <c r="C141" s="281"/>
      <c r="D141" s="281"/>
      <c r="E141" s="281"/>
      <c r="F141" s="281"/>
      <c r="G141" s="281"/>
      <c r="H141" s="281"/>
      <c r="I141" s="281"/>
      <c r="J141" s="79"/>
      <c r="K141" s="79"/>
      <c r="L141" s="79"/>
      <c r="M141" s="79"/>
      <c r="N141" s="81"/>
      <c r="O141" s="82"/>
      <c r="P141" s="82"/>
      <c r="Q141" s="82"/>
      <c r="R141" s="82"/>
      <c r="S141" s="82"/>
      <c r="T141" s="82"/>
      <c r="U141" s="82"/>
    </row>
    <row r="142" spans="1:21" s="79" customFormat="1" x14ac:dyDescent="0.2">
      <c r="A142" s="356" t="str">
        <f>'0664'!A142</f>
        <v>(c) District allocations multiplied by percentage from item 3B.</v>
      </c>
      <c r="B142" s="281"/>
      <c r="C142" s="281"/>
      <c r="D142" s="281"/>
      <c r="E142" s="281"/>
      <c r="F142" s="281"/>
      <c r="G142" s="281"/>
      <c r="H142" s="281"/>
      <c r="I142" s="281"/>
      <c r="N142" s="81"/>
    </row>
    <row r="143" spans="1:21" s="79" customFormat="1" ht="15.75" customHeight="1" x14ac:dyDescent="0.2">
      <c r="A143" s="356" t="str">
        <f>'0664'!A143</f>
        <v>(d) The Digital Classroom Allocation is provided pursuant to s. 1011.62(12), F.S.</v>
      </c>
      <c r="B143" s="281"/>
      <c r="C143" s="281"/>
      <c r="D143" s="281"/>
      <c r="E143" s="281"/>
      <c r="F143" s="281"/>
      <c r="G143" s="281"/>
      <c r="H143" s="281"/>
      <c r="I143" s="281"/>
      <c r="N143" s="81"/>
    </row>
    <row r="144" spans="1:21" s="79" customFormat="1" ht="15.75" customHeight="1" x14ac:dyDescent="0.2">
      <c r="A144" s="356" t="str">
        <f>'0664'!A144</f>
        <v>(e) School districts are required to pay for instructional materials used for the instruction of public high school students who are earning credit toward high school</v>
      </c>
      <c r="B144" s="281"/>
      <c r="C144" s="281"/>
      <c r="D144" s="281"/>
      <c r="E144" s="281"/>
      <c r="F144" s="281"/>
      <c r="G144" s="281"/>
      <c r="H144" s="281"/>
      <c r="I144" s="281"/>
      <c r="N144" s="81"/>
    </row>
    <row r="145" spans="1:14" s="79" customFormat="1" ht="15.75" customHeight="1" x14ac:dyDescent="0.2">
      <c r="A145" s="390" t="str">
        <f>'0664'!A145</f>
        <v xml:space="preserve">graduation under the dual enrollment program as provided in s. 1011.62(l)(i), F.S.  </v>
      </c>
      <c r="B145" s="281"/>
      <c r="C145" s="281"/>
      <c r="D145" s="281"/>
      <c r="E145" s="281"/>
      <c r="F145" s="281"/>
      <c r="G145" s="281"/>
      <c r="H145" s="281"/>
      <c r="I145" s="281"/>
      <c r="N145" s="81"/>
    </row>
    <row r="146" spans="1:14" s="79" customFormat="1" x14ac:dyDescent="0.2">
      <c r="A146" s="356" t="str">
        <f>'0664'!A146</f>
        <v>(f) This allocation will be frozen as of the 2021-22 FEFP Second Calculation and will not be recalculated throughout the year. Charter school allocations should be</v>
      </c>
      <c r="B146" s="281"/>
      <c r="C146" s="281"/>
      <c r="D146" s="281"/>
      <c r="E146" s="281"/>
      <c r="F146" s="281"/>
      <c r="G146" s="281"/>
      <c r="H146" s="281"/>
      <c r="I146" s="281"/>
      <c r="N146" s="81"/>
    </row>
    <row r="147" spans="1:14" s="79" customFormat="1" x14ac:dyDescent="0.2">
      <c r="A147" s="358" t="str">
        <f>'0664'!A147</f>
        <v xml:space="preserve">distributed on weighted FTE (or base funding as is done in the FEFP) and should not be recalculated with fluctuations in student enrollment later in the year. </v>
      </c>
      <c r="B147" s="281"/>
      <c r="C147" s="281"/>
      <c r="D147" s="281"/>
      <c r="E147" s="281"/>
      <c r="F147" s="281"/>
      <c r="G147" s="281"/>
      <c r="H147" s="281"/>
      <c r="I147" s="281"/>
      <c r="N147" s="81"/>
    </row>
    <row r="148" spans="1:14" s="79" customFormat="1" x14ac:dyDescent="0.2">
      <c r="A148" s="356" t="str">
        <f>'0664'!A148</f>
        <v>(g) Numbers entered here will be multiplied by the district level transportation funding per rider. "All Adjusted Fundable Riders" should include both basic and ESE Riders.</v>
      </c>
      <c r="B148" s="281"/>
      <c r="C148" s="281"/>
      <c r="D148" s="281"/>
      <c r="E148" s="281"/>
      <c r="F148" s="281"/>
      <c r="G148" s="281"/>
      <c r="H148" s="281"/>
      <c r="I148" s="281"/>
      <c r="N148" s="81"/>
    </row>
    <row r="149" spans="1:14" s="79" customFormat="1" x14ac:dyDescent="0.2">
      <c r="A149" s="390" t="str">
        <f>'0664'!A149</f>
        <v>"All Adjusted ESE Riders" should include only ESE Riders.</v>
      </c>
      <c r="B149" s="281"/>
      <c r="C149" s="281"/>
      <c r="D149" s="281"/>
      <c r="E149" s="281"/>
      <c r="F149" s="281"/>
      <c r="G149" s="281"/>
      <c r="H149" s="281"/>
      <c r="I149" s="281"/>
      <c r="N149" s="81"/>
    </row>
    <row r="150" spans="1:14" s="79" customFormat="1" x14ac:dyDescent="0.2">
      <c r="A150" s="356" t="str">
        <f>'0664'!A150</f>
        <v xml:space="preserve">(h) The Federally Connected Student Supplement provides additional funding for students on federal lands that receive Section 8003 impact aide pursuant to s. 1011.62(13), F.S. </v>
      </c>
      <c r="B150" s="281"/>
      <c r="C150" s="281"/>
      <c r="D150" s="281"/>
      <c r="E150" s="281"/>
      <c r="F150" s="281"/>
      <c r="G150" s="281"/>
      <c r="H150" s="281"/>
      <c r="I150" s="281"/>
      <c r="N150" s="81"/>
    </row>
    <row r="151" spans="1:14" s="79" customFormat="1" x14ac:dyDescent="0.2">
      <c r="A151" s="356" t="str">
        <f>'0664'!A151</f>
        <v>(i) Teacher Classroom Supply Assistance Program allocation pursuant to s. 1012.71, F.S., for certified teachers employed by a public school district or public charter school</v>
      </c>
      <c r="B151" s="281"/>
      <c r="C151" s="281"/>
      <c r="D151" s="281"/>
      <c r="E151" s="281"/>
      <c r="F151" s="281"/>
      <c r="G151" s="281"/>
      <c r="H151" s="281"/>
      <c r="I151" s="281"/>
      <c r="N151" s="81"/>
    </row>
    <row r="152" spans="1:14" s="79" customFormat="1" x14ac:dyDescent="0.2">
      <c r="A152" s="358" t="str">
        <f>'0664'!A152</f>
        <v xml:space="preserve">before September 1 of each year whose full-time or job-share responsibility is the classroom instruction of students in prekindergarten through grade 12, including </v>
      </c>
      <c r="B152" s="281"/>
      <c r="C152" s="281"/>
      <c r="D152" s="281"/>
      <c r="E152" s="281"/>
      <c r="F152" s="281"/>
      <c r="G152" s="281"/>
      <c r="H152" s="281"/>
      <c r="I152" s="281"/>
      <c r="N152" s="81"/>
    </row>
    <row r="153" spans="1:14" s="79" customFormat="1" ht="15.75" customHeight="1" x14ac:dyDescent="0.2">
      <c r="A153" s="358" t="str">
        <f>'0664'!A153</f>
        <v>full-time media specialists and certified school counselors serving students in prekindergarten through grade 12, who are funded through the FEFP.</v>
      </c>
      <c r="B153" s="281"/>
      <c r="C153" s="281"/>
      <c r="D153" s="281"/>
      <c r="E153" s="281"/>
      <c r="F153" s="281"/>
      <c r="G153" s="281"/>
      <c r="H153" s="281"/>
      <c r="I153" s="281"/>
      <c r="N153" s="81"/>
    </row>
    <row r="154" spans="1:14" s="79" customFormat="1" ht="15.75" customHeight="1" x14ac:dyDescent="0.2">
      <c r="A154" s="356" t="str">
        <f>'0664'!A154</f>
        <v xml:space="preserve">(j) Funding based on student eligibility and meals provided, if participating in the National School Lunch Program. </v>
      </c>
      <c r="B154" s="328"/>
      <c r="C154" s="328"/>
      <c r="D154" s="328"/>
      <c r="E154" s="328"/>
      <c r="F154" s="328"/>
      <c r="G154" s="328"/>
      <c r="H154" s="328"/>
      <c r="I154" s="328"/>
      <c r="N154" s="81"/>
    </row>
    <row r="155" spans="1:14" s="79" customFormat="1" ht="15.75" customHeight="1" x14ac:dyDescent="0.2">
      <c r="A155" s="356" t="str">
        <f>'0664'!A155</f>
        <v>(k) Consistent with s. 1002.33(20)(a), F.S., for charter schools with a population of 75% or more ESE students, the administrative fee shall be calculated based on</v>
      </c>
      <c r="B155" s="381"/>
      <c r="C155" s="381"/>
      <c r="D155" s="381"/>
      <c r="E155" s="381"/>
      <c r="F155" s="381"/>
      <c r="G155" s="381"/>
      <c r="H155" s="381"/>
      <c r="I155" s="381"/>
      <c r="N155" s="81"/>
    </row>
    <row r="156" spans="1:14" s="79" customFormat="1" ht="15.75" customHeight="1" x14ac:dyDescent="0.2">
      <c r="A156" s="390" t="str">
        <f>'0664'!A156</f>
        <v xml:space="preserve">unweighted full-time equivalent students. </v>
      </c>
      <c r="B156" s="381"/>
      <c r="C156" s="381"/>
      <c r="D156" s="381"/>
      <c r="E156" s="381"/>
      <c r="F156" s="381"/>
      <c r="G156" s="381"/>
      <c r="H156" s="381"/>
      <c r="I156" s="381"/>
      <c r="N156" s="81"/>
    </row>
    <row r="157" spans="1:14" s="79" customFormat="1" ht="15.75" customHeight="1" x14ac:dyDescent="0.2">
      <c r="A157" s="356"/>
      <c r="B157" s="381"/>
      <c r="C157" s="381"/>
      <c r="D157" s="381"/>
      <c r="E157" s="381"/>
      <c r="F157" s="381"/>
      <c r="G157" s="381"/>
      <c r="H157" s="381"/>
      <c r="I157" s="381"/>
      <c r="N157" s="81"/>
    </row>
    <row r="158" spans="1:14" s="79" customFormat="1" ht="15.75" customHeight="1" x14ac:dyDescent="0.25">
      <c r="A158" s="398" t="str">
        <f>'0664'!A158</f>
        <v>Administrative fees:</v>
      </c>
      <c r="B158" s="328"/>
      <c r="C158" s="328"/>
      <c r="D158" s="328"/>
      <c r="E158" s="328"/>
      <c r="F158" s="328"/>
      <c r="G158" s="328"/>
      <c r="H158" s="328"/>
      <c r="I158" s="328"/>
      <c r="J158" s="3"/>
      <c r="K158" s="3"/>
      <c r="L158" s="3"/>
      <c r="M158" s="3"/>
      <c r="N158" s="81"/>
    </row>
    <row r="159" spans="1:14" s="79" customFormat="1" ht="15.75" customHeight="1" x14ac:dyDescent="0.25">
      <c r="A159" s="399" t="str">
        <f>'0664'!A159</f>
        <v xml:space="preserve">Administrative fees charged by the school district pursuant to s. 1002.33(20)(a), F.S., shall be calculated based upon 5% of available funds from the FEFP and categorical </v>
      </c>
      <c r="B159" s="328"/>
      <c r="C159" s="328"/>
      <c r="D159" s="328"/>
      <c r="E159" s="328"/>
      <c r="F159" s="328"/>
      <c r="G159" s="328"/>
      <c r="H159" s="328"/>
      <c r="I159" s="328"/>
      <c r="J159" s="3"/>
      <c r="K159" s="3"/>
      <c r="L159" s="3"/>
      <c r="M159" s="3"/>
      <c r="N159" s="81"/>
    </row>
    <row r="160" spans="1:14" s="79" customFormat="1" ht="15.75" customHeight="1" x14ac:dyDescent="0.25">
      <c r="A160" s="400" t="str">
        <f>'0664'!A160</f>
        <v>funding for which charter students may be eligible.  To calculate the administrative fee to be withheld for schools with more than 250 students, divide the school</v>
      </c>
      <c r="B160" s="328"/>
      <c r="C160" s="328"/>
      <c r="D160" s="328"/>
      <c r="E160" s="328"/>
      <c r="F160" s="328"/>
      <c r="G160" s="328"/>
      <c r="H160" s="328"/>
      <c r="I160" s="328"/>
      <c r="J160" s="3"/>
      <c r="K160" s="3"/>
      <c r="L160" s="3"/>
      <c r="M160" s="3"/>
      <c r="N160" s="81"/>
    </row>
    <row r="161" spans="1:21" s="79" customFormat="1" ht="15.75" customHeight="1" x14ac:dyDescent="0.25">
      <c r="A161" s="400" t="str">
        <f>'0664'!A161</f>
        <v xml:space="preserve">population into 250. Multiply that fraction times the funds available, then times 5%.  </v>
      </c>
      <c r="B161" s="328"/>
      <c r="C161" s="328"/>
      <c r="D161" s="328"/>
      <c r="E161" s="328"/>
      <c r="F161" s="328"/>
      <c r="G161" s="328"/>
      <c r="H161" s="328"/>
      <c r="I161" s="328"/>
      <c r="J161" s="3"/>
      <c r="K161" s="3"/>
      <c r="L161" s="3"/>
      <c r="M161" s="3"/>
      <c r="N161" s="81"/>
    </row>
    <row r="162" spans="1:21" s="79" customFormat="1" ht="15.75" customHeight="1" x14ac:dyDescent="0.25">
      <c r="A162" s="399"/>
      <c r="B162" s="394"/>
      <c r="C162" s="394"/>
      <c r="D162" s="394"/>
      <c r="E162" s="394"/>
      <c r="F162" s="394"/>
      <c r="G162" s="394"/>
      <c r="H162" s="394"/>
      <c r="I162" s="394"/>
      <c r="N162" s="77"/>
      <c r="O162" s="3"/>
      <c r="P162" s="3"/>
      <c r="Q162" s="3"/>
      <c r="R162" s="3"/>
      <c r="S162" s="3"/>
      <c r="T162" s="3"/>
      <c r="U162" s="3"/>
    </row>
    <row r="163" spans="1:21" ht="15.75" customHeight="1" x14ac:dyDescent="0.25">
      <c r="A163" s="399" t="str">
        <f>'0664'!A163</f>
        <v xml:space="preserve">For high performing charter schools, administrative fees charged by the school district shall be calculated based upon 2% of available funds from the FEFP and categorical </v>
      </c>
      <c r="B163" s="328"/>
      <c r="C163" s="328"/>
      <c r="D163" s="328"/>
      <c r="E163" s="328"/>
      <c r="F163" s="328"/>
      <c r="G163" s="328"/>
      <c r="H163" s="328"/>
      <c r="I163" s="328"/>
      <c r="J163" s="79"/>
      <c r="K163" s="79"/>
      <c r="L163" s="79"/>
      <c r="M163" s="79"/>
      <c r="N163" s="81"/>
      <c r="O163" s="79"/>
      <c r="P163" s="79"/>
      <c r="Q163" s="79"/>
      <c r="R163" s="79"/>
      <c r="S163" s="79"/>
      <c r="T163" s="79"/>
      <c r="U163" s="79"/>
    </row>
    <row r="164" spans="1:21" ht="15.75" customHeight="1" x14ac:dyDescent="0.25">
      <c r="A164" s="400" t="str">
        <f>'0664'!A164</f>
        <v>funding for which charter students may be eligible.  To calculate the administrative fee to be withheld for schools with more than 250 students, divide the school</v>
      </c>
      <c r="B164" s="381"/>
      <c r="C164" s="381"/>
      <c r="D164" s="381"/>
      <c r="E164" s="381"/>
      <c r="F164" s="381"/>
      <c r="G164" s="381"/>
      <c r="H164" s="381"/>
      <c r="I164" s="381"/>
      <c r="J164" s="79"/>
      <c r="K164" s="79"/>
      <c r="L164" s="79"/>
      <c r="M164" s="79"/>
      <c r="N164" s="81"/>
      <c r="O164" s="79"/>
      <c r="P164" s="79"/>
      <c r="Q164" s="79"/>
      <c r="R164" s="79"/>
      <c r="S164" s="79"/>
      <c r="T164" s="79"/>
      <c r="U164" s="79"/>
    </row>
    <row r="165" spans="1:21" s="79" customFormat="1" ht="15.75" customHeight="1" x14ac:dyDescent="0.2">
      <c r="A165" s="400" t="str">
        <f>'0664'!A165</f>
        <v xml:space="preserve">population into 250. Multiply that fraction times the funds available, then times 2%.  </v>
      </c>
      <c r="B165" s="328"/>
      <c r="C165" s="328"/>
      <c r="D165" s="328"/>
      <c r="E165" s="328"/>
      <c r="F165" s="328"/>
      <c r="G165" s="328"/>
      <c r="H165" s="328"/>
      <c r="I165" s="328"/>
      <c r="N165" s="81"/>
    </row>
    <row r="166" spans="1:21" x14ac:dyDescent="0.25">
      <c r="A166" s="356"/>
      <c r="N166" s="77"/>
    </row>
    <row r="167" spans="1:21" x14ac:dyDescent="0.25">
      <c r="A167" s="398" t="str">
        <f>'0664'!A167</f>
        <v>Other:</v>
      </c>
      <c r="N167" s="77"/>
    </row>
    <row r="168" spans="1:21" x14ac:dyDescent="0.25">
      <c r="A168" s="399" t="str">
        <f>'0664'!A168</f>
        <v>FEFP and categorical funding are recalculated during the year to reflect the revised number of full-time equivalent students reported during the survey periods designated</v>
      </c>
      <c r="N168" s="77"/>
    </row>
    <row r="169" spans="1:21" x14ac:dyDescent="0.25">
      <c r="A169" s="402" t="str">
        <f>'0664'!A169</f>
        <v>by the Commissioner of Education.</v>
      </c>
      <c r="N169" s="77"/>
    </row>
    <row r="170" spans="1:21" x14ac:dyDescent="0.25">
      <c r="A170" s="399" t="str">
        <f>'0664'!A170</f>
        <v>Revenues flow to districts from state sources and from county tax collectors on various distribution schedules.</v>
      </c>
      <c r="N170" s="77"/>
    </row>
    <row r="171" spans="1:21" x14ac:dyDescent="0.25">
      <c r="A171" s="77"/>
      <c r="N171" s="77"/>
    </row>
    <row r="172" spans="1:21" x14ac:dyDescent="0.25">
      <c r="A172" s="77"/>
      <c r="N172" s="77"/>
    </row>
    <row r="173" spans="1:21" x14ac:dyDescent="0.25">
      <c r="A173" s="77"/>
      <c r="N173" s="77"/>
    </row>
    <row r="174" spans="1:21" x14ac:dyDescent="0.25">
      <c r="A174" s="77"/>
      <c r="N174" s="77"/>
    </row>
    <row r="175" spans="1:21" x14ac:dyDescent="0.25">
      <c r="A175" s="77"/>
      <c r="N175" s="77"/>
    </row>
    <row r="176" spans="1:21" x14ac:dyDescent="0.25">
      <c r="A176" s="77"/>
      <c r="N176" s="77"/>
    </row>
    <row r="177" spans="1:14" x14ac:dyDescent="0.25">
      <c r="A177" s="77"/>
      <c r="N177" s="77"/>
    </row>
    <row r="178" spans="1:14" x14ac:dyDescent="0.25">
      <c r="A178" s="77"/>
      <c r="N178" s="77"/>
    </row>
    <row r="179" spans="1:14" x14ac:dyDescent="0.25">
      <c r="A179" s="77"/>
      <c r="N179" s="77"/>
    </row>
    <row r="180" spans="1:14" x14ac:dyDescent="0.25">
      <c r="A180" s="77"/>
      <c r="N180" s="77"/>
    </row>
    <row r="181" spans="1:14" x14ac:dyDescent="0.25">
      <c r="A181" s="77"/>
      <c r="N181" s="77"/>
    </row>
    <row r="182" spans="1:14" x14ac:dyDescent="0.25">
      <c r="A182" s="77"/>
      <c r="N182" s="77"/>
    </row>
    <row r="183" spans="1:14" x14ac:dyDescent="0.25">
      <c r="A183" s="77"/>
      <c r="N183" s="77"/>
    </row>
    <row r="184" spans="1:14" x14ac:dyDescent="0.25">
      <c r="A184" s="77"/>
      <c r="N184" s="77"/>
    </row>
    <row r="185" spans="1:14" x14ac:dyDescent="0.25">
      <c r="A185" s="77"/>
      <c r="N185" s="77"/>
    </row>
    <row r="186" spans="1:14" x14ac:dyDescent="0.25">
      <c r="A186" s="77"/>
      <c r="N186" s="77"/>
    </row>
    <row r="187" spans="1:14" x14ac:dyDescent="0.25">
      <c r="A187" s="77"/>
      <c r="N187" s="77"/>
    </row>
    <row r="188" spans="1:14" x14ac:dyDescent="0.25">
      <c r="A188" s="77"/>
    </row>
    <row r="189" spans="1:14" x14ac:dyDescent="0.25">
      <c r="A189" s="77"/>
    </row>
    <row r="190" spans="1:14" x14ac:dyDescent="0.25">
      <c r="A190" s="77"/>
    </row>
    <row r="191" spans="1:14" x14ac:dyDescent="0.25">
      <c r="A191" s="77"/>
    </row>
    <row r="192" spans="1:14" x14ac:dyDescent="0.25">
      <c r="A192" s="77"/>
    </row>
    <row r="193" spans="1:1" x14ac:dyDescent="0.25">
      <c r="A193" s="77"/>
    </row>
    <row r="194" spans="1:1" x14ac:dyDescent="0.25">
      <c r="A194" s="77"/>
    </row>
    <row r="195" spans="1:1" x14ac:dyDescent="0.25">
      <c r="A195" s="77"/>
    </row>
    <row r="196" spans="1:1" x14ac:dyDescent="0.25">
      <c r="A196" s="77"/>
    </row>
    <row r="197" spans="1:1" x14ac:dyDescent="0.25">
      <c r="A197" s="77"/>
    </row>
    <row r="198" spans="1:1" x14ac:dyDescent="0.25">
      <c r="A198" s="77"/>
    </row>
    <row r="199" spans="1:1" x14ac:dyDescent="0.25">
      <c r="A199" s="77"/>
    </row>
    <row r="200" spans="1:1" x14ac:dyDescent="0.25">
      <c r="A200" s="77"/>
    </row>
    <row r="201" spans="1:1" x14ac:dyDescent="0.25">
      <c r="A201" s="77"/>
    </row>
    <row r="202" spans="1:1" x14ac:dyDescent="0.25">
      <c r="A202" s="77"/>
    </row>
    <row r="203" spans="1:1" x14ac:dyDescent="0.25">
      <c r="A203" s="77"/>
    </row>
    <row r="204" spans="1:1" x14ac:dyDescent="0.25">
      <c r="A204" s="77"/>
    </row>
    <row r="205" spans="1:1" x14ac:dyDescent="0.25">
      <c r="A205" s="77"/>
    </row>
    <row r="206" spans="1:1" x14ac:dyDescent="0.25">
      <c r="A206" s="77"/>
    </row>
  </sheetData>
  <mergeCells count="266">
    <mergeCell ref="A112:C112"/>
    <mergeCell ref="F112:H112"/>
    <mergeCell ref="N112:P112"/>
    <mergeCell ref="A109:B109"/>
    <mergeCell ref="F109:G109"/>
    <mergeCell ref="N109:O109"/>
    <mergeCell ref="P109:Q109"/>
    <mergeCell ref="N139:U139"/>
    <mergeCell ref="N119:U119"/>
    <mergeCell ref="N113:P113"/>
    <mergeCell ref="A113:C113"/>
    <mergeCell ref="F113:H113"/>
    <mergeCell ref="N114:T114"/>
    <mergeCell ref="A115:H115"/>
    <mergeCell ref="A119:G119"/>
    <mergeCell ref="N120:U120"/>
    <mergeCell ref="A120:G120"/>
    <mergeCell ref="R109:S109"/>
    <mergeCell ref="A110:B110"/>
    <mergeCell ref="N110:O110"/>
    <mergeCell ref="A107:B107"/>
    <mergeCell ref="F107:G107"/>
    <mergeCell ref="N107:O107"/>
    <mergeCell ref="P107:Q107"/>
    <mergeCell ref="R107:S107"/>
    <mergeCell ref="A108:B108"/>
    <mergeCell ref="F108:G108"/>
    <mergeCell ref="N108:O108"/>
    <mergeCell ref="P108:Q108"/>
    <mergeCell ref="R108:S108"/>
    <mergeCell ref="A103:C103"/>
    <mergeCell ref="F103:I103"/>
    <mergeCell ref="N103:U103"/>
    <mergeCell ref="C104:E104"/>
    <mergeCell ref="F105:G105"/>
    <mergeCell ref="A106:B106"/>
    <mergeCell ref="F106:G106"/>
    <mergeCell ref="N106:O106"/>
    <mergeCell ref="P106:Q106"/>
    <mergeCell ref="R106:S106"/>
    <mergeCell ref="A99:B99"/>
    <mergeCell ref="N99:O99"/>
    <mergeCell ref="P99:R99"/>
    <mergeCell ref="A100:B100"/>
    <mergeCell ref="N100:O100"/>
    <mergeCell ref="P100:R100"/>
    <mergeCell ref="C91:D91"/>
    <mergeCell ref="P91:Q91"/>
    <mergeCell ref="C92:D92"/>
    <mergeCell ref="P92:Q92"/>
    <mergeCell ref="C93:D93"/>
    <mergeCell ref="P93:T93"/>
    <mergeCell ref="A94:I94"/>
    <mergeCell ref="N94:U94"/>
    <mergeCell ref="F96:I96"/>
    <mergeCell ref="N96:P96"/>
    <mergeCell ref="Q96:T96"/>
    <mergeCell ref="A87:I87"/>
    <mergeCell ref="N87:U87"/>
    <mergeCell ref="C88:D88"/>
    <mergeCell ref="C89:D89"/>
    <mergeCell ref="N89:O89"/>
    <mergeCell ref="P89:Q89"/>
    <mergeCell ref="R89:U89"/>
    <mergeCell ref="C90:D90"/>
    <mergeCell ref="P90:Q90"/>
    <mergeCell ref="A80:C80"/>
    <mergeCell ref="N80:P80"/>
    <mergeCell ref="A85:C85"/>
    <mergeCell ref="N85:P85"/>
    <mergeCell ref="F73:H73"/>
    <mergeCell ref="N73:T73"/>
    <mergeCell ref="N74:T74"/>
    <mergeCell ref="A78:C78"/>
    <mergeCell ref="N78:P78"/>
    <mergeCell ref="A79:C79"/>
    <mergeCell ref="A69:C69"/>
    <mergeCell ref="N69:P69"/>
    <mergeCell ref="N79:P79"/>
    <mergeCell ref="A76:C76"/>
    <mergeCell ref="N76:P76"/>
    <mergeCell ref="A77:C77"/>
    <mergeCell ref="A70:C70"/>
    <mergeCell ref="A71:C71"/>
    <mergeCell ref="N71:P71"/>
    <mergeCell ref="A72:C72"/>
    <mergeCell ref="N77:P77"/>
    <mergeCell ref="N72:P72"/>
    <mergeCell ref="A65:B65"/>
    <mergeCell ref="D65:G65"/>
    <mergeCell ref="N65:O65"/>
    <mergeCell ref="Q65:S65"/>
    <mergeCell ref="T65:U65"/>
    <mergeCell ref="N66:S66"/>
    <mergeCell ref="T66:U66"/>
    <mergeCell ref="A68:C68"/>
    <mergeCell ref="N68:P68"/>
    <mergeCell ref="A62:B62"/>
    <mergeCell ref="D62:G62"/>
    <mergeCell ref="N62:O62"/>
    <mergeCell ref="Q62:S62"/>
    <mergeCell ref="T62:U62"/>
    <mergeCell ref="N63:S63"/>
    <mergeCell ref="T63:U63"/>
    <mergeCell ref="A64:I64"/>
    <mergeCell ref="N64:U64"/>
    <mergeCell ref="A59:B59"/>
    <mergeCell ref="F59:H59"/>
    <mergeCell ref="N59:O59"/>
    <mergeCell ref="P59:Q59"/>
    <mergeCell ref="R59:T59"/>
    <mergeCell ref="A60:I60"/>
    <mergeCell ref="N60:U60"/>
    <mergeCell ref="A61:I61"/>
    <mergeCell ref="N61:U61"/>
    <mergeCell ref="A50:B58"/>
    <mergeCell ref="N50:O58"/>
    <mergeCell ref="P50:Q50"/>
    <mergeCell ref="P51:Q51"/>
    <mergeCell ref="P52:Q52"/>
    <mergeCell ref="P53:Q53"/>
    <mergeCell ref="P54:Q54"/>
    <mergeCell ref="P55:Q55"/>
    <mergeCell ref="P56:Q56"/>
    <mergeCell ref="P57:Q57"/>
    <mergeCell ref="P58:Q58"/>
    <mergeCell ref="A42:B42"/>
    <mergeCell ref="N42:O42"/>
    <mergeCell ref="P42:T42"/>
    <mergeCell ref="N43:Q43"/>
    <mergeCell ref="S43:T43"/>
    <mergeCell ref="N45:Q45"/>
    <mergeCell ref="S45:T45"/>
    <mergeCell ref="N49:O49"/>
    <mergeCell ref="P49:Q49"/>
    <mergeCell ref="A39:B39"/>
    <mergeCell ref="N39:O39"/>
    <mergeCell ref="P39:T39"/>
    <mergeCell ref="A40:B40"/>
    <mergeCell ref="N40:O40"/>
    <mergeCell ref="P40:T40"/>
    <mergeCell ref="A41:B41"/>
    <mergeCell ref="N41:O41"/>
    <mergeCell ref="P41:T41"/>
    <mergeCell ref="N34:T34"/>
    <mergeCell ref="A36:B36"/>
    <mergeCell ref="N36:O36"/>
    <mergeCell ref="P36:T36"/>
    <mergeCell ref="A37:B37"/>
    <mergeCell ref="N37:O37"/>
    <mergeCell ref="P37:T37"/>
    <mergeCell ref="F33:H36"/>
    <mergeCell ref="A38:B38"/>
    <mergeCell ref="N38:O38"/>
    <mergeCell ref="P38:T38"/>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5:B25"/>
    <mergeCell ref="A27:B27"/>
    <mergeCell ref="F27:G27"/>
    <mergeCell ref="N27:O27"/>
    <mergeCell ref="P27:Q27"/>
    <mergeCell ref="R27:S27"/>
    <mergeCell ref="A24:B24"/>
    <mergeCell ref="F24:G24"/>
    <mergeCell ref="N24:O24"/>
    <mergeCell ref="P24:Q24"/>
    <mergeCell ref="R24:S24"/>
    <mergeCell ref="A23:B23"/>
    <mergeCell ref="F23:G23"/>
    <mergeCell ref="F25:G25"/>
    <mergeCell ref="N25:O25"/>
    <mergeCell ref="P25:Q25"/>
    <mergeCell ref="R25:S25"/>
    <mergeCell ref="A22:B22"/>
    <mergeCell ref="F22:G22"/>
    <mergeCell ref="N22:O22"/>
    <mergeCell ref="P22:Q22"/>
    <mergeCell ref="R22:S22"/>
    <mergeCell ref="A21:B21"/>
    <mergeCell ref="F21:G21"/>
    <mergeCell ref="N23:O23"/>
    <mergeCell ref="P23:Q23"/>
    <mergeCell ref="R23:S23"/>
    <mergeCell ref="A20:B20"/>
    <mergeCell ref="F20:G20"/>
    <mergeCell ref="N20:O20"/>
    <mergeCell ref="P20:Q20"/>
    <mergeCell ref="R20:S20"/>
    <mergeCell ref="A19:B19"/>
    <mergeCell ref="F19:G19"/>
    <mergeCell ref="N21:O21"/>
    <mergeCell ref="P21:Q21"/>
    <mergeCell ref="R21:S21"/>
    <mergeCell ref="A18:B18"/>
    <mergeCell ref="F18:G18"/>
    <mergeCell ref="N18:O18"/>
    <mergeCell ref="P18:Q18"/>
    <mergeCell ref="R18:S18"/>
    <mergeCell ref="A17:B17"/>
    <mergeCell ref="F17:G17"/>
    <mergeCell ref="N19:O19"/>
    <mergeCell ref="P19:Q19"/>
    <mergeCell ref="R19:S19"/>
    <mergeCell ref="A16:B16"/>
    <mergeCell ref="F16:G16"/>
    <mergeCell ref="N16:O16"/>
    <mergeCell ref="P16:Q16"/>
    <mergeCell ref="R16:S16"/>
    <mergeCell ref="A15:B15"/>
    <mergeCell ref="F15:G15"/>
    <mergeCell ref="N17:O17"/>
    <mergeCell ref="P17:Q17"/>
    <mergeCell ref="R17:S17"/>
    <mergeCell ref="A14:B14"/>
    <mergeCell ref="F14:G14"/>
    <mergeCell ref="N14:O14"/>
    <mergeCell ref="P14:Q14"/>
    <mergeCell ref="R14:S14"/>
    <mergeCell ref="A13:B13"/>
    <mergeCell ref="F13:G13"/>
    <mergeCell ref="N15:O15"/>
    <mergeCell ref="P15:Q15"/>
    <mergeCell ref="R15:S15"/>
    <mergeCell ref="A12:B12"/>
    <mergeCell ref="F12:G12"/>
    <mergeCell ref="N12:O12"/>
    <mergeCell ref="P12:Q12"/>
    <mergeCell ref="R12:S12"/>
    <mergeCell ref="A11:B11"/>
    <mergeCell ref="F11:G11"/>
    <mergeCell ref="N13:O13"/>
    <mergeCell ref="P13:Q13"/>
    <mergeCell ref="R13:S13"/>
    <mergeCell ref="N8:O8"/>
    <mergeCell ref="P8:Q8"/>
    <mergeCell ref="R8:S8"/>
    <mergeCell ref="T8:U8"/>
    <mergeCell ref="F10:G10"/>
    <mergeCell ref="R10:S10"/>
    <mergeCell ref="A7:I7"/>
    <mergeCell ref="N11:O11"/>
    <mergeCell ref="P11:Q11"/>
    <mergeCell ref="R11:S11"/>
    <mergeCell ref="O1:U1"/>
    <mergeCell ref="N2:U2"/>
    <mergeCell ref="N3:U3"/>
    <mergeCell ref="A4:B4"/>
    <mergeCell ref="C4:E4"/>
    <mergeCell ref="N4:O4"/>
    <mergeCell ref="P4:Q4"/>
    <mergeCell ref="B1:I1"/>
    <mergeCell ref="N7:U7"/>
  </mergeCells>
  <pageMargins left="0.1" right="0.1" top="0.5" bottom="0.5" header="0" footer="0.1"/>
  <pageSetup scale="70" fitToHeight="3" orientation="portrait" r:id="rId1"/>
  <headerFooter alignWithMargins="0">
    <oddFooter>&amp;R&amp;P of &amp;N</oddFooter>
  </headerFooter>
  <rowBreaks count="1" manualBreakCount="1">
    <brk id="138" max="16383" man="1"/>
  </rowBreaks>
  <colBreaks count="1" manualBreakCount="1">
    <brk id="9"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6">
    <tabColor rgb="FFCCFFCC"/>
  </sheetPr>
  <dimension ref="A1:U206"/>
  <sheetViews>
    <sheetView showGridLines="0" zoomScaleNormal="100" workbookViewId="0">
      <pane ySplit="1" topLeftCell="A11" activePane="bottomLeft" state="frozen"/>
      <selection activeCell="I9" sqref="I9"/>
      <selection pane="bottomLeft" activeCell="F52" sqref="F52"/>
    </sheetView>
  </sheetViews>
  <sheetFormatPr defaultRowHeight="15.75" x14ac:dyDescent="0.25"/>
  <cols>
    <col min="1" max="1" width="10.28515625" style="72"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1" width="11.5703125" style="3" bestFit="1" customWidth="1"/>
    <col min="12" max="12" width="10.28515625" style="3" bestFit="1" customWidth="1"/>
    <col min="13" max="13" width="9.140625" style="3"/>
    <col min="14" max="14" width="10.28515625" style="72"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5">
        <v>50</v>
      </c>
      <c r="B1" s="441" t="s">
        <v>17</v>
      </c>
      <c r="C1" s="442"/>
      <c r="D1" s="442"/>
      <c r="E1" s="442"/>
      <c r="F1" s="442"/>
      <c r="G1" s="442"/>
      <c r="H1" s="442"/>
      <c r="I1" s="442"/>
      <c r="J1" s="157"/>
      <c r="K1" s="157"/>
      <c r="L1" s="157"/>
      <c r="N1" s="85">
        <f>A1</f>
        <v>50</v>
      </c>
      <c r="O1" s="527" t="s">
        <v>17</v>
      </c>
      <c r="P1" s="528"/>
      <c r="Q1" s="528"/>
      <c r="R1" s="528"/>
      <c r="S1" s="528"/>
      <c r="T1" s="528"/>
      <c r="U1" s="528"/>
    </row>
    <row r="2" spans="1:21" ht="21" x14ac:dyDescent="0.35">
      <c r="A2" s="1" t="s">
        <v>374</v>
      </c>
      <c r="B2" s="2"/>
      <c r="C2" s="2"/>
      <c r="D2" s="2"/>
      <c r="E2" s="2"/>
      <c r="F2" s="2"/>
      <c r="G2" s="2"/>
      <c r="H2" s="2"/>
      <c r="I2" s="2"/>
      <c r="N2" s="529" t="s">
        <v>23</v>
      </c>
      <c r="O2" s="529"/>
      <c r="P2" s="529"/>
      <c r="Q2" s="529"/>
      <c r="R2" s="529"/>
      <c r="S2" s="529"/>
      <c r="T2" s="529"/>
      <c r="U2" s="529"/>
    </row>
    <row r="3" spans="1:21" x14ac:dyDescent="0.25">
      <c r="A3" s="84" t="str">
        <f>'0664'!A3</f>
        <v>Based on the FLDOE 2022-23 FEFP Third Calculation</v>
      </c>
      <c r="N3" s="485" t="str">
        <f>A3</f>
        <v>Based on the FLDOE 2022-23 FEFP Third Calculation</v>
      </c>
      <c r="O3" s="485"/>
      <c r="P3" s="485"/>
      <c r="Q3" s="485"/>
      <c r="R3" s="485"/>
      <c r="S3" s="485"/>
      <c r="T3" s="485"/>
      <c r="U3" s="485"/>
    </row>
    <row r="4" spans="1:21" x14ac:dyDescent="0.25">
      <c r="A4" s="443" t="s">
        <v>0</v>
      </c>
      <c r="B4" s="443"/>
      <c r="C4" s="444" t="s">
        <v>9</v>
      </c>
      <c r="D4" s="444"/>
      <c r="E4" s="444"/>
      <c r="F4" s="4" t="str">
        <f>'0664'!F4</f>
        <v>Apr 2023</v>
      </c>
      <c r="G4" s="4"/>
      <c r="H4" s="4"/>
      <c r="I4" s="4"/>
      <c r="N4" s="530" t="s">
        <v>0</v>
      </c>
      <c r="O4" s="530"/>
      <c r="P4" s="531" t="str">
        <f>C4</f>
        <v>Palm Beach</v>
      </c>
      <c r="Q4" s="531"/>
      <c r="R4" s="5"/>
      <c r="S4" s="5"/>
      <c r="T4" s="5"/>
      <c r="U4" s="5"/>
    </row>
    <row r="5" spans="1:21" ht="12" customHeight="1" thickBot="1" x14ac:dyDescent="0.3">
      <c r="A5" s="262"/>
      <c r="B5" s="262"/>
      <c r="C5" s="253"/>
      <c r="D5" s="253"/>
      <c r="E5" s="253"/>
      <c r="F5" s="254"/>
      <c r="G5" s="254"/>
      <c r="H5" s="254"/>
      <c r="I5" s="254"/>
      <c r="N5" s="86"/>
      <c r="O5" s="86"/>
      <c r="P5" s="6"/>
      <c r="Q5" s="6"/>
      <c r="R5" s="5"/>
      <c r="S5" s="5"/>
      <c r="T5" s="5"/>
      <c r="U5" s="5"/>
    </row>
    <row r="6" spans="1:21" ht="12" customHeight="1" x14ac:dyDescent="0.25">
      <c r="A6" s="150"/>
      <c r="B6" s="150"/>
      <c r="C6" s="261"/>
      <c r="D6" s="261"/>
      <c r="E6" s="261"/>
      <c r="F6" s="4"/>
      <c r="G6" s="4"/>
      <c r="H6" s="4"/>
      <c r="I6" s="4"/>
      <c r="N6" s="86"/>
      <c r="O6" s="86"/>
      <c r="P6" s="6"/>
      <c r="Q6" s="6"/>
      <c r="R6" s="5"/>
      <c r="S6" s="5"/>
      <c r="T6" s="5"/>
      <c r="U6" s="5"/>
    </row>
    <row r="7" spans="1:21" x14ac:dyDescent="0.25">
      <c r="A7" s="445" t="str">
        <f>'0664'!A7:I7</f>
        <v>1.   2022-23 FEFP State and Local Funding</v>
      </c>
      <c r="B7" s="533"/>
      <c r="C7" s="533"/>
      <c r="D7" s="533"/>
      <c r="E7" s="533"/>
      <c r="F7" s="533"/>
      <c r="G7" s="533"/>
      <c r="H7" s="533"/>
      <c r="I7" s="533"/>
      <c r="N7" s="530" t="s">
        <v>86</v>
      </c>
      <c r="O7" s="530"/>
      <c r="P7" s="530"/>
      <c r="Q7" s="530"/>
      <c r="R7" s="530"/>
      <c r="S7" s="530"/>
      <c r="T7" s="530"/>
      <c r="U7" s="530"/>
    </row>
    <row r="8" spans="1:21" x14ac:dyDescent="0.25">
      <c r="A8" s="87"/>
      <c r="B8" s="88" t="s">
        <v>123</v>
      </c>
      <c r="C8" s="334">
        <f>'0664'!C8</f>
        <v>4587.3999999999996</v>
      </c>
      <c r="D8" s="89"/>
      <c r="E8" s="90"/>
      <c r="F8" s="87"/>
      <c r="G8" s="88" t="s">
        <v>122</v>
      </c>
      <c r="H8" s="320">
        <f>'0664'!H8</f>
        <v>1.0438000000000001</v>
      </c>
      <c r="I8" s="78"/>
      <c r="N8" s="534" t="s">
        <v>10</v>
      </c>
      <c r="O8" s="534"/>
      <c r="P8" s="535">
        <v>4154.45</v>
      </c>
      <c r="Q8" s="535"/>
      <c r="R8" s="518" t="s">
        <v>11</v>
      </c>
      <c r="S8" s="518"/>
      <c r="T8" s="519">
        <f>H8</f>
        <v>1.0438000000000001</v>
      </c>
      <c r="U8" s="519"/>
    </row>
    <row r="9" spans="1:21" x14ac:dyDescent="0.25">
      <c r="A9" s="7"/>
      <c r="B9" s="44" t="s">
        <v>370</v>
      </c>
      <c r="C9" s="41" t="s">
        <v>370</v>
      </c>
      <c r="D9" s="91" t="s">
        <v>370</v>
      </c>
      <c r="E9" s="8"/>
      <c r="F9" s="9"/>
      <c r="G9" s="9"/>
      <c r="H9" s="10"/>
      <c r="I9" s="340" t="str">
        <f>'0664'!I9</f>
        <v>2022-23</v>
      </c>
      <c r="J9" s="283"/>
      <c r="K9" s="68"/>
      <c r="L9" s="68"/>
      <c r="N9" s="12"/>
      <c r="O9" s="12"/>
      <c r="P9" s="13"/>
      <c r="Q9" s="13"/>
      <c r="R9" s="14"/>
      <c r="S9" s="14"/>
      <c r="T9" s="15"/>
      <c r="U9" s="405" t="s">
        <v>405</v>
      </c>
    </row>
    <row r="10" spans="1:21" x14ac:dyDescent="0.25">
      <c r="A10" s="7"/>
      <c r="B10" s="7"/>
      <c r="C10" s="91" t="s">
        <v>463</v>
      </c>
      <c r="D10" s="371" t="s">
        <v>464</v>
      </c>
      <c r="E10" s="92" t="s">
        <v>8</v>
      </c>
      <c r="F10" s="446" t="s">
        <v>1</v>
      </c>
      <c r="G10" s="446"/>
      <c r="H10" s="10" t="s">
        <v>73</v>
      </c>
      <c r="I10" s="11" t="s">
        <v>36</v>
      </c>
      <c r="J10" s="285"/>
      <c r="K10" s="284"/>
      <c r="L10" s="284"/>
      <c r="N10" s="12"/>
      <c r="O10" s="12"/>
      <c r="P10" s="13"/>
      <c r="Q10" s="13"/>
      <c r="R10" s="520" t="s">
        <v>1</v>
      </c>
      <c r="S10" s="520"/>
      <c r="T10" s="15" t="s">
        <v>73</v>
      </c>
      <c r="U10" s="16" t="s">
        <v>36</v>
      </c>
    </row>
    <row r="11" spans="1:21" x14ac:dyDescent="0.25">
      <c r="A11" s="447" t="s">
        <v>1</v>
      </c>
      <c r="B11" s="447"/>
      <c r="C11" s="364" t="s">
        <v>2</v>
      </c>
      <c r="D11" s="362" t="s">
        <v>2</v>
      </c>
      <c r="E11" s="362" t="s">
        <v>2</v>
      </c>
      <c r="F11" s="448" t="s">
        <v>76</v>
      </c>
      <c r="G11" s="448"/>
      <c r="H11" s="17" t="s">
        <v>72</v>
      </c>
      <c r="I11" s="18" t="s">
        <v>75</v>
      </c>
      <c r="J11" s="283"/>
      <c r="K11" s="284"/>
      <c r="L11" s="284"/>
      <c r="N11" s="510" t="s">
        <v>1</v>
      </c>
      <c r="O11" s="510"/>
      <c r="P11" s="521" t="s">
        <v>24</v>
      </c>
      <c r="Q11" s="521"/>
      <c r="R11" s="522" t="s">
        <v>76</v>
      </c>
      <c r="S11" s="522"/>
      <c r="T11" s="19" t="s">
        <v>72</v>
      </c>
      <c r="U11" s="20" t="s">
        <v>75</v>
      </c>
    </row>
    <row r="12" spans="1:21" x14ac:dyDescent="0.25">
      <c r="A12" s="449" t="s">
        <v>47</v>
      </c>
      <c r="B12" s="449"/>
      <c r="C12" s="94"/>
      <c r="D12" s="94"/>
      <c r="E12" s="95" t="s">
        <v>48</v>
      </c>
      <c r="F12" s="450" t="s">
        <v>49</v>
      </c>
      <c r="G12" s="450"/>
      <c r="H12" s="21" t="s">
        <v>50</v>
      </c>
      <c r="I12" s="22" t="s">
        <v>51</v>
      </c>
      <c r="K12" s="284"/>
      <c r="L12" s="284"/>
      <c r="N12" s="523" t="s">
        <v>47</v>
      </c>
      <c r="O12" s="523"/>
      <c r="P12" s="524" t="s">
        <v>48</v>
      </c>
      <c r="Q12" s="524"/>
      <c r="R12" s="525" t="s">
        <v>49</v>
      </c>
      <c r="S12" s="525"/>
      <c r="T12" s="23" t="s">
        <v>50</v>
      </c>
      <c r="U12" s="24" t="s">
        <v>51</v>
      </c>
    </row>
    <row r="13" spans="1:21" x14ac:dyDescent="0.25">
      <c r="A13" s="451" t="s">
        <v>29</v>
      </c>
      <c r="B13" s="451"/>
      <c r="C13" s="165">
        <v>46.8</v>
      </c>
      <c r="D13" s="163">
        <v>46.52</v>
      </c>
      <c r="E13" s="210">
        <f>IF(D$29=0,C13*2,C13+D13)</f>
        <v>93.32</v>
      </c>
      <c r="F13" s="537">
        <f>'0664'!F13:G13</f>
        <v>1.1259999999999999</v>
      </c>
      <c r="G13" s="537"/>
      <c r="H13" s="167">
        <f>ROUND(E13*F13,4)</f>
        <v>105.0783</v>
      </c>
      <c r="I13" s="119">
        <f t="shared" ref="I13:I28" si="0">ROUND(ROUND(H13*$C$8,4)*($H$8),2)</f>
        <v>503149.38</v>
      </c>
      <c r="N13" s="512" t="s">
        <v>29</v>
      </c>
      <c r="O13" s="512"/>
      <c r="P13" s="513">
        <f t="shared" ref="P13:P28" si="1">IF($H$120=1,E13,0)</f>
        <v>0</v>
      </c>
      <c r="Q13" s="513"/>
      <c r="R13" s="526">
        <v>1</v>
      </c>
      <c r="S13" s="526"/>
      <c r="T13" s="98">
        <f>ROUND(P13*R13,4)</f>
        <v>0</v>
      </c>
      <c r="U13" s="99">
        <f t="shared" ref="U13:U28" si="2">ROUND(ROUND(T13*$C$8,4)*($H$8),0)</f>
        <v>0</v>
      </c>
    </row>
    <row r="14" spans="1:21" x14ac:dyDescent="0.25">
      <c r="A14" s="453" t="s">
        <v>30</v>
      </c>
      <c r="B14" s="453"/>
      <c r="C14" s="165">
        <v>3.5</v>
      </c>
      <c r="D14" s="165">
        <v>3.41</v>
      </c>
      <c r="E14" s="125">
        <f t="shared" ref="E14:E28" si="3">IF(D$29=0,C14*2,C14+D14)</f>
        <v>6.91</v>
      </c>
      <c r="F14" s="532">
        <f>'0664'!F14:G14</f>
        <v>1.1259999999999999</v>
      </c>
      <c r="G14" s="532"/>
      <c r="H14" s="83">
        <f t="shared" ref="H14:H28" si="4">ROUND(E14*F14,4)</f>
        <v>7.7807000000000004</v>
      </c>
      <c r="I14" s="104">
        <f t="shared" si="0"/>
        <v>37256.54</v>
      </c>
      <c r="J14" s="68" t="str">
        <f>IF(ROUND(E14,2)=ROUND(SUM(E50:E52),2)," ","CHECK PK-3 LINES BELOW")</f>
        <v xml:space="preserve"> </v>
      </c>
      <c r="N14" s="479" t="s">
        <v>30</v>
      </c>
      <c r="O14" s="479"/>
      <c r="P14" s="513">
        <f t="shared" si="1"/>
        <v>0</v>
      </c>
      <c r="Q14" s="513"/>
      <c r="R14" s="517">
        <v>1</v>
      </c>
      <c r="S14" s="517"/>
      <c r="T14" s="98">
        <f t="shared" ref="T14:T28" si="5">ROUND(P14*R14,4)</f>
        <v>0</v>
      </c>
      <c r="U14" s="99">
        <f t="shared" si="2"/>
        <v>0</v>
      </c>
    </row>
    <row r="15" spans="1:21" x14ac:dyDescent="0.25">
      <c r="A15" s="453" t="s">
        <v>31</v>
      </c>
      <c r="B15" s="453"/>
      <c r="C15" s="165">
        <v>26.41</v>
      </c>
      <c r="D15" s="165">
        <v>26.78</v>
      </c>
      <c r="E15" s="125">
        <f t="shared" si="3"/>
        <v>53.19</v>
      </c>
      <c r="F15" s="532">
        <f>'0664'!F15:G15</f>
        <v>1</v>
      </c>
      <c r="G15" s="532"/>
      <c r="H15" s="83">
        <f t="shared" si="4"/>
        <v>53.19</v>
      </c>
      <c r="I15" s="104">
        <f t="shared" si="0"/>
        <v>254691.17</v>
      </c>
      <c r="N15" s="479" t="s">
        <v>31</v>
      </c>
      <c r="O15" s="479"/>
      <c r="P15" s="513">
        <f t="shared" si="1"/>
        <v>0</v>
      </c>
      <c r="Q15" s="513"/>
      <c r="R15" s="517">
        <v>1</v>
      </c>
      <c r="S15" s="517"/>
      <c r="T15" s="98">
        <f t="shared" si="5"/>
        <v>0</v>
      </c>
      <c r="U15" s="99">
        <f t="shared" si="2"/>
        <v>0</v>
      </c>
    </row>
    <row r="16" spans="1:21" x14ac:dyDescent="0.25">
      <c r="A16" s="453" t="s">
        <v>32</v>
      </c>
      <c r="B16" s="453"/>
      <c r="C16" s="165">
        <v>1.5</v>
      </c>
      <c r="D16" s="165">
        <v>1.5</v>
      </c>
      <c r="E16" s="125">
        <f t="shared" si="3"/>
        <v>3</v>
      </c>
      <c r="F16" s="532">
        <f>'0664'!F16:G16</f>
        <v>1</v>
      </c>
      <c r="G16" s="532"/>
      <c r="H16" s="83">
        <f t="shared" si="4"/>
        <v>3</v>
      </c>
      <c r="I16" s="104">
        <f t="shared" si="0"/>
        <v>14364.98</v>
      </c>
      <c r="J16" s="68" t="str">
        <f>IF(ROUND(E16,2)=ROUND(SUM(E53:E55),2)," ","CHECK 4-8 LINES BELOW")</f>
        <v xml:space="preserve"> </v>
      </c>
      <c r="N16" s="479" t="s">
        <v>32</v>
      </c>
      <c r="O16" s="479"/>
      <c r="P16" s="513">
        <f t="shared" si="1"/>
        <v>0</v>
      </c>
      <c r="Q16" s="513"/>
      <c r="R16" s="517">
        <v>1</v>
      </c>
      <c r="S16" s="517"/>
      <c r="T16" s="98">
        <f t="shared" si="5"/>
        <v>0</v>
      </c>
      <c r="U16" s="99">
        <f t="shared" si="2"/>
        <v>0</v>
      </c>
    </row>
    <row r="17" spans="1:21" x14ac:dyDescent="0.25">
      <c r="A17" s="453" t="s">
        <v>33</v>
      </c>
      <c r="B17" s="453"/>
      <c r="C17" s="165">
        <v>0</v>
      </c>
      <c r="D17" s="165">
        <v>0</v>
      </c>
      <c r="E17" s="125">
        <f t="shared" si="3"/>
        <v>0</v>
      </c>
      <c r="F17" s="532">
        <f>'0664'!F17:G17</f>
        <v>0.999</v>
      </c>
      <c r="G17" s="532"/>
      <c r="H17" s="83">
        <f t="shared" si="4"/>
        <v>0</v>
      </c>
      <c r="I17" s="104">
        <f t="shared" si="0"/>
        <v>0</v>
      </c>
      <c r="N17" s="479" t="s">
        <v>33</v>
      </c>
      <c r="O17" s="479"/>
      <c r="P17" s="513">
        <f t="shared" si="1"/>
        <v>0</v>
      </c>
      <c r="Q17" s="513"/>
      <c r="R17" s="517">
        <v>1</v>
      </c>
      <c r="S17" s="517"/>
      <c r="T17" s="98">
        <f t="shared" si="5"/>
        <v>0</v>
      </c>
      <c r="U17" s="99">
        <f t="shared" si="2"/>
        <v>0</v>
      </c>
    </row>
    <row r="18" spans="1:21" x14ac:dyDescent="0.25">
      <c r="A18" s="453" t="s">
        <v>34</v>
      </c>
      <c r="B18" s="453"/>
      <c r="C18" s="165">
        <v>0</v>
      </c>
      <c r="D18" s="165">
        <v>0</v>
      </c>
      <c r="E18" s="125">
        <f t="shared" si="3"/>
        <v>0</v>
      </c>
      <c r="F18" s="532">
        <f>'0664'!F18:G18</f>
        <v>0.999</v>
      </c>
      <c r="G18" s="532"/>
      <c r="H18" s="83">
        <f t="shared" si="4"/>
        <v>0</v>
      </c>
      <c r="I18" s="104">
        <f t="shared" si="0"/>
        <v>0</v>
      </c>
      <c r="J18" s="68" t="str">
        <f>IF(ROUND(E18,2)=ROUND(SUM(E56:E58),2)," ","CHECK 4-8 LINES BELOW")</f>
        <v xml:space="preserve"> </v>
      </c>
      <c r="N18" s="479" t="s">
        <v>34</v>
      </c>
      <c r="O18" s="479"/>
      <c r="P18" s="513">
        <f t="shared" si="1"/>
        <v>0</v>
      </c>
      <c r="Q18" s="513"/>
      <c r="R18" s="517">
        <v>1</v>
      </c>
      <c r="S18" s="517"/>
      <c r="T18" s="98">
        <f t="shared" si="5"/>
        <v>0</v>
      </c>
      <c r="U18" s="101">
        <f t="shared" si="2"/>
        <v>0</v>
      </c>
    </row>
    <row r="19" spans="1:21" x14ac:dyDescent="0.25">
      <c r="A19" s="453" t="s">
        <v>108</v>
      </c>
      <c r="B19" s="453"/>
      <c r="C19" s="165">
        <v>0</v>
      </c>
      <c r="D19" s="165">
        <v>0</v>
      </c>
      <c r="E19" s="125">
        <f t="shared" si="3"/>
        <v>0</v>
      </c>
      <c r="F19" s="532">
        <f>'0664'!F19:G19</f>
        <v>3.6739999999999999</v>
      </c>
      <c r="G19" s="532"/>
      <c r="H19" s="83">
        <f t="shared" si="4"/>
        <v>0</v>
      </c>
      <c r="I19" s="104">
        <f t="shared" si="0"/>
        <v>0</v>
      </c>
      <c r="N19" s="479" t="s">
        <v>108</v>
      </c>
      <c r="O19" s="479"/>
      <c r="P19" s="513">
        <f t="shared" si="1"/>
        <v>0</v>
      </c>
      <c r="Q19" s="513"/>
      <c r="R19" s="517">
        <v>1</v>
      </c>
      <c r="S19" s="517"/>
      <c r="T19" s="98">
        <f t="shared" si="5"/>
        <v>0</v>
      </c>
      <c r="U19" s="99">
        <f t="shared" si="2"/>
        <v>0</v>
      </c>
    </row>
    <row r="20" spans="1:21" x14ac:dyDescent="0.25">
      <c r="A20" s="453" t="s">
        <v>109</v>
      </c>
      <c r="B20" s="453"/>
      <c r="C20" s="165">
        <v>0</v>
      </c>
      <c r="D20" s="165">
        <v>0</v>
      </c>
      <c r="E20" s="125">
        <f t="shared" si="3"/>
        <v>0</v>
      </c>
      <c r="F20" s="532">
        <f>'0664'!F20:G20</f>
        <v>3.6739999999999999</v>
      </c>
      <c r="G20" s="532"/>
      <c r="H20" s="83">
        <f t="shared" si="4"/>
        <v>0</v>
      </c>
      <c r="I20" s="104">
        <f t="shared" si="0"/>
        <v>0</v>
      </c>
      <c r="N20" s="479" t="s">
        <v>109</v>
      </c>
      <c r="O20" s="479"/>
      <c r="P20" s="513">
        <f t="shared" si="1"/>
        <v>0</v>
      </c>
      <c r="Q20" s="513"/>
      <c r="R20" s="517">
        <v>1</v>
      </c>
      <c r="S20" s="517"/>
      <c r="T20" s="98">
        <f t="shared" si="5"/>
        <v>0</v>
      </c>
      <c r="U20" s="99">
        <f t="shared" si="2"/>
        <v>0</v>
      </c>
    </row>
    <row r="21" spans="1:21" x14ac:dyDescent="0.25">
      <c r="A21" s="453" t="s">
        <v>110</v>
      </c>
      <c r="B21" s="453"/>
      <c r="C21" s="165">
        <v>0</v>
      </c>
      <c r="D21" s="165">
        <v>0</v>
      </c>
      <c r="E21" s="125">
        <f t="shared" si="3"/>
        <v>0</v>
      </c>
      <c r="F21" s="532">
        <f>'0664'!F21:G21</f>
        <v>3.6739999999999999</v>
      </c>
      <c r="G21" s="532"/>
      <c r="H21" s="83">
        <f t="shared" si="4"/>
        <v>0</v>
      </c>
      <c r="I21" s="104">
        <f t="shared" si="0"/>
        <v>0</v>
      </c>
      <c r="N21" s="479" t="s">
        <v>110</v>
      </c>
      <c r="O21" s="479"/>
      <c r="P21" s="513">
        <f t="shared" si="1"/>
        <v>0</v>
      </c>
      <c r="Q21" s="513"/>
      <c r="R21" s="517">
        <v>1</v>
      </c>
      <c r="S21" s="517"/>
      <c r="T21" s="98">
        <f t="shared" si="5"/>
        <v>0</v>
      </c>
      <c r="U21" s="99">
        <f t="shared" si="2"/>
        <v>0</v>
      </c>
    </row>
    <row r="22" spans="1:21" x14ac:dyDescent="0.25">
      <c r="A22" s="453" t="s">
        <v>111</v>
      </c>
      <c r="B22" s="453"/>
      <c r="C22" s="165">
        <v>0</v>
      </c>
      <c r="D22" s="165">
        <v>0</v>
      </c>
      <c r="E22" s="125">
        <f t="shared" si="3"/>
        <v>0</v>
      </c>
      <c r="F22" s="532">
        <f>'0664'!F22:G22</f>
        <v>5.4009999999999998</v>
      </c>
      <c r="G22" s="532"/>
      <c r="H22" s="83">
        <f t="shared" si="4"/>
        <v>0</v>
      </c>
      <c r="I22" s="104">
        <f t="shared" si="0"/>
        <v>0</v>
      </c>
      <c r="N22" s="479" t="s">
        <v>111</v>
      </c>
      <c r="O22" s="479"/>
      <c r="P22" s="513">
        <f t="shared" si="1"/>
        <v>0</v>
      </c>
      <c r="Q22" s="513"/>
      <c r="R22" s="517">
        <v>1</v>
      </c>
      <c r="S22" s="517"/>
      <c r="T22" s="98">
        <f t="shared" si="5"/>
        <v>0</v>
      </c>
      <c r="U22" s="99">
        <f t="shared" si="2"/>
        <v>0</v>
      </c>
    </row>
    <row r="23" spans="1:21" x14ac:dyDescent="0.25">
      <c r="A23" s="453" t="s">
        <v>112</v>
      </c>
      <c r="B23" s="453"/>
      <c r="C23" s="165">
        <v>0</v>
      </c>
      <c r="D23" s="165">
        <v>0</v>
      </c>
      <c r="E23" s="125">
        <f t="shared" si="3"/>
        <v>0</v>
      </c>
      <c r="F23" s="532">
        <f>'0664'!F23:G23</f>
        <v>5.4009999999999998</v>
      </c>
      <c r="G23" s="532"/>
      <c r="H23" s="83">
        <f t="shared" si="4"/>
        <v>0</v>
      </c>
      <c r="I23" s="104">
        <f t="shared" si="0"/>
        <v>0</v>
      </c>
      <c r="N23" s="479" t="s">
        <v>112</v>
      </c>
      <c r="O23" s="479"/>
      <c r="P23" s="513">
        <f t="shared" si="1"/>
        <v>0</v>
      </c>
      <c r="Q23" s="513"/>
      <c r="R23" s="517">
        <v>1</v>
      </c>
      <c r="S23" s="517"/>
      <c r="T23" s="98">
        <f t="shared" si="5"/>
        <v>0</v>
      </c>
      <c r="U23" s="99">
        <f t="shared" si="2"/>
        <v>0</v>
      </c>
    </row>
    <row r="24" spans="1:21" x14ac:dyDescent="0.25">
      <c r="A24" s="453" t="s">
        <v>113</v>
      </c>
      <c r="B24" s="453"/>
      <c r="C24" s="165">
        <v>0</v>
      </c>
      <c r="D24" s="165">
        <v>0</v>
      </c>
      <c r="E24" s="125">
        <f t="shared" si="3"/>
        <v>0</v>
      </c>
      <c r="F24" s="532">
        <f>'0664'!F24:G24</f>
        <v>5.4009999999999998</v>
      </c>
      <c r="G24" s="532"/>
      <c r="H24" s="83">
        <f t="shared" si="4"/>
        <v>0</v>
      </c>
      <c r="I24" s="104">
        <f t="shared" si="0"/>
        <v>0</v>
      </c>
      <c r="N24" s="479" t="s">
        <v>113</v>
      </c>
      <c r="O24" s="479"/>
      <c r="P24" s="513">
        <f t="shared" si="1"/>
        <v>0</v>
      </c>
      <c r="Q24" s="513"/>
      <c r="R24" s="517">
        <v>1</v>
      </c>
      <c r="S24" s="517"/>
      <c r="T24" s="98">
        <f t="shared" si="5"/>
        <v>0</v>
      </c>
      <c r="U24" s="99">
        <f t="shared" si="2"/>
        <v>0</v>
      </c>
    </row>
    <row r="25" spans="1:21" x14ac:dyDescent="0.25">
      <c r="A25" s="453" t="s">
        <v>114</v>
      </c>
      <c r="B25" s="453"/>
      <c r="C25" s="165">
        <v>65.2</v>
      </c>
      <c r="D25" s="165">
        <v>62.35</v>
      </c>
      <c r="E25" s="125">
        <f t="shared" si="3"/>
        <v>127.55000000000001</v>
      </c>
      <c r="F25" s="532">
        <f>'0664'!F25:G25</f>
        <v>1.206</v>
      </c>
      <c r="G25" s="532"/>
      <c r="H25" s="83">
        <f t="shared" si="4"/>
        <v>153.8253</v>
      </c>
      <c r="I25" s="104">
        <f t="shared" si="0"/>
        <v>736566.01</v>
      </c>
      <c r="N25" s="479" t="s">
        <v>114</v>
      </c>
      <c r="O25" s="479"/>
      <c r="P25" s="513">
        <f t="shared" si="1"/>
        <v>0</v>
      </c>
      <c r="Q25" s="513"/>
      <c r="R25" s="517">
        <v>1</v>
      </c>
      <c r="S25" s="517"/>
      <c r="T25" s="98">
        <f t="shared" si="5"/>
        <v>0</v>
      </c>
      <c r="U25" s="99">
        <f t="shared" si="2"/>
        <v>0</v>
      </c>
    </row>
    <row r="26" spans="1:21" x14ac:dyDescent="0.25">
      <c r="A26" s="453" t="s">
        <v>115</v>
      </c>
      <c r="B26" s="453"/>
      <c r="C26" s="165">
        <v>29.1</v>
      </c>
      <c r="D26" s="165">
        <v>25.83</v>
      </c>
      <c r="E26" s="125">
        <f t="shared" si="3"/>
        <v>54.93</v>
      </c>
      <c r="F26" s="532">
        <f>'0664'!F26:G26</f>
        <v>1.206</v>
      </c>
      <c r="G26" s="532"/>
      <c r="H26" s="83">
        <f t="shared" si="4"/>
        <v>66.245599999999996</v>
      </c>
      <c r="I26" s="104">
        <f t="shared" si="0"/>
        <v>317205.67</v>
      </c>
      <c r="N26" s="479" t="s">
        <v>115</v>
      </c>
      <c r="O26" s="479"/>
      <c r="P26" s="513">
        <f t="shared" si="1"/>
        <v>0</v>
      </c>
      <c r="Q26" s="513"/>
      <c r="R26" s="517">
        <v>1</v>
      </c>
      <c r="S26" s="517"/>
      <c r="T26" s="98">
        <f t="shared" si="5"/>
        <v>0</v>
      </c>
      <c r="U26" s="99">
        <f t="shared" si="2"/>
        <v>0</v>
      </c>
    </row>
    <row r="27" spans="1:21" x14ac:dyDescent="0.25">
      <c r="A27" s="453" t="s">
        <v>116</v>
      </c>
      <c r="B27" s="453"/>
      <c r="C27" s="165">
        <v>0</v>
      </c>
      <c r="D27" s="165">
        <v>0</v>
      </c>
      <c r="E27" s="125">
        <f t="shared" si="3"/>
        <v>0</v>
      </c>
      <c r="F27" s="532">
        <f>'0664'!F27:G27</f>
        <v>1.206</v>
      </c>
      <c r="G27" s="532"/>
      <c r="H27" s="83">
        <f t="shared" si="4"/>
        <v>0</v>
      </c>
      <c r="I27" s="104">
        <f t="shared" si="0"/>
        <v>0</v>
      </c>
      <c r="N27" s="479" t="s">
        <v>116</v>
      </c>
      <c r="O27" s="479"/>
      <c r="P27" s="513">
        <f t="shared" si="1"/>
        <v>0</v>
      </c>
      <c r="Q27" s="513"/>
      <c r="R27" s="517">
        <v>1</v>
      </c>
      <c r="S27" s="517"/>
      <c r="T27" s="98">
        <f t="shared" si="5"/>
        <v>0</v>
      </c>
      <c r="U27" s="99">
        <f t="shared" si="2"/>
        <v>0</v>
      </c>
    </row>
    <row r="28" spans="1:21" x14ac:dyDescent="0.25">
      <c r="A28" s="453" t="s">
        <v>117</v>
      </c>
      <c r="B28" s="453"/>
      <c r="C28" s="116">
        <v>0</v>
      </c>
      <c r="D28" s="116">
        <v>0</v>
      </c>
      <c r="E28" s="177">
        <f t="shared" si="3"/>
        <v>0</v>
      </c>
      <c r="F28" s="532">
        <f>'0664'!F28:G28</f>
        <v>0.999</v>
      </c>
      <c r="G28" s="532"/>
      <c r="H28" s="96">
        <f t="shared" si="4"/>
        <v>0</v>
      </c>
      <c r="I28" s="97">
        <f t="shared" si="0"/>
        <v>0</v>
      </c>
      <c r="N28" s="482" t="s">
        <v>117</v>
      </c>
      <c r="O28" s="482"/>
      <c r="P28" s="513">
        <f t="shared" si="1"/>
        <v>0</v>
      </c>
      <c r="Q28" s="513"/>
      <c r="R28" s="514">
        <v>1</v>
      </c>
      <c r="S28" s="514"/>
      <c r="T28" s="98">
        <f t="shared" si="5"/>
        <v>0</v>
      </c>
      <c r="U28" s="99">
        <f t="shared" si="2"/>
        <v>0</v>
      </c>
    </row>
    <row r="29" spans="1:21" x14ac:dyDescent="0.25">
      <c r="A29" s="461" t="s">
        <v>5</v>
      </c>
      <c r="B29" s="461"/>
      <c r="C29" s="97">
        <f>SUM(C13:C28)</f>
        <v>172.51</v>
      </c>
      <c r="D29" s="97">
        <f>SUM(D13:D28)+0</f>
        <v>166.39</v>
      </c>
      <c r="E29" s="97">
        <f>SUM(E13:E28)</f>
        <v>338.90000000000003</v>
      </c>
      <c r="F29" s="457"/>
      <c r="G29" s="457"/>
      <c r="H29" s="102">
        <f>SUM(H13:H28)</f>
        <v>389.11989999999992</v>
      </c>
      <c r="I29" s="97">
        <f>SUM(I13:I28)</f>
        <v>1863233.75</v>
      </c>
      <c r="J29" s="3">
        <v>1589376.34</v>
      </c>
      <c r="K29" s="266">
        <f>I29-J29</f>
        <v>273857.40999999992</v>
      </c>
      <c r="N29" s="515" t="s">
        <v>5</v>
      </c>
      <c r="O29" s="515"/>
      <c r="P29" s="516">
        <f>SUM(P13:P28)</f>
        <v>0</v>
      </c>
      <c r="Q29" s="516"/>
      <c r="R29" s="508"/>
      <c r="S29" s="508"/>
      <c r="T29" s="103">
        <f>SUM(T13:T28)</f>
        <v>0</v>
      </c>
      <c r="U29" s="99">
        <f>SUM(U13:U28)</f>
        <v>0</v>
      </c>
    </row>
    <row r="30" spans="1:21" x14ac:dyDescent="0.25">
      <c r="A30" s="27"/>
      <c r="B30" s="27"/>
      <c r="C30" s="104"/>
      <c r="D30" s="104"/>
      <c r="E30" s="104"/>
      <c r="F30" s="28"/>
      <c r="G30" s="28"/>
      <c r="H30" s="83"/>
      <c r="I30" s="104"/>
      <c r="N30" s="29"/>
      <c r="O30" s="29"/>
      <c r="P30" s="30"/>
      <c r="Q30" s="30"/>
      <c r="R30" s="31"/>
      <c r="S30" s="31"/>
      <c r="T30" s="105"/>
      <c r="U30" s="106"/>
    </row>
    <row r="31" spans="1:21" x14ac:dyDescent="0.25">
      <c r="A31" s="168" t="s">
        <v>97</v>
      </c>
      <c r="B31" s="27"/>
      <c r="C31" s="104"/>
      <c r="D31" s="104"/>
      <c r="E31" s="104"/>
      <c r="F31" s="28"/>
      <c r="G31" s="28"/>
      <c r="H31" s="83"/>
      <c r="I31" s="104"/>
      <c r="N31" s="29"/>
      <c r="O31" s="29"/>
      <c r="P31" s="30"/>
      <c r="Q31" s="30"/>
      <c r="R31" s="31"/>
      <c r="S31" s="31"/>
      <c r="T31" s="105"/>
      <c r="U31" s="106"/>
    </row>
    <row r="32" spans="1:21" hidden="1" x14ac:dyDescent="0.25">
      <c r="A32" s="168"/>
      <c r="B32" s="27"/>
      <c r="C32" s="104"/>
      <c r="D32" s="104"/>
      <c r="E32" s="104"/>
      <c r="F32" s="28"/>
      <c r="G32" s="28"/>
      <c r="H32" s="83"/>
      <c r="I32" s="104"/>
      <c r="N32" s="29"/>
      <c r="O32" s="29"/>
      <c r="P32" s="30"/>
      <c r="Q32" s="30"/>
      <c r="R32" s="31"/>
      <c r="S32" s="31"/>
      <c r="T32" s="105"/>
      <c r="U32" s="106"/>
    </row>
    <row r="33" spans="1:21" hidden="1" x14ac:dyDescent="0.25">
      <c r="A33" s="168"/>
      <c r="B33" s="27"/>
      <c r="C33" s="104"/>
      <c r="D33" s="104"/>
      <c r="E33" s="104"/>
      <c r="F33" s="541" t="s">
        <v>282</v>
      </c>
      <c r="G33" s="541"/>
      <c r="H33" s="541"/>
      <c r="I33" s="104"/>
      <c r="N33" s="29"/>
      <c r="O33" s="29"/>
      <c r="P33" s="30"/>
      <c r="Q33" s="30"/>
      <c r="R33" s="31"/>
      <c r="S33" s="31"/>
      <c r="T33" s="105"/>
      <c r="U33" s="106"/>
    </row>
    <row r="34" spans="1:21" hidden="1" x14ac:dyDescent="0.25">
      <c r="A34" s="3"/>
      <c r="B34" s="72"/>
      <c r="C34" s="72"/>
      <c r="D34" s="72"/>
      <c r="E34" s="72"/>
      <c r="F34" s="541"/>
      <c r="G34" s="541"/>
      <c r="H34" s="541"/>
      <c r="I34" s="25" t="s">
        <v>74</v>
      </c>
      <c r="N34" s="485" t="s">
        <v>35</v>
      </c>
      <c r="O34" s="485"/>
      <c r="P34" s="485"/>
      <c r="Q34" s="485"/>
      <c r="R34" s="485"/>
      <c r="S34" s="485"/>
      <c r="T34" s="485"/>
      <c r="U34" s="26" t="s">
        <v>74</v>
      </c>
    </row>
    <row r="35" spans="1:21" hidden="1" x14ac:dyDescent="0.25">
      <c r="A35" s="27"/>
      <c r="B35" s="27"/>
      <c r="C35" s="91" t="s">
        <v>124</v>
      </c>
      <c r="D35" s="91" t="s">
        <v>125</v>
      </c>
      <c r="E35" s="92" t="s">
        <v>8</v>
      </c>
      <c r="F35" s="541"/>
      <c r="G35" s="541"/>
      <c r="H35" s="541"/>
      <c r="I35" s="25" t="s">
        <v>36</v>
      </c>
      <c r="N35" s="29"/>
      <c r="O35" s="29"/>
      <c r="P35" s="30"/>
      <c r="Q35" s="30"/>
      <c r="R35" s="31"/>
      <c r="S35" s="31"/>
      <c r="T35" s="105"/>
      <c r="U35" s="26" t="s">
        <v>36</v>
      </c>
    </row>
    <row r="36" spans="1:21" hidden="1" x14ac:dyDescent="0.25">
      <c r="A36" s="447" t="s">
        <v>63</v>
      </c>
      <c r="B36" s="447"/>
      <c r="C36" s="93" t="s">
        <v>2</v>
      </c>
      <c r="D36" s="93" t="s">
        <v>2</v>
      </c>
      <c r="E36" s="93" t="s">
        <v>2</v>
      </c>
      <c r="F36" s="542"/>
      <c r="G36" s="542"/>
      <c r="H36" s="542"/>
      <c r="I36" s="32" t="s">
        <v>75</v>
      </c>
      <c r="N36" s="510" t="s">
        <v>63</v>
      </c>
      <c r="O36" s="510"/>
      <c r="P36" s="511" t="s">
        <v>24</v>
      </c>
      <c r="Q36" s="511"/>
      <c r="R36" s="511"/>
      <c r="S36" s="511"/>
      <c r="T36" s="511"/>
      <c r="U36" s="20" t="s">
        <v>75</v>
      </c>
    </row>
    <row r="37" spans="1:21" hidden="1" x14ac:dyDescent="0.25">
      <c r="A37" s="451" t="s">
        <v>56</v>
      </c>
      <c r="B37" s="451"/>
      <c r="C37" s="169">
        <v>0</v>
      </c>
      <c r="D37" s="169">
        <v>0</v>
      </c>
      <c r="E37" s="210">
        <f t="shared" ref="E37:E42" si="6">IF(D$43=0,C37*2,C37+D37)</f>
        <v>0</v>
      </c>
      <c r="F37" s="170"/>
      <c r="G37" s="170"/>
      <c r="H37" s="170"/>
      <c r="I37" s="119">
        <f t="shared" ref="I37:I42" si="7">ROUND(ROUND(E37*$C$8,4)*($H$8),2)</f>
        <v>0</v>
      </c>
      <c r="N37" s="512" t="s">
        <v>56</v>
      </c>
      <c r="O37" s="512"/>
      <c r="P37" s="483">
        <f t="shared" ref="P37:P42" si="8">IF($H$120=1,E37,0)</f>
        <v>0</v>
      </c>
      <c r="Q37" s="483"/>
      <c r="R37" s="483"/>
      <c r="S37" s="483"/>
      <c r="T37" s="483"/>
      <c r="U37" s="101">
        <f t="shared" ref="U37:U42" si="9">ROUND(ROUND(P37*$C$8,4)*($H$8),0)</f>
        <v>0</v>
      </c>
    </row>
    <row r="38" spans="1:21" hidden="1" x14ac:dyDescent="0.25">
      <c r="A38" s="453" t="s">
        <v>57</v>
      </c>
      <c r="B38" s="453"/>
      <c r="C38" s="172">
        <v>0</v>
      </c>
      <c r="D38" s="172">
        <v>0</v>
      </c>
      <c r="E38" s="125">
        <f t="shared" si="6"/>
        <v>0</v>
      </c>
      <c r="F38" s="173"/>
      <c r="G38" s="173"/>
      <c r="H38" s="173"/>
      <c r="I38" s="104">
        <f t="shared" si="7"/>
        <v>0</v>
      </c>
      <c r="N38" s="479" t="s">
        <v>57</v>
      </c>
      <c r="O38" s="479"/>
      <c r="P38" s="483">
        <f t="shared" si="8"/>
        <v>0</v>
      </c>
      <c r="Q38" s="483"/>
      <c r="R38" s="483"/>
      <c r="S38" s="483"/>
      <c r="T38" s="483"/>
      <c r="U38" s="101">
        <f t="shared" si="9"/>
        <v>0</v>
      </c>
    </row>
    <row r="39" spans="1:21" hidden="1" x14ac:dyDescent="0.25">
      <c r="A39" s="458" t="s">
        <v>58</v>
      </c>
      <c r="B39" s="458"/>
      <c r="C39" s="172">
        <v>0</v>
      </c>
      <c r="D39" s="172">
        <v>0</v>
      </c>
      <c r="E39" s="125">
        <f t="shared" si="6"/>
        <v>0</v>
      </c>
      <c r="F39" s="173"/>
      <c r="G39" s="173"/>
      <c r="H39" s="173"/>
      <c r="I39" s="104">
        <f t="shared" si="7"/>
        <v>0</v>
      </c>
      <c r="N39" s="509" t="s">
        <v>58</v>
      </c>
      <c r="O39" s="509"/>
      <c r="P39" s="483">
        <f t="shared" si="8"/>
        <v>0</v>
      </c>
      <c r="Q39" s="483"/>
      <c r="R39" s="483"/>
      <c r="S39" s="483"/>
      <c r="T39" s="483"/>
      <c r="U39" s="101">
        <f t="shared" si="9"/>
        <v>0</v>
      </c>
    </row>
    <row r="40" spans="1:21" hidden="1" x14ac:dyDescent="0.25">
      <c r="A40" s="453" t="s">
        <v>59</v>
      </c>
      <c r="B40" s="453"/>
      <c r="C40" s="172">
        <v>0</v>
      </c>
      <c r="D40" s="172">
        <v>0</v>
      </c>
      <c r="E40" s="125">
        <f t="shared" si="6"/>
        <v>0</v>
      </c>
      <c r="F40" s="173"/>
      <c r="G40" s="173"/>
      <c r="H40" s="173"/>
      <c r="I40" s="104">
        <f t="shared" si="7"/>
        <v>0</v>
      </c>
      <c r="N40" s="479" t="s">
        <v>59</v>
      </c>
      <c r="O40" s="479"/>
      <c r="P40" s="483">
        <f t="shared" si="8"/>
        <v>0</v>
      </c>
      <c r="Q40" s="483"/>
      <c r="R40" s="483"/>
      <c r="S40" s="483"/>
      <c r="T40" s="483"/>
      <c r="U40" s="101">
        <f t="shared" si="9"/>
        <v>0</v>
      </c>
    </row>
    <row r="41" spans="1:21" hidden="1" x14ac:dyDescent="0.25">
      <c r="A41" s="453" t="s">
        <v>60</v>
      </c>
      <c r="B41" s="453"/>
      <c r="C41" s="172">
        <v>0</v>
      </c>
      <c r="D41" s="172">
        <v>0</v>
      </c>
      <c r="E41" s="125">
        <f t="shared" si="6"/>
        <v>0</v>
      </c>
      <c r="F41" s="173"/>
      <c r="G41" s="173"/>
      <c r="H41" s="173"/>
      <c r="I41" s="104">
        <f t="shared" si="7"/>
        <v>0</v>
      </c>
      <c r="N41" s="479" t="s">
        <v>60</v>
      </c>
      <c r="O41" s="479"/>
      <c r="P41" s="483">
        <f t="shared" si="8"/>
        <v>0</v>
      </c>
      <c r="Q41" s="483"/>
      <c r="R41" s="483"/>
      <c r="S41" s="483"/>
      <c r="T41" s="483"/>
      <c r="U41" s="101">
        <f t="shared" si="9"/>
        <v>0</v>
      </c>
    </row>
    <row r="42" spans="1:21" hidden="1" x14ac:dyDescent="0.25">
      <c r="A42" s="453" t="s">
        <v>52</v>
      </c>
      <c r="B42" s="453"/>
      <c r="C42" s="171">
        <v>0</v>
      </c>
      <c r="D42" s="171">
        <v>0</v>
      </c>
      <c r="E42" s="177">
        <f t="shared" si="6"/>
        <v>0</v>
      </c>
      <c r="F42" s="173"/>
      <c r="G42" s="173"/>
      <c r="H42" s="173"/>
      <c r="I42" s="97">
        <f t="shared" si="7"/>
        <v>0</v>
      </c>
      <c r="N42" s="482" t="s">
        <v>52</v>
      </c>
      <c r="O42" s="482"/>
      <c r="P42" s="483">
        <f t="shared" si="8"/>
        <v>0</v>
      </c>
      <c r="Q42" s="483"/>
      <c r="R42" s="483"/>
      <c r="S42" s="483"/>
      <c r="T42" s="483"/>
      <c r="U42" s="101">
        <f t="shared" si="9"/>
        <v>0</v>
      </c>
    </row>
    <row r="43" spans="1:21" hidden="1" x14ac:dyDescent="0.25">
      <c r="A43" s="3"/>
      <c r="B43" s="55" t="s">
        <v>126</v>
      </c>
      <c r="C43" s="100">
        <f>SUM(C37:C42)</f>
        <v>0</v>
      </c>
      <c r="D43" s="100">
        <f>SUM(D37:D42)</f>
        <v>0</v>
      </c>
      <c r="E43" s="100">
        <f>SUM(E37:E42)</f>
        <v>0</v>
      </c>
      <c r="F43" s="33"/>
      <c r="G43" s="109"/>
      <c r="H43" s="110" t="s">
        <v>128</v>
      </c>
      <c r="I43" s="100">
        <f>SUM(I37:I42)</f>
        <v>0</v>
      </c>
      <c r="N43" s="480" t="s">
        <v>54</v>
      </c>
      <c r="O43" s="480"/>
      <c r="P43" s="480"/>
      <c r="Q43" s="480"/>
      <c r="R43" s="34">
        <f>SUM(P37:R42)</f>
        <v>0</v>
      </c>
      <c r="S43" s="508" t="s">
        <v>64</v>
      </c>
      <c r="T43" s="508"/>
      <c r="U43" s="106">
        <f>SUM(U37:U42)</f>
        <v>0</v>
      </c>
    </row>
    <row r="44" spans="1:21" hidden="1" x14ac:dyDescent="0.25">
      <c r="A44" s="3"/>
      <c r="B44" s="55"/>
      <c r="C44" s="104"/>
      <c r="D44" s="104"/>
      <c r="E44" s="119"/>
      <c r="F44" s="33"/>
      <c r="G44" s="109"/>
      <c r="H44" s="110"/>
      <c r="I44" s="104"/>
      <c r="N44" s="29"/>
      <c r="O44" s="29"/>
      <c r="P44" s="29"/>
      <c r="Q44" s="29"/>
      <c r="R44" s="34"/>
      <c r="S44" s="31"/>
      <c r="T44" s="31"/>
      <c r="U44" s="106"/>
    </row>
    <row r="45" spans="1:21" ht="16.5" hidden="1" thickBot="1" x14ac:dyDescent="0.3">
      <c r="A45" s="3"/>
      <c r="B45" s="55" t="s">
        <v>127</v>
      </c>
      <c r="E45" s="174">
        <f>H29+E43</f>
        <v>389.11989999999992</v>
      </c>
      <c r="F45" s="35"/>
      <c r="G45" s="109"/>
      <c r="H45" s="110" t="s">
        <v>129</v>
      </c>
      <c r="I45" s="97">
        <f>SUM(I43,I29)</f>
        <v>1863233.75</v>
      </c>
      <c r="N45" s="480" t="s">
        <v>55</v>
      </c>
      <c r="O45" s="480"/>
      <c r="P45" s="480"/>
      <c r="Q45" s="480"/>
      <c r="R45" s="36">
        <f>R43+T29</f>
        <v>0</v>
      </c>
      <c r="S45" s="508" t="s">
        <v>53</v>
      </c>
      <c r="T45" s="508"/>
      <c r="U45" s="111">
        <f>SUM(U43,U29)</f>
        <v>0</v>
      </c>
    </row>
    <row r="46" spans="1:21" hidden="1" x14ac:dyDescent="0.25">
      <c r="A46" s="27"/>
      <c r="B46" s="27"/>
      <c r="C46" s="27"/>
      <c r="D46" s="27"/>
      <c r="E46" s="27"/>
      <c r="F46" s="35"/>
      <c r="G46" s="28"/>
      <c r="H46" s="28"/>
      <c r="I46" s="104"/>
      <c r="N46" s="29"/>
      <c r="O46" s="29"/>
      <c r="P46" s="29"/>
      <c r="Q46" s="29"/>
      <c r="R46" s="36"/>
      <c r="S46" s="31"/>
      <c r="T46" s="31"/>
      <c r="U46" s="106"/>
    </row>
    <row r="47" spans="1:21" x14ac:dyDescent="0.25">
      <c r="A47" s="27"/>
      <c r="B47" s="55" t="s">
        <v>370</v>
      </c>
      <c r="C47" s="41" t="s">
        <v>370</v>
      </c>
      <c r="D47" s="91" t="s">
        <v>370</v>
      </c>
      <c r="E47" s="27"/>
      <c r="F47" s="35"/>
      <c r="G47" s="28"/>
      <c r="H47" s="28"/>
      <c r="I47" s="104"/>
      <c r="N47" s="29"/>
      <c r="O47" s="29"/>
      <c r="P47" s="29"/>
      <c r="Q47" s="29"/>
      <c r="R47" s="36"/>
      <c r="S47" s="31"/>
      <c r="T47" s="31"/>
      <c r="U47" s="106"/>
    </row>
    <row r="48" spans="1:21" x14ac:dyDescent="0.25">
      <c r="A48" s="27"/>
      <c r="B48" s="27"/>
      <c r="C48" s="91" t="s">
        <v>463</v>
      </c>
      <c r="D48" s="371" t="s">
        <v>464</v>
      </c>
      <c r="E48" s="92" t="s">
        <v>8</v>
      </c>
      <c r="F48" s="49" t="s">
        <v>130</v>
      </c>
      <c r="G48" s="112" t="s">
        <v>132</v>
      </c>
      <c r="H48" s="113" t="s">
        <v>133</v>
      </c>
      <c r="I48" s="104"/>
      <c r="N48" s="29"/>
      <c r="O48" s="29"/>
      <c r="P48" s="29"/>
      <c r="Q48" s="29"/>
      <c r="R48" s="36"/>
      <c r="S48" s="31"/>
      <c r="T48" s="31"/>
      <c r="U48" s="106"/>
    </row>
    <row r="49" spans="1:21" x14ac:dyDescent="0.25">
      <c r="A49" s="37" t="s">
        <v>87</v>
      </c>
      <c r="B49" s="37"/>
      <c r="C49" s="364" t="s">
        <v>2</v>
      </c>
      <c r="D49" s="362" t="s">
        <v>2</v>
      </c>
      <c r="E49" s="362" t="s">
        <v>2</v>
      </c>
      <c r="F49" s="95" t="s">
        <v>131</v>
      </c>
      <c r="G49" s="62" t="s">
        <v>131</v>
      </c>
      <c r="H49" s="114" t="s">
        <v>134</v>
      </c>
      <c r="I49" s="37"/>
      <c r="N49" s="482" t="s">
        <v>87</v>
      </c>
      <c r="O49" s="482"/>
      <c r="P49" s="503" t="s">
        <v>2</v>
      </c>
      <c r="Q49" s="503"/>
      <c r="R49" s="38" t="s">
        <v>25</v>
      </c>
      <c r="S49" s="63" t="s">
        <v>26</v>
      </c>
      <c r="T49" s="115" t="s">
        <v>27</v>
      </c>
      <c r="U49" s="38"/>
    </row>
    <row r="50" spans="1:21" x14ac:dyDescent="0.25">
      <c r="A50" s="459" t="s">
        <v>98</v>
      </c>
      <c r="B50" s="459"/>
      <c r="C50" s="165">
        <v>3</v>
      </c>
      <c r="D50" s="165">
        <v>2.92</v>
      </c>
      <c r="E50" s="125">
        <f>IF(D$59=0,C50*2,C50+D50)</f>
        <v>5.92</v>
      </c>
      <c r="F50" s="39" t="s">
        <v>21</v>
      </c>
      <c r="G50" s="39">
        <v>251</v>
      </c>
      <c r="H50" s="321">
        <f>'0664'!H50</f>
        <v>1047</v>
      </c>
      <c r="I50" s="104">
        <f>ROUND(E50*H50,2)</f>
        <v>6198.24</v>
      </c>
      <c r="N50" s="504" t="s">
        <v>28</v>
      </c>
      <c r="O50" s="504"/>
      <c r="P50" s="505"/>
      <c r="Q50" s="505"/>
      <c r="R50" s="40" t="s">
        <v>21</v>
      </c>
      <c r="S50" s="40">
        <v>251</v>
      </c>
      <c r="T50" s="117">
        <f>H50</f>
        <v>1047</v>
      </c>
      <c r="U50" s="118">
        <f>ROUND(P50*T50,0)</f>
        <v>0</v>
      </c>
    </row>
    <row r="51" spans="1:21" x14ac:dyDescent="0.25">
      <c r="A51" s="460"/>
      <c r="B51" s="460"/>
      <c r="C51" s="165">
        <v>0.5</v>
      </c>
      <c r="D51" s="165">
        <v>0.49</v>
      </c>
      <c r="E51" s="125">
        <f t="shared" ref="E51:E58" si="10">IF(D$59=0,C51*2,C51+D51)</f>
        <v>0.99</v>
      </c>
      <c r="F51" s="39" t="s">
        <v>21</v>
      </c>
      <c r="G51" s="39">
        <v>252</v>
      </c>
      <c r="H51" s="321">
        <f>'0664'!H51</f>
        <v>3380</v>
      </c>
      <c r="I51" s="104">
        <f t="shared" ref="I51:I58" si="11">ROUND(E51*H51,2)</f>
        <v>3346.2</v>
      </c>
      <c r="N51" s="504"/>
      <c r="O51" s="504"/>
      <c r="P51" s="506"/>
      <c r="Q51" s="506"/>
      <c r="R51" s="40" t="s">
        <v>21</v>
      </c>
      <c r="S51" s="40">
        <v>252</v>
      </c>
      <c r="T51" s="117">
        <f t="shared" ref="T51:T58" si="12">H51</f>
        <v>3380</v>
      </c>
      <c r="U51" s="118">
        <f t="shared" ref="U51:U58" si="13">ROUND(P51*T51,0)</f>
        <v>0</v>
      </c>
    </row>
    <row r="52" spans="1:21" x14ac:dyDescent="0.25">
      <c r="A52" s="460"/>
      <c r="B52" s="460"/>
      <c r="C52" s="165">
        <v>0</v>
      </c>
      <c r="D52" s="165">
        <v>0</v>
      </c>
      <c r="E52" s="125">
        <f t="shared" si="10"/>
        <v>0</v>
      </c>
      <c r="F52" s="39" t="s">
        <v>21</v>
      </c>
      <c r="G52" s="39">
        <v>253</v>
      </c>
      <c r="H52" s="321">
        <f>'0664'!H52</f>
        <v>6896</v>
      </c>
      <c r="I52" s="104">
        <f t="shared" si="11"/>
        <v>0</v>
      </c>
      <c r="N52" s="504"/>
      <c r="O52" s="504"/>
      <c r="P52" s="506"/>
      <c r="Q52" s="506"/>
      <c r="R52" s="40" t="s">
        <v>21</v>
      </c>
      <c r="S52" s="40">
        <v>253</v>
      </c>
      <c r="T52" s="117">
        <f t="shared" si="12"/>
        <v>6896</v>
      </c>
      <c r="U52" s="118">
        <f t="shared" si="13"/>
        <v>0</v>
      </c>
    </row>
    <row r="53" spans="1:21" x14ac:dyDescent="0.25">
      <c r="A53" s="460"/>
      <c r="B53" s="460"/>
      <c r="C53" s="165">
        <v>1.5</v>
      </c>
      <c r="D53" s="165">
        <v>1.5</v>
      </c>
      <c r="E53" s="125">
        <f t="shared" si="10"/>
        <v>3</v>
      </c>
      <c r="F53" s="41" t="s">
        <v>14</v>
      </c>
      <c r="G53" s="39">
        <v>251</v>
      </c>
      <c r="H53" s="321">
        <f>'0664'!H53</f>
        <v>1173</v>
      </c>
      <c r="I53" s="104">
        <f t="shared" si="11"/>
        <v>3519</v>
      </c>
      <c r="N53" s="504"/>
      <c r="O53" s="504"/>
      <c r="P53" s="506"/>
      <c r="Q53" s="506"/>
      <c r="R53" s="42" t="s">
        <v>14</v>
      </c>
      <c r="S53" s="40">
        <v>251</v>
      </c>
      <c r="T53" s="117">
        <f t="shared" si="12"/>
        <v>1173</v>
      </c>
      <c r="U53" s="118">
        <f t="shared" si="13"/>
        <v>0</v>
      </c>
    </row>
    <row r="54" spans="1:21" x14ac:dyDescent="0.25">
      <c r="A54" s="460"/>
      <c r="B54" s="460"/>
      <c r="C54" s="165">
        <v>0</v>
      </c>
      <c r="D54" s="165">
        <v>0</v>
      </c>
      <c r="E54" s="125">
        <f t="shared" si="10"/>
        <v>0</v>
      </c>
      <c r="F54" s="41" t="s">
        <v>14</v>
      </c>
      <c r="G54" s="39">
        <v>252</v>
      </c>
      <c r="H54" s="321">
        <f>'0664'!H54</f>
        <v>3506</v>
      </c>
      <c r="I54" s="104">
        <f t="shared" si="11"/>
        <v>0</v>
      </c>
      <c r="N54" s="504"/>
      <c r="O54" s="504"/>
      <c r="P54" s="506"/>
      <c r="Q54" s="506"/>
      <c r="R54" s="42" t="s">
        <v>14</v>
      </c>
      <c r="S54" s="40">
        <v>252</v>
      </c>
      <c r="T54" s="117">
        <f t="shared" si="12"/>
        <v>3506</v>
      </c>
      <c r="U54" s="118">
        <f t="shared" si="13"/>
        <v>0</v>
      </c>
    </row>
    <row r="55" spans="1:21" x14ac:dyDescent="0.25">
      <c r="A55" s="460"/>
      <c r="B55" s="460"/>
      <c r="C55" s="165">
        <v>0</v>
      </c>
      <c r="D55" s="165">
        <v>0</v>
      </c>
      <c r="E55" s="125">
        <f t="shared" si="10"/>
        <v>0</v>
      </c>
      <c r="F55" s="41" t="s">
        <v>14</v>
      </c>
      <c r="G55" s="39">
        <v>253</v>
      </c>
      <c r="H55" s="321">
        <f>'0664'!H55</f>
        <v>7023</v>
      </c>
      <c r="I55" s="104">
        <f t="shared" si="11"/>
        <v>0</v>
      </c>
      <c r="N55" s="504"/>
      <c r="O55" s="504"/>
      <c r="P55" s="506"/>
      <c r="Q55" s="506"/>
      <c r="R55" s="42" t="s">
        <v>14</v>
      </c>
      <c r="S55" s="40">
        <v>253</v>
      </c>
      <c r="T55" s="117">
        <f t="shared" si="12"/>
        <v>7023</v>
      </c>
      <c r="U55" s="118">
        <f t="shared" si="13"/>
        <v>0</v>
      </c>
    </row>
    <row r="56" spans="1:21" x14ac:dyDescent="0.25">
      <c r="A56" s="460"/>
      <c r="B56" s="460"/>
      <c r="C56" s="165">
        <v>0</v>
      </c>
      <c r="D56" s="165">
        <v>0</v>
      </c>
      <c r="E56" s="125">
        <f t="shared" si="10"/>
        <v>0</v>
      </c>
      <c r="F56" s="41" t="s">
        <v>15</v>
      </c>
      <c r="G56" s="39">
        <v>251</v>
      </c>
      <c r="H56" s="321">
        <f>'0664'!H56</f>
        <v>835</v>
      </c>
      <c r="I56" s="104">
        <f t="shared" si="11"/>
        <v>0</v>
      </c>
      <c r="N56" s="504"/>
      <c r="O56" s="504"/>
      <c r="P56" s="506"/>
      <c r="Q56" s="506"/>
      <c r="R56" s="42" t="s">
        <v>15</v>
      </c>
      <c r="S56" s="40">
        <v>251</v>
      </c>
      <c r="T56" s="117">
        <f t="shared" si="12"/>
        <v>835</v>
      </c>
      <c r="U56" s="118">
        <f t="shared" si="13"/>
        <v>0</v>
      </c>
    </row>
    <row r="57" spans="1:21" x14ac:dyDescent="0.25">
      <c r="A57" s="460"/>
      <c r="B57" s="460"/>
      <c r="C57" s="165">
        <v>0</v>
      </c>
      <c r="D57" s="165">
        <v>0</v>
      </c>
      <c r="E57" s="125">
        <f t="shared" si="10"/>
        <v>0</v>
      </c>
      <c r="F57" s="41" t="s">
        <v>15</v>
      </c>
      <c r="G57" s="39">
        <v>252</v>
      </c>
      <c r="H57" s="321">
        <f>'0664'!H57</f>
        <v>3168</v>
      </c>
      <c r="I57" s="104">
        <f t="shared" si="11"/>
        <v>0</v>
      </c>
      <c r="N57" s="504"/>
      <c r="O57" s="504"/>
      <c r="P57" s="506"/>
      <c r="Q57" s="506"/>
      <c r="R57" s="42" t="s">
        <v>15</v>
      </c>
      <c r="S57" s="40">
        <v>252</v>
      </c>
      <c r="T57" s="117">
        <f t="shared" si="12"/>
        <v>3168</v>
      </c>
      <c r="U57" s="118">
        <f t="shared" si="13"/>
        <v>0</v>
      </c>
    </row>
    <row r="58" spans="1:21" ht="16.5" thickBot="1" x14ac:dyDescent="0.3">
      <c r="A58" s="460"/>
      <c r="B58" s="460"/>
      <c r="C58" s="165">
        <v>0</v>
      </c>
      <c r="D58" s="165">
        <v>0</v>
      </c>
      <c r="E58" s="125">
        <f t="shared" si="10"/>
        <v>0</v>
      </c>
      <c r="F58" s="41" t="s">
        <v>15</v>
      </c>
      <c r="G58" s="39">
        <v>253</v>
      </c>
      <c r="H58" s="321">
        <f>'0664'!H58</f>
        <v>6685</v>
      </c>
      <c r="I58" s="104">
        <f t="shared" si="11"/>
        <v>0</v>
      </c>
      <c r="N58" s="504"/>
      <c r="O58" s="504"/>
      <c r="P58" s="507"/>
      <c r="Q58" s="507"/>
      <c r="R58" s="42" t="s">
        <v>15</v>
      </c>
      <c r="S58" s="40">
        <v>253</v>
      </c>
      <c r="T58" s="117">
        <f t="shared" si="12"/>
        <v>6685</v>
      </c>
      <c r="U58" s="120">
        <f t="shared" si="13"/>
        <v>0</v>
      </c>
    </row>
    <row r="59" spans="1:21" ht="16.5" thickBot="1" x14ac:dyDescent="0.3">
      <c r="A59" s="461" t="s">
        <v>16</v>
      </c>
      <c r="B59" s="461"/>
      <c r="C59" s="100">
        <f>SUM(C50:C58)</f>
        <v>5</v>
      </c>
      <c r="D59" s="100">
        <f>SUM(D50:D58)</f>
        <v>4.91</v>
      </c>
      <c r="E59" s="100">
        <f>SUM(E50:E58)</f>
        <v>9.91</v>
      </c>
      <c r="F59" s="461" t="s">
        <v>77</v>
      </c>
      <c r="G59" s="461"/>
      <c r="H59" s="461"/>
      <c r="I59" s="100">
        <f>SUM(I50:I58)</f>
        <v>13063.439999999999</v>
      </c>
      <c r="N59" s="480" t="s">
        <v>16</v>
      </c>
      <c r="O59" s="480"/>
      <c r="P59" s="502">
        <f>SUM(P50:P58)</f>
        <v>0</v>
      </c>
      <c r="Q59" s="502"/>
      <c r="R59" s="480" t="s">
        <v>77</v>
      </c>
      <c r="S59" s="480"/>
      <c r="T59" s="480"/>
      <c r="U59" s="111">
        <f>SUM(U50:U58)</f>
        <v>0</v>
      </c>
    </row>
    <row r="60" spans="1:21" x14ac:dyDescent="0.25">
      <c r="A60" s="462"/>
      <c r="B60" s="462"/>
      <c r="C60" s="462"/>
      <c r="D60" s="462"/>
      <c r="E60" s="462"/>
      <c r="F60" s="462"/>
      <c r="G60" s="462"/>
      <c r="H60" s="462"/>
      <c r="I60" s="462"/>
      <c r="N60" s="484"/>
      <c r="O60" s="484"/>
      <c r="P60" s="484"/>
      <c r="Q60" s="484"/>
      <c r="R60" s="484"/>
      <c r="S60" s="484"/>
      <c r="T60" s="484"/>
      <c r="U60" s="484"/>
    </row>
    <row r="61" spans="1:21" x14ac:dyDescent="0.25">
      <c r="A61" s="463" t="s">
        <v>136</v>
      </c>
      <c r="B61" s="453"/>
      <c r="C61" s="453"/>
      <c r="D61" s="453"/>
      <c r="E61" s="453"/>
      <c r="F61" s="453"/>
      <c r="G61" s="453"/>
      <c r="H61" s="453"/>
      <c r="I61" s="453"/>
      <c r="N61" s="479" t="s">
        <v>88</v>
      </c>
      <c r="O61" s="479"/>
      <c r="P61" s="479"/>
      <c r="Q61" s="479"/>
      <c r="R61" s="479"/>
      <c r="S61" s="479"/>
      <c r="T61" s="479"/>
      <c r="U61" s="479"/>
    </row>
    <row r="62" spans="1:21" x14ac:dyDescent="0.25">
      <c r="A62" s="463" t="s">
        <v>138</v>
      </c>
      <c r="B62" s="453"/>
      <c r="C62" s="121">
        <f>E29</f>
        <v>338.90000000000003</v>
      </c>
      <c r="D62" s="464" t="s">
        <v>135</v>
      </c>
      <c r="E62" s="464"/>
      <c r="F62" s="464"/>
      <c r="G62" s="464"/>
      <c r="H62" s="335">
        <f>'0664'!H62</f>
        <v>193340.76</v>
      </c>
      <c r="I62" s="122"/>
      <c r="N62" s="478" t="s">
        <v>312</v>
      </c>
      <c r="O62" s="479"/>
      <c r="P62" s="43">
        <f>P29</f>
        <v>0</v>
      </c>
      <c r="Q62" s="498" t="s">
        <v>78</v>
      </c>
      <c r="R62" s="498"/>
      <c r="S62" s="498"/>
      <c r="T62" s="497">
        <f>H62</f>
        <v>193340.76</v>
      </c>
      <c r="U62" s="497"/>
    </row>
    <row r="63" spans="1:21" x14ac:dyDescent="0.25">
      <c r="B63" s="72"/>
      <c r="G63" s="44" t="s">
        <v>13</v>
      </c>
      <c r="H63" s="123">
        <f>ROUND(C62/H62,6)</f>
        <v>1.753E-3</v>
      </c>
      <c r="I63" s="124"/>
      <c r="N63" s="479" t="s">
        <v>19</v>
      </c>
      <c r="O63" s="479"/>
      <c r="P63" s="479"/>
      <c r="Q63" s="479"/>
      <c r="R63" s="479"/>
      <c r="S63" s="479"/>
      <c r="T63" s="501">
        <f>ROUND(P62/T62,6)</f>
        <v>0</v>
      </c>
      <c r="U63" s="501"/>
    </row>
    <row r="64" spans="1:21" x14ac:dyDescent="0.25">
      <c r="A64" s="463" t="s">
        <v>137</v>
      </c>
      <c r="B64" s="453"/>
      <c r="C64" s="453"/>
      <c r="D64" s="453"/>
      <c r="E64" s="453"/>
      <c r="F64" s="453"/>
      <c r="G64" s="453"/>
      <c r="H64" s="453"/>
      <c r="I64" s="453"/>
      <c r="N64" s="479" t="s">
        <v>89</v>
      </c>
      <c r="O64" s="479"/>
      <c r="P64" s="479"/>
      <c r="Q64" s="479"/>
      <c r="R64" s="479"/>
      <c r="S64" s="479"/>
      <c r="T64" s="479"/>
      <c r="U64" s="479"/>
    </row>
    <row r="65" spans="1:21" x14ac:dyDescent="0.25">
      <c r="A65" s="463" t="s">
        <v>139</v>
      </c>
      <c r="B65" s="453"/>
      <c r="C65" s="121">
        <f>E45</f>
        <v>389.11989999999992</v>
      </c>
      <c r="D65" s="464" t="s">
        <v>140</v>
      </c>
      <c r="E65" s="464"/>
      <c r="F65" s="464"/>
      <c r="G65" s="464"/>
      <c r="H65" s="336">
        <f>'0664'!H65</f>
        <v>216845.88</v>
      </c>
      <c r="I65" s="125"/>
      <c r="N65" s="479" t="s">
        <v>80</v>
      </c>
      <c r="O65" s="479"/>
      <c r="P65" s="43">
        <f>R45</f>
        <v>0</v>
      </c>
      <c r="Q65" s="498" t="s">
        <v>79</v>
      </c>
      <c r="R65" s="498"/>
      <c r="S65" s="498"/>
      <c r="T65" s="497">
        <f>H65</f>
        <v>216845.88</v>
      </c>
      <c r="U65" s="497"/>
    </row>
    <row r="66" spans="1:21" s="37" customFormat="1" x14ac:dyDescent="0.25">
      <c r="A66" s="126"/>
      <c r="G66" s="45" t="s">
        <v>13</v>
      </c>
      <c r="H66" s="127">
        <f>ROUND(C65/H65,6)</f>
        <v>1.794E-3</v>
      </c>
      <c r="I66" s="127"/>
      <c r="N66" s="482" t="s">
        <v>20</v>
      </c>
      <c r="O66" s="482"/>
      <c r="P66" s="482"/>
      <c r="Q66" s="482"/>
      <c r="R66" s="482"/>
      <c r="S66" s="482"/>
      <c r="T66" s="500">
        <f>ROUND(P65/T65,6)</f>
        <v>0</v>
      </c>
      <c r="U66" s="500"/>
    </row>
    <row r="67" spans="1:21" x14ac:dyDescent="0.25">
      <c r="G67" s="44"/>
      <c r="H67" s="123"/>
      <c r="I67" s="123"/>
      <c r="N67" s="48"/>
      <c r="O67" s="48"/>
      <c r="P67" s="48"/>
      <c r="Q67" s="48"/>
      <c r="R67" s="128"/>
      <c r="S67" s="48"/>
      <c r="T67" s="129"/>
      <c r="U67" s="130"/>
    </row>
    <row r="68" spans="1:21" x14ac:dyDescent="0.25">
      <c r="A68" s="453" t="s">
        <v>85</v>
      </c>
      <c r="B68" s="453"/>
      <c r="C68" s="453"/>
      <c r="D68" s="72"/>
      <c r="E68" s="46" t="s">
        <v>3</v>
      </c>
      <c r="F68" s="337">
        <f>'0664'!F68</f>
        <v>42465042</v>
      </c>
      <c r="G68" s="39" t="s">
        <v>6</v>
      </c>
      <c r="H68" s="131">
        <f>H63</f>
        <v>1.753E-3</v>
      </c>
      <c r="I68" s="104">
        <f>ROUND(F68*H68,2)</f>
        <v>74441.22</v>
      </c>
      <c r="N68" s="479" t="s">
        <v>85</v>
      </c>
      <c r="O68" s="479"/>
      <c r="P68" s="479"/>
      <c r="Q68" s="47"/>
      <c r="R68" s="132">
        <f>F68</f>
        <v>42465042</v>
      </c>
      <c r="S68" s="40" t="s">
        <v>6</v>
      </c>
      <c r="T68" s="133">
        <f>T63</f>
        <v>0</v>
      </c>
      <c r="U68" s="99">
        <f>ROUND(R68*T68,0)</f>
        <v>0</v>
      </c>
    </row>
    <row r="69" spans="1:21" x14ac:dyDescent="0.25">
      <c r="A69" s="458" t="s">
        <v>96</v>
      </c>
      <c r="B69" s="453"/>
      <c r="C69" s="453"/>
      <c r="D69" s="72"/>
      <c r="E69" s="46"/>
      <c r="F69" s="136"/>
      <c r="G69" s="39"/>
      <c r="H69" s="131"/>
      <c r="I69" s="104"/>
      <c r="N69" s="479" t="s">
        <v>84</v>
      </c>
      <c r="O69" s="479"/>
      <c r="P69" s="479"/>
      <c r="Q69" s="54"/>
      <c r="R69" s="54"/>
      <c r="S69" s="54"/>
      <c r="T69" s="54"/>
      <c r="U69" s="54"/>
    </row>
    <row r="70" spans="1:21" x14ac:dyDescent="0.25">
      <c r="A70" s="465" t="s">
        <v>141</v>
      </c>
      <c r="B70" s="453"/>
      <c r="C70" s="453"/>
      <c r="D70" s="72"/>
      <c r="E70" s="46" t="s">
        <v>3</v>
      </c>
      <c r="F70" s="337">
        <f>'0664'!F70</f>
        <v>0</v>
      </c>
      <c r="G70" s="39" t="s">
        <v>6</v>
      </c>
      <c r="H70" s="131">
        <f>H63</f>
        <v>1.753E-3</v>
      </c>
      <c r="I70" s="104">
        <f>ROUND(F70*H70,2)</f>
        <v>0</v>
      </c>
      <c r="N70" s="48"/>
      <c r="O70" s="48"/>
      <c r="P70" s="48"/>
      <c r="Q70" s="47"/>
      <c r="R70" s="132">
        <f>F70</f>
        <v>0</v>
      </c>
      <c r="S70" s="40" t="s">
        <v>6</v>
      </c>
      <c r="T70" s="133">
        <f>T63</f>
        <v>0</v>
      </c>
      <c r="U70" s="99">
        <f>ROUND(R70*T70,0)</f>
        <v>0</v>
      </c>
    </row>
    <row r="71" spans="1:21" x14ac:dyDescent="0.25">
      <c r="A71" s="463" t="s">
        <v>433</v>
      </c>
      <c r="B71" s="453"/>
      <c r="C71" s="453"/>
      <c r="D71" s="72"/>
      <c r="E71" s="46" t="s">
        <v>3</v>
      </c>
      <c r="F71" s="337">
        <f>'0664'!F71</f>
        <v>13414654</v>
      </c>
      <c r="G71" s="39" t="s">
        <v>6</v>
      </c>
      <c r="H71" s="131">
        <f>H63</f>
        <v>1.753E-3</v>
      </c>
      <c r="I71" s="104">
        <f>ROUND(F71*H71,2)</f>
        <v>23515.89</v>
      </c>
      <c r="N71" s="479" t="s">
        <v>83</v>
      </c>
      <c r="O71" s="479"/>
      <c r="P71" s="479"/>
      <c r="Q71" s="47"/>
      <c r="R71" s="132">
        <f>F71</f>
        <v>13414654</v>
      </c>
      <c r="S71" s="40" t="s">
        <v>6</v>
      </c>
      <c r="T71" s="133">
        <f>T63</f>
        <v>0</v>
      </c>
      <c r="U71" s="99">
        <f>ROUND(R71*T71,0)</f>
        <v>0</v>
      </c>
    </row>
    <row r="72" spans="1:21" x14ac:dyDescent="0.25">
      <c r="A72" s="463" t="s">
        <v>434</v>
      </c>
      <c r="B72" s="453"/>
      <c r="C72" s="453"/>
      <c r="D72" s="72"/>
      <c r="E72" s="46" t="s">
        <v>3</v>
      </c>
      <c r="F72" s="337">
        <f>'0664'!F72</f>
        <v>14708421</v>
      </c>
      <c r="G72" s="39" t="s">
        <v>6</v>
      </c>
      <c r="H72" s="131">
        <f>H63</f>
        <v>1.753E-3</v>
      </c>
      <c r="I72" s="104">
        <f>ROUND(F72*H72,2)</f>
        <v>25783.86</v>
      </c>
      <c r="N72" s="479" t="s">
        <v>82</v>
      </c>
      <c r="O72" s="479"/>
      <c r="P72" s="479"/>
      <c r="Q72" s="47"/>
      <c r="R72" s="134">
        <f>F72</f>
        <v>14708421</v>
      </c>
      <c r="S72" s="40" t="s">
        <v>6</v>
      </c>
      <c r="T72" s="133">
        <f>T63</f>
        <v>0</v>
      </c>
      <c r="U72" s="99">
        <f>ROUND(R72*T72,0)</f>
        <v>0</v>
      </c>
    </row>
    <row r="73" spans="1:21" x14ac:dyDescent="0.25">
      <c r="A73" s="263" t="s">
        <v>99</v>
      </c>
      <c r="D73" s="72"/>
      <c r="E73" s="41" t="s">
        <v>353</v>
      </c>
      <c r="F73" s="466"/>
      <c r="G73" s="466"/>
      <c r="H73" s="466"/>
      <c r="I73" s="104">
        <v>0</v>
      </c>
      <c r="N73" s="499" t="s">
        <v>118</v>
      </c>
      <c r="O73" s="499"/>
      <c r="P73" s="499"/>
      <c r="Q73" s="499"/>
      <c r="R73" s="499"/>
      <c r="S73" s="499"/>
      <c r="T73" s="499"/>
      <c r="U73" s="99">
        <f>IF($H$120=1,I73,0)</f>
        <v>0</v>
      </c>
    </row>
    <row r="74" spans="1:21" x14ac:dyDescent="0.25">
      <c r="A74" s="264" t="s">
        <v>142</v>
      </c>
      <c r="I74" s="104"/>
      <c r="N74" s="499" t="s">
        <v>43</v>
      </c>
      <c r="O74" s="499"/>
      <c r="P74" s="499"/>
      <c r="Q74" s="499"/>
      <c r="R74" s="499"/>
      <c r="S74" s="499"/>
      <c r="T74" s="499"/>
      <c r="U74" s="99">
        <f>IF($H$120=1,I74,0)</f>
        <v>0</v>
      </c>
    </row>
    <row r="75" spans="1:21" x14ac:dyDescent="0.25">
      <c r="A75" s="324" t="s">
        <v>101</v>
      </c>
      <c r="B75" s="72"/>
      <c r="C75" s="72"/>
      <c r="D75" s="72"/>
      <c r="E75" s="72"/>
      <c r="F75" s="72"/>
      <c r="G75" s="72"/>
      <c r="H75" s="72"/>
      <c r="I75" s="135"/>
      <c r="N75" s="382" t="s">
        <v>44</v>
      </c>
      <c r="O75" s="48"/>
      <c r="P75" s="48"/>
      <c r="Q75" s="48"/>
      <c r="R75" s="48"/>
      <c r="S75" s="48"/>
      <c r="T75" s="48"/>
      <c r="U75" s="106"/>
    </row>
    <row r="76" spans="1:21" x14ac:dyDescent="0.25">
      <c r="A76" s="463" t="s">
        <v>435</v>
      </c>
      <c r="B76" s="453"/>
      <c r="C76" s="453"/>
      <c r="D76" s="72"/>
      <c r="E76" s="46" t="s">
        <v>3</v>
      </c>
      <c r="F76" s="337">
        <f>'0664'!F76</f>
        <v>8720092</v>
      </c>
      <c r="G76" s="39" t="s">
        <v>6</v>
      </c>
      <c r="H76" s="131">
        <f>H63</f>
        <v>1.753E-3</v>
      </c>
      <c r="I76" s="104">
        <f t="shared" ref="I76:I85" si="14">ROUND(F76*H76,2)</f>
        <v>15286.32</v>
      </c>
      <c r="N76" s="478" t="s">
        <v>366</v>
      </c>
      <c r="O76" s="479"/>
      <c r="P76" s="479"/>
      <c r="Q76" s="47"/>
      <c r="R76" s="134">
        <f t="shared" ref="R76:R85" si="15">F76</f>
        <v>8720092</v>
      </c>
      <c r="S76" s="40" t="s">
        <v>6</v>
      </c>
      <c r="T76" s="133">
        <f>T63</f>
        <v>0</v>
      </c>
      <c r="U76" s="99">
        <f t="shared" ref="U76:U85" si="16">ROUND(R76*T76,0)</f>
        <v>0</v>
      </c>
    </row>
    <row r="77" spans="1:21" x14ac:dyDescent="0.25">
      <c r="A77" s="463" t="s">
        <v>436</v>
      </c>
      <c r="B77" s="453"/>
      <c r="C77" s="453"/>
      <c r="D77" s="72"/>
      <c r="E77" s="46" t="s">
        <v>3</v>
      </c>
      <c r="F77" s="337">
        <f>'0664'!F77</f>
        <v>0</v>
      </c>
      <c r="G77" s="39" t="s">
        <v>6</v>
      </c>
      <c r="H77" s="131">
        <f>H63</f>
        <v>1.753E-3</v>
      </c>
      <c r="I77" s="104">
        <f t="shared" si="14"/>
        <v>0</v>
      </c>
      <c r="N77" s="479" t="s">
        <v>367</v>
      </c>
      <c r="O77" s="479"/>
      <c r="P77" s="479"/>
      <c r="Q77" s="47"/>
      <c r="R77" s="134">
        <f t="shared" si="15"/>
        <v>0</v>
      </c>
      <c r="S77" s="40" t="s">
        <v>6</v>
      </c>
      <c r="T77" s="133">
        <f>T63</f>
        <v>0</v>
      </c>
      <c r="U77" s="99">
        <f t="shared" si="16"/>
        <v>0</v>
      </c>
    </row>
    <row r="78" spans="1:21" x14ac:dyDescent="0.25">
      <c r="A78" s="463" t="s">
        <v>437</v>
      </c>
      <c r="B78" s="453"/>
      <c r="C78" s="453"/>
      <c r="D78" s="72"/>
      <c r="E78" s="46" t="s">
        <v>4</v>
      </c>
      <c r="F78" s="337">
        <f>'0664'!F78</f>
        <v>0</v>
      </c>
      <c r="G78" s="39" t="s">
        <v>6</v>
      </c>
      <c r="H78" s="131">
        <f>H66</f>
        <v>1.794E-3</v>
      </c>
      <c r="I78" s="104">
        <f t="shared" si="14"/>
        <v>0</v>
      </c>
      <c r="N78" s="478" t="s">
        <v>392</v>
      </c>
      <c r="O78" s="479"/>
      <c r="P78" s="479"/>
      <c r="Q78" s="47"/>
      <c r="R78" s="134">
        <f t="shared" si="15"/>
        <v>0</v>
      </c>
      <c r="S78" s="40" t="s">
        <v>6</v>
      </c>
      <c r="T78" s="133">
        <f>T66</f>
        <v>0</v>
      </c>
      <c r="U78" s="99">
        <f t="shared" si="16"/>
        <v>0</v>
      </c>
    </row>
    <row r="79" spans="1:21" x14ac:dyDescent="0.25">
      <c r="A79" s="463" t="s">
        <v>438</v>
      </c>
      <c r="B79" s="453"/>
      <c r="C79" s="453"/>
      <c r="D79" s="72"/>
      <c r="E79" s="46" t="s">
        <v>4</v>
      </c>
      <c r="F79" s="337">
        <f>'0664'!F79</f>
        <v>11278687</v>
      </c>
      <c r="G79" s="39" t="s">
        <v>6</v>
      </c>
      <c r="H79" s="131">
        <f>H66</f>
        <v>1.794E-3</v>
      </c>
      <c r="I79" s="104">
        <f t="shared" si="14"/>
        <v>20233.96</v>
      </c>
      <c r="N79" s="478" t="s">
        <v>393</v>
      </c>
      <c r="O79" s="479"/>
      <c r="P79" s="479"/>
      <c r="Q79" s="47"/>
      <c r="R79" s="134">
        <f t="shared" si="15"/>
        <v>11278687</v>
      </c>
      <c r="S79" s="40" t="s">
        <v>6</v>
      </c>
      <c r="T79" s="133">
        <f>T66</f>
        <v>0</v>
      </c>
      <c r="U79" s="99">
        <f t="shared" si="16"/>
        <v>0</v>
      </c>
    </row>
    <row r="80" spans="1:21" x14ac:dyDescent="0.25">
      <c r="A80" s="463" t="s">
        <v>439</v>
      </c>
      <c r="B80" s="453"/>
      <c r="C80" s="453"/>
      <c r="D80" s="72"/>
      <c r="E80" s="46" t="s">
        <v>4</v>
      </c>
      <c r="F80" s="337">
        <f>'0664'!F80</f>
        <v>206284749</v>
      </c>
      <c r="G80" s="39" t="s">
        <v>6</v>
      </c>
      <c r="H80" s="131">
        <f>H66</f>
        <v>1.794E-3</v>
      </c>
      <c r="I80" s="104">
        <f t="shared" si="14"/>
        <v>370074.84</v>
      </c>
      <c r="N80" s="478" t="s">
        <v>397</v>
      </c>
      <c r="O80" s="479"/>
      <c r="P80" s="479"/>
      <c r="Q80" s="47"/>
      <c r="R80" s="134">
        <f t="shared" si="15"/>
        <v>206284749</v>
      </c>
      <c r="S80" s="40" t="s">
        <v>6</v>
      </c>
      <c r="T80" s="133">
        <f>T66</f>
        <v>0</v>
      </c>
      <c r="U80" s="99">
        <f t="shared" si="16"/>
        <v>0</v>
      </c>
    </row>
    <row r="81" spans="1:21" x14ac:dyDescent="0.25">
      <c r="A81" s="84" t="s">
        <v>440</v>
      </c>
      <c r="B81" s="72"/>
      <c r="C81" s="72"/>
      <c r="D81" s="72"/>
      <c r="E81" s="46"/>
      <c r="F81" s="337"/>
      <c r="G81" s="39"/>
      <c r="H81" s="131"/>
      <c r="I81" s="104"/>
      <c r="N81" s="419" t="s">
        <v>440</v>
      </c>
      <c r="O81" s="48"/>
      <c r="P81" s="48"/>
      <c r="Q81" s="47"/>
      <c r="R81" s="423"/>
      <c r="S81" s="40"/>
      <c r="T81" s="133"/>
      <c r="U81" s="120"/>
    </row>
    <row r="82" spans="1:21" x14ac:dyDescent="0.25">
      <c r="A82" s="264" t="s">
        <v>441</v>
      </c>
      <c r="B82" s="72"/>
      <c r="C82" s="72"/>
      <c r="D82" s="72"/>
      <c r="E82" s="46" t="s">
        <v>442</v>
      </c>
      <c r="F82" s="337">
        <f>'0664'!F82</f>
        <v>0</v>
      </c>
      <c r="G82" s="39" t="s">
        <v>6</v>
      </c>
      <c r="H82" s="131">
        <f>H66</f>
        <v>1.794E-3</v>
      </c>
      <c r="I82" s="104">
        <v>64237.3</v>
      </c>
      <c r="N82" s="422" t="s">
        <v>441</v>
      </c>
      <c r="O82" s="48"/>
      <c r="P82" s="48"/>
      <c r="Q82" s="47"/>
      <c r="R82" s="134">
        <f t="shared" si="15"/>
        <v>0</v>
      </c>
      <c r="S82" s="40"/>
      <c r="T82" s="133"/>
      <c r="U82" s="99">
        <f t="shared" si="16"/>
        <v>0</v>
      </c>
    </row>
    <row r="83" spans="1:21" x14ac:dyDescent="0.25">
      <c r="A83" s="264" t="s">
        <v>443</v>
      </c>
      <c r="B83" s="72"/>
      <c r="C83" s="72"/>
      <c r="D83" s="72"/>
      <c r="E83" s="46" t="s">
        <v>442</v>
      </c>
      <c r="F83" s="337">
        <f>'0664'!F83</f>
        <v>0</v>
      </c>
      <c r="G83" s="39" t="s">
        <v>6</v>
      </c>
      <c r="H83" s="131">
        <f>H66</f>
        <v>1.794E-3</v>
      </c>
      <c r="I83" s="104">
        <v>29198.77</v>
      </c>
      <c r="N83" s="422" t="s">
        <v>443</v>
      </c>
      <c r="O83" s="48"/>
      <c r="P83" s="48"/>
      <c r="Q83" s="47"/>
      <c r="R83" s="134">
        <f t="shared" si="15"/>
        <v>0</v>
      </c>
      <c r="S83" s="40"/>
      <c r="T83" s="133"/>
      <c r="U83" s="99">
        <f t="shared" si="16"/>
        <v>0</v>
      </c>
    </row>
    <row r="84" spans="1:21" x14ac:dyDescent="0.25">
      <c r="A84" s="420" t="s">
        <v>444</v>
      </c>
      <c r="B84" s="72"/>
      <c r="C84" s="72"/>
      <c r="D84" s="72"/>
      <c r="E84" s="46"/>
      <c r="F84" s="337"/>
      <c r="G84" s="39"/>
      <c r="H84" s="131"/>
      <c r="I84" s="104">
        <f>I82+I83</f>
        <v>93436.07</v>
      </c>
      <c r="N84" s="421" t="s">
        <v>444</v>
      </c>
      <c r="O84" s="48"/>
      <c r="P84" s="48"/>
      <c r="Q84" s="47"/>
      <c r="R84" s="423"/>
      <c r="S84" s="40"/>
      <c r="T84" s="133"/>
      <c r="U84" s="99">
        <f>U82+U83</f>
        <v>0</v>
      </c>
    </row>
    <row r="85" spans="1:21" x14ac:dyDescent="0.25">
      <c r="A85" s="463" t="s">
        <v>398</v>
      </c>
      <c r="B85" s="453"/>
      <c r="C85" s="453"/>
      <c r="D85" s="72"/>
      <c r="E85" s="46" t="s">
        <v>4</v>
      </c>
      <c r="F85" s="337">
        <f>'0664'!F85</f>
        <v>0</v>
      </c>
      <c r="G85" s="39" t="s">
        <v>6</v>
      </c>
      <c r="H85" s="131">
        <f>H66</f>
        <v>1.794E-3</v>
      </c>
      <c r="I85" s="104">
        <f t="shared" si="14"/>
        <v>0</v>
      </c>
      <c r="N85" s="478" t="s">
        <v>398</v>
      </c>
      <c r="O85" s="479"/>
      <c r="P85" s="479"/>
      <c r="Q85" s="47"/>
      <c r="R85" s="132">
        <f t="shared" si="15"/>
        <v>0</v>
      </c>
      <c r="S85" s="40" t="s">
        <v>6</v>
      </c>
      <c r="T85" s="133">
        <f>T66</f>
        <v>0</v>
      </c>
      <c r="U85" s="99">
        <f t="shared" si="16"/>
        <v>0</v>
      </c>
    </row>
    <row r="86" spans="1:21" x14ac:dyDescent="0.25">
      <c r="B86" s="72"/>
      <c r="C86" s="72"/>
      <c r="D86" s="72"/>
      <c r="E86" s="46"/>
      <c r="F86" s="136"/>
      <c r="G86" s="39"/>
      <c r="H86" s="131"/>
      <c r="I86" s="104"/>
      <c r="N86" s="48"/>
      <c r="O86" s="48"/>
      <c r="P86" s="48"/>
      <c r="Q86" s="47"/>
      <c r="R86" s="137"/>
      <c r="S86" s="40"/>
      <c r="T86" s="133"/>
      <c r="U86" s="106"/>
    </row>
    <row r="87" spans="1:21" x14ac:dyDescent="0.25">
      <c r="A87" s="463" t="s">
        <v>445</v>
      </c>
      <c r="B87" s="453"/>
      <c r="C87" s="453"/>
      <c r="D87" s="453"/>
      <c r="E87" s="453"/>
      <c r="F87" s="453"/>
      <c r="G87" s="453"/>
      <c r="H87" s="453"/>
      <c r="I87" s="453"/>
      <c r="N87" s="478" t="s">
        <v>429</v>
      </c>
      <c r="O87" s="479"/>
      <c r="P87" s="479"/>
      <c r="Q87" s="479"/>
      <c r="R87" s="479"/>
      <c r="S87" s="479"/>
      <c r="T87" s="479"/>
      <c r="U87" s="479"/>
    </row>
    <row r="88" spans="1:21" x14ac:dyDescent="0.25">
      <c r="B88" s="72"/>
      <c r="C88" s="466" t="s">
        <v>73</v>
      </c>
      <c r="D88" s="466"/>
      <c r="E88" s="72"/>
      <c r="F88" s="41" t="s">
        <v>37</v>
      </c>
      <c r="G88" s="72"/>
      <c r="H88" s="72"/>
      <c r="I88" s="72"/>
      <c r="N88" s="48"/>
      <c r="O88" s="48"/>
      <c r="P88" s="48"/>
      <c r="Q88" s="48"/>
      <c r="R88" s="48"/>
      <c r="S88" s="48"/>
      <c r="T88" s="48"/>
      <c r="U88" s="48"/>
    </row>
    <row r="89" spans="1:21" x14ac:dyDescent="0.25">
      <c r="A89" s="3"/>
      <c r="B89" s="138"/>
      <c r="C89" s="462" t="s">
        <v>144</v>
      </c>
      <c r="D89" s="462"/>
      <c r="E89" s="139" t="s">
        <v>150</v>
      </c>
      <c r="F89" s="140" t="s">
        <v>149</v>
      </c>
      <c r="G89" s="141"/>
      <c r="H89" s="141"/>
      <c r="I89" s="141"/>
      <c r="N89" s="495" t="s">
        <v>46</v>
      </c>
      <c r="O89" s="495"/>
      <c r="P89" s="496" t="s">
        <v>119</v>
      </c>
      <c r="Q89" s="496"/>
      <c r="R89" s="497" t="s">
        <v>40</v>
      </c>
      <c r="S89" s="497"/>
      <c r="T89" s="497"/>
      <c r="U89" s="497"/>
    </row>
    <row r="90" spans="1:21" x14ac:dyDescent="0.25">
      <c r="A90" s="27"/>
      <c r="B90" s="55" t="s">
        <v>148</v>
      </c>
      <c r="C90" s="467">
        <f>H13+H14+H19+H22+H25</f>
        <v>266.68430000000001</v>
      </c>
      <c r="D90" s="467"/>
      <c r="E90" s="49">
        <f>H8</f>
        <v>1.0438000000000001</v>
      </c>
      <c r="F90" s="338">
        <f>'0664'!F90</f>
        <v>957.94</v>
      </c>
      <c r="G90" s="41" t="s">
        <v>13</v>
      </c>
      <c r="H90" s="104">
        <f>ROUND(C90*E90*F90,2)</f>
        <v>266657.03999999998</v>
      </c>
      <c r="I90" s="107"/>
      <c r="N90" s="29" t="s">
        <v>22</v>
      </c>
      <c r="O90" s="50">
        <f>T13+T14+T19+T22+T25</f>
        <v>0</v>
      </c>
      <c r="P90" s="490">
        <f>T8</f>
        <v>1.0438000000000001</v>
      </c>
      <c r="Q90" s="490"/>
      <c r="R90" s="51">
        <f>F90</f>
        <v>957.94</v>
      </c>
      <c r="S90" s="42" t="s">
        <v>13</v>
      </c>
      <c r="T90" s="134">
        <f>ROUND(O90*P90*R90,0)</f>
        <v>0</v>
      </c>
      <c r="U90" s="105"/>
    </row>
    <row r="91" spans="1:21" x14ac:dyDescent="0.25">
      <c r="A91" s="52"/>
      <c r="B91" s="52" t="s">
        <v>147</v>
      </c>
      <c r="C91" s="467">
        <f>H15+H16+H20+H23+H26</f>
        <v>122.43559999999999</v>
      </c>
      <c r="D91" s="467"/>
      <c r="E91" s="49">
        <f>H8</f>
        <v>1.0438000000000001</v>
      </c>
      <c r="F91" s="338">
        <f>'0664'!F91</f>
        <v>914.63</v>
      </c>
      <c r="G91" s="41" t="s">
        <v>13</v>
      </c>
      <c r="H91" s="104">
        <f>ROUND(C91*E91*F91,2)</f>
        <v>116888.14</v>
      </c>
      <c r="N91" s="53" t="s">
        <v>14</v>
      </c>
      <c r="O91" s="50">
        <f>T15+T16+T20+T23+T26</f>
        <v>0</v>
      </c>
      <c r="P91" s="490">
        <f>T8</f>
        <v>1.0438000000000001</v>
      </c>
      <c r="Q91" s="490"/>
      <c r="R91" s="51">
        <f>F91</f>
        <v>914.63</v>
      </c>
      <c r="S91" s="42" t="s">
        <v>13</v>
      </c>
      <c r="T91" s="134">
        <f>ROUND(O91*P91*R91,0)</f>
        <v>0</v>
      </c>
      <c r="U91" s="54"/>
    </row>
    <row r="92" spans="1:21" ht="16.5" thickBot="1" x14ac:dyDescent="0.3">
      <c r="A92" s="55"/>
      <c r="B92" s="55" t="s">
        <v>146</v>
      </c>
      <c r="C92" s="467">
        <f>H17+H18+H21+H24+H27+H28</f>
        <v>0</v>
      </c>
      <c r="D92" s="467"/>
      <c r="E92" s="49">
        <f>H8</f>
        <v>1.0438000000000001</v>
      </c>
      <c r="F92" s="338">
        <f>'0664'!F92</f>
        <v>916.84</v>
      </c>
      <c r="G92" s="41" t="s">
        <v>13</v>
      </c>
      <c r="H92" s="97">
        <f>ROUND(C92*E92*F92,2)</f>
        <v>0</v>
      </c>
      <c r="N92" s="56" t="s">
        <v>15</v>
      </c>
      <c r="O92" s="57">
        <f>T17+T18+T21+T24+T27+T28</f>
        <v>0</v>
      </c>
      <c r="P92" s="490">
        <f>T8</f>
        <v>1.0438000000000001</v>
      </c>
      <c r="Q92" s="490"/>
      <c r="R92" s="51">
        <f>F92</f>
        <v>916.84</v>
      </c>
      <c r="S92" s="42" t="s">
        <v>13</v>
      </c>
      <c r="T92" s="134">
        <f>ROUND(O92*P92*R92,0)</f>
        <v>0</v>
      </c>
      <c r="U92" s="54"/>
    </row>
    <row r="93" spans="1:21" ht="16.5" thickBot="1" x14ac:dyDescent="0.3">
      <c r="A93" s="58"/>
      <c r="B93" s="142" t="s">
        <v>145</v>
      </c>
      <c r="C93" s="469">
        <f>SUM(C90:C92)</f>
        <v>389.11990000000003</v>
      </c>
      <c r="D93" s="469"/>
      <c r="E93" s="143"/>
      <c r="F93" s="143"/>
      <c r="G93" s="143"/>
      <c r="H93" s="144" t="s">
        <v>143</v>
      </c>
      <c r="I93" s="104">
        <f>IF(A1=75,0,H92+H91+H90)</f>
        <v>383545.18</v>
      </c>
      <c r="N93" s="59" t="s">
        <v>120</v>
      </c>
      <c r="O93" s="60">
        <f>SUM(O90:O92)</f>
        <v>0</v>
      </c>
      <c r="P93" s="491" t="s">
        <v>18</v>
      </c>
      <c r="Q93" s="492"/>
      <c r="R93" s="492"/>
      <c r="S93" s="492"/>
      <c r="T93" s="492"/>
      <c r="U93" s="99">
        <f>IF(N1=75,0,T92+T91+T90)</f>
        <v>0</v>
      </c>
    </row>
    <row r="94" spans="1:21" ht="16.5" thickTop="1" x14ac:dyDescent="0.25">
      <c r="A94" s="540" t="s">
        <v>90</v>
      </c>
      <c r="B94" s="540"/>
      <c r="C94" s="540"/>
      <c r="D94" s="540"/>
      <c r="E94" s="540"/>
      <c r="F94" s="540"/>
      <c r="G94" s="540"/>
      <c r="H94" s="540"/>
      <c r="I94" s="540"/>
      <c r="N94" s="493" t="s">
        <v>90</v>
      </c>
      <c r="O94" s="493"/>
      <c r="P94" s="493"/>
      <c r="Q94" s="493"/>
      <c r="R94" s="493"/>
      <c r="S94" s="493"/>
      <c r="T94" s="493"/>
      <c r="U94" s="493"/>
    </row>
    <row r="95" spans="1:21" x14ac:dyDescent="0.25">
      <c r="A95" s="145"/>
      <c r="B95" s="145"/>
      <c r="C95" s="145"/>
      <c r="D95" s="145"/>
      <c r="E95" s="145"/>
      <c r="F95" s="145"/>
      <c r="G95" s="145"/>
      <c r="H95" s="145"/>
      <c r="I95" s="145"/>
      <c r="N95" s="146"/>
      <c r="O95" s="146"/>
      <c r="P95" s="146"/>
      <c r="Q95" s="146"/>
      <c r="R95" s="146"/>
      <c r="S95" s="146"/>
      <c r="T95" s="146"/>
      <c r="U95" s="146"/>
    </row>
    <row r="96" spans="1:21" x14ac:dyDescent="0.25">
      <c r="A96" s="84" t="s">
        <v>446</v>
      </c>
      <c r="C96" s="46"/>
      <c r="D96" s="72"/>
      <c r="E96" s="46" t="s">
        <v>100</v>
      </c>
      <c r="F96" s="471"/>
      <c r="G96" s="471"/>
      <c r="H96" s="471"/>
      <c r="I96" s="471"/>
      <c r="N96" s="478" t="s">
        <v>426</v>
      </c>
      <c r="O96" s="479"/>
      <c r="P96" s="479"/>
      <c r="Q96" s="494"/>
      <c r="R96" s="494"/>
      <c r="S96" s="494"/>
      <c r="T96" s="494"/>
      <c r="U96" s="106"/>
    </row>
    <row r="97" spans="1:21" x14ac:dyDescent="0.25">
      <c r="B97" s="72"/>
      <c r="C97" s="91" t="s">
        <v>409</v>
      </c>
      <c r="D97" s="371" t="s">
        <v>410</v>
      </c>
      <c r="E97" s="92" t="s">
        <v>151</v>
      </c>
      <c r="F97" s="46"/>
      <c r="G97" s="46"/>
      <c r="H97" s="46"/>
      <c r="I97" s="46"/>
      <c r="N97" s="48"/>
      <c r="O97" s="48"/>
      <c r="P97" s="48"/>
      <c r="Q97" s="147"/>
      <c r="R97" s="147"/>
      <c r="S97" s="147"/>
      <c r="T97" s="147"/>
      <c r="U97" s="106"/>
    </row>
    <row r="98" spans="1:21" x14ac:dyDescent="0.25">
      <c r="B98" s="72"/>
      <c r="C98" s="364" t="s">
        <v>2</v>
      </c>
      <c r="D98" s="362" t="s">
        <v>2</v>
      </c>
      <c r="E98" s="362" t="s">
        <v>2</v>
      </c>
      <c r="F98" s="46"/>
      <c r="G98" s="46"/>
      <c r="H98" s="46"/>
      <c r="I98" s="46"/>
      <c r="N98" s="48"/>
      <c r="O98" s="48"/>
      <c r="P98" s="48"/>
      <c r="Q98" s="147"/>
      <c r="R98" s="147"/>
      <c r="S98" s="147"/>
      <c r="T98" s="147"/>
      <c r="U98" s="106"/>
    </row>
    <row r="99" spans="1:21" x14ac:dyDescent="0.25">
      <c r="A99" s="536" t="s">
        <v>470</v>
      </c>
      <c r="B99" s="461"/>
      <c r="C99" s="165">
        <v>1</v>
      </c>
      <c r="D99" s="165">
        <v>0</v>
      </c>
      <c r="E99" s="125">
        <f>C99</f>
        <v>1</v>
      </c>
      <c r="F99" s="148" t="s">
        <v>39</v>
      </c>
      <c r="G99" s="339">
        <f>'0664'!G99</f>
        <v>558</v>
      </c>
      <c r="I99" s="104">
        <f>ROUND(G99*E99,2)</f>
        <v>558</v>
      </c>
      <c r="N99" s="488" t="s">
        <v>65</v>
      </c>
      <c r="O99" s="488"/>
      <c r="P99" s="489">
        <f>IF(H120=1,E99,0)</f>
        <v>0</v>
      </c>
      <c r="Q99" s="489"/>
      <c r="R99" s="489"/>
      <c r="S99" s="86" t="s">
        <v>39</v>
      </c>
      <c r="T99" s="61">
        <f>G99</f>
        <v>558</v>
      </c>
      <c r="U99" s="99">
        <f>ROUND(T99*P99,0)</f>
        <v>0</v>
      </c>
    </row>
    <row r="100" spans="1:21" x14ac:dyDescent="0.25">
      <c r="A100" s="536" t="s">
        <v>471</v>
      </c>
      <c r="B100" s="461"/>
      <c r="C100" s="165">
        <v>0</v>
      </c>
      <c r="D100" s="165">
        <v>0</v>
      </c>
      <c r="E100" s="125">
        <f>C100</f>
        <v>0</v>
      </c>
      <c r="F100" s="148" t="s">
        <v>39</v>
      </c>
      <c r="G100" s="339">
        <f>'0664'!G100</f>
        <v>1707</v>
      </c>
      <c r="I100" s="104">
        <f>ROUND(G100*E100,2)</f>
        <v>0</v>
      </c>
      <c r="N100" s="488" t="s">
        <v>81</v>
      </c>
      <c r="O100" s="488"/>
      <c r="P100" s="483"/>
      <c r="Q100" s="483"/>
      <c r="R100" s="483"/>
      <c r="S100" s="86" t="s">
        <v>39</v>
      </c>
      <c r="T100" s="61">
        <f>G100</f>
        <v>1707</v>
      </c>
      <c r="U100" s="99">
        <f>ROUND(T100*P100,0)</f>
        <v>0</v>
      </c>
    </row>
    <row r="101" spans="1:21" x14ac:dyDescent="0.25">
      <c r="A101" s="149"/>
      <c r="B101" s="149"/>
      <c r="C101" s="68"/>
      <c r="D101" s="68"/>
      <c r="E101" s="68"/>
      <c r="F101" s="68"/>
      <c r="G101" s="150"/>
      <c r="H101" s="151"/>
      <c r="I101" s="104"/>
      <c r="N101" s="152"/>
      <c r="O101" s="152"/>
      <c r="P101" s="153"/>
      <c r="Q101" s="153"/>
      <c r="R101" s="153"/>
      <c r="S101" s="86"/>
      <c r="T101" s="61"/>
      <c r="U101" s="106"/>
    </row>
    <row r="102" spans="1:21" x14ac:dyDescent="0.25">
      <c r="A102" s="149"/>
      <c r="B102" s="149"/>
      <c r="C102" s="68"/>
      <c r="D102" s="68"/>
      <c r="E102" s="68"/>
      <c r="F102" s="68"/>
      <c r="G102" s="150"/>
      <c r="H102" s="151"/>
      <c r="I102" s="104"/>
      <c r="N102" s="152"/>
      <c r="O102" s="152"/>
      <c r="P102" s="153"/>
      <c r="Q102" s="153"/>
      <c r="R102" s="153"/>
      <c r="S102" s="86"/>
      <c r="T102" s="61"/>
      <c r="U102" s="106"/>
    </row>
    <row r="103" spans="1:21" hidden="1" x14ac:dyDescent="0.25">
      <c r="A103" s="463" t="s">
        <v>447</v>
      </c>
      <c r="B103" s="453"/>
      <c r="C103" s="453"/>
      <c r="D103" s="72"/>
      <c r="E103" s="41" t="s">
        <v>41</v>
      </c>
      <c r="F103" s="466"/>
      <c r="G103" s="466"/>
      <c r="H103" s="466"/>
      <c r="I103" s="466"/>
      <c r="N103" s="478" t="s">
        <v>362</v>
      </c>
      <c r="O103" s="479"/>
      <c r="P103" s="479"/>
      <c r="Q103" s="479"/>
      <c r="R103" s="479"/>
      <c r="S103" s="479"/>
      <c r="T103" s="479"/>
      <c r="U103" s="479"/>
    </row>
    <row r="104" spans="1:21" hidden="1" x14ac:dyDescent="0.25">
      <c r="B104" s="72"/>
      <c r="C104" s="462" t="s">
        <v>91</v>
      </c>
      <c r="D104" s="462"/>
      <c r="E104" s="462"/>
      <c r="F104" s="39"/>
      <c r="G104" s="39"/>
      <c r="H104" s="41" t="s">
        <v>152</v>
      </c>
      <c r="I104" s="39"/>
      <c r="N104" s="48"/>
      <c r="O104" s="48"/>
      <c r="P104" s="48"/>
      <c r="Q104" s="48"/>
      <c r="R104" s="48"/>
      <c r="S104" s="48"/>
      <c r="T104" s="48"/>
      <c r="U104" s="48"/>
    </row>
    <row r="105" spans="1:21" hidden="1" x14ac:dyDescent="0.25">
      <c r="B105" s="72"/>
      <c r="C105" s="91" t="s">
        <v>371</v>
      </c>
      <c r="D105" s="91" t="s">
        <v>351</v>
      </c>
      <c r="E105" s="159" t="s">
        <v>8</v>
      </c>
      <c r="F105" s="464" t="s">
        <v>153</v>
      </c>
      <c r="G105" s="466"/>
      <c r="H105" s="39" t="s">
        <v>38</v>
      </c>
      <c r="I105" s="39"/>
      <c r="N105" s="48"/>
      <c r="O105" s="48"/>
      <c r="P105" s="48"/>
      <c r="Q105" s="48"/>
      <c r="R105" s="48"/>
      <c r="S105" s="48"/>
      <c r="T105" s="48"/>
      <c r="U105" s="48"/>
    </row>
    <row r="106" spans="1:21" hidden="1" x14ac:dyDescent="0.25">
      <c r="A106" s="462" t="s">
        <v>94</v>
      </c>
      <c r="B106" s="462"/>
      <c r="C106" s="93" t="s">
        <v>2</v>
      </c>
      <c r="D106" s="93" t="s">
        <v>2</v>
      </c>
      <c r="E106" s="62" t="s">
        <v>2</v>
      </c>
      <c r="F106" s="462" t="s">
        <v>37</v>
      </c>
      <c r="G106" s="462"/>
      <c r="H106" s="62" t="s">
        <v>37</v>
      </c>
      <c r="I106" s="62" t="s">
        <v>8</v>
      </c>
      <c r="N106" s="484" t="s">
        <v>66</v>
      </c>
      <c r="O106" s="484"/>
      <c r="P106" s="489" t="s">
        <v>91</v>
      </c>
      <c r="Q106" s="489"/>
      <c r="R106" s="484" t="s">
        <v>67</v>
      </c>
      <c r="S106" s="484"/>
      <c r="T106" s="63" t="s">
        <v>68</v>
      </c>
      <c r="U106" s="63" t="s">
        <v>8</v>
      </c>
    </row>
    <row r="107" spans="1:21" hidden="1" x14ac:dyDescent="0.25">
      <c r="A107" s="473" t="s">
        <v>69</v>
      </c>
      <c r="B107" s="473"/>
      <c r="C107" s="163">
        <v>0</v>
      </c>
      <c r="D107" s="163">
        <v>0</v>
      </c>
      <c r="E107" s="210">
        <f>IF(D$59=0,C107*2,C107+D107)</f>
        <v>0</v>
      </c>
      <c r="F107" s="474">
        <v>0</v>
      </c>
      <c r="G107" s="474"/>
      <c r="H107" s="250">
        <f>IF(C107=0,0,125)</f>
        <v>0</v>
      </c>
      <c r="I107" s="104">
        <f>ROUND((H107+F107)*E107,2)</f>
        <v>0</v>
      </c>
      <c r="N107" s="479" t="s">
        <v>69</v>
      </c>
      <c r="O107" s="479"/>
      <c r="P107" s="483">
        <f>IF(H$120=1,C107,0)</f>
        <v>0</v>
      </c>
      <c r="Q107" s="483"/>
      <c r="R107" s="486">
        <f>F107</f>
        <v>0</v>
      </c>
      <c r="S107" s="486"/>
      <c r="T107" s="65">
        <f>H107</f>
        <v>0</v>
      </c>
      <c r="U107" s="99">
        <f>ROUND((T107+R107)*P107,0)</f>
        <v>0</v>
      </c>
    </row>
    <row r="108" spans="1:21" hidden="1" x14ac:dyDescent="0.25">
      <c r="A108" s="456" t="s">
        <v>70</v>
      </c>
      <c r="B108" s="456"/>
      <c r="C108" s="165">
        <v>0</v>
      </c>
      <c r="D108" s="165">
        <v>0</v>
      </c>
      <c r="E108" s="125">
        <f>IF(D$59=0,C108*2,C108+D108)</f>
        <v>0</v>
      </c>
      <c r="F108" s="468">
        <f>ROUND(F107/2,2)</f>
        <v>0</v>
      </c>
      <c r="G108" s="468"/>
      <c r="H108" s="250">
        <f>IF(C108=0,0,62.5)</f>
        <v>0</v>
      </c>
      <c r="I108" s="104">
        <f>ROUND((H108+F108)*E108,2)</f>
        <v>0</v>
      </c>
      <c r="N108" s="479" t="s">
        <v>70</v>
      </c>
      <c r="O108" s="479"/>
      <c r="P108" s="483">
        <f>IF(H$120=1,C108,0)</f>
        <v>0</v>
      </c>
      <c r="Q108" s="483"/>
      <c r="R108" s="487">
        <f>ROUND(R107/2,2)</f>
        <v>0</v>
      </c>
      <c r="S108" s="487"/>
      <c r="T108" s="65">
        <f>H108</f>
        <v>0</v>
      </c>
      <c r="U108" s="99">
        <f>ROUND((T108+R108)*P108,0)</f>
        <v>0</v>
      </c>
    </row>
    <row r="109" spans="1:21" ht="16.5" hidden="1" thickBot="1" x14ac:dyDescent="0.3">
      <c r="A109" s="456" t="s">
        <v>71</v>
      </c>
      <c r="B109" s="456"/>
      <c r="C109" s="165">
        <v>0</v>
      </c>
      <c r="D109" s="165">
        <v>0</v>
      </c>
      <c r="E109" s="125">
        <f>IF(D$59=0,C109*2,C109+D109)</f>
        <v>0</v>
      </c>
      <c r="F109" s="475"/>
      <c r="G109" s="475"/>
      <c r="H109" s="251">
        <f>IF(H107&gt;0,436,0)</f>
        <v>0</v>
      </c>
      <c r="I109" s="104">
        <f>ROUND(H109*E109,2)</f>
        <v>0</v>
      </c>
      <c r="N109" s="482" t="s">
        <v>71</v>
      </c>
      <c r="O109" s="482"/>
      <c r="P109" s="483">
        <f>IF(H$120=1,C109,0)</f>
        <v>0</v>
      </c>
      <c r="Q109" s="483"/>
      <c r="R109" s="484"/>
      <c r="S109" s="484"/>
      <c r="T109" s="67">
        <f>H109</f>
        <v>0</v>
      </c>
      <c r="U109" s="106">
        <f>ROUND(T109*P109,0)</f>
        <v>0</v>
      </c>
    </row>
    <row r="110" spans="1:21" ht="16.5" hidden="1" thickBot="1" x14ac:dyDescent="0.3">
      <c r="A110" s="466" t="s">
        <v>8</v>
      </c>
      <c r="B110" s="466"/>
      <c r="C110" s="68"/>
      <c r="D110" s="68"/>
      <c r="E110" s="68"/>
      <c r="F110" s="68"/>
      <c r="G110" s="68"/>
      <c r="H110" s="68"/>
      <c r="I110" s="100">
        <f>SUM(I107:I109)</f>
        <v>0</v>
      </c>
      <c r="N110" s="485" t="s">
        <v>8</v>
      </c>
      <c r="O110" s="485"/>
      <c r="P110" s="69"/>
      <c r="Q110" s="69"/>
      <c r="R110" s="69"/>
      <c r="S110" s="69"/>
      <c r="T110" s="69"/>
      <c r="U110" s="70">
        <f>SUM(U107:U109)</f>
        <v>0</v>
      </c>
    </row>
    <row r="111" spans="1:21" hidden="1" x14ac:dyDescent="0.25">
      <c r="A111" s="39"/>
      <c r="B111" s="39"/>
      <c r="C111" s="68"/>
      <c r="D111" s="68"/>
      <c r="E111" s="68"/>
      <c r="F111" s="68"/>
      <c r="G111" s="68"/>
      <c r="H111" s="68"/>
      <c r="I111" s="104"/>
      <c r="N111" s="40"/>
      <c r="O111" s="40"/>
      <c r="P111" s="69"/>
      <c r="Q111" s="69"/>
      <c r="R111" s="69"/>
      <c r="S111" s="69"/>
      <c r="T111" s="69"/>
      <c r="U111" s="160"/>
    </row>
    <row r="112" spans="1:21" x14ac:dyDescent="0.25">
      <c r="A112" s="463" t="s">
        <v>448</v>
      </c>
      <c r="B112" s="453"/>
      <c r="C112" s="453"/>
      <c r="D112" s="72"/>
      <c r="E112" s="71" t="s">
        <v>354</v>
      </c>
      <c r="F112" s="472"/>
      <c r="G112" s="472"/>
      <c r="H112" s="472"/>
      <c r="I112" s="125">
        <v>0</v>
      </c>
      <c r="N112" s="478" t="s">
        <v>427</v>
      </c>
      <c r="O112" s="479"/>
      <c r="P112" s="479"/>
      <c r="Q112" s="341"/>
      <c r="R112" s="341"/>
      <c r="S112" s="341"/>
      <c r="T112" s="341"/>
      <c r="U112" s="99">
        <f>IF($H$120=1,I112,0)</f>
        <v>0</v>
      </c>
    </row>
    <row r="113" spans="1:21" x14ac:dyDescent="0.25">
      <c r="A113" s="463" t="s">
        <v>449</v>
      </c>
      <c r="B113" s="453"/>
      <c r="C113" s="453"/>
      <c r="D113" s="72"/>
      <c r="E113" s="71" t="s">
        <v>45</v>
      </c>
      <c r="F113" s="472"/>
      <c r="G113" s="472"/>
      <c r="H113" s="472"/>
      <c r="I113" s="177">
        <v>0</v>
      </c>
      <c r="N113" s="478" t="s">
        <v>428</v>
      </c>
      <c r="O113" s="479"/>
      <c r="P113" s="479"/>
      <c r="Q113" s="341"/>
      <c r="R113" s="341"/>
      <c r="S113" s="341"/>
      <c r="T113" s="341"/>
      <c r="U113" s="99">
        <f>IF($H$120=1,I113,0)</f>
        <v>0</v>
      </c>
    </row>
    <row r="114" spans="1:21" ht="16.5" thickBot="1" x14ac:dyDescent="0.3">
      <c r="B114" s="72"/>
      <c r="C114" s="72"/>
      <c r="D114" s="72"/>
      <c r="E114" s="71"/>
      <c r="F114" s="71"/>
      <c r="G114" s="71"/>
      <c r="H114" s="71"/>
      <c r="I114" s="125"/>
      <c r="N114" s="480" t="s">
        <v>42</v>
      </c>
      <c r="O114" s="480"/>
      <c r="P114" s="480"/>
      <c r="Q114" s="480"/>
      <c r="R114" s="480"/>
      <c r="S114" s="480"/>
      <c r="T114" s="480"/>
      <c r="U114" s="154">
        <f>SUM(U112,U110,U100,U99,U93,U77,U76,U74,U73,U72,U71,U70,U68,U59,U45,U78,U79,U80,U85,U113)</f>
        <v>0</v>
      </c>
    </row>
    <row r="115" spans="1:21" ht="16.5" thickTop="1" x14ac:dyDescent="0.25">
      <c r="A115" s="461" t="s">
        <v>8</v>
      </c>
      <c r="B115" s="461"/>
      <c r="C115" s="461"/>
      <c r="D115" s="461"/>
      <c r="E115" s="461"/>
      <c r="F115" s="461"/>
      <c r="G115" s="461"/>
      <c r="H115" s="461"/>
      <c r="I115" s="97">
        <f>SUM(I113,I112,I110,I100,I99,I93,I85,I84,I80,I79,I78,I77,I76,I74,I73,I72,I71,I70,I68,I59,I45)</f>
        <v>2883172.53</v>
      </c>
      <c r="N115" s="29"/>
      <c r="O115" s="29"/>
      <c r="P115" s="29"/>
      <c r="Q115" s="29"/>
      <c r="R115" s="29"/>
      <c r="S115" s="29"/>
      <c r="T115" s="29"/>
      <c r="U115" s="160"/>
    </row>
    <row r="116" spans="1:21" x14ac:dyDescent="0.25">
      <c r="A116" s="27"/>
      <c r="B116" s="27"/>
      <c r="C116" s="27"/>
      <c r="D116" s="27"/>
      <c r="E116" s="27"/>
      <c r="F116" s="27"/>
      <c r="G116" s="27"/>
      <c r="H116" s="27"/>
      <c r="I116" s="104"/>
      <c r="N116" s="29"/>
      <c r="O116" s="29"/>
      <c r="P116" s="29"/>
      <c r="Q116" s="29"/>
      <c r="R116" s="29"/>
      <c r="S116" s="29"/>
      <c r="T116" s="29"/>
      <c r="U116" s="160"/>
    </row>
    <row r="117" spans="1:21" x14ac:dyDescent="0.25">
      <c r="A117" s="432" t="s">
        <v>467</v>
      </c>
      <c r="B117" s="27"/>
      <c r="C117" s="27"/>
      <c r="D117" s="27"/>
      <c r="E117" s="27"/>
      <c r="F117" s="27"/>
      <c r="G117" s="27"/>
      <c r="H117" s="27"/>
      <c r="I117" s="104">
        <f>I115-I84</f>
        <v>2789736.46</v>
      </c>
      <c r="N117" s="29"/>
      <c r="O117" s="29"/>
      <c r="P117" s="29"/>
      <c r="Q117" s="29"/>
      <c r="R117" s="29"/>
      <c r="S117" s="29"/>
      <c r="T117" s="29"/>
      <c r="U117" s="160"/>
    </row>
    <row r="118" spans="1:21" x14ac:dyDescent="0.25">
      <c r="A118" s="27"/>
      <c r="B118" s="27"/>
      <c r="C118" s="27"/>
      <c r="D118" s="27"/>
      <c r="E118" s="27"/>
      <c r="F118" s="27"/>
      <c r="G118" s="27"/>
      <c r="H118" s="27"/>
      <c r="I118" s="104"/>
      <c r="N118" s="29"/>
      <c r="O118" s="29"/>
      <c r="P118" s="29"/>
      <c r="Q118" s="29"/>
      <c r="R118" s="29"/>
      <c r="S118" s="29"/>
      <c r="T118" s="29"/>
      <c r="U118" s="160"/>
    </row>
    <row r="119" spans="1:21" x14ac:dyDescent="0.25">
      <c r="A119" s="463" t="s">
        <v>468</v>
      </c>
      <c r="B119" s="453"/>
      <c r="C119" s="453"/>
      <c r="D119" s="453"/>
      <c r="E119" s="453"/>
      <c r="F119" s="453"/>
      <c r="G119" s="453"/>
      <c r="H119" s="84" t="s">
        <v>394</v>
      </c>
      <c r="I119" s="156"/>
      <c r="N119" s="481"/>
      <c r="O119" s="481"/>
      <c r="P119" s="481"/>
      <c r="Q119" s="481"/>
      <c r="R119" s="481"/>
      <c r="S119" s="481"/>
      <c r="T119" s="481"/>
      <c r="U119" s="481"/>
    </row>
    <row r="120" spans="1:21" x14ac:dyDescent="0.25">
      <c r="A120" s="453" t="s">
        <v>95</v>
      </c>
      <c r="B120" s="453"/>
      <c r="C120" s="453"/>
      <c r="D120" s="453"/>
      <c r="E120" s="453"/>
      <c r="F120" s="453"/>
      <c r="G120" s="453"/>
      <c r="H120" s="73" t="str">
        <f>IF(E29=0,"",IF((E14+E16+SUM(E18:E24))/E29&gt;0.75,1,""))</f>
        <v/>
      </c>
      <c r="I120" s="125">
        <f>U114</f>
        <v>0</v>
      </c>
      <c r="N120" s="476" t="s">
        <v>7</v>
      </c>
      <c r="O120" s="476"/>
      <c r="P120" s="476"/>
      <c r="Q120" s="476"/>
      <c r="R120" s="476"/>
      <c r="S120" s="476"/>
      <c r="T120" s="476"/>
      <c r="U120" s="476"/>
    </row>
    <row r="121" spans="1:21" x14ac:dyDescent="0.25">
      <c r="B121" s="72"/>
      <c r="C121" s="72"/>
      <c r="D121" s="72"/>
      <c r="E121" s="72"/>
      <c r="F121" s="72"/>
      <c r="G121" s="72"/>
      <c r="H121" s="68"/>
      <c r="I121" s="104"/>
      <c r="N121" s="74" t="s">
        <v>106</v>
      </c>
      <c r="O121" s="74"/>
      <c r="P121" s="74"/>
      <c r="Q121" s="74"/>
      <c r="R121" s="74"/>
      <c r="S121" s="74"/>
      <c r="T121" s="74"/>
      <c r="U121" s="74"/>
    </row>
    <row r="122" spans="1:21" x14ac:dyDescent="0.25">
      <c r="A122" s="3" t="s">
        <v>102</v>
      </c>
      <c r="B122" s="72"/>
      <c r="C122" s="72"/>
      <c r="D122" s="72"/>
      <c r="E122" s="72"/>
      <c r="F122" s="72"/>
      <c r="G122" s="286"/>
      <c r="H122" s="161">
        <f>IF(H120=1,I120,I117)</f>
        <v>2789736.46</v>
      </c>
      <c r="I122" s="97">
        <f>ROUND(IF(E29=0,0,IF(E29&gt;250,-(((250/E29)*H122)*IF(G122="H",0.02,0.05)),IF(G122="H",-0.02*H122,-0.05*H122))),2)</f>
        <v>-102896.74</v>
      </c>
      <c r="N122" s="75" t="s">
        <v>107</v>
      </c>
      <c r="O122" s="74"/>
      <c r="P122" s="74"/>
      <c r="Q122" s="74"/>
      <c r="R122" s="74"/>
      <c r="S122" s="74"/>
      <c r="T122" s="74"/>
      <c r="U122" s="74"/>
    </row>
    <row r="123" spans="1:21" x14ac:dyDescent="0.25">
      <c r="B123" s="72"/>
      <c r="C123" s="72"/>
      <c r="D123" s="72"/>
      <c r="E123" s="72"/>
      <c r="F123" s="72"/>
      <c r="G123" s="72"/>
      <c r="H123" s="68"/>
      <c r="I123" s="104"/>
      <c r="N123" s="76"/>
      <c r="O123" s="76"/>
      <c r="P123" s="76"/>
      <c r="Q123" s="76"/>
      <c r="R123" s="76"/>
      <c r="S123" s="76"/>
      <c r="T123" s="76"/>
      <c r="U123" s="76"/>
    </row>
    <row r="124" spans="1:21" x14ac:dyDescent="0.25">
      <c r="A124" s="345" t="s">
        <v>103</v>
      </c>
      <c r="B124" s="346"/>
      <c r="C124" s="346"/>
      <c r="D124" s="346"/>
      <c r="E124" s="346"/>
      <c r="F124" s="346"/>
      <c r="G124" s="346"/>
      <c r="H124" s="347"/>
      <c r="I124" s="348">
        <f>I115+I122</f>
        <v>2780275.7899999996</v>
      </c>
      <c r="N124" s="76"/>
      <c r="O124" s="76"/>
      <c r="P124" s="76"/>
      <c r="Q124" s="76"/>
      <c r="R124" s="76"/>
      <c r="S124" s="76"/>
      <c r="T124" s="76"/>
      <c r="U124" s="76"/>
    </row>
    <row r="125" spans="1:21" x14ac:dyDescent="0.25">
      <c r="B125" s="72"/>
      <c r="C125" s="72"/>
      <c r="D125" s="72"/>
      <c r="E125" s="72"/>
      <c r="F125" s="72"/>
      <c r="G125" s="72"/>
      <c r="H125" s="68"/>
      <c r="I125" s="104"/>
      <c r="N125" s="76"/>
      <c r="O125" s="76"/>
      <c r="P125" s="76"/>
      <c r="Q125" s="76"/>
      <c r="R125" s="76"/>
      <c r="S125" s="76"/>
      <c r="T125" s="76"/>
      <c r="U125" s="76"/>
    </row>
    <row r="126" spans="1:21" x14ac:dyDescent="0.25">
      <c r="A126" s="84" t="s">
        <v>292</v>
      </c>
      <c r="B126" s="72"/>
      <c r="C126" s="162"/>
      <c r="D126" s="72"/>
      <c r="F126" s="72"/>
      <c r="G126" s="72"/>
      <c r="H126" s="68"/>
      <c r="I126" s="305">
        <v>-2061898.98</v>
      </c>
      <c r="N126" s="76"/>
      <c r="O126" s="76"/>
      <c r="P126" s="76"/>
      <c r="Q126" s="76"/>
      <c r="R126" s="76"/>
      <c r="S126" s="76"/>
      <c r="T126" s="76"/>
      <c r="U126" s="76"/>
    </row>
    <row r="127" spans="1:21" x14ac:dyDescent="0.25">
      <c r="B127" s="72"/>
      <c r="C127" s="72"/>
      <c r="D127" s="72"/>
      <c r="E127" s="72"/>
      <c r="F127" s="72"/>
      <c r="G127" s="72"/>
      <c r="H127" s="68"/>
      <c r="I127" s="104"/>
      <c r="N127" s="76"/>
      <c r="O127" s="76"/>
      <c r="P127" s="76"/>
      <c r="Q127" s="76"/>
      <c r="R127" s="76"/>
      <c r="S127" s="76"/>
      <c r="T127" s="76"/>
      <c r="U127" s="76"/>
    </row>
    <row r="128" spans="1:21" x14ac:dyDescent="0.25">
      <c r="A128" s="84" t="s">
        <v>297</v>
      </c>
      <c r="B128" s="72"/>
      <c r="C128" s="72"/>
      <c r="D128" s="72"/>
      <c r="E128" s="72"/>
      <c r="F128" s="72"/>
      <c r="G128" s="72"/>
      <c r="H128" s="68"/>
      <c r="I128" s="296">
        <f>I124+I126</f>
        <v>718376.80999999959</v>
      </c>
      <c r="N128" s="76"/>
      <c r="O128" s="76"/>
      <c r="P128" s="76"/>
      <c r="Q128" s="76"/>
      <c r="R128" s="76"/>
      <c r="S128" s="76"/>
      <c r="T128" s="76"/>
      <c r="U128" s="76"/>
    </row>
    <row r="129" spans="1:21" x14ac:dyDescent="0.25">
      <c r="A129" s="84"/>
      <c r="B129" s="72"/>
      <c r="C129" s="72"/>
      <c r="D129" s="72"/>
      <c r="E129" s="72"/>
      <c r="F129" s="72"/>
      <c r="G129" s="72"/>
      <c r="H129" s="68"/>
      <c r="I129" s="296"/>
      <c r="N129" s="76"/>
      <c r="O129" s="76"/>
      <c r="P129" s="76"/>
      <c r="Q129" s="76"/>
      <c r="R129" s="76"/>
      <c r="S129" s="76"/>
      <c r="T129" s="76"/>
      <c r="U129" s="76"/>
    </row>
    <row r="130" spans="1:21" x14ac:dyDescent="0.25">
      <c r="A130" s="84" t="s">
        <v>298</v>
      </c>
      <c r="B130" s="72"/>
      <c r="C130" s="72"/>
      <c r="D130" s="72"/>
      <c r="E130" s="72"/>
      <c r="F130" s="72"/>
      <c r="G130" s="72"/>
      <c r="H130" s="68"/>
      <c r="I130" s="304">
        <f>'0664'!I130</f>
        <v>3</v>
      </c>
      <c r="N130" s="76"/>
      <c r="O130" s="76"/>
      <c r="P130" s="76"/>
      <c r="Q130" s="76"/>
      <c r="R130" s="76"/>
      <c r="S130" s="76"/>
      <c r="T130" s="76"/>
      <c r="U130" s="76"/>
    </row>
    <row r="131" spans="1:21" x14ac:dyDescent="0.25">
      <c r="B131" s="72"/>
      <c r="C131" s="72"/>
      <c r="D131" s="72"/>
      <c r="E131" s="72"/>
      <c r="F131" s="72"/>
      <c r="G131" s="72"/>
      <c r="H131" s="68"/>
      <c r="I131" s="104"/>
      <c r="N131" s="76"/>
      <c r="O131" s="76"/>
      <c r="P131" s="76"/>
      <c r="Q131" s="76"/>
      <c r="R131" s="76"/>
      <c r="S131" s="76"/>
      <c r="T131" s="76"/>
      <c r="U131" s="76"/>
    </row>
    <row r="132" spans="1:21" ht="16.5" thickBot="1" x14ac:dyDescent="0.3">
      <c r="A132" s="3" t="s">
        <v>105</v>
      </c>
      <c r="B132" s="72"/>
      <c r="C132" s="72"/>
      <c r="D132" s="72"/>
      <c r="E132" s="72"/>
      <c r="F132" s="72"/>
      <c r="G132" s="72"/>
      <c r="H132" s="68"/>
      <c r="I132" s="178">
        <f>ROUND(I128/I130,2)</f>
        <v>239458.94</v>
      </c>
      <c r="N132" s="76"/>
      <c r="O132" s="76"/>
      <c r="P132" s="76"/>
      <c r="Q132" s="76"/>
      <c r="R132" s="76"/>
      <c r="S132" s="76"/>
      <c r="T132" s="76"/>
      <c r="U132" s="76"/>
    </row>
    <row r="133" spans="1:21" ht="16.5" thickTop="1" x14ac:dyDescent="0.25">
      <c r="B133" s="72"/>
      <c r="C133" s="72"/>
      <c r="D133" s="72"/>
      <c r="E133" s="72"/>
      <c r="F133" s="72"/>
      <c r="G133" s="72"/>
      <c r="H133" s="68"/>
      <c r="I133" s="104"/>
      <c r="N133" s="76"/>
      <c r="O133" s="76"/>
      <c r="P133" s="76"/>
      <c r="Q133" s="76"/>
      <c r="R133" s="76"/>
      <c r="S133" s="76"/>
      <c r="T133" s="76"/>
      <c r="U133" s="76"/>
    </row>
    <row r="134" spans="1:21" ht="16.5" thickBot="1" x14ac:dyDescent="0.3">
      <c r="A134" s="3" t="s">
        <v>121</v>
      </c>
      <c r="B134" s="72"/>
      <c r="C134" s="72"/>
      <c r="D134" s="72"/>
      <c r="E134" s="72"/>
      <c r="F134" s="72"/>
      <c r="G134" s="72"/>
      <c r="H134" s="68"/>
      <c r="I134" s="155">
        <f>ROUND(IF(G122="H",(H122*0.02)+I122,(H122*0.05)+I122),2)</f>
        <v>36590.080000000002</v>
      </c>
      <c r="N134" s="76"/>
      <c r="O134" s="76"/>
      <c r="P134" s="76"/>
      <c r="Q134" s="76"/>
      <c r="R134" s="76"/>
      <c r="S134" s="76"/>
      <c r="T134" s="76"/>
      <c r="U134" s="76"/>
    </row>
    <row r="135" spans="1:21" ht="16.5" thickTop="1" x14ac:dyDescent="0.25">
      <c r="B135" s="72"/>
      <c r="C135" s="72"/>
      <c r="D135" s="72"/>
      <c r="E135" s="72"/>
      <c r="F135" s="72"/>
      <c r="G135" s="72"/>
      <c r="H135" s="68"/>
      <c r="I135" s="156"/>
      <c r="N135" s="76"/>
      <c r="O135" s="76"/>
      <c r="P135" s="76"/>
      <c r="Q135" s="76"/>
      <c r="R135" s="76"/>
      <c r="S135" s="76"/>
      <c r="T135" s="76"/>
      <c r="U135" s="76"/>
    </row>
    <row r="136" spans="1:21" x14ac:dyDescent="0.25">
      <c r="B136" s="72"/>
      <c r="C136" s="72"/>
      <c r="D136" s="72"/>
      <c r="E136" s="72"/>
      <c r="F136" s="72"/>
      <c r="G136" s="72"/>
      <c r="H136" s="68"/>
      <c r="I136" s="104"/>
      <c r="N136" s="76"/>
      <c r="O136" s="76"/>
      <c r="P136" s="76"/>
      <c r="Q136" s="76"/>
      <c r="R136" s="76"/>
      <c r="S136" s="76"/>
      <c r="T136" s="76"/>
      <c r="U136" s="76"/>
    </row>
    <row r="137" spans="1:21" x14ac:dyDescent="0.25">
      <c r="B137" s="72"/>
      <c r="C137" s="72"/>
      <c r="D137" s="72"/>
      <c r="E137" s="72"/>
      <c r="F137" s="72"/>
      <c r="G137" s="72"/>
      <c r="H137" s="68"/>
      <c r="I137" s="156"/>
      <c r="N137" s="76"/>
      <c r="O137" s="76"/>
      <c r="P137" s="76"/>
      <c r="Q137" s="76"/>
      <c r="R137" s="76"/>
      <c r="S137" s="76"/>
      <c r="T137" s="76"/>
      <c r="U137" s="76"/>
    </row>
    <row r="138" spans="1:21" x14ac:dyDescent="0.25">
      <c r="A138" s="281" t="s">
        <v>7</v>
      </c>
      <c r="B138" s="281"/>
      <c r="C138" s="281"/>
      <c r="D138" s="281"/>
      <c r="E138" s="281"/>
      <c r="F138" s="281"/>
      <c r="G138" s="281"/>
      <c r="H138" s="281"/>
      <c r="I138" s="281"/>
      <c r="J138" s="156"/>
      <c r="N138" s="76"/>
      <c r="O138" s="76"/>
      <c r="P138" s="76"/>
      <c r="Q138" s="76"/>
      <c r="R138" s="76"/>
      <c r="S138" s="76"/>
      <c r="T138" s="76"/>
      <c r="U138" s="76"/>
    </row>
    <row r="139" spans="1:21" ht="15.75" customHeight="1" x14ac:dyDescent="0.25">
      <c r="A139" s="356" t="str">
        <f>'0664'!A139</f>
        <v>(a) Additional FTE includes FTE earned through Advanced Placement, International Baccalaureate, Advanced International Certificate of Education, Industry Certified Career</v>
      </c>
      <c r="B139" s="357"/>
      <c r="C139" s="357"/>
      <c r="D139" s="357"/>
      <c r="E139" s="357"/>
      <c r="F139" s="357"/>
      <c r="G139" s="357"/>
      <c r="H139" s="357"/>
      <c r="I139" s="357"/>
      <c r="J139" s="80"/>
      <c r="K139" s="79"/>
      <c r="L139" s="79"/>
      <c r="M139" s="79"/>
      <c r="N139" s="477"/>
      <c r="O139" s="477"/>
      <c r="P139" s="477"/>
      <c r="Q139" s="477"/>
      <c r="R139" s="477"/>
      <c r="S139" s="477"/>
      <c r="T139" s="477"/>
      <c r="U139" s="477"/>
    </row>
    <row r="140" spans="1:21" ht="15.75" customHeight="1" x14ac:dyDescent="0.25">
      <c r="A140" s="390" t="str">
        <f>'0664'!A140</f>
        <v xml:space="preserve">Education (CAPE), Early High School Graduation and the small district ESE Supplement, pursuant to s. 1011.62(1)(l-p), F.S. </v>
      </c>
      <c r="B140" s="357"/>
      <c r="C140" s="357"/>
      <c r="D140" s="357"/>
      <c r="E140" s="357"/>
      <c r="F140" s="357"/>
      <c r="G140" s="357"/>
      <c r="H140" s="357"/>
      <c r="I140" s="357"/>
      <c r="J140" s="80"/>
      <c r="K140" s="79"/>
      <c r="L140" s="79"/>
      <c r="M140" s="79"/>
      <c r="N140" s="76"/>
      <c r="O140" s="76"/>
      <c r="P140" s="76"/>
      <c r="Q140" s="76"/>
      <c r="R140" s="76"/>
      <c r="S140" s="76"/>
      <c r="T140" s="76"/>
      <c r="U140" s="76"/>
    </row>
    <row r="141" spans="1:21" x14ac:dyDescent="0.25">
      <c r="A141" s="356" t="str">
        <f>'0664'!A141</f>
        <v>(b) District allocations multiplied by percentage from item 3A.</v>
      </c>
      <c r="B141" s="281"/>
      <c r="C141" s="281"/>
      <c r="D141" s="281"/>
      <c r="E141" s="281"/>
      <c r="F141" s="281"/>
      <c r="G141" s="281"/>
      <c r="H141" s="281"/>
      <c r="I141" s="281"/>
      <c r="J141" s="79"/>
      <c r="K141" s="79"/>
      <c r="L141" s="79"/>
      <c r="M141" s="79"/>
      <c r="N141" s="81"/>
      <c r="O141" s="82"/>
      <c r="P141" s="82"/>
      <c r="Q141" s="82"/>
      <c r="R141" s="82"/>
      <c r="S141" s="82"/>
      <c r="T141" s="82"/>
      <c r="U141" s="82"/>
    </row>
    <row r="142" spans="1:21" s="79" customFormat="1" x14ac:dyDescent="0.2">
      <c r="A142" s="356" t="str">
        <f>'0664'!A142</f>
        <v>(c) District allocations multiplied by percentage from item 3B.</v>
      </c>
      <c r="B142" s="281"/>
      <c r="C142" s="281"/>
      <c r="D142" s="281"/>
      <c r="E142" s="281"/>
      <c r="F142" s="281"/>
      <c r="G142" s="281"/>
      <c r="H142" s="281"/>
      <c r="I142" s="281"/>
      <c r="N142" s="81"/>
    </row>
    <row r="143" spans="1:21" s="79" customFormat="1" ht="15.75" customHeight="1" x14ac:dyDescent="0.2">
      <c r="A143" s="356" t="str">
        <f>'0664'!A143</f>
        <v>(d) The Digital Classroom Allocation is provided pursuant to s. 1011.62(12), F.S.</v>
      </c>
      <c r="B143" s="281"/>
      <c r="C143" s="281"/>
      <c r="D143" s="281"/>
      <c r="E143" s="281"/>
      <c r="F143" s="281"/>
      <c r="G143" s="281"/>
      <c r="H143" s="281"/>
      <c r="I143" s="281"/>
      <c r="N143" s="81"/>
    </row>
    <row r="144" spans="1:21" s="79" customFormat="1" ht="15.75" customHeight="1" x14ac:dyDescent="0.2">
      <c r="A144" s="356" t="str">
        <f>'0664'!A144</f>
        <v>(e) School districts are required to pay for instructional materials used for the instruction of public high school students who are earning credit toward high school</v>
      </c>
      <c r="B144" s="281"/>
      <c r="C144" s="281"/>
      <c r="D144" s="281"/>
      <c r="E144" s="281"/>
      <c r="F144" s="281"/>
      <c r="G144" s="281"/>
      <c r="H144" s="281"/>
      <c r="I144" s="281"/>
      <c r="N144" s="81"/>
    </row>
    <row r="145" spans="1:14" s="79" customFormat="1" ht="15.75" customHeight="1" x14ac:dyDescent="0.2">
      <c r="A145" s="390" t="str">
        <f>'0664'!A145</f>
        <v xml:space="preserve">graduation under the dual enrollment program as provided in s. 1011.62(l)(i), F.S.  </v>
      </c>
      <c r="B145" s="281"/>
      <c r="C145" s="281"/>
      <c r="D145" s="281"/>
      <c r="E145" s="281"/>
      <c r="F145" s="281"/>
      <c r="G145" s="281"/>
      <c r="H145" s="281"/>
      <c r="I145" s="281"/>
      <c r="N145" s="81"/>
    </row>
    <row r="146" spans="1:14" s="79" customFormat="1" x14ac:dyDescent="0.2">
      <c r="A146" s="356" t="str">
        <f>'0664'!A146</f>
        <v>(f) This allocation will be frozen as of the 2021-22 FEFP Second Calculation and will not be recalculated throughout the year. Charter school allocations should be</v>
      </c>
      <c r="B146" s="281"/>
      <c r="C146" s="281"/>
      <c r="D146" s="281"/>
      <c r="E146" s="281"/>
      <c r="F146" s="281"/>
      <c r="G146" s="281"/>
      <c r="H146" s="281"/>
      <c r="I146" s="281"/>
      <c r="N146" s="81"/>
    </row>
    <row r="147" spans="1:14" s="79" customFormat="1" x14ac:dyDescent="0.2">
      <c r="A147" s="358" t="str">
        <f>'0664'!A147</f>
        <v xml:space="preserve">distributed on weighted FTE (or base funding as is done in the FEFP) and should not be recalculated with fluctuations in student enrollment later in the year. </v>
      </c>
      <c r="B147" s="281"/>
      <c r="C147" s="281"/>
      <c r="D147" s="281"/>
      <c r="E147" s="281"/>
      <c r="F147" s="281"/>
      <c r="G147" s="281"/>
      <c r="H147" s="281"/>
      <c r="I147" s="281"/>
      <c r="N147" s="81"/>
    </row>
    <row r="148" spans="1:14" s="79" customFormat="1" x14ac:dyDescent="0.2">
      <c r="A148" s="356" t="str">
        <f>'0664'!A148</f>
        <v>(g) Numbers entered here will be multiplied by the district level transportation funding per rider. "All Adjusted Fundable Riders" should include both basic and ESE Riders.</v>
      </c>
      <c r="B148" s="281"/>
      <c r="C148" s="281"/>
      <c r="D148" s="281"/>
      <c r="E148" s="281"/>
      <c r="F148" s="281"/>
      <c r="G148" s="281"/>
      <c r="H148" s="281"/>
      <c r="I148" s="281"/>
      <c r="N148" s="81"/>
    </row>
    <row r="149" spans="1:14" s="79" customFormat="1" x14ac:dyDescent="0.2">
      <c r="A149" s="390" t="str">
        <f>'0664'!A149</f>
        <v>"All Adjusted ESE Riders" should include only ESE Riders.</v>
      </c>
      <c r="B149" s="281"/>
      <c r="C149" s="281"/>
      <c r="D149" s="281"/>
      <c r="E149" s="281"/>
      <c r="F149" s="281"/>
      <c r="G149" s="281"/>
      <c r="H149" s="281"/>
      <c r="I149" s="281"/>
      <c r="N149" s="81"/>
    </row>
    <row r="150" spans="1:14" s="79" customFormat="1" x14ac:dyDescent="0.2">
      <c r="A150" s="356" t="str">
        <f>'0664'!A150</f>
        <v xml:space="preserve">(h) The Federally Connected Student Supplement provides additional funding for students on federal lands that receive Section 8003 impact aide pursuant to s. 1011.62(13), F.S. </v>
      </c>
      <c r="B150" s="281"/>
      <c r="C150" s="281"/>
      <c r="D150" s="281"/>
      <c r="E150" s="281"/>
      <c r="F150" s="281"/>
      <c r="G150" s="281"/>
      <c r="H150" s="281"/>
      <c r="I150" s="281"/>
      <c r="N150" s="81"/>
    </row>
    <row r="151" spans="1:14" s="79" customFormat="1" x14ac:dyDescent="0.2">
      <c r="A151" s="356" t="str">
        <f>'0664'!A151</f>
        <v>(i) Teacher Classroom Supply Assistance Program allocation pursuant to s. 1012.71, F.S., for certified teachers employed by a public school district or public charter school</v>
      </c>
      <c r="B151" s="281"/>
      <c r="C151" s="281"/>
      <c r="D151" s="281"/>
      <c r="E151" s="281"/>
      <c r="F151" s="281"/>
      <c r="G151" s="281"/>
      <c r="H151" s="281"/>
      <c r="I151" s="281"/>
      <c r="N151" s="81"/>
    </row>
    <row r="152" spans="1:14" s="79" customFormat="1" x14ac:dyDescent="0.2">
      <c r="A152" s="358" t="str">
        <f>'0664'!A152</f>
        <v xml:space="preserve">before September 1 of each year whose full-time or job-share responsibility is the classroom instruction of students in prekindergarten through grade 12, including </v>
      </c>
      <c r="B152" s="281"/>
      <c r="C152" s="281"/>
      <c r="D152" s="281"/>
      <c r="E152" s="281"/>
      <c r="F152" s="281"/>
      <c r="G152" s="281"/>
      <c r="H152" s="281"/>
      <c r="I152" s="281"/>
      <c r="N152" s="81"/>
    </row>
    <row r="153" spans="1:14" s="79" customFormat="1" ht="15.75" customHeight="1" x14ac:dyDescent="0.2">
      <c r="A153" s="358" t="str">
        <f>'0664'!A153</f>
        <v>full-time media specialists and certified school counselors serving students in prekindergarten through grade 12, who are funded through the FEFP.</v>
      </c>
      <c r="B153" s="281"/>
      <c r="C153" s="281"/>
      <c r="D153" s="281"/>
      <c r="E153" s="281"/>
      <c r="F153" s="281"/>
      <c r="G153" s="281"/>
      <c r="H153" s="281"/>
      <c r="I153" s="281"/>
      <c r="N153" s="81"/>
    </row>
    <row r="154" spans="1:14" s="79" customFormat="1" ht="15.75" customHeight="1" x14ac:dyDescent="0.2">
      <c r="A154" s="356" t="str">
        <f>'0664'!A154</f>
        <v xml:space="preserve">(j) Funding based on student eligibility and meals provided, if participating in the National School Lunch Program. </v>
      </c>
      <c r="B154" s="328"/>
      <c r="C154" s="328"/>
      <c r="D154" s="328"/>
      <c r="E154" s="328"/>
      <c r="F154" s="328"/>
      <c r="G154" s="328"/>
      <c r="H154" s="328"/>
      <c r="I154" s="328"/>
      <c r="N154" s="81"/>
    </row>
    <row r="155" spans="1:14" s="79" customFormat="1" ht="15.75" customHeight="1" x14ac:dyDescent="0.2">
      <c r="A155" s="356" t="str">
        <f>'0664'!A155</f>
        <v>(k) Consistent with s. 1002.33(20)(a), F.S., for charter schools with a population of 75% or more ESE students, the administrative fee shall be calculated based on</v>
      </c>
      <c r="B155" s="381"/>
      <c r="C155" s="381"/>
      <c r="D155" s="381"/>
      <c r="E155" s="381"/>
      <c r="F155" s="381"/>
      <c r="G155" s="381"/>
      <c r="H155" s="381"/>
      <c r="I155" s="381"/>
      <c r="N155" s="81"/>
    </row>
    <row r="156" spans="1:14" s="79" customFormat="1" ht="15.75" customHeight="1" x14ac:dyDescent="0.2">
      <c r="A156" s="390" t="str">
        <f>'0664'!A156</f>
        <v xml:space="preserve">unweighted full-time equivalent students. </v>
      </c>
      <c r="B156" s="381"/>
      <c r="C156" s="381"/>
      <c r="D156" s="381"/>
      <c r="E156" s="381"/>
      <c r="F156" s="381"/>
      <c r="G156" s="381"/>
      <c r="H156" s="381"/>
      <c r="I156" s="381"/>
      <c r="N156" s="81"/>
    </row>
    <row r="157" spans="1:14" s="79" customFormat="1" ht="15.75" customHeight="1" x14ac:dyDescent="0.2">
      <c r="A157" s="356"/>
      <c r="B157" s="381"/>
      <c r="C157" s="381"/>
      <c r="D157" s="381"/>
      <c r="E157" s="381"/>
      <c r="F157" s="381"/>
      <c r="G157" s="381"/>
      <c r="H157" s="381"/>
      <c r="I157" s="381"/>
      <c r="N157" s="81"/>
    </row>
    <row r="158" spans="1:14" s="79" customFormat="1" ht="15.75" customHeight="1" x14ac:dyDescent="0.25">
      <c r="A158" s="398" t="str">
        <f>'0664'!A158</f>
        <v>Administrative fees:</v>
      </c>
      <c r="B158" s="328"/>
      <c r="C158" s="328"/>
      <c r="D158" s="328"/>
      <c r="E158" s="328"/>
      <c r="F158" s="328"/>
      <c r="G158" s="328"/>
      <c r="H158" s="328"/>
      <c r="I158" s="328"/>
      <c r="J158" s="3"/>
      <c r="K158" s="3"/>
      <c r="L158" s="3"/>
      <c r="M158" s="3"/>
      <c r="N158" s="81"/>
    </row>
    <row r="159" spans="1:14" s="79" customFormat="1" ht="15.75" customHeight="1" x14ac:dyDescent="0.25">
      <c r="A159" s="399" t="str">
        <f>'0664'!A159</f>
        <v xml:space="preserve">Administrative fees charged by the school district pursuant to s. 1002.33(20)(a), F.S., shall be calculated based upon 5% of available funds from the FEFP and categorical </v>
      </c>
      <c r="B159" s="328"/>
      <c r="C159" s="328"/>
      <c r="D159" s="328"/>
      <c r="E159" s="328"/>
      <c r="F159" s="328"/>
      <c r="G159" s="328"/>
      <c r="H159" s="328"/>
      <c r="I159" s="328"/>
      <c r="J159" s="3"/>
      <c r="K159" s="3"/>
      <c r="L159" s="3"/>
      <c r="M159" s="3"/>
      <c r="N159" s="81"/>
    </row>
    <row r="160" spans="1:14" s="79" customFormat="1" ht="15.75" customHeight="1" x14ac:dyDescent="0.25">
      <c r="A160" s="400" t="str">
        <f>'0664'!A160</f>
        <v>funding for which charter students may be eligible.  To calculate the administrative fee to be withheld for schools with more than 250 students, divide the school</v>
      </c>
      <c r="B160" s="328"/>
      <c r="C160" s="328"/>
      <c r="D160" s="328"/>
      <c r="E160" s="328"/>
      <c r="F160" s="328"/>
      <c r="G160" s="328"/>
      <c r="H160" s="328"/>
      <c r="I160" s="328"/>
      <c r="J160" s="3"/>
      <c r="K160" s="3"/>
      <c r="L160" s="3"/>
      <c r="M160" s="3"/>
      <c r="N160" s="81"/>
    </row>
    <row r="161" spans="1:21" s="79" customFormat="1" ht="15.75" customHeight="1" x14ac:dyDescent="0.25">
      <c r="A161" s="400" t="str">
        <f>'0664'!A161</f>
        <v xml:space="preserve">population into 250. Multiply that fraction times the funds available, then times 5%.  </v>
      </c>
      <c r="B161" s="328"/>
      <c r="C161" s="328"/>
      <c r="D161" s="328"/>
      <c r="E161" s="328"/>
      <c r="F161" s="328"/>
      <c r="G161" s="328"/>
      <c r="H161" s="328"/>
      <c r="I161" s="328"/>
      <c r="J161" s="3"/>
      <c r="K161" s="3"/>
      <c r="L161" s="3"/>
      <c r="M161" s="3"/>
      <c r="N161" s="81"/>
    </row>
    <row r="162" spans="1:21" s="79" customFormat="1" ht="15.75" customHeight="1" x14ac:dyDescent="0.25">
      <c r="A162" s="399"/>
      <c r="B162" s="394"/>
      <c r="C162" s="394"/>
      <c r="D162" s="394"/>
      <c r="E162" s="394"/>
      <c r="F162" s="394"/>
      <c r="G162" s="394"/>
      <c r="H162" s="394"/>
      <c r="I162" s="394"/>
      <c r="N162" s="77"/>
      <c r="O162" s="3"/>
      <c r="P162" s="3"/>
      <c r="Q162" s="3"/>
      <c r="R162" s="3"/>
      <c r="S162" s="3"/>
      <c r="T162" s="3"/>
      <c r="U162" s="3"/>
    </row>
    <row r="163" spans="1:21" ht="15.75" customHeight="1" x14ac:dyDescent="0.25">
      <c r="A163" s="399" t="str">
        <f>'0664'!A163</f>
        <v xml:space="preserve">For high performing charter schools, administrative fees charged by the school district shall be calculated based upon 2% of available funds from the FEFP and categorical </v>
      </c>
      <c r="B163" s="328"/>
      <c r="C163" s="328"/>
      <c r="D163" s="328"/>
      <c r="E163" s="328"/>
      <c r="F163" s="328"/>
      <c r="G163" s="328"/>
      <c r="H163" s="328"/>
      <c r="I163" s="328"/>
      <c r="J163" s="79"/>
      <c r="K163" s="79"/>
      <c r="L163" s="79"/>
      <c r="M163" s="79"/>
      <c r="N163" s="81"/>
      <c r="O163" s="79"/>
      <c r="P163" s="79"/>
      <c r="Q163" s="79"/>
      <c r="R163" s="79"/>
      <c r="S163" s="79"/>
      <c r="T163" s="79"/>
      <c r="U163" s="79"/>
    </row>
    <row r="164" spans="1:21" ht="15.75" customHeight="1" x14ac:dyDescent="0.25">
      <c r="A164" s="400" t="str">
        <f>'0664'!A164</f>
        <v>funding for which charter students may be eligible.  To calculate the administrative fee to be withheld for schools with more than 250 students, divide the school</v>
      </c>
      <c r="B164" s="381"/>
      <c r="C164" s="381"/>
      <c r="D164" s="381"/>
      <c r="E164" s="381"/>
      <c r="F164" s="381"/>
      <c r="G164" s="381"/>
      <c r="H164" s="381"/>
      <c r="I164" s="381"/>
      <c r="J164" s="79"/>
      <c r="K164" s="79"/>
      <c r="L164" s="79"/>
      <c r="M164" s="79"/>
      <c r="N164" s="81"/>
      <c r="O164" s="79"/>
      <c r="P164" s="79"/>
      <c r="Q164" s="79"/>
      <c r="R164" s="79"/>
      <c r="S164" s="79"/>
      <c r="T164" s="79"/>
      <c r="U164" s="79"/>
    </row>
    <row r="165" spans="1:21" s="79" customFormat="1" ht="15.75" customHeight="1" x14ac:dyDescent="0.2">
      <c r="A165" s="400" t="str">
        <f>'0664'!A165</f>
        <v xml:space="preserve">population into 250. Multiply that fraction times the funds available, then times 2%.  </v>
      </c>
      <c r="B165" s="328"/>
      <c r="C165" s="328"/>
      <c r="D165" s="328"/>
      <c r="E165" s="328"/>
      <c r="F165" s="328"/>
      <c r="G165" s="328"/>
      <c r="H165" s="328"/>
      <c r="I165" s="328"/>
      <c r="N165" s="81"/>
    </row>
    <row r="166" spans="1:21" x14ac:dyDescent="0.25">
      <c r="A166" s="356"/>
      <c r="N166" s="77"/>
    </row>
    <row r="167" spans="1:21" x14ac:dyDescent="0.25">
      <c r="A167" s="398" t="str">
        <f>'0664'!A167</f>
        <v>Other:</v>
      </c>
      <c r="N167" s="77"/>
    </row>
    <row r="168" spans="1:21" x14ac:dyDescent="0.25">
      <c r="A168" s="399" t="str">
        <f>'0664'!A168</f>
        <v>FEFP and categorical funding are recalculated during the year to reflect the revised number of full-time equivalent students reported during the survey periods designated</v>
      </c>
      <c r="N168" s="77"/>
    </row>
    <row r="169" spans="1:21" x14ac:dyDescent="0.25">
      <c r="A169" s="402" t="str">
        <f>'0664'!A169</f>
        <v>by the Commissioner of Education.</v>
      </c>
      <c r="N169" s="77"/>
    </row>
    <row r="170" spans="1:21" x14ac:dyDescent="0.25">
      <c r="A170" s="399" t="str">
        <f>'0664'!A170</f>
        <v>Revenues flow to districts from state sources and from county tax collectors on various distribution schedules.</v>
      </c>
      <c r="N170" s="77"/>
    </row>
    <row r="171" spans="1:21" x14ac:dyDescent="0.25">
      <c r="A171" s="77"/>
      <c r="N171" s="77"/>
    </row>
    <row r="172" spans="1:21" x14ac:dyDescent="0.25">
      <c r="A172" s="77"/>
      <c r="N172" s="77"/>
    </row>
    <row r="173" spans="1:21" x14ac:dyDescent="0.25">
      <c r="A173" s="77"/>
      <c r="N173" s="77"/>
    </row>
    <row r="174" spans="1:21" x14ac:dyDescent="0.25">
      <c r="A174" s="77"/>
      <c r="N174" s="77"/>
    </row>
    <row r="175" spans="1:21" x14ac:dyDescent="0.25">
      <c r="A175" s="77"/>
      <c r="N175" s="77"/>
    </row>
    <row r="176" spans="1:21" x14ac:dyDescent="0.25">
      <c r="A176" s="77"/>
      <c r="N176" s="77"/>
    </row>
    <row r="177" spans="1:14" x14ac:dyDescent="0.25">
      <c r="A177" s="77"/>
      <c r="N177" s="77"/>
    </row>
    <row r="178" spans="1:14" x14ac:dyDescent="0.25">
      <c r="A178" s="77"/>
      <c r="N178" s="77"/>
    </row>
    <row r="179" spans="1:14" x14ac:dyDescent="0.25">
      <c r="A179" s="77"/>
      <c r="N179" s="77"/>
    </row>
    <row r="180" spans="1:14" x14ac:dyDescent="0.25">
      <c r="A180" s="77"/>
      <c r="N180" s="77"/>
    </row>
    <row r="181" spans="1:14" x14ac:dyDescent="0.25">
      <c r="A181" s="77"/>
      <c r="N181" s="77"/>
    </row>
    <row r="182" spans="1:14" x14ac:dyDescent="0.25">
      <c r="A182" s="77"/>
      <c r="N182" s="77"/>
    </row>
    <row r="183" spans="1:14" x14ac:dyDescent="0.25">
      <c r="A183" s="77"/>
      <c r="N183" s="77"/>
    </row>
    <row r="184" spans="1:14" x14ac:dyDescent="0.25">
      <c r="A184" s="77"/>
      <c r="N184" s="77"/>
    </row>
    <row r="185" spans="1:14" x14ac:dyDescent="0.25">
      <c r="A185" s="77"/>
      <c r="N185" s="77"/>
    </row>
    <row r="186" spans="1:14" x14ac:dyDescent="0.25">
      <c r="A186" s="77"/>
      <c r="N186" s="77"/>
    </row>
    <row r="187" spans="1:14" x14ac:dyDescent="0.25">
      <c r="A187" s="77"/>
      <c r="N187" s="77"/>
    </row>
    <row r="188" spans="1:14" x14ac:dyDescent="0.25">
      <c r="A188" s="77"/>
    </row>
    <row r="189" spans="1:14" x14ac:dyDescent="0.25">
      <c r="A189" s="77"/>
    </row>
    <row r="190" spans="1:14" x14ac:dyDescent="0.25">
      <c r="A190" s="77"/>
    </row>
    <row r="191" spans="1:14" x14ac:dyDescent="0.25">
      <c r="A191" s="77"/>
      <c r="K191" s="280"/>
    </row>
    <row r="192" spans="1:14" x14ac:dyDescent="0.25">
      <c r="A192" s="77"/>
      <c r="K192" s="280"/>
    </row>
    <row r="193" spans="1:1" x14ac:dyDescent="0.25">
      <c r="A193" s="77"/>
    </row>
    <row r="194" spans="1:1" x14ac:dyDescent="0.25">
      <c r="A194" s="77"/>
    </row>
    <row r="195" spans="1:1" x14ac:dyDescent="0.25">
      <c r="A195" s="77"/>
    </row>
    <row r="196" spans="1:1" x14ac:dyDescent="0.25">
      <c r="A196" s="77"/>
    </row>
    <row r="197" spans="1:1" x14ac:dyDescent="0.25">
      <c r="A197" s="77"/>
    </row>
    <row r="198" spans="1:1" x14ac:dyDescent="0.25">
      <c r="A198" s="77"/>
    </row>
    <row r="199" spans="1:1" x14ac:dyDescent="0.25">
      <c r="A199" s="77"/>
    </row>
    <row r="200" spans="1:1" x14ac:dyDescent="0.25">
      <c r="A200" s="77"/>
    </row>
    <row r="201" spans="1:1" x14ac:dyDescent="0.25">
      <c r="A201" s="77"/>
    </row>
    <row r="202" spans="1:1" x14ac:dyDescent="0.25">
      <c r="A202" s="77"/>
    </row>
    <row r="203" spans="1:1" x14ac:dyDescent="0.25">
      <c r="A203" s="77"/>
    </row>
    <row r="204" spans="1:1" x14ac:dyDescent="0.25">
      <c r="A204" s="77"/>
    </row>
    <row r="205" spans="1:1" x14ac:dyDescent="0.25">
      <c r="A205" s="77"/>
    </row>
    <row r="206" spans="1:1" x14ac:dyDescent="0.25">
      <c r="A206" s="77"/>
    </row>
  </sheetData>
  <mergeCells count="266">
    <mergeCell ref="A110:B110"/>
    <mergeCell ref="N110:O110"/>
    <mergeCell ref="A112:C112"/>
    <mergeCell ref="F112:H112"/>
    <mergeCell ref="N112:P112"/>
    <mergeCell ref="A113:C113"/>
    <mergeCell ref="F113:H113"/>
    <mergeCell ref="N113:P113"/>
    <mergeCell ref="N139:U139"/>
    <mergeCell ref="N114:T114"/>
    <mergeCell ref="A115:H115"/>
    <mergeCell ref="A119:G119"/>
    <mergeCell ref="N119:U119"/>
    <mergeCell ref="A120:G120"/>
    <mergeCell ref="N120:U120"/>
    <mergeCell ref="A108:B108"/>
    <mergeCell ref="F108:G108"/>
    <mergeCell ref="N108:O108"/>
    <mergeCell ref="P108:Q108"/>
    <mergeCell ref="R108:S108"/>
    <mergeCell ref="A109:B109"/>
    <mergeCell ref="F109:G109"/>
    <mergeCell ref="N109:O109"/>
    <mergeCell ref="P109:Q109"/>
    <mergeCell ref="R109:S109"/>
    <mergeCell ref="C104:E104"/>
    <mergeCell ref="F105:G105"/>
    <mergeCell ref="A106:B106"/>
    <mergeCell ref="F106:G106"/>
    <mergeCell ref="N106:O106"/>
    <mergeCell ref="P106:Q106"/>
    <mergeCell ref="R106:S106"/>
    <mergeCell ref="A107:B107"/>
    <mergeCell ref="F107:G107"/>
    <mergeCell ref="N107:O107"/>
    <mergeCell ref="P107:Q107"/>
    <mergeCell ref="R107:S107"/>
    <mergeCell ref="A99:B99"/>
    <mergeCell ref="N99:O99"/>
    <mergeCell ref="P99:R99"/>
    <mergeCell ref="A100:B100"/>
    <mergeCell ref="N100:O100"/>
    <mergeCell ref="P100:R100"/>
    <mergeCell ref="A103:C103"/>
    <mergeCell ref="F103:I103"/>
    <mergeCell ref="N103:U103"/>
    <mergeCell ref="C92:D92"/>
    <mergeCell ref="P92:Q92"/>
    <mergeCell ref="C93:D93"/>
    <mergeCell ref="P93:T93"/>
    <mergeCell ref="A94:I94"/>
    <mergeCell ref="N94:U94"/>
    <mergeCell ref="F96:I96"/>
    <mergeCell ref="N96:P96"/>
    <mergeCell ref="Q96:T96"/>
    <mergeCell ref="C88:D88"/>
    <mergeCell ref="C89:D89"/>
    <mergeCell ref="N89:O89"/>
    <mergeCell ref="P89:Q89"/>
    <mergeCell ref="R89:U89"/>
    <mergeCell ref="C90:D90"/>
    <mergeCell ref="P90:Q90"/>
    <mergeCell ref="C91:D91"/>
    <mergeCell ref="P91:Q91"/>
    <mergeCell ref="N74:T74"/>
    <mergeCell ref="A76:C76"/>
    <mergeCell ref="N76:P76"/>
    <mergeCell ref="A77:C77"/>
    <mergeCell ref="N77:P77"/>
    <mergeCell ref="A85:C85"/>
    <mergeCell ref="N85:P85"/>
    <mergeCell ref="A87:I87"/>
    <mergeCell ref="N87:U87"/>
    <mergeCell ref="A78:C78"/>
    <mergeCell ref="N78:P78"/>
    <mergeCell ref="A79:C79"/>
    <mergeCell ref="N79:P79"/>
    <mergeCell ref="A80:C80"/>
    <mergeCell ref="N80:P80"/>
    <mergeCell ref="A69:C69"/>
    <mergeCell ref="N69:P69"/>
    <mergeCell ref="A70:C70"/>
    <mergeCell ref="A71:C71"/>
    <mergeCell ref="N71:P71"/>
    <mergeCell ref="A72:C72"/>
    <mergeCell ref="N72:P72"/>
    <mergeCell ref="F73:H73"/>
    <mergeCell ref="N73:T73"/>
    <mergeCell ref="A65:B65"/>
    <mergeCell ref="D65:G65"/>
    <mergeCell ref="N65:O65"/>
    <mergeCell ref="Q65:S65"/>
    <mergeCell ref="T65:U65"/>
    <mergeCell ref="N66:S66"/>
    <mergeCell ref="T66:U66"/>
    <mergeCell ref="A68:C68"/>
    <mergeCell ref="N68:P68"/>
    <mergeCell ref="A62:B62"/>
    <mergeCell ref="D62:G62"/>
    <mergeCell ref="N62:O62"/>
    <mergeCell ref="Q62:S62"/>
    <mergeCell ref="T62:U62"/>
    <mergeCell ref="N63:S63"/>
    <mergeCell ref="T63:U63"/>
    <mergeCell ref="A64:I64"/>
    <mergeCell ref="N64:U64"/>
    <mergeCell ref="A59:B59"/>
    <mergeCell ref="F59:H59"/>
    <mergeCell ref="N59:O59"/>
    <mergeCell ref="P59:Q59"/>
    <mergeCell ref="R59:T59"/>
    <mergeCell ref="A60:I60"/>
    <mergeCell ref="N60:U60"/>
    <mergeCell ref="A61:I61"/>
    <mergeCell ref="N61:U61"/>
    <mergeCell ref="A50:B58"/>
    <mergeCell ref="N50:O58"/>
    <mergeCell ref="P50:Q50"/>
    <mergeCell ref="P51:Q51"/>
    <mergeCell ref="P52:Q52"/>
    <mergeCell ref="P53:Q53"/>
    <mergeCell ref="P54:Q54"/>
    <mergeCell ref="P55:Q55"/>
    <mergeCell ref="P56:Q56"/>
    <mergeCell ref="P57:Q57"/>
    <mergeCell ref="P58:Q58"/>
    <mergeCell ref="A42:B42"/>
    <mergeCell ref="N42:O42"/>
    <mergeCell ref="P42:T42"/>
    <mergeCell ref="N43:Q43"/>
    <mergeCell ref="S43:T43"/>
    <mergeCell ref="N45:Q45"/>
    <mergeCell ref="S45:T45"/>
    <mergeCell ref="N49:O49"/>
    <mergeCell ref="P49:Q49"/>
    <mergeCell ref="A39:B39"/>
    <mergeCell ref="N39:O39"/>
    <mergeCell ref="P39:T39"/>
    <mergeCell ref="A40:B40"/>
    <mergeCell ref="N40:O40"/>
    <mergeCell ref="P40:T40"/>
    <mergeCell ref="A41:B41"/>
    <mergeCell ref="N41:O41"/>
    <mergeCell ref="P41:T41"/>
    <mergeCell ref="F33:H36"/>
    <mergeCell ref="N34:T34"/>
    <mergeCell ref="A36:B36"/>
    <mergeCell ref="N36:O36"/>
    <mergeCell ref="P36:T36"/>
    <mergeCell ref="A37:B37"/>
    <mergeCell ref="N37:O37"/>
    <mergeCell ref="P37:T37"/>
    <mergeCell ref="A38:B38"/>
    <mergeCell ref="N38:O38"/>
    <mergeCell ref="P38:T38"/>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A20:B20"/>
    <mergeCell ref="F20:G20"/>
    <mergeCell ref="N20:O20"/>
    <mergeCell ref="P20:Q20"/>
    <mergeCell ref="R20:S20"/>
    <mergeCell ref="A21:B21"/>
    <mergeCell ref="F21:G21"/>
    <mergeCell ref="N21:O21"/>
    <mergeCell ref="P21:Q21"/>
    <mergeCell ref="R21:S21"/>
    <mergeCell ref="A18:B18"/>
    <mergeCell ref="F18:G18"/>
    <mergeCell ref="N18:O18"/>
    <mergeCell ref="P18:Q18"/>
    <mergeCell ref="R18:S18"/>
    <mergeCell ref="A19:B19"/>
    <mergeCell ref="F19:G19"/>
    <mergeCell ref="N19:O19"/>
    <mergeCell ref="P19:Q19"/>
    <mergeCell ref="R19:S19"/>
    <mergeCell ref="A16:B16"/>
    <mergeCell ref="F16:G16"/>
    <mergeCell ref="N16:O16"/>
    <mergeCell ref="P16:Q16"/>
    <mergeCell ref="R16:S16"/>
    <mergeCell ref="A17:B17"/>
    <mergeCell ref="F17:G17"/>
    <mergeCell ref="N17:O17"/>
    <mergeCell ref="P17:Q17"/>
    <mergeCell ref="R17:S17"/>
    <mergeCell ref="A14:B14"/>
    <mergeCell ref="F14:G14"/>
    <mergeCell ref="N14:O14"/>
    <mergeCell ref="P14:Q14"/>
    <mergeCell ref="R14:S14"/>
    <mergeCell ref="A15:B15"/>
    <mergeCell ref="F15:G15"/>
    <mergeCell ref="N15:O15"/>
    <mergeCell ref="P15:Q15"/>
    <mergeCell ref="R15:S15"/>
    <mergeCell ref="A12:B12"/>
    <mergeCell ref="F12:G12"/>
    <mergeCell ref="N12:O12"/>
    <mergeCell ref="P12:Q12"/>
    <mergeCell ref="R12:S12"/>
    <mergeCell ref="A13:B13"/>
    <mergeCell ref="F13:G13"/>
    <mergeCell ref="N13:O13"/>
    <mergeCell ref="P13:Q13"/>
    <mergeCell ref="R13:S13"/>
    <mergeCell ref="N8:O8"/>
    <mergeCell ref="P8:Q8"/>
    <mergeCell ref="R8:S8"/>
    <mergeCell ref="T8:U8"/>
    <mergeCell ref="F10:G10"/>
    <mergeCell ref="R10:S10"/>
    <mergeCell ref="A11:B11"/>
    <mergeCell ref="F11:G11"/>
    <mergeCell ref="N11:O11"/>
    <mergeCell ref="P11:Q11"/>
    <mergeCell ref="R11:S11"/>
    <mergeCell ref="B1:I1"/>
    <mergeCell ref="O1:U1"/>
    <mergeCell ref="N2:U2"/>
    <mergeCell ref="N3:U3"/>
    <mergeCell ref="A4:B4"/>
    <mergeCell ref="C4:E4"/>
    <mergeCell ref="N4:O4"/>
    <mergeCell ref="P4:Q4"/>
    <mergeCell ref="A7:I7"/>
    <mergeCell ref="N7:U7"/>
  </mergeCells>
  <pageMargins left="0.1" right="0.1" top="0.5" bottom="0.5" header="0" footer="0.1"/>
  <pageSetup scale="70" fitToHeight="3" orientation="portrait" r:id="rId1"/>
  <headerFooter alignWithMargins="0">
    <oddFooter>&amp;R&amp;P of &amp;N</oddFooter>
  </headerFooter>
  <rowBreaks count="1" manualBreakCount="1">
    <brk id="138" max="16383" man="1"/>
  </rowBreaks>
  <colBreaks count="1" manualBreakCount="1">
    <brk id="9"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2">
    <tabColor rgb="FFCCFFCC"/>
  </sheetPr>
  <dimension ref="A1:U206"/>
  <sheetViews>
    <sheetView showGridLines="0" zoomScaleNormal="100" workbookViewId="0">
      <pane ySplit="1" topLeftCell="A11" activePane="bottomLeft" state="frozen"/>
      <selection activeCell="I9" sqref="I9"/>
      <selection pane="bottomLeft" activeCell="E56" sqref="E56"/>
    </sheetView>
  </sheetViews>
  <sheetFormatPr defaultRowHeight="15.75" x14ac:dyDescent="0.25"/>
  <cols>
    <col min="1" max="1" width="10.28515625" style="72"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72"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5">
        <v>50</v>
      </c>
      <c r="B1" s="441" t="s">
        <v>17</v>
      </c>
      <c r="C1" s="442"/>
      <c r="D1" s="442"/>
      <c r="E1" s="442"/>
      <c r="F1" s="442"/>
      <c r="G1" s="442"/>
      <c r="H1" s="442"/>
      <c r="I1" s="442"/>
      <c r="J1" s="157"/>
      <c r="K1" s="157"/>
      <c r="L1" s="157"/>
      <c r="N1" s="85">
        <f>A1</f>
        <v>50</v>
      </c>
      <c r="O1" s="527" t="s">
        <v>17</v>
      </c>
      <c r="P1" s="528"/>
      <c r="Q1" s="528"/>
      <c r="R1" s="528"/>
      <c r="S1" s="528"/>
      <c r="T1" s="528"/>
      <c r="U1" s="528"/>
    </row>
    <row r="2" spans="1:21" ht="21" x14ac:dyDescent="0.35">
      <c r="A2" s="1" t="s">
        <v>396</v>
      </c>
      <c r="B2" s="2"/>
      <c r="C2" s="2"/>
      <c r="D2" s="2"/>
      <c r="E2" s="2"/>
      <c r="F2" s="2"/>
      <c r="G2" s="2"/>
      <c r="H2" s="2"/>
      <c r="I2" s="2"/>
      <c r="N2" s="529" t="s">
        <v>23</v>
      </c>
      <c r="O2" s="529"/>
      <c r="P2" s="529"/>
      <c r="Q2" s="529"/>
      <c r="R2" s="529"/>
      <c r="S2" s="529"/>
      <c r="T2" s="529"/>
      <c r="U2" s="529"/>
    </row>
    <row r="3" spans="1:21" x14ac:dyDescent="0.25">
      <c r="A3" s="84" t="str">
        <f>'0664'!A3</f>
        <v>Based on the FLDOE 2022-23 FEFP Third Calculation</v>
      </c>
      <c r="N3" s="485" t="str">
        <f>A3</f>
        <v>Based on the FLDOE 2022-23 FEFP Third Calculation</v>
      </c>
      <c r="O3" s="485"/>
      <c r="P3" s="485"/>
      <c r="Q3" s="485"/>
      <c r="R3" s="485"/>
      <c r="S3" s="485"/>
      <c r="T3" s="485"/>
      <c r="U3" s="485"/>
    </row>
    <row r="4" spans="1:21" x14ac:dyDescent="0.25">
      <c r="A4" s="443" t="s">
        <v>0</v>
      </c>
      <c r="B4" s="443"/>
      <c r="C4" s="444" t="s">
        <v>9</v>
      </c>
      <c r="D4" s="444"/>
      <c r="E4" s="444"/>
      <c r="F4" s="4" t="str">
        <f>'0664'!F4</f>
        <v>Apr 2023</v>
      </c>
      <c r="G4" s="4"/>
      <c r="H4" s="4"/>
      <c r="I4" s="4"/>
      <c r="N4" s="530" t="s">
        <v>0</v>
      </c>
      <c r="O4" s="530"/>
      <c r="P4" s="531" t="str">
        <f>C4</f>
        <v>Palm Beach</v>
      </c>
      <c r="Q4" s="531"/>
      <c r="R4" s="5"/>
      <c r="S4" s="5"/>
      <c r="T4" s="5"/>
      <c r="U4" s="5"/>
    </row>
    <row r="5" spans="1:21" ht="12" customHeight="1" thickBot="1" x14ac:dyDescent="0.3">
      <c r="A5" s="262"/>
      <c r="B5" s="262"/>
      <c r="C5" s="253"/>
      <c r="D5" s="253"/>
      <c r="E5" s="253"/>
      <c r="F5" s="254"/>
      <c r="G5" s="254"/>
      <c r="H5" s="254"/>
      <c r="I5" s="254"/>
      <c r="N5" s="86"/>
      <c r="O5" s="86"/>
      <c r="P5" s="6"/>
      <c r="Q5" s="6"/>
      <c r="R5" s="5"/>
      <c r="S5" s="5"/>
      <c r="T5" s="5"/>
      <c r="U5" s="5"/>
    </row>
    <row r="6" spans="1:21" ht="12" customHeight="1" x14ac:dyDescent="0.25">
      <c r="A6" s="150"/>
      <c r="B6" s="150"/>
      <c r="C6" s="261"/>
      <c r="D6" s="261"/>
      <c r="E6" s="261"/>
      <c r="F6" s="4"/>
      <c r="G6" s="4"/>
      <c r="H6" s="4"/>
      <c r="I6" s="4"/>
      <c r="N6" s="86"/>
      <c r="O6" s="86"/>
      <c r="P6" s="6"/>
      <c r="Q6" s="6"/>
      <c r="R6" s="5"/>
      <c r="S6" s="5"/>
      <c r="T6" s="5"/>
      <c r="U6" s="5"/>
    </row>
    <row r="7" spans="1:21" x14ac:dyDescent="0.25">
      <c r="A7" s="445" t="str">
        <f>'0664'!A7:I7</f>
        <v>1.   2022-23 FEFP State and Local Funding</v>
      </c>
      <c r="B7" s="533"/>
      <c r="C7" s="533"/>
      <c r="D7" s="533"/>
      <c r="E7" s="533"/>
      <c r="F7" s="533"/>
      <c r="G7" s="533"/>
      <c r="H7" s="533"/>
      <c r="I7" s="533"/>
      <c r="N7" s="530" t="s">
        <v>86</v>
      </c>
      <c r="O7" s="530"/>
      <c r="P7" s="530"/>
      <c r="Q7" s="530"/>
      <c r="R7" s="530"/>
      <c r="S7" s="530"/>
      <c r="T7" s="530"/>
      <c r="U7" s="530"/>
    </row>
    <row r="8" spans="1:21" x14ac:dyDescent="0.25">
      <c r="A8" s="87"/>
      <c r="B8" s="88" t="s">
        <v>123</v>
      </c>
      <c r="C8" s="334">
        <f>'0664'!C8</f>
        <v>4587.3999999999996</v>
      </c>
      <c r="D8" s="89"/>
      <c r="E8" s="90"/>
      <c r="F8" s="87"/>
      <c r="G8" s="88" t="s">
        <v>122</v>
      </c>
      <c r="H8" s="320">
        <f>'0664'!H8</f>
        <v>1.0438000000000001</v>
      </c>
      <c r="I8" s="78"/>
      <c r="N8" s="534" t="s">
        <v>10</v>
      </c>
      <c r="O8" s="534"/>
      <c r="P8" s="535">
        <v>4154.45</v>
      </c>
      <c r="Q8" s="535"/>
      <c r="R8" s="518" t="s">
        <v>11</v>
      </c>
      <c r="S8" s="518"/>
      <c r="T8" s="519">
        <f>H8</f>
        <v>1.0438000000000001</v>
      </c>
      <c r="U8" s="519"/>
    </row>
    <row r="9" spans="1:21" x14ac:dyDescent="0.25">
      <c r="A9" s="7"/>
      <c r="B9" s="44" t="s">
        <v>370</v>
      </c>
      <c r="C9" s="41" t="s">
        <v>370</v>
      </c>
      <c r="D9" s="91" t="s">
        <v>370</v>
      </c>
      <c r="E9" s="8"/>
      <c r="F9" s="9"/>
      <c r="G9" s="9"/>
      <c r="H9" s="10"/>
      <c r="I9" s="340" t="str">
        <f>'0664'!I9</f>
        <v>2022-23</v>
      </c>
      <c r="J9" s="283"/>
      <c r="K9" s="68"/>
      <c r="L9" s="68"/>
      <c r="N9" s="12"/>
      <c r="O9" s="12"/>
      <c r="P9" s="13"/>
      <c r="Q9" s="13"/>
      <c r="R9" s="14"/>
      <c r="S9" s="14"/>
      <c r="T9" s="15"/>
      <c r="U9" s="405" t="s">
        <v>405</v>
      </c>
    </row>
    <row r="10" spans="1:21" x14ac:dyDescent="0.25">
      <c r="A10" s="7"/>
      <c r="B10" s="7"/>
      <c r="C10" s="91" t="s">
        <v>463</v>
      </c>
      <c r="D10" s="371" t="s">
        <v>464</v>
      </c>
      <c r="E10" s="92" t="s">
        <v>8</v>
      </c>
      <c r="F10" s="446" t="s">
        <v>1</v>
      </c>
      <c r="G10" s="446"/>
      <c r="H10" s="10" t="s">
        <v>73</v>
      </c>
      <c r="I10" s="11" t="s">
        <v>36</v>
      </c>
      <c r="J10" s="285"/>
      <c r="K10" s="284"/>
      <c r="L10" s="284"/>
      <c r="N10" s="12"/>
      <c r="O10" s="12"/>
      <c r="P10" s="13"/>
      <c r="Q10" s="13"/>
      <c r="R10" s="520" t="s">
        <v>1</v>
      </c>
      <c r="S10" s="520"/>
      <c r="T10" s="15" t="s">
        <v>73</v>
      </c>
      <c r="U10" s="16" t="s">
        <v>36</v>
      </c>
    </row>
    <row r="11" spans="1:21" x14ac:dyDescent="0.25">
      <c r="A11" s="447" t="s">
        <v>1</v>
      </c>
      <c r="B11" s="447"/>
      <c r="C11" s="364" t="s">
        <v>2</v>
      </c>
      <c r="D11" s="362" t="s">
        <v>2</v>
      </c>
      <c r="E11" s="362" t="s">
        <v>2</v>
      </c>
      <c r="F11" s="448" t="s">
        <v>76</v>
      </c>
      <c r="G11" s="448"/>
      <c r="H11" s="17" t="s">
        <v>72</v>
      </c>
      <c r="I11" s="18" t="s">
        <v>75</v>
      </c>
      <c r="J11" s="283"/>
      <c r="K11" s="284"/>
      <c r="L11" s="284"/>
      <c r="N11" s="510" t="s">
        <v>1</v>
      </c>
      <c r="O11" s="510"/>
      <c r="P11" s="521" t="s">
        <v>24</v>
      </c>
      <c r="Q11" s="521"/>
      <c r="R11" s="522" t="s">
        <v>76</v>
      </c>
      <c r="S11" s="522"/>
      <c r="T11" s="19" t="s">
        <v>72</v>
      </c>
      <c r="U11" s="20" t="s">
        <v>75</v>
      </c>
    </row>
    <row r="12" spans="1:21" x14ac:dyDescent="0.25">
      <c r="A12" s="449" t="s">
        <v>47</v>
      </c>
      <c r="B12" s="449"/>
      <c r="C12" s="94"/>
      <c r="D12" s="94"/>
      <c r="E12" s="95" t="s">
        <v>48</v>
      </c>
      <c r="F12" s="450" t="s">
        <v>49</v>
      </c>
      <c r="G12" s="450"/>
      <c r="H12" s="21" t="s">
        <v>50</v>
      </c>
      <c r="I12" s="22" t="s">
        <v>51</v>
      </c>
      <c r="K12" s="284"/>
      <c r="L12" s="284"/>
      <c r="N12" s="523" t="s">
        <v>47</v>
      </c>
      <c r="O12" s="523"/>
      <c r="P12" s="524" t="s">
        <v>48</v>
      </c>
      <c r="Q12" s="524"/>
      <c r="R12" s="525" t="s">
        <v>49</v>
      </c>
      <c r="S12" s="525"/>
      <c r="T12" s="23" t="s">
        <v>50</v>
      </c>
      <c r="U12" s="24" t="s">
        <v>51</v>
      </c>
    </row>
    <row r="13" spans="1:21" x14ac:dyDescent="0.25">
      <c r="A13" s="451" t="s">
        <v>29</v>
      </c>
      <c r="B13" s="451"/>
      <c r="C13" s="165">
        <v>81.58</v>
      </c>
      <c r="D13" s="163">
        <v>81.75</v>
      </c>
      <c r="E13" s="210">
        <f>IF(D$29=0,C13*2,C13+D13)</f>
        <v>163.32999999999998</v>
      </c>
      <c r="F13" s="537">
        <f>'0664'!F13:G13</f>
        <v>1.1259999999999999</v>
      </c>
      <c r="G13" s="537"/>
      <c r="H13" s="167">
        <f>ROUND(E13*F13,4)</f>
        <v>183.90960000000001</v>
      </c>
      <c r="I13" s="119">
        <f t="shared" ref="I13:I28" si="0">ROUND(ROUND(H13*$C$8,4)*($H$8),2)</f>
        <v>880619.51</v>
      </c>
      <c r="N13" s="512" t="s">
        <v>29</v>
      </c>
      <c r="O13" s="512"/>
      <c r="P13" s="513">
        <f t="shared" ref="P13:P28" si="1">IF($H$120=1,E13,0)</f>
        <v>0</v>
      </c>
      <c r="Q13" s="513"/>
      <c r="R13" s="526">
        <v>1</v>
      </c>
      <c r="S13" s="526"/>
      <c r="T13" s="98">
        <f>ROUND(P13*R13,4)</f>
        <v>0</v>
      </c>
      <c r="U13" s="99">
        <f t="shared" ref="U13:U28" si="2">ROUND(ROUND(T13*$C$8,4)*($H$8),0)</f>
        <v>0</v>
      </c>
    </row>
    <row r="14" spans="1:21" x14ac:dyDescent="0.25">
      <c r="A14" s="453" t="s">
        <v>30</v>
      </c>
      <c r="B14" s="453"/>
      <c r="C14" s="165">
        <v>5.5</v>
      </c>
      <c r="D14" s="165">
        <v>5.5</v>
      </c>
      <c r="E14" s="125">
        <f t="shared" ref="E14:E28" si="3">IF(D$29=0,C14*2,C14+D14)</f>
        <v>11</v>
      </c>
      <c r="F14" s="532">
        <f>'0664'!F14:G14</f>
        <v>1.1259999999999999</v>
      </c>
      <c r="G14" s="532"/>
      <c r="H14" s="83">
        <f t="shared" ref="H14:H28" si="4">ROUND(E14*F14,4)</f>
        <v>12.385999999999999</v>
      </c>
      <c r="I14" s="104">
        <f t="shared" si="0"/>
        <v>59308.23</v>
      </c>
      <c r="J14" s="68" t="str">
        <f>IF(ROUND(E14,2)=ROUND(SUM(E50:E52),2)," ","CHECK PK-3 LINES BELOW")</f>
        <v xml:space="preserve"> </v>
      </c>
      <c r="N14" s="479" t="s">
        <v>30</v>
      </c>
      <c r="O14" s="479"/>
      <c r="P14" s="513">
        <f t="shared" si="1"/>
        <v>0</v>
      </c>
      <c r="Q14" s="513"/>
      <c r="R14" s="517">
        <v>1</v>
      </c>
      <c r="S14" s="517"/>
      <c r="T14" s="98">
        <f t="shared" ref="T14:T28" si="5">ROUND(P14*R14,4)</f>
        <v>0</v>
      </c>
      <c r="U14" s="99">
        <f t="shared" si="2"/>
        <v>0</v>
      </c>
    </row>
    <row r="15" spans="1:21" x14ac:dyDescent="0.25">
      <c r="A15" s="453" t="s">
        <v>31</v>
      </c>
      <c r="B15" s="453"/>
      <c r="C15" s="165">
        <v>96.88</v>
      </c>
      <c r="D15" s="165">
        <v>101.5</v>
      </c>
      <c r="E15" s="125">
        <f t="shared" si="3"/>
        <v>198.38</v>
      </c>
      <c r="F15" s="532">
        <f>'0664'!F15:G15</f>
        <v>1</v>
      </c>
      <c r="G15" s="532"/>
      <c r="H15" s="83">
        <f t="shared" si="4"/>
        <v>198.38</v>
      </c>
      <c r="I15" s="104">
        <f t="shared" si="0"/>
        <v>949908.53</v>
      </c>
      <c r="N15" s="479" t="s">
        <v>31</v>
      </c>
      <c r="O15" s="479"/>
      <c r="P15" s="513">
        <f t="shared" si="1"/>
        <v>0</v>
      </c>
      <c r="Q15" s="513"/>
      <c r="R15" s="517">
        <v>1</v>
      </c>
      <c r="S15" s="517"/>
      <c r="T15" s="98">
        <f t="shared" si="5"/>
        <v>0</v>
      </c>
      <c r="U15" s="99">
        <f t="shared" si="2"/>
        <v>0</v>
      </c>
    </row>
    <row r="16" spans="1:21" x14ac:dyDescent="0.25">
      <c r="A16" s="453" t="s">
        <v>32</v>
      </c>
      <c r="B16" s="453"/>
      <c r="C16" s="165">
        <v>19.78</v>
      </c>
      <c r="D16" s="165">
        <v>18.059999999999999</v>
      </c>
      <c r="E16" s="125">
        <f t="shared" si="3"/>
        <v>37.840000000000003</v>
      </c>
      <c r="F16" s="532">
        <f>'0664'!F16:G16</f>
        <v>1</v>
      </c>
      <c r="G16" s="532"/>
      <c r="H16" s="83">
        <f t="shared" si="4"/>
        <v>37.840000000000003</v>
      </c>
      <c r="I16" s="104">
        <f t="shared" si="0"/>
        <v>181190.34</v>
      </c>
      <c r="J16" s="68" t="str">
        <f>IF(ROUND(E16,2)=ROUND(SUM(E53:E55),2)," ","CHECK 4-8 LINES BELOW")</f>
        <v xml:space="preserve"> </v>
      </c>
      <c r="N16" s="479" t="s">
        <v>32</v>
      </c>
      <c r="O16" s="479"/>
      <c r="P16" s="513">
        <f t="shared" si="1"/>
        <v>0</v>
      </c>
      <c r="Q16" s="513"/>
      <c r="R16" s="517">
        <v>1</v>
      </c>
      <c r="S16" s="517"/>
      <c r="T16" s="98">
        <f t="shared" si="5"/>
        <v>0</v>
      </c>
      <c r="U16" s="99">
        <f t="shared" si="2"/>
        <v>0</v>
      </c>
    </row>
    <row r="17" spans="1:21" x14ac:dyDescent="0.25">
      <c r="A17" s="453" t="s">
        <v>33</v>
      </c>
      <c r="B17" s="453"/>
      <c r="C17" s="165">
        <v>0</v>
      </c>
      <c r="D17" s="165">
        <v>0</v>
      </c>
      <c r="E17" s="125">
        <f t="shared" si="3"/>
        <v>0</v>
      </c>
      <c r="F17" s="532">
        <f>'0664'!F17:G17</f>
        <v>0.999</v>
      </c>
      <c r="G17" s="532"/>
      <c r="H17" s="83">
        <f t="shared" si="4"/>
        <v>0</v>
      </c>
      <c r="I17" s="104">
        <f t="shared" si="0"/>
        <v>0</v>
      </c>
      <c r="N17" s="479" t="s">
        <v>33</v>
      </c>
      <c r="O17" s="479"/>
      <c r="P17" s="513">
        <f t="shared" si="1"/>
        <v>0</v>
      </c>
      <c r="Q17" s="513"/>
      <c r="R17" s="517">
        <v>1</v>
      </c>
      <c r="S17" s="517"/>
      <c r="T17" s="98">
        <f t="shared" si="5"/>
        <v>0</v>
      </c>
      <c r="U17" s="99">
        <f t="shared" si="2"/>
        <v>0</v>
      </c>
    </row>
    <row r="18" spans="1:21" x14ac:dyDescent="0.25">
      <c r="A18" s="453" t="s">
        <v>34</v>
      </c>
      <c r="B18" s="453"/>
      <c r="C18" s="165">
        <v>0</v>
      </c>
      <c r="D18" s="165">
        <v>0</v>
      </c>
      <c r="E18" s="125">
        <f t="shared" si="3"/>
        <v>0</v>
      </c>
      <c r="F18" s="532">
        <f>'0664'!F18:G18</f>
        <v>0.999</v>
      </c>
      <c r="G18" s="532"/>
      <c r="H18" s="83">
        <f t="shared" si="4"/>
        <v>0</v>
      </c>
      <c r="I18" s="104">
        <f t="shared" si="0"/>
        <v>0</v>
      </c>
      <c r="J18" s="68" t="str">
        <f>IF(ROUND(E18,2)=ROUND(SUM(E56:E58),2)," ","CHECK 4-8 LINES BELOW")</f>
        <v xml:space="preserve"> </v>
      </c>
      <c r="N18" s="479" t="s">
        <v>34</v>
      </c>
      <c r="O18" s="479"/>
      <c r="P18" s="513">
        <f t="shared" si="1"/>
        <v>0</v>
      </c>
      <c r="Q18" s="513"/>
      <c r="R18" s="517">
        <v>1</v>
      </c>
      <c r="S18" s="517"/>
      <c r="T18" s="98">
        <f t="shared" si="5"/>
        <v>0</v>
      </c>
      <c r="U18" s="101">
        <f t="shared" si="2"/>
        <v>0</v>
      </c>
    </row>
    <row r="19" spans="1:21" x14ac:dyDescent="0.25">
      <c r="A19" s="453" t="s">
        <v>108</v>
      </c>
      <c r="B19" s="453"/>
      <c r="C19" s="165">
        <v>0</v>
      </c>
      <c r="D19" s="165">
        <v>0</v>
      </c>
      <c r="E19" s="125">
        <f t="shared" si="3"/>
        <v>0</v>
      </c>
      <c r="F19" s="532">
        <f>'0664'!F19:G19</f>
        <v>3.6739999999999999</v>
      </c>
      <c r="G19" s="532"/>
      <c r="H19" s="83">
        <f t="shared" si="4"/>
        <v>0</v>
      </c>
      <c r="I19" s="104">
        <f t="shared" si="0"/>
        <v>0</v>
      </c>
      <c r="N19" s="479" t="s">
        <v>108</v>
      </c>
      <c r="O19" s="479"/>
      <c r="P19" s="513">
        <f t="shared" si="1"/>
        <v>0</v>
      </c>
      <c r="Q19" s="513"/>
      <c r="R19" s="517">
        <v>1</v>
      </c>
      <c r="S19" s="517"/>
      <c r="T19" s="98">
        <f t="shared" si="5"/>
        <v>0</v>
      </c>
      <c r="U19" s="99">
        <f t="shared" si="2"/>
        <v>0</v>
      </c>
    </row>
    <row r="20" spans="1:21" x14ac:dyDescent="0.25">
      <c r="A20" s="453" t="s">
        <v>109</v>
      </c>
      <c r="B20" s="453"/>
      <c r="C20" s="165">
        <v>0</v>
      </c>
      <c r="D20" s="165">
        <v>0</v>
      </c>
      <c r="E20" s="125">
        <f t="shared" si="3"/>
        <v>0</v>
      </c>
      <c r="F20" s="532">
        <f>'0664'!F20:G20</f>
        <v>3.6739999999999999</v>
      </c>
      <c r="G20" s="532"/>
      <c r="H20" s="83">
        <f t="shared" si="4"/>
        <v>0</v>
      </c>
      <c r="I20" s="104">
        <f t="shared" si="0"/>
        <v>0</v>
      </c>
      <c r="N20" s="479" t="s">
        <v>109</v>
      </c>
      <c r="O20" s="479"/>
      <c r="P20" s="513">
        <f t="shared" si="1"/>
        <v>0</v>
      </c>
      <c r="Q20" s="513"/>
      <c r="R20" s="517">
        <v>1</v>
      </c>
      <c r="S20" s="517"/>
      <c r="T20" s="98">
        <f t="shared" si="5"/>
        <v>0</v>
      </c>
      <c r="U20" s="99">
        <f t="shared" si="2"/>
        <v>0</v>
      </c>
    </row>
    <row r="21" spans="1:21" x14ac:dyDescent="0.25">
      <c r="A21" s="453" t="s">
        <v>110</v>
      </c>
      <c r="B21" s="453"/>
      <c r="C21" s="165">
        <v>0</v>
      </c>
      <c r="D21" s="165">
        <v>0</v>
      </c>
      <c r="E21" s="125">
        <f t="shared" si="3"/>
        <v>0</v>
      </c>
      <c r="F21" s="532">
        <f>'0664'!F21:G21</f>
        <v>3.6739999999999999</v>
      </c>
      <c r="G21" s="532"/>
      <c r="H21" s="83">
        <f t="shared" si="4"/>
        <v>0</v>
      </c>
      <c r="I21" s="104">
        <f t="shared" si="0"/>
        <v>0</v>
      </c>
      <c r="N21" s="479" t="s">
        <v>110</v>
      </c>
      <c r="O21" s="479"/>
      <c r="P21" s="513">
        <f t="shared" si="1"/>
        <v>0</v>
      </c>
      <c r="Q21" s="513"/>
      <c r="R21" s="517">
        <v>1</v>
      </c>
      <c r="S21" s="517"/>
      <c r="T21" s="98">
        <f t="shared" si="5"/>
        <v>0</v>
      </c>
      <c r="U21" s="99">
        <f t="shared" si="2"/>
        <v>0</v>
      </c>
    </row>
    <row r="22" spans="1:21" x14ac:dyDescent="0.25">
      <c r="A22" s="453" t="s">
        <v>111</v>
      </c>
      <c r="B22" s="453"/>
      <c r="C22" s="165">
        <v>0</v>
      </c>
      <c r="D22" s="165">
        <v>0</v>
      </c>
      <c r="E22" s="125">
        <f t="shared" si="3"/>
        <v>0</v>
      </c>
      <c r="F22" s="532">
        <f>'0664'!F22:G22</f>
        <v>5.4009999999999998</v>
      </c>
      <c r="G22" s="532"/>
      <c r="H22" s="83">
        <f t="shared" si="4"/>
        <v>0</v>
      </c>
      <c r="I22" s="104">
        <f t="shared" si="0"/>
        <v>0</v>
      </c>
      <c r="N22" s="479" t="s">
        <v>111</v>
      </c>
      <c r="O22" s="479"/>
      <c r="P22" s="513">
        <f t="shared" si="1"/>
        <v>0</v>
      </c>
      <c r="Q22" s="513"/>
      <c r="R22" s="517">
        <v>1</v>
      </c>
      <c r="S22" s="517"/>
      <c r="T22" s="98">
        <f t="shared" si="5"/>
        <v>0</v>
      </c>
      <c r="U22" s="99">
        <f t="shared" si="2"/>
        <v>0</v>
      </c>
    </row>
    <row r="23" spans="1:21" x14ac:dyDescent="0.25">
      <c r="A23" s="453" t="s">
        <v>112</v>
      </c>
      <c r="B23" s="453"/>
      <c r="C23" s="165">
        <v>0</v>
      </c>
      <c r="D23" s="165">
        <v>0</v>
      </c>
      <c r="E23" s="125">
        <f t="shared" si="3"/>
        <v>0</v>
      </c>
      <c r="F23" s="532">
        <f>'0664'!F23:G23</f>
        <v>5.4009999999999998</v>
      </c>
      <c r="G23" s="532"/>
      <c r="H23" s="83">
        <f t="shared" si="4"/>
        <v>0</v>
      </c>
      <c r="I23" s="104">
        <f t="shared" si="0"/>
        <v>0</v>
      </c>
      <c r="N23" s="479" t="s">
        <v>112</v>
      </c>
      <c r="O23" s="479"/>
      <c r="P23" s="513">
        <f t="shared" si="1"/>
        <v>0</v>
      </c>
      <c r="Q23" s="513"/>
      <c r="R23" s="517">
        <v>1</v>
      </c>
      <c r="S23" s="517"/>
      <c r="T23" s="98">
        <f t="shared" si="5"/>
        <v>0</v>
      </c>
      <c r="U23" s="99">
        <f t="shared" si="2"/>
        <v>0</v>
      </c>
    </row>
    <row r="24" spans="1:21" x14ac:dyDescent="0.25">
      <c r="A24" s="453" t="s">
        <v>113</v>
      </c>
      <c r="B24" s="453"/>
      <c r="C24" s="165">
        <v>0</v>
      </c>
      <c r="D24" s="165">
        <v>0</v>
      </c>
      <c r="E24" s="125">
        <f t="shared" si="3"/>
        <v>0</v>
      </c>
      <c r="F24" s="532">
        <f>'0664'!F24:G24</f>
        <v>5.4009999999999998</v>
      </c>
      <c r="G24" s="532"/>
      <c r="H24" s="83">
        <f t="shared" si="4"/>
        <v>0</v>
      </c>
      <c r="I24" s="104">
        <f t="shared" si="0"/>
        <v>0</v>
      </c>
      <c r="N24" s="479" t="s">
        <v>113</v>
      </c>
      <c r="O24" s="479"/>
      <c r="P24" s="513">
        <f t="shared" si="1"/>
        <v>0</v>
      </c>
      <c r="Q24" s="513"/>
      <c r="R24" s="517">
        <v>1</v>
      </c>
      <c r="S24" s="517"/>
      <c r="T24" s="98">
        <f t="shared" si="5"/>
        <v>0</v>
      </c>
      <c r="U24" s="99">
        <f t="shared" si="2"/>
        <v>0</v>
      </c>
    </row>
    <row r="25" spans="1:21" x14ac:dyDescent="0.25">
      <c r="A25" s="453" t="s">
        <v>114</v>
      </c>
      <c r="B25" s="453"/>
      <c r="C25" s="165">
        <v>14.92</v>
      </c>
      <c r="D25" s="165">
        <v>17.09</v>
      </c>
      <c r="E25" s="125">
        <f t="shared" si="3"/>
        <v>32.01</v>
      </c>
      <c r="F25" s="532">
        <f>'0664'!F25:G25</f>
        <v>1.206</v>
      </c>
      <c r="G25" s="532"/>
      <c r="H25" s="83">
        <f t="shared" si="4"/>
        <v>38.604100000000003</v>
      </c>
      <c r="I25" s="104">
        <f t="shared" si="0"/>
        <v>184849.1</v>
      </c>
      <c r="N25" s="479" t="s">
        <v>114</v>
      </c>
      <c r="O25" s="479"/>
      <c r="P25" s="513">
        <f t="shared" si="1"/>
        <v>0</v>
      </c>
      <c r="Q25" s="513"/>
      <c r="R25" s="517">
        <v>1</v>
      </c>
      <c r="S25" s="517"/>
      <c r="T25" s="98">
        <f t="shared" si="5"/>
        <v>0</v>
      </c>
      <c r="U25" s="99">
        <f t="shared" si="2"/>
        <v>0</v>
      </c>
    </row>
    <row r="26" spans="1:21" x14ac:dyDescent="0.25">
      <c r="A26" s="453" t="s">
        <v>115</v>
      </c>
      <c r="B26" s="453"/>
      <c r="C26" s="165">
        <v>12.66</v>
      </c>
      <c r="D26" s="165">
        <v>12.98</v>
      </c>
      <c r="E26" s="125">
        <f t="shared" si="3"/>
        <v>25.64</v>
      </c>
      <c r="F26" s="532">
        <f>'0664'!F26:G26</f>
        <v>1.206</v>
      </c>
      <c r="G26" s="532"/>
      <c r="H26" s="83">
        <f t="shared" si="4"/>
        <v>30.921800000000001</v>
      </c>
      <c r="I26" s="104">
        <f t="shared" si="0"/>
        <v>148063.72</v>
      </c>
      <c r="N26" s="479" t="s">
        <v>115</v>
      </c>
      <c r="O26" s="479"/>
      <c r="P26" s="513">
        <f t="shared" si="1"/>
        <v>0</v>
      </c>
      <c r="Q26" s="513"/>
      <c r="R26" s="517">
        <v>1</v>
      </c>
      <c r="S26" s="517"/>
      <c r="T26" s="98">
        <f t="shared" si="5"/>
        <v>0</v>
      </c>
      <c r="U26" s="99">
        <f t="shared" si="2"/>
        <v>0</v>
      </c>
    </row>
    <row r="27" spans="1:21" x14ac:dyDescent="0.25">
      <c r="A27" s="453" t="s">
        <v>116</v>
      </c>
      <c r="B27" s="453"/>
      <c r="C27" s="165">
        <v>0</v>
      </c>
      <c r="D27" s="165">
        <v>0</v>
      </c>
      <c r="E27" s="125">
        <f t="shared" si="3"/>
        <v>0</v>
      </c>
      <c r="F27" s="532">
        <f>'0664'!F27:G27</f>
        <v>1.206</v>
      </c>
      <c r="G27" s="532"/>
      <c r="H27" s="83">
        <f t="shared" si="4"/>
        <v>0</v>
      </c>
      <c r="I27" s="104">
        <f t="shared" si="0"/>
        <v>0</v>
      </c>
      <c r="N27" s="479" t="s">
        <v>116</v>
      </c>
      <c r="O27" s="479"/>
      <c r="P27" s="513">
        <f t="shared" si="1"/>
        <v>0</v>
      </c>
      <c r="Q27" s="513"/>
      <c r="R27" s="517">
        <v>1</v>
      </c>
      <c r="S27" s="517"/>
      <c r="T27" s="98">
        <f t="shared" si="5"/>
        <v>0</v>
      </c>
      <c r="U27" s="99">
        <f t="shared" si="2"/>
        <v>0</v>
      </c>
    </row>
    <row r="28" spans="1:21" x14ac:dyDescent="0.25">
      <c r="A28" s="453" t="s">
        <v>117</v>
      </c>
      <c r="B28" s="453"/>
      <c r="C28" s="116">
        <v>0</v>
      </c>
      <c r="D28" s="116">
        <v>0</v>
      </c>
      <c r="E28" s="177">
        <f t="shared" si="3"/>
        <v>0</v>
      </c>
      <c r="F28" s="532">
        <f>'0664'!F28:G28</f>
        <v>0.999</v>
      </c>
      <c r="G28" s="532"/>
      <c r="H28" s="96">
        <f t="shared" si="4"/>
        <v>0</v>
      </c>
      <c r="I28" s="97">
        <f t="shared" si="0"/>
        <v>0</v>
      </c>
      <c r="N28" s="482" t="s">
        <v>117</v>
      </c>
      <c r="O28" s="482"/>
      <c r="P28" s="513">
        <f t="shared" si="1"/>
        <v>0</v>
      </c>
      <c r="Q28" s="513"/>
      <c r="R28" s="514">
        <v>1</v>
      </c>
      <c r="S28" s="514"/>
      <c r="T28" s="98">
        <f t="shared" si="5"/>
        <v>0</v>
      </c>
      <c r="U28" s="99">
        <f t="shared" si="2"/>
        <v>0</v>
      </c>
    </row>
    <row r="29" spans="1:21" x14ac:dyDescent="0.25">
      <c r="A29" s="461" t="s">
        <v>5</v>
      </c>
      <c r="B29" s="461"/>
      <c r="C29" s="97">
        <f>SUM(C13:C28)</f>
        <v>231.31999999999996</v>
      </c>
      <c r="D29" s="97">
        <f>SUM(D13:D28)</f>
        <v>236.88</v>
      </c>
      <c r="E29" s="97">
        <f>SUM(E13:E28)</f>
        <v>468.19999999999993</v>
      </c>
      <c r="F29" s="457"/>
      <c r="G29" s="457"/>
      <c r="H29" s="102">
        <f>SUM(H13:H28)</f>
        <v>502.0415000000001</v>
      </c>
      <c r="I29" s="97">
        <f>SUM(I13:I28)</f>
        <v>2403939.4300000002</v>
      </c>
      <c r="N29" s="515" t="s">
        <v>5</v>
      </c>
      <c r="O29" s="515"/>
      <c r="P29" s="516">
        <f>SUM(P13:P28)</f>
        <v>0</v>
      </c>
      <c r="Q29" s="516"/>
      <c r="R29" s="508"/>
      <c r="S29" s="508"/>
      <c r="T29" s="103">
        <f>SUM(T13:T28)</f>
        <v>0</v>
      </c>
      <c r="U29" s="99">
        <f>SUM(U13:U28)</f>
        <v>0</v>
      </c>
    </row>
    <row r="30" spans="1:21" x14ac:dyDescent="0.25">
      <c r="A30" s="27"/>
      <c r="B30" s="27"/>
      <c r="C30" s="104"/>
      <c r="D30" s="104"/>
      <c r="E30" s="104"/>
      <c r="F30" s="28"/>
      <c r="G30" s="28"/>
      <c r="H30" s="83"/>
      <c r="I30" s="104"/>
      <c r="N30" s="29"/>
      <c r="O30" s="29"/>
      <c r="P30" s="30"/>
      <c r="Q30" s="30"/>
      <c r="R30" s="31"/>
      <c r="S30" s="31"/>
      <c r="T30" s="105"/>
      <c r="U30" s="106"/>
    </row>
    <row r="31" spans="1:21" x14ac:dyDescent="0.25">
      <c r="A31" s="168" t="s">
        <v>97</v>
      </c>
      <c r="B31" s="27"/>
      <c r="C31" s="104"/>
      <c r="D31" s="104"/>
      <c r="E31" s="104"/>
      <c r="F31" s="28"/>
      <c r="G31" s="28"/>
      <c r="H31" s="83"/>
      <c r="I31" s="104"/>
      <c r="N31" s="29"/>
      <c r="O31" s="29"/>
      <c r="P31" s="30"/>
      <c r="Q31" s="30"/>
      <c r="R31" s="31"/>
      <c r="S31" s="31"/>
      <c r="T31" s="105"/>
      <c r="U31" s="106"/>
    </row>
    <row r="32" spans="1:21" hidden="1" x14ac:dyDescent="0.25">
      <c r="A32" s="168"/>
      <c r="B32" s="27"/>
      <c r="C32" s="104"/>
      <c r="D32" s="104"/>
      <c r="E32" s="104"/>
      <c r="F32" s="28"/>
      <c r="G32" s="28"/>
      <c r="H32" s="83"/>
      <c r="I32" s="104"/>
      <c r="N32" s="29"/>
      <c r="O32" s="29"/>
      <c r="P32" s="30"/>
      <c r="Q32" s="30"/>
      <c r="R32" s="31"/>
      <c r="S32" s="31"/>
      <c r="T32" s="105"/>
      <c r="U32" s="106"/>
    </row>
    <row r="33" spans="1:21" hidden="1" x14ac:dyDescent="0.25">
      <c r="A33" s="168"/>
      <c r="B33" s="27"/>
      <c r="C33" s="104"/>
      <c r="D33" s="104"/>
      <c r="E33" s="104"/>
      <c r="F33" s="541" t="s">
        <v>282</v>
      </c>
      <c r="G33" s="541"/>
      <c r="H33" s="541"/>
      <c r="I33" s="104"/>
      <c r="N33" s="29"/>
      <c r="O33" s="29"/>
      <c r="P33" s="30"/>
      <c r="Q33" s="30"/>
      <c r="R33" s="31"/>
      <c r="S33" s="31"/>
      <c r="T33" s="105"/>
      <c r="U33" s="106"/>
    </row>
    <row r="34" spans="1:21" hidden="1" x14ac:dyDescent="0.25">
      <c r="A34" s="3"/>
      <c r="B34" s="72"/>
      <c r="C34" s="72"/>
      <c r="D34" s="72"/>
      <c r="E34" s="72"/>
      <c r="F34" s="541"/>
      <c r="G34" s="541"/>
      <c r="H34" s="541"/>
      <c r="I34" s="25" t="s">
        <v>74</v>
      </c>
      <c r="N34" s="485" t="s">
        <v>35</v>
      </c>
      <c r="O34" s="485"/>
      <c r="P34" s="485"/>
      <c r="Q34" s="485"/>
      <c r="R34" s="485"/>
      <c r="S34" s="485"/>
      <c r="T34" s="485"/>
      <c r="U34" s="26" t="s">
        <v>74</v>
      </c>
    </row>
    <row r="35" spans="1:21" hidden="1" x14ac:dyDescent="0.25">
      <c r="A35" s="27"/>
      <c r="B35" s="27"/>
      <c r="C35" s="91" t="s">
        <v>124</v>
      </c>
      <c r="D35" s="91" t="s">
        <v>125</v>
      </c>
      <c r="E35" s="92" t="s">
        <v>8</v>
      </c>
      <c r="F35" s="541"/>
      <c r="G35" s="541"/>
      <c r="H35" s="541"/>
      <c r="I35" s="25" t="s">
        <v>36</v>
      </c>
      <c r="N35" s="29"/>
      <c r="O35" s="29"/>
      <c r="P35" s="30"/>
      <c r="Q35" s="30"/>
      <c r="R35" s="31"/>
      <c r="S35" s="31"/>
      <c r="T35" s="105"/>
      <c r="U35" s="26" t="s">
        <v>36</v>
      </c>
    </row>
    <row r="36" spans="1:21" hidden="1" x14ac:dyDescent="0.25">
      <c r="A36" s="447" t="s">
        <v>63</v>
      </c>
      <c r="B36" s="447"/>
      <c r="C36" s="93" t="s">
        <v>2</v>
      </c>
      <c r="D36" s="93" t="s">
        <v>2</v>
      </c>
      <c r="E36" s="93" t="s">
        <v>2</v>
      </c>
      <c r="F36" s="542"/>
      <c r="G36" s="542"/>
      <c r="H36" s="542"/>
      <c r="I36" s="32" t="s">
        <v>75</v>
      </c>
      <c r="N36" s="510" t="s">
        <v>63</v>
      </c>
      <c r="O36" s="510"/>
      <c r="P36" s="511" t="s">
        <v>24</v>
      </c>
      <c r="Q36" s="511"/>
      <c r="R36" s="511"/>
      <c r="S36" s="511"/>
      <c r="T36" s="511"/>
      <c r="U36" s="20" t="s">
        <v>75</v>
      </c>
    </row>
    <row r="37" spans="1:21" hidden="1" x14ac:dyDescent="0.25">
      <c r="A37" s="451" t="s">
        <v>56</v>
      </c>
      <c r="B37" s="451"/>
      <c r="C37" s="169">
        <v>0</v>
      </c>
      <c r="D37" s="169">
        <v>0</v>
      </c>
      <c r="E37" s="210">
        <f t="shared" ref="E37:E42" si="6">IF(D$43=0,C37*2,C37+D37)</f>
        <v>0</v>
      </c>
      <c r="F37" s="170"/>
      <c r="G37" s="170"/>
      <c r="H37" s="170"/>
      <c r="I37" s="119">
        <f t="shared" ref="I37:I42" si="7">ROUND(ROUND(E37*$C$8,4)*($H$8),2)</f>
        <v>0</v>
      </c>
      <c r="N37" s="512" t="s">
        <v>56</v>
      </c>
      <c r="O37" s="512"/>
      <c r="P37" s="483">
        <f t="shared" ref="P37:P42" si="8">IF($H$120=1,E37,0)</f>
        <v>0</v>
      </c>
      <c r="Q37" s="483"/>
      <c r="R37" s="483"/>
      <c r="S37" s="483"/>
      <c r="T37" s="483"/>
      <c r="U37" s="101">
        <f t="shared" ref="U37:U42" si="9">ROUND(ROUND(P37*$C$8,4)*($H$8),0)</f>
        <v>0</v>
      </c>
    </row>
    <row r="38" spans="1:21" hidden="1" x14ac:dyDescent="0.25">
      <c r="A38" s="453" t="s">
        <v>57</v>
      </c>
      <c r="B38" s="453"/>
      <c r="C38" s="172">
        <v>0</v>
      </c>
      <c r="D38" s="172">
        <v>0</v>
      </c>
      <c r="E38" s="125">
        <f t="shared" si="6"/>
        <v>0</v>
      </c>
      <c r="F38" s="173"/>
      <c r="G38" s="173"/>
      <c r="H38" s="173"/>
      <c r="I38" s="104">
        <f t="shared" si="7"/>
        <v>0</v>
      </c>
      <c r="N38" s="479" t="s">
        <v>57</v>
      </c>
      <c r="O38" s="479"/>
      <c r="P38" s="483">
        <f t="shared" si="8"/>
        <v>0</v>
      </c>
      <c r="Q38" s="483"/>
      <c r="R38" s="483"/>
      <c r="S38" s="483"/>
      <c r="T38" s="483"/>
      <c r="U38" s="101">
        <f t="shared" si="9"/>
        <v>0</v>
      </c>
    </row>
    <row r="39" spans="1:21" hidden="1" x14ac:dyDescent="0.25">
      <c r="A39" s="458" t="s">
        <v>58</v>
      </c>
      <c r="B39" s="458"/>
      <c r="C39" s="172">
        <v>0</v>
      </c>
      <c r="D39" s="172">
        <v>0</v>
      </c>
      <c r="E39" s="125">
        <f t="shared" si="6"/>
        <v>0</v>
      </c>
      <c r="F39" s="173"/>
      <c r="G39" s="173"/>
      <c r="H39" s="173"/>
      <c r="I39" s="104">
        <f t="shared" si="7"/>
        <v>0</v>
      </c>
      <c r="N39" s="509" t="s">
        <v>58</v>
      </c>
      <c r="O39" s="509"/>
      <c r="P39" s="483">
        <f t="shared" si="8"/>
        <v>0</v>
      </c>
      <c r="Q39" s="483"/>
      <c r="R39" s="483"/>
      <c r="S39" s="483"/>
      <c r="T39" s="483"/>
      <c r="U39" s="101">
        <f t="shared" si="9"/>
        <v>0</v>
      </c>
    </row>
    <row r="40" spans="1:21" hidden="1" x14ac:dyDescent="0.25">
      <c r="A40" s="453" t="s">
        <v>59</v>
      </c>
      <c r="B40" s="453"/>
      <c r="C40" s="172">
        <v>0</v>
      </c>
      <c r="D40" s="172">
        <v>0</v>
      </c>
      <c r="E40" s="125">
        <f t="shared" si="6"/>
        <v>0</v>
      </c>
      <c r="F40" s="173"/>
      <c r="G40" s="173"/>
      <c r="H40" s="173"/>
      <c r="I40" s="104">
        <f t="shared" si="7"/>
        <v>0</v>
      </c>
      <c r="N40" s="479" t="s">
        <v>59</v>
      </c>
      <c r="O40" s="479"/>
      <c r="P40" s="483">
        <f t="shared" si="8"/>
        <v>0</v>
      </c>
      <c r="Q40" s="483"/>
      <c r="R40" s="483"/>
      <c r="S40" s="483"/>
      <c r="T40" s="483"/>
      <c r="U40" s="101">
        <f t="shared" si="9"/>
        <v>0</v>
      </c>
    </row>
    <row r="41" spans="1:21" hidden="1" x14ac:dyDescent="0.25">
      <c r="A41" s="453" t="s">
        <v>60</v>
      </c>
      <c r="B41" s="453"/>
      <c r="C41" s="172">
        <v>0</v>
      </c>
      <c r="D41" s="172">
        <v>0</v>
      </c>
      <c r="E41" s="125">
        <f t="shared" si="6"/>
        <v>0</v>
      </c>
      <c r="F41" s="173"/>
      <c r="G41" s="173"/>
      <c r="H41" s="173"/>
      <c r="I41" s="104">
        <f t="shared" si="7"/>
        <v>0</v>
      </c>
      <c r="N41" s="479" t="s">
        <v>60</v>
      </c>
      <c r="O41" s="479"/>
      <c r="P41" s="483">
        <f t="shared" si="8"/>
        <v>0</v>
      </c>
      <c r="Q41" s="483"/>
      <c r="R41" s="483"/>
      <c r="S41" s="483"/>
      <c r="T41" s="483"/>
      <c r="U41" s="101">
        <f t="shared" si="9"/>
        <v>0</v>
      </c>
    </row>
    <row r="42" spans="1:21" hidden="1" x14ac:dyDescent="0.25">
      <c r="A42" s="453" t="s">
        <v>52</v>
      </c>
      <c r="B42" s="453"/>
      <c r="C42" s="171">
        <v>0</v>
      </c>
      <c r="D42" s="171">
        <v>0</v>
      </c>
      <c r="E42" s="177">
        <f t="shared" si="6"/>
        <v>0</v>
      </c>
      <c r="F42" s="173"/>
      <c r="G42" s="173"/>
      <c r="H42" s="173"/>
      <c r="I42" s="97">
        <f t="shared" si="7"/>
        <v>0</v>
      </c>
      <c r="N42" s="482" t="s">
        <v>52</v>
      </c>
      <c r="O42" s="482"/>
      <c r="P42" s="483">
        <f t="shared" si="8"/>
        <v>0</v>
      </c>
      <c r="Q42" s="483"/>
      <c r="R42" s="483"/>
      <c r="S42" s="483"/>
      <c r="T42" s="483"/>
      <c r="U42" s="101">
        <f t="shared" si="9"/>
        <v>0</v>
      </c>
    </row>
    <row r="43" spans="1:21" hidden="1" x14ac:dyDescent="0.25">
      <c r="A43" s="3"/>
      <c r="B43" s="55" t="s">
        <v>126</v>
      </c>
      <c r="C43" s="100">
        <f>SUM(C37:C42)</f>
        <v>0</v>
      </c>
      <c r="D43" s="100">
        <f>SUM(D37:D42)</f>
        <v>0</v>
      </c>
      <c r="E43" s="100">
        <f>SUM(E37:E42)</f>
        <v>0</v>
      </c>
      <c r="F43" s="33"/>
      <c r="G43" s="109"/>
      <c r="H43" s="110" t="s">
        <v>128</v>
      </c>
      <c r="I43" s="100">
        <f>SUM(I37:I42)</f>
        <v>0</v>
      </c>
      <c r="N43" s="480" t="s">
        <v>54</v>
      </c>
      <c r="O43" s="480"/>
      <c r="P43" s="480"/>
      <c r="Q43" s="480"/>
      <c r="R43" s="34">
        <f>SUM(P37:R42)</f>
        <v>0</v>
      </c>
      <c r="S43" s="508" t="s">
        <v>64</v>
      </c>
      <c r="T43" s="508"/>
      <c r="U43" s="106">
        <f>SUM(U37:U42)</f>
        <v>0</v>
      </c>
    </row>
    <row r="44" spans="1:21" hidden="1" x14ac:dyDescent="0.25">
      <c r="A44" s="3"/>
      <c r="B44" s="55"/>
      <c r="C44" s="104"/>
      <c r="D44" s="104"/>
      <c r="E44" s="119"/>
      <c r="F44" s="33"/>
      <c r="G44" s="109"/>
      <c r="H44" s="110"/>
      <c r="I44" s="104"/>
      <c r="N44" s="29"/>
      <c r="O44" s="29"/>
      <c r="P44" s="29"/>
      <c r="Q44" s="29"/>
      <c r="R44" s="34"/>
      <c r="S44" s="31"/>
      <c r="T44" s="31"/>
      <c r="U44" s="106"/>
    </row>
    <row r="45" spans="1:21" ht="16.5" hidden="1" thickBot="1" x14ac:dyDescent="0.3">
      <c r="A45" s="3"/>
      <c r="B45" s="55" t="s">
        <v>127</v>
      </c>
      <c r="E45" s="174">
        <f>H29+E43</f>
        <v>502.0415000000001</v>
      </c>
      <c r="F45" s="35"/>
      <c r="G45" s="109"/>
      <c r="H45" s="110" t="s">
        <v>129</v>
      </c>
      <c r="I45" s="97">
        <f>SUM(I43,I29)</f>
        <v>2403939.4300000002</v>
      </c>
      <c r="N45" s="480" t="s">
        <v>55</v>
      </c>
      <c r="O45" s="480"/>
      <c r="P45" s="480"/>
      <c r="Q45" s="480"/>
      <c r="R45" s="36">
        <f>R43+T29</f>
        <v>0</v>
      </c>
      <c r="S45" s="508" t="s">
        <v>53</v>
      </c>
      <c r="T45" s="508"/>
      <c r="U45" s="111">
        <f>SUM(U43,U29)</f>
        <v>0</v>
      </c>
    </row>
    <row r="46" spans="1:21" hidden="1" x14ac:dyDescent="0.25">
      <c r="A46" s="27"/>
      <c r="B46" s="27"/>
      <c r="C46" s="27"/>
      <c r="D46" s="27"/>
      <c r="E46" s="27"/>
      <c r="F46" s="35"/>
      <c r="G46" s="28"/>
      <c r="H46" s="28"/>
      <c r="I46" s="104"/>
      <c r="N46" s="29"/>
      <c r="O46" s="29"/>
      <c r="P46" s="29"/>
      <c r="Q46" s="29"/>
      <c r="R46" s="36"/>
      <c r="S46" s="31"/>
      <c r="T46" s="31"/>
      <c r="U46" s="106"/>
    </row>
    <row r="47" spans="1:21" x14ac:dyDescent="0.25">
      <c r="A47" s="27"/>
      <c r="B47" s="55" t="s">
        <v>370</v>
      </c>
      <c r="C47" s="41" t="s">
        <v>370</v>
      </c>
      <c r="D47" s="91" t="s">
        <v>370</v>
      </c>
      <c r="E47" s="27"/>
      <c r="F47" s="35"/>
      <c r="G47" s="28"/>
      <c r="H47" s="28"/>
      <c r="I47" s="104"/>
      <c r="N47" s="29"/>
      <c r="O47" s="29"/>
      <c r="P47" s="29"/>
      <c r="Q47" s="29"/>
      <c r="R47" s="36"/>
      <c r="S47" s="31"/>
      <c r="T47" s="31"/>
      <c r="U47" s="106"/>
    </row>
    <row r="48" spans="1:21" x14ac:dyDescent="0.25">
      <c r="A48" s="27"/>
      <c r="B48" s="27"/>
      <c r="C48" s="91" t="s">
        <v>463</v>
      </c>
      <c r="D48" s="371" t="s">
        <v>464</v>
      </c>
      <c r="E48" s="92" t="s">
        <v>8</v>
      </c>
      <c r="F48" s="49" t="s">
        <v>130</v>
      </c>
      <c r="G48" s="112" t="s">
        <v>132</v>
      </c>
      <c r="H48" s="113" t="s">
        <v>133</v>
      </c>
      <c r="I48" s="104"/>
      <c r="N48" s="29"/>
      <c r="O48" s="29"/>
      <c r="P48" s="29"/>
      <c r="Q48" s="29"/>
      <c r="R48" s="36"/>
      <c r="S48" s="31"/>
      <c r="T48" s="31"/>
      <c r="U48" s="106"/>
    </row>
    <row r="49" spans="1:21" x14ac:dyDescent="0.25">
      <c r="A49" s="37" t="s">
        <v>87</v>
      </c>
      <c r="B49" s="37"/>
      <c r="C49" s="364" t="s">
        <v>2</v>
      </c>
      <c r="D49" s="362" t="s">
        <v>2</v>
      </c>
      <c r="E49" s="362" t="s">
        <v>2</v>
      </c>
      <c r="F49" s="95" t="s">
        <v>131</v>
      </c>
      <c r="G49" s="62" t="s">
        <v>131</v>
      </c>
      <c r="H49" s="114" t="s">
        <v>134</v>
      </c>
      <c r="I49" s="37"/>
      <c r="N49" s="482" t="s">
        <v>87</v>
      </c>
      <c r="O49" s="482"/>
      <c r="P49" s="503" t="s">
        <v>2</v>
      </c>
      <c r="Q49" s="503"/>
      <c r="R49" s="38" t="s">
        <v>25</v>
      </c>
      <c r="S49" s="63" t="s">
        <v>26</v>
      </c>
      <c r="T49" s="115" t="s">
        <v>27</v>
      </c>
      <c r="U49" s="38"/>
    </row>
    <row r="50" spans="1:21" x14ac:dyDescent="0.25">
      <c r="A50" s="459" t="s">
        <v>98</v>
      </c>
      <c r="B50" s="459"/>
      <c r="C50" s="165">
        <v>4</v>
      </c>
      <c r="D50" s="165">
        <v>4</v>
      </c>
      <c r="E50" s="125">
        <f>IF(D$59=0,C50*2,C50+D50)</f>
        <v>8</v>
      </c>
      <c r="F50" s="39" t="s">
        <v>21</v>
      </c>
      <c r="G50" s="39">
        <v>251</v>
      </c>
      <c r="H50" s="321">
        <f>'0664'!H50</f>
        <v>1047</v>
      </c>
      <c r="I50" s="104">
        <f>ROUND(E50*H50,2)</f>
        <v>8376</v>
      </c>
      <c r="N50" s="504" t="s">
        <v>28</v>
      </c>
      <c r="O50" s="504"/>
      <c r="P50" s="505"/>
      <c r="Q50" s="505"/>
      <c r="R50" s="40" t="s">
        <v>21</v>
      </c>
      <c r="S50" s="40">
        <v>251</v>
      </c>
      <c r="T50" s="117">
        <f>H50</f>
        <v>1047</v>
      </c>
      <c r="U50" s="118">
        <f>ROUND(P50*T50,0)</f>
        <v>0</v>
      </c>
    </row>
    <row r="51" spans="1:21" x14ac:dyDescent="0.25">
      <c r="A51" s="460"/>
      <c r="B51" s="460"/>
      <c r="C51" s="165">
        <v>1</v>
      </c>
      <c r="D51" s="165">
        <v>1</v>
      </c>
      <c r="E51" s="125">
        <f t="shared" ref="E51:E58" si="10">IF(D$59=0,C51*2,C51+D51)</f>
        <v>2</v>
      </c>
      <c r="F51" s="39" t="s">
        <v>21</v>
      </c>
      <c r="G51" s="39">
        <v>252</v>
      </c>
      <c r="H51" s="321">
        <f>'0664'!H51</f>
        <v>3380</v>
      </c>
      <c r="I51" s="104">
        <f t="shared" ref="I51:I58" si="11">ROUND(E51*H51,2)</f>
        <v>6760</v>
      </c>
      <c r="N51" s="504"/>
      <c r="O51" s="504"/>
      <c r="P51" s="506"/>
      <c r="Q51" s="506"/>
      <c r="R51" s="40" t="s">
        <v>21</v>
      </c>
      <c r="S51" s="40">
        <v>252</v>
      </c>
      <c r="T51" s="117">
        <f t="shared" ref="T51:T58" si="12">H51</f>
        <v>3380</v>
      </c>
      <c r="U51" s="118">
        <f t="shared" ref="U51:U58" si="13">ROUND(P51*T51,0)</f>
        <v>0</v>
      </c>
    </row>
    <row r="52" spans="1:21" x14ac:dyDescent="0.25">
      <c r="A52" s="460"/>
      <c r="B52" s="460"/>
      <c r="C52" s="165">
        <v>0.5</v>
      </c>
      <c r="D52" s="165">
        <v>0.5</v>
      </c>
      <c r="E52" s="125">
        <f t="shared" si="10"/>
        <v>1</v>
      </c>
      <c r="F52" s="39" t="s">
        <v>21</v>
      </c>
      <c r="G52" s="39">
        <v>253</v>
      </c>
      <c r="H52" s="321">
        <f>'0664'!H52</f>
        <v>6896</v>
      </c>
      <c r="I52" s="104">
        <f t="shared" si="11"/>
        <v>6896</v>
      </c>
      <c r="N52" s="504"/>
      <c r="O52" s="504"/>
      <c r="P52" s="506"/>
      <c r="Q52" s="506"/>
      <c r="R52" s="40" t="s">
        <v>21</v>
      </c>
      <c r="S52" s="40">
        <v>253</v>
      </c>
      <c r="T52" s="117">
        <f t="shared" si="12"/>
        <v>6896</v>
      </c>
      <c r="U52" s="118">
        <f t="shared" si="13"/>
        <v>0</v>
      </c>
    </row>
    <row r="53" spans="1:21" x14ac:dyDescent="0.25">
      <c r="A53" s="460"/>
      <c r="B53" s="460"/>
      <c r="C53" s="165">
        <v>17.77</v>
      </c>
      <c r="D53" s="165">
        <v>16.22</v>
      </c>
      <c r="E53" s="125">
        <f t="shared" si="10"/>
        <v>33.989999999999995</v>
      </c>
      <c r="F53" s="41" t="s">
        <v>14</v>
      </c>
      <c r="G53" s="39">
        <v>251</v>
      </c>
      <c r="H53" s="321">
        <f>'0664'!H53</f>
        <v>1173</v>
      </c>
      <c r="I53" s="104">
        <f t="shared" si="11"/>
        <v>39870.269999999997</v>
      </c>
      <c r="N53" s="504"/>
      <c r="O53" s="504"/>
      <c r="P53" s="506"/>
      <c r="Q53" s="506"/>
      <c r="R53" s="42" t="s">
        <v>14</v>
      </c>
      <c r="S53" s="40">
        <v>251</v>
      </c>
      <c r="T53" s="117">
        <f t="shared" si="12"/>
        <v>1173</v>
      </c>
      <c r="U53" s="118">
        <f t="shared" si="13"/>
        <v>0</v>
      </c>
    </row>
    <row r="54" spans="1:21" x14ac:dyDescent="0.25">
      <c r="A54" s="460"/>
      <c r="B54" s="460"/>
      <c r="C54" s="165">
        <v>2.0099999999999998</v>
      </c>
      <c r="D54" s="165">
        <v>1.84</v>
      </c>
      <c r="E54" s="125">
        <f t="shared" si="10"/>
        <v>3.8499999999999996</v>
      </c>
      <c r="F54" s="41" t="s">
        <v>14</v>
      </c>
      <c r="G54" s="39">
        <v>252</v>
      </c>
      <c r="H54" s="321">
        <f>'0664'!H54</f>
        <v>3506</v>
      </c>
      <c r="I54" s="104">
        <f t="shared" si="11"/>
        <v>13498.1</v>
      </c>
      <c r="N54" s="504"/>
      <c r="O54" s="504"/>
      <c r="P54" s="506"/>
      <c r="Q54" s="506"/>
      <c r="R54" s="42" t="s">
        <v>14</v>
      </c>
      <c r="S54" s="40">
        <v>252</v>
      </c>
      <c r="T54" s="117">
        <f t="shared" si="12"/>
        <v>3506</v>
      </c>
      <c r="U54" s="118">
        <f t="shared" si="13"/>
        <v>0</v>
      </c>
    </row>
    <row r="55" spans="1:21" x14ac:dyDescent="0.25">
      <c r="A55" s="460"/>
      <c r="B55" s="460"/>
      <c r="C55" s="165">
        <v>0</v>
      </c>
      <c r="D55" s="165">
        <v>0</v>
      </c>
      <c r="E55" s="125">
        <f t="shared" si="10"/>
        <v>0</v>
      </c>
      <c r="F55" s="41" t="s">
        <v>14</v>
      </c>
      <c r="G55" s="39">
        <v>253</v>
      </c>
      <c r="H55" s="321">
        <f>'0664'!H55</f>
        <v>7023</v>
      </c>
      <c r="I55" s="104">
        <f t="shared" si="11"/>
        <v>0</v>
      </c>
      <c r="N55" s="504"/>
      <c r="O55" s="504"/>
      <c r="P55" s="506"/>
      <c r="Q55" s="506"/>
      <c r="R55" s="42" t="s">
        <v>14</v>
      </c>
      <c r="S55" s="40">
        <v>253</v>
      </c>
      <c r="T55" s="117">
        <f t="shared" si="12"/>
        <v>7023</v>
      </c>
      <c r="U55" s="118">
        <f t="shared" si="13"/>
        <v>0</v>
      </c>
    </row>
    <row r="56" spans="1:21" x14ac:dyDescent="0.25">
      <c r="A56" s="460"/>
      <c r="B56" s="460"/>
      <c r="C56" s="165">
        <v>0</v>
      </c>
      <c r="D56" s="165">
        <v>0</v>
      </c>
      <c r="E56" s="125">
        <f t="shared" si="10"/>
        <v>0</v>
      </c>
      <c r="F56" s="41" t="s">
        <v>15</v>
      </c>
      <c r="G56" s="39">
        <v>251</v>
      </c>
      <c r="H56" s="321">
        <f>'0664'!H56</f>
        <v>835</v>
      </c>
      <c r="I56" s="104">
        <f t="shared" si="11"/>
        <v>0</v>
      </c>
      <c r="N56" s="504"/>
      <c r="O56" s="504"/>
      <c r="P56" s="506"/>
      <c r="Q56" s="506"/>
      <c r="R56" s="42" t="s">
        <v>15</v>
      </c>
      <c r="S56" s="40">
        <v>251</v>
      </c>
      <c r="T56" s="117">
        <f t="shared" si="12"/>
        <v>835</v>
      </c>
      <c r="U56" s="118">
        <f t="shared" si="13"/>
        <v>0</v>
      </c>
    </row>
    <row r="57" spans="1:21" x14ac:dyDescent="0.25">
      <c r="A57" s="460"/>
      <c r="B57" s="460"/>
      <c r="C57" s="165">
        <v>0</v>
      </c>
      <c r="D57" s="165">
        <v>0</v>
      </c>
      <c r="E57" s="125">
        <f t="shared" si="10"/>
        <v>0</v>
      </c>
      <c r="F57" s="41" t="s">
        <v>15</v>
      </c>
      <c r="G57" s="39">
        <v>252</v>
      </c>
      <c r="H57" s="321">
        <f>'0664'!H57</f>
        <v>3168</v>
      </c>
      <c r="I57" s="104">
        <f t="shared" si="11"/>
        <v>0</v>
      </c>
      <c r="N57" s="504"/>
      <c r="O57" s="504"/>
      <c r="P57" s="506"/>
      <c r="Q57" s="506"/>
      <c r="R57" s="42" t="s">
        <v>15</v>
      </c>
      <c r="S57" s="40">
        <v>252</v>
      </c>
      <c r="T57" s="117">
        <f t="shared" si="12"/>
        <v>3168</v>
      </c>
      <c r="U57" s="118">
        <f t="shared" si="13"/>
        <v>0</v>
      </c>
    </row>
    <row r="58" spans="1:21" ht="16.5" thickBot="1" x14ac:dyDescent="0.3">
      <c r="A58" s="460"/>
      <c r="B58" s="460"/>
      <c r="C58" s="165">
        <v>0</v>
      </c>
      <c r="D58" s="165">
        <v>0</v>
      </c>
      <c r="E58" s="125">
        <f t="shared" si="10"/>
        <v>0</v>
      </c>
      <c r="F58" s="41" t="s">
        <v>15</v>
      </c>
      <c r="G58" s="39">
        <v>253</v>
      </c>
      <c r="H58" s="321">
        <f>'0664'!H58</f>
        <v>6685</v>
      </c>
      <c r="I58" s="104">
        <f t="shared" si="11"/>
        <v>0</v>
      </c>
      <c r="N58" s="504"/>
      <c r="O58" s="504"/>
      <c r="P58" s="507"/>
      <c r="Q58" s="507"/>
      <c r="R58" s="42" t="s">
        <v>15</v>
      </c>
      <c r="S58" s="40">
        <v>253</v>
      </c>
      <c r="T58" s="117">
        <f t="shared" si="12"/>
        <v>6685</v>
      </c>
      <c r="U58" s="120">
        <f t="shared" si="13"/>
        <v>0</v>
      </c>
    </row>
    <row r="59" spans="1:21" ht="16.5" thickBot="1" x14ac:dyDescent="0.3">
      <c r="A59" s="461" t="s">
        <v>16</v>
      </c>
      <c r="B59" s="461"/>
      <c r="C59" s="100">
        <f>SUM(C50:C58)</f>
        <v>25.28</v>
      </c>
      <c r="D59" s="100">
        <f>SUM(D50:D58)</f>
        <v>23.56</v>
      </c>
      <c r="E59" s="100">
        <f>SUM(E50:E58)</f>
        <v>48.839999999999996</v>
      </c>
      <c r="F59" s="461" t="s">
        <v>77</v>
      </c>
      <c r="G59" s="461"/>
      <c r="H59" s="461"/>
      <c r="I59" s="100">
        <f>SUM(I50:I58)</f>
        <v>75400.37</v>
      </c>
      <c r="N59" s="480" t="s">
        <v>16</v>
      </c>
      <c r="O59" s="480"/>
      <c r="P59" s="502">
        <f>SUM(P50:P58)</f>
        <v>0</v>
      </c>
      <c r="Q59" s="502"/>
      <c r="R59" s="480" t="s">
        <v>77</v>
      </c>
      <c r="S59" s="480"/>
      <c r="T59" s="480"/>
      <c r="U59" s="111">
        <f>SUM(U50:U58)</f>
        <v>0</v>
      </c>
    </row>
    <row r="60" spans="1:21" x14ac:dyDescent="0.25">
      <c r="A60" s="462"/>
      <c r="B60" s="462"/>
      <c r="C60" s="462"/>
      <c r="D60" s="462"/>
      <c r="E60" s="462"/>
      <c r="F60" s="462"/>
      <c r="G60" s="462"/>
      <c r="H60" s="462"/>
      <c r="I60" s="462"/>
      <c r="N60" s="484"/>
      <c r="O60" s="484"/>
      <c r="P60" s="484"/>
      <c r="Q60" s="484"/>
      <c r="R60" s="484"/>
      <c r="S60" s="484"/>
      <c r="T60" s="484"/>
      <c r="U60" s="484"/>
    </row>
    <row r="61" spans="1:21" x14ac:dyDescent="0.25">
      <c r="A61" s="463" t="s">
        <v>136</v>
      </c>
      <c r="B61" s="453"/>
      <c r="C61" s="453"/>
      <c r="D61" s="453"/>
      <c r="E61" s="453"/>
      <c r="F61" s="453"/>
      <c r="G61" s="453"/>
      <c r="H61" s="453"/>
      <c r="I61" s="453"/>
      <c r="N61" s="479" t="s">
        <v>88</v>
      </c>
      <c r="O61" s="479"/>
      <c r="P61" s="479"/>
      <c r="Q61" s="479"/>
      <c r="R61" s="479"/>
      <c r="S61" s="479"/>
      <c r="T61" s="479"/>
      <c r="U61" s="479"/>
    </row>
    <row r="62" spans="1:21" x14ac:dyDescent="0.25">
      <c r="A62" s="463" t="s">
        <v>138</v>
      </c>
      <c r="B62" s="453"/>
      <c r="C62" s="121">
        <f>E29</f>
        <v>468.19999999999993</v>
      </c>
      <c r="D62" s="464" t="s">
        <v>135</v>
      </c>
      <c r="E62" s="464"/>
      <c r="F62" s="464"/>
      <c r="G62" s="464"/>
      <c r="H62" s="335">
        <f>'0664'!H62</f>
        <v>193340.76</v>
      </c>
      <c r="I62" s="122"/>
      <c r="N62" s="478" t="s">
        <v>312</v>
      </c>
      <c r="O62" s="479"/>
      <c r="P62" s="43">
        <f>P29</f>
        <v>0</v>
      </c>
      <c r="Q62" s="498" t="s">
        <v>78</v>
      </c>
      <c r="R62" s="498"/>
      <c r="S62" s="498"/>
      <c r="T62" s="497">
        <f>H62</f>
        <v>193340.76</v>
      </c>
      <c r="U62" s="497"/>
    </row>
    <row r="63" spans="1:21" x14ac:dyDescent="0.25">
      <c r="B63" s="72"/>
      <c r="G63" s="44" t="s">
        <v>13</v>
      </c>
      <c r="H63" s="123">
        <f>ROUND(C62/H62,6)</f>
        <v>2.4220000000000001E-3</v>
      </c>
      <c r="I63" s="124"/>
      <c r="N63" s="479" t="s">
        <v>19</v>
      </c>
      <c r="O63" s="479"/>
      <c r="P63" s="479"/>
      <c r="Q63" s="479"/>
      <c r="R63" s="479"/>
      <c r="S63" s="479"/>
      <c r="T63" s="501">
        <f>ROUND(P62/T62,6)</f>
        <v>0</v>
      </c>
      <c r="U63" s="501"/>
    </row>
    <row r="64" spans="1:21" x14ac:dyDescent="0.25">
      <c r="A64" s="463" t="s">
        <v>137</v>
      </c>
      <c r="B64" s="453"/>
      <c r="C64" s="453"/>
      <c r="D64" s="453"/>
      <c r="E64" s="453"/>
      <c r="F64" s="453"/>
      <c r="G64" s="453"/>
      <c r="H64" s="453"/>
      <c r="I64" s="453"/>
      <c r="N64" s="479" t="s">
        <v>89</v>
      </c>
      <c r="O64" s="479"/>
      <c r="P64" s="479"/>
      <c r="Q64" s="479"/>
      <c r="R64" s="479"/>
      <c r="S64" s="479"/>
      <c r="T64" s="479"/>
      <c r="U64" s="479"/>
    </row>
    <row r="65" spans="1:21" x14ac:dyDescent="0.25">
      <c r="A65" s="463" t="s">
        <v>139</v>
      </c>
      <c r="B65" s="453"/>
      <c r="C65" s="121">
        <f>E45</f>
        <v>502.0415000000001</v>
      </c>
      <c r="D65" s="464" t="s">
        <v>140</v>
      </c>
      <c r="E65" s="464"/>
      <c r="F65" s="464"/>
      <c r="G65" s="464"/>
      <c r="H65" s="336">
        <f>'0664'!H65</f>
        <v>216845.88</v>
      </c>
      <c r="I65" s="125"/>
      <c r="N65" s="479" t="s">
        <v>80</v>
      </c>
      <c r="O65" s="479"/>
      <c r="P65" s="43">
        <f>R45</f>
        <v>0</v>
      </c>
      <c r="Q65" s="498" t="s">
        <v>79</v>
      </c>
      <c r="R65" s="498"/>
      <c r="S65" s="498"/>
      <c r="T65" s="497">
        <f>H65</f>
        <v>216845.88</v>
      </c>
      <c r="U65" s="497"/>
    </row>
    <row r="66" spans="1:21" s="37" customFormat="1" x14ac:dyDescent="0.25">
      <c r="A66" s="126"/>
      <c r="G66" s="45" t="s">
        <v>13</v>
      </c>
      <c r="H66" s="127">
        <f>ROUND(C65/H65,6)</f>
        <v>2.3149999999999998E-3</v>
      </c>
      <c r="I66" s="127"/>
      <c r="N66" s="482" t="s">
        <v>20</v>
      </c>
      <c r="O66" s="482"/>
      <c r="P66" s="482"/>
      <c r="Q66" s="482"/>
      <c r="R66" s="482"/>
      <c r="S66" s="482"/>
      <c r="T66" s="500">
        <f>ROUND(P65/T65,6)</f>
        <v>0</v>
      </c>
      <c r="U66" s="500"/>
    </row>
    <row r="67" spans="1:21" x14ac:dyDescent="0.25">
      <c r="G67" s="44"/>
      <c r="H67" s="123"/>
      <c r="I67" s="123"/>
      <c r="N67" s="48"/>
      <c r="O67" s="48"/>
      <c r="P67" s="48"/>
      <c r="Q67" s="48"/>
      <c r="R67" s="128"/>
      <c r="S67" s="48"/>
      <c r="T67" s="129"/>
      <c r="U67" s="130"/>
    </row>
    <row r="68" spans="1:21" x14ac:dyDescent="0.25">
      <c r="A68" s="453" t="s">
        <v>85</v>
      </c>
      <c r="B68" s="453"/>
      <c r="C68" s="453"/>
      <c r="D68" s="72"/>
      <c r="E68" s="46" t="s">
        <v>3</v>
      </c>
      <c r="F68" s="337">
        <f>'0664'!F68</f>
        <v>42465042</v>
      </c>
      <c r="G68" s="39" t="s">
        <v>6</v>
      </c>
      <c r="H68" s="131">
        <f>H63</f>
        <v>2.4220000000000001E-3</v>
      </c>
      <c r="I68" s="104">
        <f>ROUND(F68*H68,2)</f>
        <v>102850.33</v>
      </c>
      <c r="N68" s="479" t="s">
        <v>85</v>
      </c>
      <c r="O68" s="479"/>
      <c r="P68" s="479"/>
      <c r="Q68" s="47"/>
      <c r="R68" s="132">
        <f>F68</f>
        <v>42465042</v>
      </c>
      <c r="S68" s="40" t="s">
        <v>6</v>
      </c>
      <c r="T68" s="133">
        <f>T63</f>
        <v>0</v>
      </c>
      <c r="U68" s="99">
        <f>ROUND(R68*T68,0)</f>
        <v>0</v>
      </c>
    </row>
    <row r="69" spans="1:21" x14ac:dyDescent="0.25">
      <c r="A69" s="458" t="s">
        <v>96</v>
      </c>
      <c r="B69" s="453"/>
      <c r="C69" s="453"/>
      <c r="D69" s="72"/>
      <c r="E69" s="46"/>
      <c r="F69" s="136"/>
      <c r="G69" s="39"/>
      <c r="H69" s="131"/>
      <c r="I69" s="104"/>
      <c r="N69" s="479" t="s">
        <v>84</v>
      </c>
      <c r="O69" s="479"/>
      <c r="P69" s="479"/>
      <c r="Q69" s="54"/>
      <c r="R69" s="54"/>
      <c r="S69" s="54"/>
      <c r="T69" s="54"/>
      <c r="U69" s="54"/>
    </row>
    <row r="70" spans="1:21" x14ac:dyDescent="0.25">
      <c r="A70" s="465" t="s">
        <v>141</v>
      </c>
      <c r="B70" s="453"/>
      <c r="C70" s="453"/>
      <c r="D70" s="72"/>
      <c r="E70" s="46" t="s">
        <v>3</v>
      </c>
      <c r="F70" s="337">
        <f>'0664'!F70</f>
        <v>0</v>
      </c>
      <c r="G70" s="39" t="s">
        <v>6</v>
      </c>
      <c r="H70" s="131">
        <f>H63</f>
        <v>2.4220000000000001E-3</v>
      </c>
      <c r="I70" s="104">
        <f>ROUND(F70*H70,2)</f>
        <v>0</v>
      </c>
      <c r="N70" s="48"/>
      <c r="O70" s="48"/>
      <c r="P70" s="48"/>
      <c r="Q70" s="47"/>
      <c r="R70" s="132">
        <f>F70</f>
        <v>0</v>
      </c>
      <c r="S70" s="40" t="s">
        <v>6</v>
      </c>
      <c r="T70" s="133">
        <f>T63</f>
        <v>0</v>
      </c>
      <c r="U70" s="99">
        <f>ROUND(R70*T70,0)</f>
        <v>0</v>
      </c>
    </row>
    <row r="71" spans="1:21" x14ac:dyDescent="0.25">
      <c r="A71" s="463" t="s">
        <v>433</v>
      </c>
      <c r="B71" s="453"/>
      <c r="C71" s="453"/>
      <c r="D71" s="72"/>
      <c r="E71" s="46" t="s">
        <v>3</v>
      </c>
      <c r="F71" s="337">
        <f>'0664'!F71</f>
        <v>13414654</v>
      </c>
      <c r="G71" s="39" t="s">
        <v>6</v>
      </c>
      <c r="H71" s="131">
        <f>H63</f>
        <v>2.4220000000000001E-3</v>
      </c>
      <c r="I71" s="104">
        <f>ROUND(F71*H71,2)</f>
        <v>32490.29</v>
      </c>
      <c r="N71" s="479" t="s">
        <v>83</v>
      </c>
      <c r="O71" s="479"/>
      <c r="P71" s="479"/>
      <c r="Q71" s="47"/>
      <c r="R71" s="132">
        <f>F71</f>
        <v>13414654</v>
      </c>
      <c r="S71" s="40" t="s">
        <v>6</v>
      </c>
      <c r="T71" s="133">
        <f>T63</f>
        <v>0</v>
      </c>
      <c r="U71" s="99">
        <f>ROUND(R71*T71,0)</f>
        <v>0</v>
      </c>
    </row>
    <row r="72" spans="1:21" x14ac:dyDescent="0.25">
      <c r="A72" s="463" t="s">
        <v>434</v>
      </c>
      <c r="B72" s="453"/>
      <c r="C72" s="453"/>
      <c r="D72" s="72"/>
      <c r="E72" s="46" t="s">
        <v>3</v>
      </c>
      <c r="F72" s="337">
        <f>'0664'!F72</f>
        <v>14708421</v>
      </c>
      <c r="G72" s="39" t="s">
        <v>6</v>
      </c>
      <c r="H72" s="131">
        <f>H63</f>
        <v>2.4220000000000001E-3</v>
      </c>
      <c r="I72" s="104">
        <f>ROUND(F72*H72,2)</f>
        <v>35623.800000000003</v>
      </c>
      <c r="N72" s="479" t="s">
        <v>82</v>
      </c>
      <c r="O72" s="479"/>
      <c r="P72" s="479"/>
      <c r="Q72" s="47"/>
      <c r="R72" s="134">
        <f>F72</f>
        <v>14708421</v>
      </c>
      <c r="S72" s="40" t="s">
        <v>6</v>
      </c>
      <c r="T72" s="133">
        <f>T63</f>
        <v>0</v>
      </c>
      <c r="U72" s="99">
        <f>ROUND(R72*T72,0)</f>
        <v>0</v>
      </c>
    </row>
    <row r="73" spans="1:21" x14ac:dyDescent="0.25">
      <c r="A73" s="263" t="s">
        <v>99</v>
      </c>
      <c r="D73" s="72"/>
      <c r="E73" s="41" t="s">
        <v>353</v>
      </c>
      <c r="F73" s="466"/>
      <c r="G73" s="466"/>
      <c r="H73" s="466"/>
      <c r="I73" s="104">
        <v>0</v>
      </c>
      <c r="N73" s="499" t="s">
        <v>118</v>
      </c>
      <c r="O73" s="499"/>
      <c r="P73" s="499"/>
      <c r="Q73" s="499"/>
      <c r="R73" s="499"/>
      <c r="S73" s="499"/>
      <c r="T73" s="499"/>
      <c r="U73" s="99">
        <f>IF($H$120=1,I73,0)</f>
        <v>0</v>
      </c>
    </row>
    <row r="74" spans="1:21" x14ac:dyDescent="0.25">
      <c r="A74" s="264" t="s">
        <v>142</v>
      </c>
      <c r="I74" s="104"/>
      <c r="N74" s="499" t="s">
        <v>43</v>
      </c>
      <c r="O74" s="499"/>
      <c r="P74" s="499"/>
      <c r="Q74" s="499"/>
      <c r="R74" s="499"/>
      <c r="S74" s="499"/>
      <c r="T74" s="499"/>
      <c r="U74" s="99">
        <f>IF($H$120=1,I74,0)</f>
        <v>0</v>
      </c>
    </row>
    <row r="75" spans="1:21" x14ac:dyDescent="0.25">
      <c r="A75" s="324" t="s">
        <v>101</v>
      </c>
      <c r="B75" s="72"/>
      <c r="C75" s="72"/>
      <c r="D75" s="72"/>
      <c r="E75" s="72"/>
      <c r="F75" s="72"/>
      <c r="G75" s="72"/>
      <c r="H75" s="72"/>
      <c r="I75" s="135"/>
      <c r="N75" s="382" t="s">
        <v>44</v>
      </c>
      <c r="O75" s="48"/>
      <c r="P75" s="48"/>
      <c r="Q75" s="48"/>
      <c r="R75" s="48"/>
      <c r="S75" s="48"/>
      <c r="T75" s="48"/>
      <c r="U75" s="106"/>
    </row>
    <row r="76" spans="1:21" x14ac:dyDescent="0.25">
      <c r="A76" s="463" t="s">
        <v>435</v>
      </c>
      <c r="B76" s="453"/>
      <c r="C76" s="453"/>
      <c r="D76" s="72"/>
      <c r="E76" s="46" t="s">
        <v>3</v>
      </c>
      <c r="F76" s="337">
        <f>'0664'!F76</f>
        <v>8720092</v>
      </c>
      <c r="G76" s="39" t="s">
        <v>6</v>
      </c>
      <c r="H76" s="131">
        <f>H63</f>
        <v>2.4220000000000001E-3</v>
      </c>
      <c r="I76" s="104">
        <f t="shared" ref="I76:I85" si="14">ROUND(F76*H76,2)</f>
        <v>21120.06</v>
      </c>
      <c r="N76" s="478" t="s">
        <v>366</v>
      </c>
      <c r="O76" s="479"/>
      <c r="P76" s="479"/>
      <c r="Q76" s="47"/>
      <c r="R76" s="134">
        <f t="shared" ref="R76:R85" si="15">F76</f>
        <v>8720092</v>
      </c>
      <c r="S76" s="40" t="s">
        <v>6</v>
      </c>
      <c r="T76" s="133">
        <f>T63</f>
        <v>0</v>
      </c>
      <c r="U76" s="99">
        <f t="shared" ref="U76:U85" si="16">ROUND(R76*T76,0)</f>
        <v>0</v>
      </c>
    </row>
    <row r="77" spans="1:21" x14ac:dyDescent="0.25">
      <c r="A77" s="463" t="s">
        <v>436</v>
      </c>
      <c r="B77" s="453"/>
      <c r="C77" s="453"/>
      <c r="D77" s="72"/>
      <c r="E77" s="46" t="s">
        <v>3</v>
      </c>
      <c r="F77" s="337">
        <f>'0664'!F77</f>
        <v>0</v>
      </c>
      <c r="G77" s="39" t="s">
        <v>6</v>
      </c>
      <c r="H77" s="131">
        <f>H63</f>
        <v>2.4220000000000001E-3</v>
      </c>
      <c r="I77" s="104">
        <f t="shared" si="14"/>
        <v>0</v>
      </c>
      <c r="N77" s="479" t="s">
        <v>367</v>
      </c>
      <c r="O77" s="479"/>
      <c r="P77" s="479"/>
      <c r="Q77" s="47"/>
      <c r="R77" s="134">
        <f t="shared" si="15"/>
        <v>0</v>
      </c>
      <c r="S77" s="40" t="s">
        <v>6</v>
      </c>
      <c r="T77" s="133">
        <f>T63</f>
        <v>0</v>
      </c>
      <c r="U77" s="99">
        <f t="shared" si="16"/>
        <v>0</v>
      </c>
    </row>
    <row r="78" spans="1:21" x14ac:dyDescent="0.25">
      <c r="A78" s="463" t="s">
        <v>437</v>
      </c>
      <c r="B78" s="453"/>
      <c r="C78" s="453"/>
      <c r="D78" s="72"/>
      <c r="E78" s="46" t="s">
        <v>4</v>
      </c>
      <c r="F78" s="337">
        <f>'0664'!F78</f>
        <v>0</v>
      </c>
      <c r="G78" s="39" t="s">
        <v>6</v>
      </c>
      <c r="H78" s="131">
        <f>H66</f>
        <v>2.3149999999999998E-3</v>
      </c>
      <c r="I78" s="104">
        <f t="shared" si="14"/>
        <v>0</v>
      </c>
      <c r="N78" s="478" t="s">
        <v>392</v>
      </c>
      <c r="O78" s="479"/>
      <c r="P78" s="479"/>
      <c r="Q78" s="47"/>
      <c r="R78" s="134">
        <f t="shared" si="15"/>
        <v>0</v>
      </c>
      <c r="S78" s="40" t="s">
        <v>6</v>
      </c>
      <c r="T78" s="133">
        <f>T66</f>
        <v>0</v>
      </c>
      <c r="U78" s="99">
        <f t="shared" si="16"/>
        <v>0</v>
      </c>
    </row>
    <row r="79" spans="1:21" x14ac:dyDescent="0.25">
      <c r="A79" s="463" t="s">
        <v>438</v>
      </c>
      <c r="B79" s="453"/>
      <c r="C79" s="453"/>
      <c r="D79" s="72"/>
      <c r="E79" s="46" t="s">
        <v>4</v>
      </c>
      <c r="F79" s="337">
        <f>'0664'!F79</f>
        <v>11278687</v>
      </c>
      <c r="G79" s="39" t="s">
        <v>6</v>
      </c>
      <c r="H79" s="131">
        <f>H66</f>
        <v>2.3149999999999998E-3</v>
      </c>
      <c r="I79" s="104">
        <f t="shared" si="14"/>
        <v>26110.16</v>
      </c>
      <c r="N79" s="478" t="s">
        <v>393</v>
      </c>
      <c r="O79" s="479"/>
      <c r="P79" s="479"/>
      <c r="Q79" s="47"/>
      <c r="R79" s="134">
        <f t="shared" si="15"/>
        <v>11278687</v>
      </c>
      <c r="S79" s="40" t="s">
        <v>6</v>
      </c>
      <c r="T79" s="133">
        <f>T66</f>
        <v>0</v>
      </c>
      <c r="U79" s="99">
        <f t="shared" si="16"/>
        <v>0</v>
      </c>
    </row>
    <row r="80" spans="1:21" x14ac:dyDescent="0.25">
      <c r="A80" s="463" t="s">
        <v>439</v>
      </c>
      <c r="B80" s="453"/>
      <c r="C80" s="453"/>
      <c r="D80" s="72"/>
      <c r="E80" s="46" t="s">
        <v>4</v>
      </c>
      <c r="F80" s="337">
        <f>'0664'!F80</f>
        <v>206284749</v>
      </c>
      <c r="G80" s="39" t="s">
        <v>6</v>
      </c>
      <c r="H80" s="131">
        <f>H66</f>
        <v>2.3149999999999998E-3</v>
      </c>
      <c r="I80" s="104">
        <f t="shared" si="14"/>
        <v>477549.19</v>
      </c>
      <c r="N80" s="478" t="s">
        <v>397</v>
      </c>
      <c r="O80" s="479"/>
      <c r="P80" s="479"/>
      <c r="Q80" s="47"/>
      <c r="R80" s="134">
        <f t="shared" si="15"/>
        <v>206284749</v>
      </c>
      <c r="S80" s="40" t="s">
        <v>6</v>
      </c>
      <c r="T80" s="133">
        <f>T66</f>
        <v>0</v>
      </c>
      <c r="U80" s="99">
        <f t="shared" si="16"/>
        <v>0</v>
      </c>
    </row>
    <row r="81" spans="1:21" x14ac:dyDescent="0.25">
      <c r="A81" s="84" t="s">
        <v>440</v>
      </c>
      <c r="B81" s="72"/>
      <c r="C81" s="72"/>
      <c r="D81" s="72"/>
      <c r="E81" s="46"/>
      <c r="F81" s="337"/>
      <c r="G81" s="39"/>
      <c r="H81" s="131"/>
      <c r="I81" s="104"/>
      <c r="N81" s="419" t="s">
        <v>440</v>
      </c>
      <c r="O81" s="48"/>
      <c r="P81" s="48"/>
      <c r="Q81" s="47"/>
      <c r="R81" s="423"/>
      <c r="S81" s="40"/>
      <c r="T81" s="133"/>
      <c r="U81" s="120"/>
    </row>
    <row r="82" spans="1:21" x14ac:dyDescent="0.25">
      <c r="A82" s="264" t="s">
        <v>441</v>
      </c>
      <c r="B82" s="72"/>
      <c r="C82" s="72"/>
      <c r="D82" s="72"/>
      <c r="E82" s="46" t="s">
        <v>442</v>
      </c>
      <c r="F82" s="337">
        <f>'0664'!F82</f>
        <v>0</v>
      </c>
      <c r="G82" s="39" t="s">
        <v>6</v>
      </c>
      <c r="H82" s="131">
        <f>H66</f>
        <v>2.3149999999999998E-3</v>
      </c>
      <c r="I82" s="104">
        <v>63008.1</v>
      </c>
      <c r="N82" s="422" t="s">
        <v>441</v>
      </c>
      <c r="O82" s="48"/>
      <c r="P82" s="48"/>
      <c r="Q82" s="47"/>
      <c r="R82" s="134">
        <f t="shared" si="15"/>
        <v>0</v>
      </c>
      <c r="S82" s="40"/>
      <c r="T82" s="133"/>
      <c r="U82" s="99">
        <f t="shared" si="16"/>
        <v>0</v>
      </c>
    </row>
    <row r="83" spans="1:21" x14ac:dyDescent="0.25">
      <c r="A83" s="264" t="s">
        <v>443</v>
      </c>
      <c r="B83" s="72"/>
      <c r="C83" s="72"/>
      <c r="D83" s="72"/>
      <c r="E83" s="46" t="s">
        <v>442</v>
      </c>
      <c r="F83" s="337">
        <f>'0664'!F83</f>
        <v>0</v>
      </c>
      <c r="G83" s="39" t="s">
        <v>6</v>
      </c>
      <c r="H83" s="131">
        <f>H66</f>
        <v>2.3149999999999998E-3</v>
      </c>
      <c r="I83" s="104">
        <v>28640.04</v>
      </c>
      <c r="N83" s="422" t="s">
        <v>443</v>
      </c>
      <c r="O83" s="48"/>
      <c r="P83" s="48"/>
      <c r="Q83" s="47"/>
      <c r="R83" s="134">
        <f t="shared" si="15"/>
        <v>0</v>
      </c>
      <c r="S83" s="40"/>
      <c r="T83" s="133"/>
      <c r="U83" s="99">
        <f t="shared" si="16"/>
        <v>0</v>
      </c>
    </row>
    <row r="84" spans="1:21" x14ac:dyDescent="0.25">
      <c r="A84" s="420" t="s">
        <v>444</v>
      </c>
      <c r="B84" s="72"/>
      <c r="C84" s="72"/>
      <c r="D84" s="72"/>
      <c r="E84" s="46"/>
      <c r="F84" s="337"/>
      <c r="G84" s="39"/>
      <c r="H84" s="131"/>
      <c r="I84" s="104">
        <f>I82+I83</f>
        <v>91648.14</v>
      </c>
      <c r="N84" s="421" t="s">
        <v>444</v>
      </c>
      <c r="O84" s="48"/>
      <c r="P84" s="48"/>
      <c r="Q84" s="47"/>
      <c r="R84" s="423"/>
      <c r="S84" s="40"/>
      <c r="T84" s="133"/>
      <c r="U84" s="99">
        <f>U82+U83</f>
        <v>0</v>
      </c>
    </row>
    <row r="85" spans="1:21" x14ac:dyDescent="0.25">
      <c r="A85" s="463" t="s">
        <v>398</v>
      </c>
      <c r="B85" s="453"/>
      <c r="C85" s="453"/>
      <c r="D85" s="72"/>
      <c r="E85" s="46" t="s">
        <v>4</v>
      </c>
      <c r="F85" s="337">
        <f>'0664'!F85</f>
        <v>0</v>
      </c>
      <c r="G85" s="39" t="s">
        <v>6</v>
      </c>
      <c r="H85" s="131">
        <f>H66</f>
        <v>2.3149999999999998E-3</v>
      </c>
      <c r="I85" s="104">
        <f t="shared" si="14"/>
        <v>0</v>
      </c>
      <c r="N85" s="478" t="s">
        <v>398</v>
      </c>
      <c r="O85" s="479"/>
      <c r="P85" s="479"/>
      <c r="Q85" s="47"/>
      <c r="R85" s="132">
        <f t="shared" si="15"/>
        <v>0</v>
      </c>
      <c r="S85" s="40" t="s">
        <v>6</v>
      </c>
      <c r="T85" s="133">
        <f>T66</f>
        <v>0</v>
      </c>
      <c r="U85" s="99">
        <f t="shared" si="16"/>
        <v>0</v>
      </c>
    </row>
    <row r="86" spans="1:21" x14ac:dyDescent="0.25">
      <c r="B86" s="72"/>
      <c r="C86" s="72"/>
      <c r="D86" s="72"/>
      <c r="E86" s="46"/>
      <c r="F86" s="136"/>
      <c r="G86" s="39"/>
      <c r="H86" s="131"/>
      <c r="I86" s="104"/>
      <c r="N86" s="48"/>
      <c r="O86" s="48"/>
      <c r="P86" s="48"/>
      <c r="Q86" s="47"/>
      <c r="R86" s="137"/>
      <c r="S86" s="40"/>
      <c r="T86" s="133"/>
      <c r="U86" s="106"/>
    </row>
    <row r="87" spans="1:21" x14ac:dyDescent="0.25">
      <c r="A87" s="463" t="s">
        <v>445</v>
      </c>
      <c r="B87" s="453"/>
      <c r="C87" s="453"/>
      <c r="D87" s="453"/>
      <c r="E87" s="453"/>
      <c r="F87" s="453"/>
      <c r="G87" s="453"/>
      <c r="H87" s="453"/>
      <c r="I87" s="453"/>
      <c r="N87" s="478" t="s">
        <v>429</v>
      </c>
      <c r="O87" s="479"/>
      <c r="P87" s="479"/>
      <c r="Q87" s="479"/>
      <c r="R87" s="479"/>
      <c r="S87" s="479"/>
      <c r="T87" s="479"/>
      <c r="U87" s="479"/>
    </row>
    <row r="88" spans="1:21" x14ac:dyDescent="0.25">
      <c r="B88" s="72"/>
      <c r="C88" s="466" t="s">
        <v>73</v>
      </c>
      <c r="D88" s="466"/>
      <c r="E88" s="72"/>
      <c r="F88" s="41" t="s">
        <v>37</v>
      </c>
      <c r="G88" s="72"/>
      <c r="H88" s="72"/>
      <c r="I88" s="72"/>
      <c r="N88" s="48"/>
      <c r="O88" s="48"/>
      <c r="P88" s="48"/>
      <c r="Q88" s="48"/>
      <c r="R88" s="48"/>
      <c r="S88" s="48"/>
      <c r="T88" s="48"/>
      <c r="U88" s="48"/>
    </row>
    <row r="89" spans="1:21" x14ac:dyDescent="0.25">
      <c r="A89" s="3"/>
      <c r="B89" s="138"/>
      <c r="C89" s="462" t="s">
        <v>144</v>
      </c>
      <c r="D89" s="462"/>
      <c r="E89" s="139" t="s">
        <v>150</v>
      </c>
      <c r="F89" s="140" t="s">
        <v>149</v>
      </c>
      <c r="G89" s="141"/>
      <c r="H89" s="141"/>
      <c r="I89" s="141"/>
      <c r="N89" s="495" t="s">
        <v>46</v>
      </c>
      <c r="O89" s="495"/>
      <c r="P89" s="496" t="s">
        <v>119</v>
      </c>
      <c r="Q89" s="496"/>
      <c r="R89" s="497" t="s">
        <v>40</v>
      </c>
      <c r="S89" s="497"/>
      <c r="T89" s="497"/>
      <c r="U89" s="497"/>
    </row>
    <row r="90" spans="1:21" x14ac:dyDescent="0.25">
      <c r="A90" s="27"/>
      <c r="B90" s="55" t="s">
        <v>148</v>
      </c>
      <c r="C90" s="467">
        <f>H13+H14+H19+H22+H25</f>
        <v>234.8997</v>
      </c>
      <c r="D90" s="467"/>
      <c r="E90" s="49">
        <f>H8</f>
        <v>1.0438000000000001</v>
      </c>
      <c r="F90" s="338">
        <f>'0664'!F90</f>
        <v>957.94</v>
      </c>
      <c r="G90" s="41" t="s">
        <v>13</v>
      </c>
      <c r="H90" s="104">
        <f>ROUND(C90*E90*F90,2)</f>
        <v>234875.69</v>
      </c>
      <c r="I90" s="107"/>
      <c r="N90" s="29" t="s">
        <v>22</v>
      </c>
      <c r="O90" s="50">
        <f>T13+T14+T19+T22+T25</f>
        <v>0</v>
      </c>
      <c r="P90" s="490">
        <f>T8</f>
        <v>1.0438000000000001</v>
      </c>
      <c r="Q90" s="490"/>
      <c r="R90" s="51">
        <f>F90</f>
        <v>957.94</v>
      </c>
      <c r="S90" s="42" t="s">
        <v>13</v>
      </c>
      <c r="T90" s="134">
        <f>ROUND(O90*P90*R90,0)</f>
        <v>0</v>
      </c>
      <c r="U90" s="105"/>
    </row>
    <row r="91" spans="1:21" x14ac:dyDescent="0.25">
      <c r="A91" s="52"/>
      <c r="B91" s="52" t="s">
        <v>147</v>
      </c>
      <c r="C91" s="467">
        <f>H15+H16+H20+H23+H26</f>
        <v>267.14179999999999</v>
      </c>
      <c r="D91" s="467"/>
      <c r="E91" s="49">
        <f>H8</f>
        <v>1.0438000000000001</v>
      </c>
      <c r="F91" s="338">
        <f>'0664'!F91</f>
        <v>914.63</v>
      </c>
      <c r="G91" s="41" t="s">
        <v>13</v>
      </c>
      <c r="H91" s="104">
        <f>ROUND(C91*E91*F91,2)</f>
        <v>255037.82</v>
      </c>
      <c r="N91" s="53" t="s">
        <v>14</v>
      </c>
      <c r="O91" s="50">
        <f>T15+T16+T20+T23+T26</f>
        <v>0</v>
      </c>
      <c r="P91" s="490">
        <f>T8</f>
        <v>1.0438000000000001</v>
      </c>
      <c r="Q91" s="490"/>
      <c r="R91" s="51">
        <f>F91</f>
        <v>914.63</v>
      </c>
      <c r="S91" s="42" t="s">
        <v>13</v>
      </c>
      <c r="T91" s="134">
        <f>ROUND(O91*P91*R91,0)</f>
        <v>0</v>
      </c>
      <c r="U91" s="54"/>
    </row>
    <row r="92" spans="1:21" ht="16.5" thickBot="1" x14ac:dyDescent="0.3">
      <c r="A92" s="55"/>
      <c r="B92" s="55" t="s">
        <v>146</v>
      </c>
      <c r="C92" s="467">
        <f>H17+H18+H21+H24+H27+H28</f>
        <v>0</v>
      </c>
      <c r="D92" s="467"/>
      <c r="E92" s="49">
        <f>H8</f>
        <v>1.0438000000000001</v>
      </c>
      <c r="F92" s="338">
        <f>'0664'!F92</f>
        <v>916.84</v>
      </c>
      <c r="G92" s="41" t="s">
        <v>13</v>
      </c>
      <c r="H92" s="97">
        <f>ROUND(C92*E92*F92,2)</f>
        <v>0</v>
      </c>
      <c r="N92" s="56" t="s">
        <v>15</v>
      </c>
      <c r="O92" s="57">
        <f>T17+T18+T21+T24+T27+T28</f>
        <v>0</v>
      </c>
      <c r="P92" s="490">
        <f>T8</f>
        <v>1.0438000000000001</v>
      </c>
      <c r="Q92" s="490"/>
      <c r="R92" s="51">
        <f>F92</f>
        <v>916.84</v>
      </c>
      <c r="S92" s="42" t="s">
        <v>13</v>
      </c>
      <c r="T92" s="134">
        <f>ROUND(O92*P92*R92,0)</f>
        <v>0</v>
      </c>
      <c r="U92" s="54"/>
    </row>
    <row r="93" spans="1:21" ht="16.5" thickBot="1" x14ac:dyDescent="0.3">
      <c r="A93" s="58"/>
      <c r="B93" s="142" t="s">
        <v>145</v>
      </c>
      <c r="C93" s="469">
        <f>SUM(C90:C92)</f>
        <v>502.04149999999998</v>
      </c>
      <c r="D93" s="469"/>
      <c r="E93" s="143"/>
      <c r="F93" s="143"/>
      <c r="G93" s="143"/>
      <c r="H93" s="144" t="s">
        <v>143</v>
      </c>
      <c r="I93" s="104">
        <f>IF(A1=75,0,H92+H91+H90)</f>
        <v>489913.51</v>
      </c>
      <c r="N93" s="59" t="s">
        <v>120</v>
      </c>
      <c r="O93" s="60">
        <f>SUM(O90:O92)</f>
        <v>0</v>
      </c>
      <c r="P93" s="491" t="s">
        <v>18</v>
      </c>
      <c r="Q93" s="492"/>
      <c r="R93" s="492"/>
      <c r="S93" s="492"/>
      <c r="T93" s="492"/>
      <c r="U93" s="99">
        <f>IF(N1=75,0,T92+T91+T90)</f>
        <v>0</v>
      </c>
    </row>
    <row r="94" spans="1:21" ht="16.5" thickTop="1" x14ac:dyDescent="0.25">
      <c r="A94" s="540" t="s">
        <v>90</v>
      </c>
      <c r="B94" s="540"/>
      <c r="C94" s="540"/>
      <c r="D94" s="540"/>
      <c r="E94" s="540"/>
      <c r="F94" s="540"/>
      <c r="G94" s="540"/>
      <c r="H94" s="540"/>
      <c r="I94" s="540"/>
      <c r="N94" s="493" t="s">
        <v>90</v>
      </c>
      <c r="O94" s="493"/>
      <c r="P94" s="493"/>
      <c r="Q94" s="493"/>
      <c r="R94" s="493"/>
      <c r="S94" s="493"/>
      <c r="T94" s="493"/>
      <c r="U94" s="493"/>
    </row>
    <row r="95" spans="1:21" x14ac:dyDescent="0.25">
      <c r="A95" s="145"/>
      <c r="B95" s="145"/>
      <c r="C95" s="145"/>
      <c r="D95" s="145"/>
      <c r="E95" s="145"/>
      <c r="F95" s="145"/>
      <c r="G95" s="145"/>
      <c r="H95" s="145"/>
      <c r="I95" s="145"/>
      <c r="N95" s="146"/>
      <c r="O95" s="146"/>
      <c r="P95" s="146"/>
      <c r="Q95" s="146"/>
      <c r="R95" s="146"/>
      <c r="S95" s="146"/>
      <c r="T95" s="146"/>
      <c r="U95" s="146"/>
    </row>
    <row r="96" spans="1:21" x14ac:dyDescent="0.25">
      <c r="A96" s="84" t="s">
        <v>446</v>
      </c>
      <c r="C96" s="46"/>
      <c r="D96" s="72"/>
      <c r="E96" s="46" t="s">
        <v>100</v>
      </c>
      <c r="F96" s="471"/>
      <c r="G96" s="471"/>
      <c r="H96" s="471"/>
      <c r="I96" s="471"/>
      <c r="N96" s="478" t="s">
        <v>426</v>
      </c>
      <c r="O96" s="479"/>
      <c r="P96" s="479"/>
      <c r="Q96" s="494"/>
      <c r="R96" s="494"/>
      <c r="S96" s="494"/>
      <c r="T96" s="494"/>
      <c r="U96" s="106"/>
    </row>
    <row r="97" spans="1:21" x14ac:dyDescent="0.25">
      <c r="B97" s="72"/>
      <c r="C97" s="91" t="s">
        <v>409</v>
      </c>
      <c r="D97" s="371" t="s">
        <v>410</v>
      </c>
      <c r="E97" s="92" t="s">
        <v>151</v>
      </c>
      <c r="F97" s="46"/>
      <c r="G97" s="46"/>
      <c r="H97" s="46"/>
      <c r="I97" s="46"/>
      <c r="N97" s="48"/>
      <c r="O97" s="48"/>
      <c r="P97" s="48"/>
      <c r="Q97" s="147"/>
      <c r="R97" s="147"/>
      <c r="S97" s="147"/>
      <c r="T97" s="147"/>
      <c r="U97" s="106"/>
    </row>
    <row r="98" spans="1:21" x14ac:dyDescent="0.25">
      <c r="B98" s="72"/>
      <c r="C98" s="364" t="s">
        <v>2</v>
      </c>
      <c r="D98" s="362" t="s">
        <v>2</v>
      </c>
      <c r="E98" s="362" t="s">
        <v>2</v>
      </c>
      <c r="F98" s="46"/>
      <c r="G98" s="46"/>
      <c r="H98" s="46"/>
      <c r="I98" s="46"/>
      <c r="N98" s="48"/>
      <c r="O98" s="48"/>
      <c r="P98" s="48"/>
      <c r="Q98" s="147"/>
      <c r="R98" s="147"/>
      <c r="S98" s="147"/>
      <c r="T98" s="147"/>
      <c r="U98" s="106"/>
    </row>
    <row r="99" spans="1:21" x14ac:dyDescent="0.25">
      <c r="A99" s="536" t="s">
        <v>470</v>
      </c>
      <c r="B99" s="461"/>
      <c r="C99" s="165">
        <v>0</v>
      </c>
      <c r="D99" s="165">
        <v>0</v>
      </c>
      <c r="E99" s="125">
        <f>C99</f>
        <v>0</v>
      </c>
      <c r="F99" s="148" t="s">
        <v>39</v>
      </c>
      <c r="G99" s="339">
        <f>'0664'!G99</f>
        <v>558</v>
      </c>
      <c r="I99" s="104">
        <f>ROUND(G99*E99,2)</f>
        <v>0</v>
      </c>
      <c r="N99" s="488" t="s">
        <v>65</v>
      </c>
      <c r="O99" s="488"/>
      <c r="P99" s="489">
        <f>IF(H120=1,E99,0)</f>
        <v>0</v>
      </c>
      <c r="Q99" s="489"/>
      <c r="R99" s="489"/>
      <c r="S99" s="86" t="s">
        <v>39</v>
      </c>
      <c r="T99" s="61">
        <f>G99</f>
        <v>558</v>
      </c>
      <c r="U99" s="99">
        <f>ROUND(T99*P99,0)</f>
        <v>0</v>
      </c>
    </row>
    <row r="100" spans="1:21" x14ac:dyDescent="0.25">
      <c r="A100" s="536" t="s">
        <v>471</v>
      </c>
      <c r="B100" s="461"/>
      <c r="C100" s="165">
        <v>0</v>
      </c>
      <c r="D100" s="165">
        <v>0</v>
      </c>
      <c r="E100" s="125">
        <f>C100</f>
        <v>0</v>
      </c>
      <c r="F100" s="148" t="s">
        <v>39</v>
      </c>
      <c r="G100" s="339">
        <f>'0664'!G100</f>
        <v>1707</v>
      </c>
      <c r="I100" s="104">
        <f>ROUND(G100*E100,2)</f>
        <v>0</v>
      </c>
      <c r="N100" s="488" t="s">
        <v>81</v>
      </c>
      <c r="O100" s="488"/>
      <c r="P100" s="483"/>
      <c r="Q100" s="483"/>
      <c r="R100" s="483"/>
      <c r="S100" s="86" t="s">
        <v>39</v>
      </c>
      <c r="T100" s="61">
        <f>G100</f>
        <v>1707</v>
      </c>
      <c r="U100" s="99">
        <f>ROUND(T100*P100,0)</f>
        <v>0</v>
      </c>
    </row>
    <row r="101" spans="1:21" x14ac:dyDescent="0.25">
      <c r="A101" s="149"/>
      <c r="B101" s="149"/>
      <c r="C101" s="68"/>
      <c r="D101" s="68"/>
      <c r="E101" s="68"/>
      <c r="F101" s="68"/>
      <c r="G101" s="150"/>
      <c r="H101" s="151"/>
      <c r="I101" s="104"/>
      <c r="N101" s="152"/>
      <c r="O101" s="152"/>
      <c r="P101" s="153"/>
      <c r="Q101" s="153"/>
      <c r="R101" s="153"/>
      <c r="S101" s="86"/>
      <c r="T101" s="61"/>
      <c r="U101" s="106"/>
    </row>
    <row r="102" spans="1:21" x14ac:dyDescent="0.25">
      <c r="A102" s="149"/>
      <c r="B102" s="149"/>
      <c r="C102" s="68"/>
      <c r="D102" s="68"/>
      <c r="E102" s="68"/>
      <c r="F102" s="68"/>
      <c r="G102" s="150"/>
      <c r="H102" s="151"/>
      <c r="I102" s="104"/>
      <c r="N102" s="152"/>
      <c r="O102" s="152"/>
      <c r="P102" s="153"/>
      <c r="Q102" s="153"/>
      <c r="R102" s="153"/>
      <c r="S102" s="86"/>
      <c r="T102" s="61"/>
      <c r="U102" s="106"/>
    </row>
    <row r="103" spans="1:21" hidden="1" x14ac:dyDescent="0.25">
      <c r="A103" s="463" t="s">
        <v>447</v>
      </c>
      <c r="B103" s="453"/>
      <c r="C103" s="453"/>
      <c r="D103" s="72"/>
      <c r="E103" s="41" t="s">
        <v>41</v>
      </c>
      <c r="F103" s="466"/>
      <c r="G103" s="466"/>
      <c r="H103" s="466"/>
      <c r="I103" s="466"/>
      <c r="N103" s="478" t="s">
        <v>362</v>
      </c>
      <c r="O103" s="479"/>
      <c r="P103" s="479"/>
      <c r="Q103" s="479"/>
      <c r="R103" s="479"/>
      <c r="S103" s="479"/>
      <c r="T103" s="479"/>
      <c r="U103" s="479"/>
    </row>
    <row r="104" spans="1:21" hidden="1" x14ac:dyDescent="0.25">
      <c r="B104" s="72"/>
      <c r="C104" s="462" t="s">
        <v>91</v>
      </c>
      <c r="D104" s="462"/>
      <c r="E104" s="462"/>
      <c r="F104" s="39"/>
      <c r="G104" s="39"/>
      <c r="H104" s="41" t="s">
        <v>152</v>
      </c>
      <c r="I104" s="39"/>
      <c r="N104" s="48"/>
      <c r="O104" s="48"/>
      <c r="P104" s="48"/>
      <c r="Q104" s="48"/>
      <c r="R104" s="48"/>
      <c r="S104" s="48"/>
      <c r="T104" s="48"/>
      <c r="U104" s="48"/>
    </row>
    <row r="105" spans="1:21" hidden="1" x14ac:dyDescent="0.25">
      <c r="B105" s="72"/>
      <c r="C105" s="91" t="s">
        <v>371</v>
      </c>
      <c r="D105" s="91" t="s">
        <v>351</v>
      </c>
      <c r="E105" s="159" t="s">
        <v>8</v>
      </c>
      <c r="F105" s="464" t="s">
        <v>153</v>
      </c>
      <c r="G105" s="466"/>
      <c r="H105" s="39" t="s">
        <v>38</v>
      </c>
      <c r="I105" s="39"/>
      <c r="N105" s="48"/>
      <c r="O105" s="48"/>
      <c r="P105" s="48"/>
      <c r="Q105" s="48"/>
      <c r="R105" s="48"/>
      <c r="S105" s="48"/>
      <c r="T105" s="48"/>
      <c r="U105" s="48"/>
    </row>
    <row r="106" spans="1:21" hidden="1" x14ac:dyDescent="0.25">
      <c r="A106" s="462" t="s">
        <v>94</v>
      </c>
      <c r="B106" s="462"/>
      <c r="C106" s="93" t="s">
        <v>2</v>
      </c>
      <c r="D106" s="93" t="s">
        <v>2</v>
      </c>
      <c r="E106" s="62" t="s">
        <v>2</v>
      </c>
      <c r="F106" s="462" t="s">
        <v>37</v>
      </c>
      <c r="G106" s="462"/>
      <c r="H106" s="62" t="s">
        <v>37</v>
      </c>
      <c r="I106" s="62" t="s">
        <v>8</v>
      </c>
      <c r="N106" s="484" t="s">
        <v>66</v>
      </c>
      <c r="O106" s="484"/>
      <c r="P106" s="489" t="s">
        <v>91</v>
      </c>
      <c r="Q106" s="489"/>
      <c r="R106" s="484" t="s">
        <v>67</v>
      </c>
      <c r="S106" s="484"/>
      <c r="T106" s="63" t="s">
        <v>68</v>
      </c>
      <c r="U106" s="63" t="s">
        <v>8</v>
      </c>
    </row>
    <row r="107" spans="1:21" hidden="1" x14ac:dyDescent="0.25">
      <c r="A107" s="473" t="s">
        <v>69</v>
      </c>
      <c r="B107" s="473"/>
      <c r="C107" s="163">
        <v>0</v>
      </c>
      <c r="D107" s="163">
        <v>0</v>
      </c>
      <c r="E107" s="210">
        <f>IF(D$59=0,C107*2,C107+D107)</f>
        <v>0</v>
      </c>
      <c r="F107" s="474">
        <v>0</v>
      </c>
      <c r="G107" s="474"/>
      <c r="H107" s="250">
        <f>IF(C107=0,0,125)</f>
        <v>0</v>
      </c>
      <c r="I107" s="104">
        <f>ROUND((H107+F107)*E107,2)</f>
        <v>0</v>
      </c>
      <c r="N107" s="479" t="s">
        <v>69</v>
      </c>
      <c r="O107" s="479"/>
      <c r="P107" s="483">
        <f>IF(H$120=1,C107,0)</f>
        <v>0</v>
      </c>
      <c r="Q107" s="483"/>
      <c r="R107" s="486">
        <f>F107</f>
        <v>0</v>
      </c>
      <c r="S107" s="486"/>
      <c r="T107" s="65">
        <f>H107</f>
        <v>0</v>
      </c>
      <c r="U107" s="99">
        <f>ROUND((T107+R107)*P107,0)</f>
        <v>0</v>
      </c>
    </row>
    <row r="108" spans="1:21" hidden="1" x14ac:dyDescent="0.25">
      <c r="A108" s="456" t="s">
        <v>70</v>
      </c>
      <c r="B108" s="456"/>
      <c r="C108" s="165">
        <v>0</v>
      </c>
      <c r="D108" s="165">
        <v>0</v>
      </c>
      <c r="E108" s="125">
        <f>IF(D$59=0,C108*2,C108+D108)</f>
        <v>0</v>
      </c>
      <c r="F108" s="468">
        <f>ROUND(F107/2,2)</f>
        <v>0</v>
      </c>
      <c r="G108" s="468"/>
      <c r="H108" s="250">
        <f>IF(C108=0,0,62.5)</f>
        <v>0</v>
      </c>
      <c r="I108" s="104">
        <f>ROUND((H108+F108)*E108,2)</f>
        <v>0</v>
      </c>
      <c r="N108" s="479" t="s">
        <v>70</v>
      </c>
      <c r="O108" s="479"/>
      <c r="P108" s="483">
        <f>IF(H$120=1,C108,0)</f>
        <v>0</v>
      </c>
      <c r="Q108" s="483"/>
      <c r="R108" s="487">
        <f>ROUND(R107/2,2)</f>
        <v>0</v>
      </c>
      <c r="S108" s="487"/>
      <c r="T108" s="65">
        <f>H108</f>
        <v>0</v>
      </c>
      <c r="U108" s="99">
        <f>ROUND((T108+R108)*P108,0)</f>
        <v>0</v>
      </c>
    </row>
    <row r="109" spans="1:21" ht="16.5" hidden="1" thickBot="1" x14ac:dyDescent="0.3">
      <c r="A109" s="456" t="s">
        <v>71</v>
      </c>
      <c r="B109" s="456"/>
      <c r="C109" s="165">
        <v>0</v>
      </c>
      <c r="D109" s="165">
        <v>0</v>
      </c>
      <c r="E109" s="125">
        <f>IF(D$59=0,C109*2,C109+D109)</f>
        <v>0</v>
      </c>
      <c r="F109" s="475"/>
      <c r="G109" s="475"/>
      <c r="H109" s="251">
        <f>IF(H107&gt;0,436,0)</f>
        <v>0</v>
      </c>
      <c r="I109" s="104">
        <f>ROUND(H109*E109,2)</f>
        <v>0</v>
      </c>
      <c r="N109" s="482" t="s">
        <v>71</v>
      </c>
      <c r="O109" s="482"/>
      <c r="P109" s="483">
        <f>IF(H$120=1,C109,0)</f>
        <v>0</v>
      </c>
      <c r="Q109" s="483"/>
      <c r="R109" s="484"/>
      <c r="S109" s="484"/>
      <c r="T109" s="67">
        <f>H109</f>
        <v>0</v>
      </c>
      <c r="U109" s="106">
        <f>ROUND(T109*P109,0)</f>
        <v>0</v>
      </c>
    </row>
    <row r="110" spans="1:21" ht="16.5" hidden="1" thickBot="1" x14ac:dyDescent="0.3">
      <c r="A110" s="466" t="s">
        <v>8</v>
      </c>
      <c r="B110" s="466"/>
      <c r="C110" s="68"/>
      <c r="D110" s="68"/>
      <c r="E110" s="68"/>
      <c r="F110" s="68"/>
      <c r="G110" s="68"/>
      <c r="H110" s="68"/>
      <c r="I110" s="100">
        <f>SUM(I107:I109)</f>
        <v>0</v>
      </c>
      <c r="N110" s="485" t="s">
        <v>8</v>
      </c>
      <c r="O110" s="485"/>
      <c r="P110" s="69"/>
      <c r="Q110" s="69"/>
      <c r="R110" s="69"/>
      <c r="S110" s="69"/>
      <c r="T110" s="69"/>
      <c r="U110" s="70">
        <f>SUM(U107:U109)</f>
        <v>0</v>
      </c>
    </row>
    <row r="111" spans="1:21" hidden="1" x14ac:dyDescent="0.25">
      <c r="A111" s="39"/>
      <c r="B111" s="39"/>
      <c r="C111" s="68"/>
      <c r="D111" s="68"/>
      <c r="E111" s="68"/>
      <c r="F111" s="68"/>
      <c r="G111" s="68"/>
      <c r="H111" s="68"/>
      <c r="I111" s="104"/>
      <c r="N111" s="40"/>
      <c r="O111" s="40"/>
      <c r="P111" s="69"/>
      <c r="Q111" s="69"/>
      <c r="R111" s="69"/>
      <c r="S111" s="69"/>
      <c r="T111" s="69"/>
      <c r="U111" s="160"/>
    </row>
    <row r="112" spans="1:21" x14ac:dyDescent="0.25">
      <c r="A112" s="463" t="s">
        <v>448</v>
      </c>
      <c r="B112" s="453"/>
      <c r="C112" s="453"/>
      <c r="D112" s="72"/>
      <c r="E112" s="71" t="s">
        <v>354</v>
      </c>
      <c r="F112" s="472"/>
      <c r="G112" s="472"/>
      <c r="H112" s="472"/>
      <c r="I112" s="125">
        <v>0</v>
      </c>
      <c r="N112" s="478" t="s">
        <v>427</v>
      </c>
      <c r="O112" s="479"/>
      <c r="P112" s="479"/>
      <c r="Q112" s="341"/>
      <c r="R112" s="341"/>
      <c r="S112" s="341"/>
      <c r="T112" s="341"/>
      <c r="U112" s="99">
        <f>IF($H$120=1,I112,0)</f>
        <v>0</v>
      </c>
    </row>
    <row r="113" spans="1:21" x14ac:dyDescent="0.25">
      <c r="A113" s="463" t="s">
        <v>449</v>
      </c>
      <c r="B113" s="453"/>
      <c r="C113" s="453"/>
      <c r="D113" s="72"/>
      <c r="E113" s="71" t="s">
        <v>45</v>
      </c>
      <c r="F113" s="472"/>
      <c r="G113" s="472"/>
      <c r="H113" s="472"/>
      <c r="I113" s="177">
        <v>0</v>
      </c>
      <c r="N113" s="478" t="s">
        <v>428</v>
      </c>
      <c r="O113" s="479"/>
      <c r="P113" s="479"/>
      <c r="Q113" s="341"/>
      <c r="R113" s="341"/>
      <c r="S113" s="341"/>
      <c r="T113" s="341"/>
      <c r="U113" s="99">
        <f>IF($H$120=1,I113,0)</f>
        <v>0</v>
      </c>
    </row>
    <row r="114" spans="1:21" ht="16.5" thickBot="1" x14ac:dyDescent="0.3">
      <c r="B114" s="72"/>
      <c r="C114" s="72"/>
      <c r="D114" s="72"/>
      <c r="E114" s="71"/>
      <c r="F114" s="71"/>
      <c r="G114" s="71"/>
      <c r="H114" s="71"/>
      <c r="I114" s="125"/>
      <c r="N114" s="480" t="s">
        <v>42</v>
      </c>
      <c r="O114" s="480"/>
      <c r="P114" s="480"/>
      <c r="Q114" s="480"/>
      <c r="R114" s="480"/>
      <c r="S114" s="480"/>
      <c r="T114" s="480"/>
      <c r="U114" s="154">
        <f>SUM(U112,U110,U100,U99,U93,U77,U76,U74,U73,U72,U71,U70,U68,U59,U45,U78,U79,U80,U85,U113)</f>
        <v>0</v>
      </c>
    </row>
    <row r="115" spans="1:21" ht="16.5" thickTop="1" x14ac:dyDescent="0.25">
      <c r="A115" s="461" t="s">
        <v>8</v>
      </c>
      <c r="B115" s="461"/>
      <c r="C115" s="461"/>
      <c r="D115" s="461"/>
      <c r="E115" s="461"/>
      <c r="F115" s="461"/>
      <c r="G115" s="461"/>
      <c r="H115" s="461"/>
      <c r="I115" s="97">
        <f>SUM(I113,I112,I110,I100,I99,I93,I85,I84,I80,I79,I78,I77,I76,I74,I73,I72,I71,I70,I68,I59,I45)</f>
        <v>3756645.2800000003</v>
      </c>
      <c r="N115" s="29"/>
      <c r="O115" s="29"/>
      <c r="P115" s="29"/>
      <c r="Q115" s="29"/>
      <c r="R115" s="29"/>
      <c r="S115" s="29"/>
      <c r="T115" s="29"/>
      <c r="U115" s="160"/>
    </row>
    <row r="116" spans="1:21" x14ac:dyDescent="0.25">
      <c r="A116" s="27"/>
      <c r="B116" s="27"/>
      <c r="C116" s="27"/>
      <c r="D116" s="27"/>
      <c r="E116" s="27"/>
      <c r="F116" s="27"/>
      <c r="G116" s="27"/>
      <c r="H116" s="27"/>
      <c r="I116" s="104"/>
      <c r="N116" s="29"/>
      <c r="O116" s="29"/>
      <c r="P116" s="29"/>
      <c r="Q116" s="29"/>
      <c r="R116" s="29"/>
      <c r="S116" s="29"/>
      <c r="T116" s="29"/>
      <c r="U116" s="160"/>
    </row>
    <row r="117" spans="1:21" x14ac:dyDescent="0.25">
      <c r="A117" s="432" t="s">
        <v>467</v>
      </c>
      <c r="B117" s="27"/>
      <c r="C117" s="27"/>
      <c r="D117" s="27"/>
      <c r="E117" s="27"/>
      <c r="F117" s="27"/>
      <c r="G117" s="27"/>
      <c r="H117" s="27"/>
      <c r="I117" s="104">
        <f>I115-I84</f>
        <v>3664997.14</v>
      </c>
      <c r="N117" s="29"/>
      <c r="O117" s="29"/>
      <c r="P117" s="29"/>
      <c r="Q117" s="29"/>
      <c r="R117" s="29"/>
      <c r="S117" s="29"/>
      <c r="T117" s="29"/>
      <c r="U117" s="160"/>
    </row>
    <row r="118" spans="1:21" x14ac:dyDescent="0.25">
      <c r="A118" s="27"/>
      <c r="B118" s="27"/>
      <c r="C118" s="27"/>
      <c r="D118" s="27"/>
      <c r="E118" s="27"/>
      <c r="F118" s="27"/>
      <c r="G118" s="27"/>
      <c r="H118" s="27"/>
      <c r="I118" s="104"/>
      <c r="N118" s="29"/>
      <c r="O118" s="29"/>
      <c r="P118" s="29"/>
      <c r="Q118" s="29"/>
      <c r="R118" s="29"/>
      <c r="S118" s="29"/>
      <c r="T118" s="29"/>
      <c r="U118" s="160"/>
    </row>
    <row r="119" spans="1:21" x14ac:dyDescent="0.25">
      <c r="A119" s="463" t="s">
        <v>468</v>
      </c>
      <c r="B119" s="453"/>
      <c r="C119" s="453"/>
      <c r="D119" s="453"/>
      <c r="E119" s="453"/>
      <c r="F119" s="453"/>
      <c r="G119" s="453"/>
      <c r="H119" s="84" t="s">
        <v>394</v>
      </c>
      <c r="I119" s="156"/>
      <c r="N119" s="481"/>
      <c r="O119" s="481"/>
      <c r="P119" s="481"/>
      <c r="Q119" s="481"/>
      <c r="R119" s="481"/>
      <c r="S119" s="481"/>
      <c r="T119" s="481"/>
      <c r="U119" s="481"/>
    </row>
    <row r="120" spans="1:21" x14ac:dyDescent="0.25">
      <c r="A120" s="453" t="s">
        <v>95</v>
      </c>
      <c r="B120" s="453"/>
      <c r="C120" s="453"/>
      <c r="D120" s="453"/>
      <c r="E120" s="453"/>
      <c r="F120" s="453"/>
      <c r="G120" s="453"/>
      <c r="H120" s="73" t="str">
        <f>IF(E29=0,"",IF((E14+E16+SUM(E18:E24))/E29&gt;0.75,1,""))</f>
        <v/>
      </c>
      <c r="I120" s="125">
        <f>U114</f>
        <v>0</v>
      </c>
      <c r="N120" s="476" t="s">
        <v>7</v>
      </c>
      <c r="O120" s="476"/>
      <c r="P120" s="476"/>
      <c r="Q120" s="476"/>
      <c r="R120" s="476"/>
      <c r="S120" s="476"/>
      <c r="T120" s="476"/>
      <c r="U120" s="476"/>
    </row>
    <row r="121" spans="1:21" x14ac:dyDescent="0.25">
      <c r="B121" s="72"/>
      <c r="C121" s="72"/>
      <c r="D121" s="72"/>
      <c r="E121" s="72"/>
      <c r="F121" s="72"/>
      <c r="G121" s="72"/>
      <c r="H121" s="68"/>
      <c r="I121" s="104"/>
      <c r="N121" s="74" t="s">
        <v>106</v>
      </c>
      <c r="O121" s="74"/>
      <c r="P121" s="74"/>
      <c r="Q121" s="74"/>
      <c r="R121" s="74"/>
      <c r="S121" s="74"/>
      <c r="T121" s="74"/>
      <c r="U121" s="74"/>
    </row>
    <row r="122" spans="1:21" x14ac:dyDescent="0.25">
      <c r="A122" s="3" t="s">
        <v>102</v>
      </c>
      <c r="B122" s="72"/>
      <c r="C122" s="72"/>
      <c r="D122" s="72"/>
      <c r="E122" s="72"/>
      <c r="F122" s="72"/>
      <c r="G122" s="286"/>
      <c r="H122" s="161">
        <f>IF(H120=1,I120,I117)</f>
        <v>3664997.14</v>
      </c>
      <c r="I122" s="97">
        <f>ROUND(IF(E29=0,0,IF(E29&gt;250,-(((250/E29)*H122)*IF(G122="H",0.02,0.05)),IF(G122="H",-0.02*H122,-0.05*H122))),2)</f>
        <v>-97848.07</v>
      </c>
      <c r="N122" s="75" t="s">
        <v>107</v>
      </c>
      <c r="O122" s="74"/>
      <c r="P122" s="74"/>
      <c r="Q122" s="74"/>
      <c r="R122" s="74"/>
      <c r="S122" s="74"/>
      <c r="T122" s="74"/>
      <c r="U122" s="74"/>
    </row>
    <row r="123" spans="1:21" x14ac:dyDescent="0.25">
      <c r="B123" s="72"/>
      <c r="C123" s="72"/>
      <c r="D123" s="72"/>
      <c r="E123" s="72"/>
      <c r="F123" s="72"/>
      <c r="G123" s="72"/>
      <c r="H123" s="68"/>
      <c r="I123" s="104"/>
      <c r="N123" s="76"/>
      <c r="O123" s="76"/>
      <c r="P123" s="76"/>
      <c r="Q123" s="76"/>
      <c r="R123" s="76"/>
      <c r="S123" s="76"/>
      <c r="T123" s="76"/>
      <c r="U123" s="76"/>
    </row>
    <row r="124" spans="1:21" x14ac:dyDescent="0.25">
      <c r="A124" s="345" t="s">
        <v>103</v>
      </c>
      <c r="B124" s="346"/>
      <c r="C124" s="346"/>
      <c r="D124" s="346"/>
      <c r="E124" s="346"/>
      <c r="F124" s="346"/>
      <c r="G124" s="346"/>
      <c r="H124" s="347"/>
      <c r="I124" s="348">
        <f>I115+I122</f>
        <v>3658797.2100000004</v>
      </c>
      <c r="N124" s="76"/>
      <c r="O124" s="76"/>
      <c r="P124" s="76"/>
      <c r="Q124" s="76"/>
      <c r="R124" s="76"/>
      <c r="S124" s="76"/>
      <c r="T124" s="76"/>
      <c r="U124" s="76"/>
    </row>
    <row r="125" spans="1:21" x14ac:dyDescent="0.25">
      <c r="B125" s="72"/>
      <c r="C125" s="72"/>
      <c r="D125" s="72"/>
      <c r="E125" s="72"/>
      <c r="F125" s="72"/>
      <c r="G125" s="72"/>
      <c r="H125" s="68"/>
      <c r="I125" s="104"/>
      <c r="N125" s="76"/>
      <c r="O125" s="76"/>
      <c r="P125" s="76"/>
      <c r="Q125" s="76"/>
      <c r="R125" s="76"/>
      <c r="S125" s="76"/>
      <c r="T125" s="76"/>
      <c r="U125" s="76"/>
    </row>
    <row r="126" spans="1:21" x14ac:dyDescent="0.25">
      <c r="A126" s="84" t="s">
        <v>292</v>
      </c>
      <c r="B126" s="72"/>
      <c r="C126" s="162"/>
      <c r="D126" s="72"/>
      <c r="F126" s="72"/>
      <c r="G126" s="72"/>
      <c r="H126" s="68"/>
      <c r="I126" s="305">
        <v>-2459640.1</v>
      </c>
      <c r="N126" s="76"/>
      <c r="O126" s="76"/>
      <c r="P126" s="76"/>
      <c r="Q126" s="76"/>
      <c r="R126" s="76"/>
      <c r="S126" s="76"/>
      <c r="T126" s="76"/>
      <c r="U126" s="76"/>
    </row>
    <row r="127" spans="1:21" x14ac:dyDescent="0.25">
      <c r="B127" s="72"/>
      <c r="C127" s="72"/>
      <c r="D127" s="72"/>
      <c r="E127" s="72"/>
      <c r="F127" s="72"/>
      <c r="G127" s="72"/>
      <c r="H127" s="68"/>
      <c r="I127" s="104"/>
      <c r="N127" s="76"/>
      <c r="O127" s="76"/>
      <c r="P127" s="76"/>
      <c r="Q127" s="76"/>
      <c r="R127" s="76"/>
      <c r="S127" s="76"/>
      <c r="T127" s="76"/>
      <c r="U127" s="76"/>
    </row>
    <row r="128" spans="1:21" x14ac:dyDescent="0.25">
      <c r="A128" s="84" t="s">
        <v>297</v>
      </c>
      <c r="B128" s="72"/>
      <c r="C128" s="72"/>
      <c r="D128" s="72"/>
      <c r="E128" s="72"/>
      <c r="F128" s="72"/>
      <c r="G128" s="72"/>
      <c r="H128" s="68"/>
      <c r="I128" s="296">
        <f>I124+I126</f>
        <v>1199157.1100000003</v>
      </c>
      <c r="N128" s="76"/>
      <c r="O128" s="76"/>
      <c r="P128" s="76"/>
      <c r="Q128" s="76"/>
      <c r="R128" s="76"/>
      <c r="S128" s="76"/>
      <c r="T128" s="76"/>
      <c r="U128" s="76"/>
    </row>
    <row r="129" spans="1:21" x14ac:dyDescent="0.25">
      <c r="A129" s="84"/>
      <c r="B129" s="72"/>
      <c r="C129" s="72"/>
      <c r="D129" s="72"/>
      <c r="E129" s="72"/>
      <c r="F129" s="72"/>
      <c r="G129" s="72"/>
      <c r="H129" s="68"/>
      <c r="I129" s="296"/>
      <c r="N129" s="76"/>
      <c r="O129" s="76"/>
      <c r="P129" s="76"/>
      <c r="Q129" s="76"/>
      <c r="R129" s="76"/>
      <c r="S129" s="76"/>
      <c r="T129" s="76"/>
      <c r="U129" s="76"/>
    </row>
    <row r="130" spans="1:21" x14ac:dyDescent="0.25">
      <c r="A130" s="84" t="s">
        <v>298</v>
      </c>
      <c r="B130" s="72"/>
      <c r="C130" s="72"/>
      <c r="D130" s="72"/>
      <c r="E130" s="72"/>
      <c r="F130" s="72"/>
      <c r="G130" s="72"/>
      <c r="H130" s="68"/>
      <c r="I130" s="304">
        <f>'0664'!I130</f>
        <v>3</v>
      </c>
      <c r="N130" s="76"/>
      <c r="O130" s="76"/>
      <c r="P130" s="76"/>
      <c r="Q130" s="76"/>
      <c r="R130" s="76"/>
      <c r="S130" s="76"/>
      <c r="T130" s="76"/>
      <c r="U130" s="76"/>
    </row>
    <row r="131" spans="1:21" x14ac:dyDescent="0.25">
      <c r="B131" s="72"/>
      <c r="C131" s="72"/>
      <c r="D131" s="72"/>
      <c r="E131" s="72"/>
      <c r="F131" s="72"/>
      <c r="G131" s="72"/>
      <c r="H131" s="68"/>
      <c r="I131" s="104"/>
      <c r="N131" s="76"/>
      <c r="O131" s="76"/>
      <c r="P131" s="76"/>
      <c r="Q131" s="76"/>
      <c r="R131" s="76"/>
      <c r="S131" s="76"/>
      <c r="T131" s="76"/>
      <c r="U131" s="76"/>
    </row>
    <row r="132" spans="1:21" ht="16.5" thickBot="1" x14ac:dyDescent="0.3">
      <c r="A132" s="3" t="s">
        <v>105</v>
      </c>
      <c r="B132" s="72"/>
      <c r="C132" s="72"/>
      <c r="D132" s="72"/>
      <c r="E132" s="72"/>
      <c r="F132" s="72"/>
      <c r="G132" s="72"/>
      <c r="H132" s="68"/>
      <c r="I132" s="178">
        <f>ROUND(I128/I130,2)</f>
        <v>399719.04</v>
      </c>
      <c r="N132" s="76"/>
      <c r="O132" s="76"/>
      <c r="P132" s="76"/>
      <c r="Q132" s="76"/>
      <c r="R132" s="76"/>
      <c r="S132" s="76"/>
      <c r="T132" s="76"/>
      <c r="U132" s="76"/>
    </row>
    <row r="133" spans="1:21" ht="16.5" thickTop="1" x14ac:dyDescent="0.25">
      <c r="B133" s="72"/>
      <c r="C133" s="72"/>
      <c r="D133" s="72"/>
      <c r="E133" s="72"/>
      <c r="F133" s="72"/>
      <c r="G133" s="72"/>
      <c r="H133" s="68"/>
      <c r="I133" s="104"/>
      <c r="N133" s="76"/>
      <c r="O133" s="76"/>
      <c r="P133" s="76"/>
      <c r="Q133" s="76"/>
      <c r="R133" s="76"/>
      <c r="S133" s="76"/>
      <c r="T133" s="76"/>
      <c r="U133" s="76"/>
    </row>
    <row r="134" spans="1:21" ht="16.5" thickBot="1" x14ac:dyDescent="0.3">
      <c r="A134" s="3" t="s">
        <v>121</v>
      </c>
      <c r="B134" s="72"/>
      <c r="C134" s="72"/>
      <c r="D134" s="72"/>
      <c r="E134" s="72"/>
      <c r="F134" s="72"/>
      <c r="G134" s="72"/>
      <c r="H134" s="68"/>
      <c r="I134" s="155">
        <f>ROUND(IF(G122="H",(H122*0.02)+I122,(H122*0.05)+I122),2)</f>
        <v>85401.79</v>
      </c>
      <c r="N134" s="76"/>
      <c r="O134" s="76"/>
      <c r="P134" s="76"/>
      <c r="Q134" s="76"/>
      <c r="R134" s="76"/>
      <c r="S134" s="76"/>
      <c r="T134" s="76"/>
      <c r="U134" s="76"/>
    </row>
    <row r="135" spans="1:21" ht="16.5" thickTop="1" x14ac:dyDescent="0.25">
      <c r="B135" s="72"/>
      <c r="C135" s="72"/>
      <c r="D135" s="72"/>
      <c r="E135" s="72"/>
      <c r="F135" s="72"/>
      <c r="G135" s="72"/>
      <c r="H135" s="68"/>
      <c r="I135" s="156"/>
      <c r="N135" s="76"/>
      <c r="O135" s="76"/>
      <c r="P135" s="76"/>
      <c r="Q135" s="76"/>
      <c r="R135" s="76"/>
      <c r="S135" s="76"/>
      <c r="T135" s="76"/>
      <c r="U135" s="76"/>
    </row>
    <row r="136" spans="1:21" x14ac:dyDescent="0.25">
      <c r="B136" s="72"/>
      <c r="C136" s="72"/>
      <c r="D136" s="72"/>
      <c r="E136" s="72"/>
      <c r="F136" s="72"/>
      <c r="G136" s="72"/>
      <c r="H136" s="68"/>
      <c r="I136" s="104"/>
      <c r="N136" s="76"/>
      <c r="O136" s="76"/>
      <c r="P136" s="76"/>
      <c r="Q136" s="76"/>
      <c r="R136" s="76"/>
      <c r="S136" s="76"/>
      <c r="T136" s="76"/>
      <c r="U136" s="76"/>
    </row>
    <row r="137" spans="1:21" x14ac:dyDescent="0.25">
      <c r="B137" s="72"/>
      <c r="C137" s="72"/>
      <c r="D137" s="72"/>
      <c r="E137" s="72"/>
      <c r="F137" s="72"/>
      <c r="G137" s="72"/>
      <c r="H137" s="68"/>
      <c r="I137" s="156"/>
      <c r="N137" s="76"/>
      <c r="O137" s="76"/>
      <c r="P137" s="76"/>
      <c r="Q137" s="76"/>
      <c r="R137" s="76"/>
      <c r="S137" s="76"/>
      <c r="T137" s="76"/>
      <c r="U137" s="76"/>
    </row>
    <row r="138" spans="1:21" x14ac:dyDescent="0.25">
      <c r="A138" s="281" t="s">
        <v>7</v>
      </c>
      <c r="B138" s="281"/>
      <c r="C138" s="281"/>
      <c r="D138" s="281"/>
      <c r="E138" s="281"/>
      <c r="F138" s="281"/>
      <c r="G138" s="281"/>
      <c r="H138" s="281"/>
      <c r="I138" s="281"/>
      <c r="J138" s="156"/>
      <c r="N138" s="76"/>
      <c r="O138" s="76"/>
      <c r="P138" s="76"/>
      <c r="Q138" s="76"/>
      <c r="R138" s="76"/>
      <c r="S138" s="76"/>
      <c r="T138" s="76"/>
      <c r="U138" s="76"/>
    </row>
    <row r="139" spans="1:21" ht="15.75" customHeight="1" x14ac:dyDescent="0.25">
      <c r="A139" s="356" t="str">
        <f>'0664'!A139</f>
        <v>(a) Additional FTE includes FTE earned through Advanced Placement, International Baccalaureate, Advanced International Certificate of Education, Industry Certified Career</v>
      </c>
      <c r="B139" s="357"/>
      <c r="C139" s="357"/>
      <c r="D139" s="357"/>
      <c r="E139" s="357"/>
      <c r="F139" s="357"/>
      <c r="G139" s="357"/>
      <c r="H139" s="357"/>
      <c r="I139" s="357"/>
      <c r="J139" s="80"/>
      <c r="K139" s="79"/>
      <c r="L139" s="79"/>
      <c r="M139" s="79"/>
      <c r="N139" s="477"/>
      <c r="O139" s="477"/>
      <c r="P139" s="477"/>
      <c r="Q139" s="477"/>
      <c r="R139" s="477"/>
      <c r="S139" s="477"/>
      <c r="T139" s="477"/>
      <c r="U139" s="477"/>
    </row>
    <row r="140" spans="1:21" ht="15.75" customHeight="1" x14ac:dyDescent="0.25">
      <c r="A140" s="390" t="str">
        <f>'0664'!A140</f>
        <v xml:space="preserve">Education (CAPE), Early High School Graduation and the small district ESE Supplement, pursuant to s. 1011.62(1)(l-p), F.S. </v>
      </c>
      <c r="B140" s="357"/>
      <c r="C140" s="357"/>
      <c r="D140" s="357"/>
      <c r="E140" s="357"/>
      <c r="F140" s="357"/>
      <c r="G140" s="357"/>
      <c r="H140" s="357"/>
      <c r="I140" s="357"/>
      <c r="J140" s="80"/>
      <c r="K140" s="79"/>
      <c r="L140" s="79"/>
      <c r="M140" s="79"/>
      <c r="N140" s="76"/>
      <c r="O140" s="76"/>
      <c r="P140" s="76"/>
      <c r="Q140" s="76"/>
      <c r="R140" s="76"/>
      <c r="S140" s="76"/>
      <c r="T140" s="76"/>
      <c r="U140" s="76"/>
    </row>
    <row r="141" spans="1:21" x14ac:dyDescent="0.25">
      <c r="A141" s="356" t="str">
        <f>'0664'!A141</f>
        <v>(b) District allocations multiplied by percentage from item 3A.</v>
      </c>
      <c r="B141" s="281"/>
      <c r="C141" s="281"/>
      <c r="D141" s="281"/>
      <c r="E141" s="281"/>
      <c r="F141" s="281"/>
      <c r="G141" s="281"/>
      <c r="H141" s="281"/>
      <c r="I141" s="281"/>
      <c r="J141" s="79"/>
      <c r="K141" s="79"/>
      <c r="L141" s="79"/>
      <c r="M141" s="79"/>
      <c r="N141" s="81"/>
      <c r="O141" s="82"/>
      <c r="P141" s="82"/>
      <c r="Q141" s="82"/>
      <c r="R141" s="82"/>
      <c r="S141" s="82"/>
      <c r="T141" s="82"/>
      <c r="U141" s="82"/>
    </row>
    <row r="142" spans="1:21" s="79" customFormat="1" x14ac:dyDescent="0.2">
      <c r="A142" s="356" t="str">
        <f>'0664'!A142</f>
        <v>(c) District allocations multiplied by percentage from item 3B.</v>
      </c>
      <c r="B142" s="281"/>
      <c r="C142" s="281"/>
      <c r="D142" s="281"/>
      <c r="E142" s="281"/>
      <c r="F142" s="281"/>
      <c r="G142" s="281"/>
      <c r="H142" s="281"/>
      <c r="I142" s="281"/>
      <c r="N142" s="81"/>
    </row>
    <row r="143" spans="1:21" s="79" customFormat="1" ht="15.75" customHeight="1" x14ac:dyDescent="0.2">
      <c r="A143" s="356" t="str">
        <f>'0664'!A143</f>
        <v>(d) The Digital Classroom Allocation is provided pursuant to s. 1011.62(12), F.S.</v>
      </c>
      <c r="B143" s="281"/>
      <c r="C143" s="281"/>
      <c r="D143" s="281"/>
      <c r="E143" s="281"/>
      <c r="F143" s="281"/>
      <c r="G143" s="281"/>
      <c r="H143" s="281"/>
      <c r="I143" s="281"/>
      <c r="N143" s="81"/>
    </row>
    <row r="144" spans="1:21" s="79" customFormat="1" ht="15.75" customHeight="1" x14ac:dyDescent="0.2">
      <c r="A144" s="356" t="str">
        <f>'0664'!A144</f>
        <v>(e) School districts are required to pay for instructional materials used for the instruction of public high school students who are earning credit toward high school</v>
      </c>
      <c r="B144" s="281"/>
      <c r="C144" s="281"/>
      <c r="D144" s="281"/>
      <c r="E144" s="281"/>
      <c r="F144" s="281"/>
      <c r="G144" s="281"/>
      <c r="H144" s="281"/>
      <c r="I144" s="281"/>
      <c r="N144" s="81"/>
    </row>
    <row r="145" spans="1:14" s="79" customFormat="1" ht="15.75" customHeight="1" x14ac:dyDescent="0.2">
      <c r="A145" s="390" t="str">
        <f>'0664'!A145</f>
        <v xml:space="preserve">graduation under the dual enrollment program as provided in s. 1011.62(l)(i), F.S.  </v>
      </c>
      <c r="B145" s="281"/>
      <c r="C145" s="281"/>
      <c r="D145" s="281"/>
      <c r="E145" s="281"/>
      <c r="F145" s="281"/>
      <c r="G145" s="281"/>
      <c r="H145" s="281"/>
      <c r="I145" s="281"/>
      <c r="N145" s="81"/>
    </row>
    <row r="146" spans="1:14" s="79" customFormat="1" x14ac:dyDescent="0.2">
      <c r="A146" s="356" t="str">
        <f>'0664'!A146</f>
        <v>(f) This allocation will be frozen as of the 2021-22 FEFP Second Calculation and will not be recalculated throughout the year. Charter school allocations should be</v>
      </c>
      <c r="B146" s="281"/>
      <c r="C146" s="281"/>
      <c r="D146" s="281"/>
      <c r="E146" s="281"/>
      <c r="F146" s="281"/>
      <c r="G146" s="281"/>
      <c r="H146" s="281"/>
      <c r="I146" s="281"/>
      <c r="N146" s="81"/>
    </row>
    <row r="147" spans="1:14" s="79" customFormat="1" x14ac:dyDescent="0.2">
      <c r="A147" s="358" t="str">
        <f>'0664'!A147</f>
        <v xml:space="preserve">distributed on weighted FTE (or base funding as is done in the FEFP) and should not be recalculated with fluctuations in student enrollment later in the year. </v>
      </c>
      <c r="B147" s="281"/>
      <c r="C147" s="281"/>
      <c r="D147" s="281"/>
      <c r="E147" s="281"/>
      <c r="F147" s="281"/>
      <c r="G147" s="281"/>
      <c r="H147" s="281"/>
      <c r="I147" s="281"/>
      <c r="N147" s="81"/>
    </row>
    <row r="148" spans="1:14" s="79" customFormat="1" x14ac:dyDescent="0.2">
      <c r="A148" s="356" t="str">
        <f>'0664'!A148</f>
        <v>(g) Numbers entered here will be multiplied by the district level transportation funding per rider. "All Adjusted Fundable Riders" should include both basic and ESE Riders.</v>
      </c>
      <c r="B148" s="281"/>
      <c r="C148" s="281"/>
      <c r="D148" s="281"/>
      <c r="E148" s="281"/>
      <c r="F148" s="281"/>
      <c r="G148" s="281"/>
      <c r="H148" s="281"/>
      <c r="I148" s="281"/>
      <c r="N148" s="81"/>
    </row>
    <row r="149" spans="1:14" s="79" customFormat="1" x14ac:dyDescent="0.2">
      <c r="A149" s="390" t="str">
        <f>'0664'!A149</f>
        <v>"All Adjusted ESE Riders" should include only ESE Riders.</v>
      </c>
      <c r="B149" s="281"/>
      <c r="C149" s="281"/>
      <c r="D149" s="281"/>
      <c r="E149" s="281"/>
      <c r="F149" s="281"/>
      <c r="G149" s="281"/>
      <c r="H149" s="281"/>
      <c r="I149" s="281"/>
      <c r="N149" s="81"/>
    </row>
    <row r="150" spans="1:14" s="79" customFormat="1" x14ac:dyDescent="0.2">
      <c r="A150" s="356" t="str">
        <f>'0664'!A150</f>
        <v xml:space="preserve">(h) The Federally Connected Student Supplement provides additional funding for students on federal lands that receive Section 8003 impact aide pursuant to s. 1011.62(13), F.S. </v>
      </c>
      <c r="B150" s="281"/>
      <c r="C150" s="281"/>
      <c r="D150" s="281"/>
      <c r="E150" s="281"/>
      <c r="F150" s="281"/>
      <c r="G150" s="281"/>
      <c r="H150" s="281"/>
      <c r="I150" s="281"/>
      <c r="N150" s="81"/>
    </row>
    <row r="151" spans="1:14" s="79" customFormat="1" x14ac:dyDescent="0.2">
      <c r="A151" s="356" t="str">
        <f>'0664'!A151</f>
        <v>(i) Teacher Classroom Supply Assistance Program allocation pursuant to s. 1012.71, F.S., for certified teachers employed by a public school district or public charter school</v>
      </c>
      <c r="B151" s="281"/>
      <c r="C151" s="281"/>
      <c r="D151" s="281"/>
      <c r="E151" s="281"/>
      <c r="F151" s="281"/>
      <c r="G151" s="281"/>
      <c r="H151" s="281"/>
      <c r="I151" s="281"/>
      <c r="N151" s="81"/>
    </row>
    <row r="152" spans="1:14" s="79" customFormat="1" x14ac:dyDescent="0.2">
      <c r="A152" s="358" t="str">
        <f>'0664'!A152</f>
        <v xml:space="preserve">before September 1 of each year whose full-time or job-share responsibility is the classroom instruction of students in prekindergarten through grade 12, including </v>
      </c>
      <c r="B152" s="281"/>
      <c r="C152" s="281"/>
      <c r="D152" s="281"/>
      <c r="E152" s="281"/>
      <c r="F152" s="281"/>
      <c r="G152" s="281"/>
      <c r="H152" s="281"/>
      <c r="I152" s="281"/>
      <c r="N152" s="81"/>
    </row>
    <row r="153" spans="1:14" s="79" customFormat="1" ht="15.75" customHeight="1" x14ac:dyDescent="0.2">
      <c r="A153" s="358" t="str">
        <f>'0664'!A153</f>
        <v>full-time media specialists and certified school counselors serving students in prekindergarten through grade 12, who are funded through the FEFP.</v>
      </c>
      <c r="B153" s="281"/>
      <c r="C153" s="281"/>
      <c r="D153" s="281"/>
      <c r="E153" s="281"/>
      <c r="F153" s="281"/>
      <c r="G153" s="281"/>
      <c r="H153" s="281"/>
      <c r="I153" s="281"/>
      <c r="N153" s="81"/>
    </row>
    <row r="154" spans="1:14" s="79" customFormat="1" ht="15.75" customHeight="1" x14ac:dyDescent="0.2">
      <c r="A154" s="356" t="str">
        <f>'0664'!A154</f>
        <v xml:space="preserve">(j) Funding based on student eligibility and meals provided, if participating in the National School Lunch Program. </v>
      </c>
      <c r="B154" s="328"/>
      <c r="C154" s="328"/>
      <c r="D154" s="328"/>
      <c r="E154" s="328"/>
      <c r="F154" s="328"/>
      <c r="G154" s="328"/>
      <c r="H154" s="328"/>
      <c r="I154" s="328"/>
      <c r="N154" s="81"/>
    </row>
    <row r="155" spans="1:14" s="79" customFormat="1" ht="15.75" customHeight="1" x14ac:dyDescent="0.2">
      <c r="A155" s="356" t="str">
        <f>'0664'!A155</f>
        <v>(k) Consistent with s. 1002.33(20)(a), F.S., for charter schools with a population of 75% or more ESE students, the administrative fee shall be calculated based on</v>
      </c>
      <c r="B155" s="381"/>
      <c r="C155" s="381"/>
      <c r="D155" s="381"/>
      <c r="E155" s="381"/>
      <c r="F155" s="381"/>
      <c r="G155" s="381"/>
      <c r="H155" s="381"/>
      <c r="I155" s="381"/>
      <c r="N155" s="81"/>
    </row>
    <row r="156" spans="1:14" s="79" customFormat="1" ht="15.75" customHeight="1" x14ac:dyDescent="0.2">
      <c r="A156" s="390" t="str">
        <f>'0664'!A156</f>
        <v xml:space="preserve">unweighted full-time equivalent students. </v>
      </c>
      <c r="B156" s="381"/>
      <c r="C156" s="381"/>
      <c r="D156" s="381"/>
      <c r="E156" s="381"/>
      <c r="F156" s="381"/>
      <c r="G156" s="381"/>
      <c r="H156" s="381"/>
      <c r="I156" s="381"/>
      <c r="N156" s="81"/>
    </row>
    <row r="157" spans="1:14" s="79" customFormat="1" ht="15.75" customHeight="1" x14ac:dyDescent="0.2">
      <c r="A157" s="356"/>
      <c r="B157" s="381"/>
      <c r="C157" s="381"/>
      <c r="D157" s="381"/>
      <c r="E157" s="381"/>
      <c r="F157" s="381"/>
      <c r="G157" s="381"/>
      <c r="H157" s="381"/>
      <c r="I157" s="381"/>
      <c r="N157" s="81"/>
    </row>
    <row r="158" spans="1:14" s="79" customFormat="1" ht="15.75" customHeight="1" x14ac:dyDescent="0.25">
      <c r="A158" s="398" t="str">
        <f>'0664'!A158</f>
        <v>Administrative fees:</v>
      </c>
      <c r="B158" s="328"/>
      <c r="C158" s="328"/>
      <c r="D158" s="328"/>
      <c r="E158" s="328"/>
      <c r="F158" s="328"/>
      <c r="G158" s="328"/>
      <c r="H158" s="328"/>
      <c r="I158" s="328"/>
      <c r="J158" s="3"/>
      <c r="K158" s="3"/>
      <c r="L158" s="3"/>
      <c r="M158" s="3"/>
      <c r="N158" s="81"/>
    </row>
    <row r="159" spans="1:14" s="79" customFormat="1" ht="15.75" customHeight="1" x14ac:dyDescent="0.25">
      <c r="A159" s="399" t="str">
        <f>'0664'!A159</f>
        <v xml:space="preserve">Administrative fees charged by the school district pursuant to s. 1002.33(20)(a), F.S., shall be calculated based upon 5% of available funds from the FEFP and categorical </v>
      </c>
      <c r="B159" s="328"/>
      <c r="C159" s="328"/>
      <c r="D159" s="328"/>
      <c r="E159" s="328"/>
      <c r="F159" s="328"/>
      <c r="G159" s="328"/>
      <c r="H159" s="328"/>
      <c r="I159" s="328"/>
      <c r="J159" s="3"/>
      <c r="K159" s="3"/>
      <c r="L159" s="3"/>
      <c r="M159" s="3"/>
      <c r="N159" s="81"/>
    </row>
    <row r="160" spans="1:14" s="79" customFormat="1" ht="15.75" customHeight="1" x14ac:dyDescent="0.25">
      <c r="A160" s="400" t="str">
        <f>'0664'!A160</f>
        <v>funding for which charter students may be eligible.  To calculate the administrative fee to be withheld for schools with more than 250 students, divide the school</v>
      </c>
      <c r="B160" s="328"/>
      <c r="C160" s="328"/>
      <c r="D160" s="328"/>
      <c r="E160" s="328"/>
      <c r="F160" s="328"/>
      <c r="G160" s="328"/>
      <c r="H160" s="328"/>
      <c r="I160" s="328"/>
      <c r="J160" s="3"/>
      <c r="K160" s="3"/>
      <c r="L160" s="3"/>
      <c r="M160" s="3"/>
      <c r="N160" s="81"/>
    </row>
    <row r="161" spans="1:21" s="79" customFormat="1" ht="15.75" customHeight="1" x14ac:dyDescent="0.25">
      <c r="A161" s="400" t="str">
        <f>'0664'!A161</f>
        <v xml:space="preserve">population into 250. Multiply that fraction times the funds available, then times 5%.  </v>
      </c>
      <c r="B161" s="328"/>
      <c r="C161" s="328"/>
      <c r="D161" s="328"/>
      <c r="E161" s="328"/>
      <c r="F161" s="328"/>
      <c r="G161" s="328"/>
      <c r="H161" s="328"/>
      <c r="I161" s="328"/>
      <c r="J161" s="3"/>
      <c r="K161" s="3"/>
      <c r="L161" s="3"/>
      <c r="M161" s="3"/>
      <c r="N161" s="81"/>
    </row>
    <row r="162" spans="1:21" s="79" customFormat="1" ht="15.75" customHeight="1" x14ac:dyDescent="0.25">
      <c r="A162" s="399"/>
      <c r="B162" s="394"/>
      <c r="C162" s="394"/>
      <c r="D162" s="394"/>
      <c r="E162" s="394"/>
      <c r="F162" s="394"/>
      <c r="G162" s="394"/>
      <c r="H162" s="394"/>
      <c r="I162" s="394"/>
      <c r="N162" s="77"/>
      <c r="O162" s="3"/>
      <c r="P162" s="3"/>
      <c r="Q162" s="3"/>
      <c r="R162" s="3"/>
      <c r="S162" s="3"/>
      <c r="T162" s="3"/>
      <c r="U162" s="3"/>
    </row>
    <row r="163" spans="1:21" ht="15.75" customHeight="1" x14ac:dyDescent="0.25">
      <c r="A163" s="399" t="str">
        <f>'0664'!A163</f>
        <v xml:space="preserve">For high performing charter schools, administrative fees charged by the school district shall be calculated based upon 2% of available funds from the FEFP and categorical </v>
      </c>
      <c r="B163" s="328"/>
      <c r="C163" s="328"/>
      <c r="D163" s="328"/>
      <c r="E163" s="328"/>
      <c r="F163" s="328"/>
      <c r="G163" s="328"/>
      <c r="H163" s="328"/>
      <c r="I163" s="328"/>
      <c r="J163" s="79"/>
      <c r="K163" s="79"/>
      <c r="L163" s="79"/>
      <c r="M163" s="79"/>
      <c r="N163" s="81"/>
      <c r="O163" s="79"/>
      <c r="P163" s="79"/>
      <c r="Q163" s="79"/>
      <c r="R163" s="79"/>
      <c r="S163" s="79"/>
      <c r="T163" s="79"/>
      <c r="U163" s="79"/>
    </row>
    <row r="164" spans="1:21" ht="15.75" customHeight="1" x14ac:dyDescent="0.25">
      <c r="A164" s="400" t="str">
        <f>'0664'!A164</f>
        <v>funding for which charter students may be eligible.  To calculate the administrative fee to be withheld for schools with more than 250 students, divide the school</v>
      </c>
      <c r="B164" s="381"/>
      <c r="C164" s="381"/>
      <c r="D164" s="381"/>
      <c r="E164" s="381"/>
      <c r="F164" s="381"/>
      <c r="G164" s="381"/>
      <c r="H164" s="381"/>
      <c r="I164" s="381"/>
      <c r="J164" s="79"/>
      <c r="K164" s="79"/>
      <c r="L164" s="79"/>
      <c r="M164" s="79"/>
      <c r="N164" s="81"/>
      <c r="O164" s="79"/>
      <c r="P164" s="79"/>
      <c r="Q164" s="79"/>
      <c r="R164" s="79"/>
      <c r="S164" s="79"/>
      <c r="T164" s="79"/>
      <c r="U164" s="79"/>
    </row>
    <row r="165" spans="1:21" s="79" customFormat="1" ht="15.75" customHeight="1" x14ac:dyDescent="0.2">
      <c r="A165" s="400" t="str">
        <f>'0664'!A165</f>
        <v xml:space="preserve">population into 250. Multiply that fraction times the funds available, then times 2%.  </v>
      </c>
      <c r="B165" s="328"/>
      <c r="C165" s="328"/>
      <c r="D165" s="328"/>
      <c r="E165" s="328"/>
      <c r="F165" s="328"/>
      <c r="G165" s="328"/>
      <c r="H165" s="328"/>
      <c r="I165" s="328"/>
      <c r="N165" s="81"/>
    </row>
    <row r="166" spans="1:21" x14ac:dyDescent="0.25">
      <c r="A166" s="356"/>
      <c r="N166" s="77"/>
    </row>
    <row r="167" spans="1:21" x14ac:dyDescent="0.25">
      <c r="A167" s="398" t="str">
        <f>'0664'!A167</f>
        <v>Other:</v>
      </c>
      <c r="N167" s="77"/>
    </row>
    <row r="168" spans="1:21" x14ac:dyDescent="0.25">
      <c r="A168" s="399" t="str">
        <f>'0664'!A168</f>
        <v>FEFP and categorical funding are recalculated during the year to reflect the revised number of full-time equivalent students reported during the survey periods designated</v>
      </c>
      <c r="N168" s="77"/>
    </row>
    <row r="169" spans="1:21" x14ac:dyDescent="0.25">
      <c r="A169" s="402" t="str">
        <f>'0664'!A169</f>
        <v>by the Commissioner of Education.</v>
      </c>
      <c r="N169" s="77"/>
    </row>
    <row r="170" spans="1:21" x14ac:dyDescent="0.25">
      <c r="A170" s="399" t="str">
        <f>'0664'!A170</f>
        <v>Revenues flow to districts from state sources and from county tax collectors on various distribution schedules.</v>
      </c>
      <c r="N170" s="77"/>
    </row>
    <row r="171" spans="1:21" x14ac:dyDescent="0.25">
      <c r="A171" s="77"/>
      <c r="N171" s="77"/>
    </row>
    <row r="172" spans="1:21" x14ac:dyDescent="0.25">
      <c r="A172" s="77"/>
      <c r="N172" s="77"/>
    </row>
    <row r="173" spans="1:21" x14ac:dyDescent="0.25">
      <c r="A173" s="77"/>
      <c r="N173" s="77"/>
    </row>
    <row r="174" spans="1:21" x14ac:dyDescent="0.25">
      <c r="A174" s="77"/>
      <c r="N174" s="77"/>
    </row>
    <row r="175" spans="1:21" x14ac:dyDescent="0.25">
      <c r="A175" s="77"/>
      <c r="N175" s="77"/>
    </row>
    <row r="176" spans="1:21" x14ac:dyDescent="0.25">
      <c r="A176" s="77"/>
      <c r="N176" s="77"/>
    </row>
    <row r="177" spans="1:14" x14ac:dyDescent="0.25">
      <c r="A177" s="77"/>
      <c r="N177" s="77"/>
    </row>
    <row r="178" spans="1:14" x14ac:dyDescent="0.25">
      <c r="A178" s="77"/>
      <c r="N178" s="77"/>
    </row>
    <row r="179" spans="1:14" x14ac:dyDescent="0.25">
      <c r="A179" s="77"/>
      <c r="N179" s="77"/>
    </row>
    <row r="180" spans="1:14" x14ac:dyDescent="0.25">
      <c r="A180" s="77"/>
      <c r="N180" s="77"/>
    </row>
    <row r="181" spans="1:14" x14ac:dyDescent="0.25">
      <c r="A181" s="77"/>
      <c r="N181" s="77"/>
    </row>
    <row r="182" spans="1:14" x14ac:dyDescent="0.25">
      <c r="A182" s="77"/>
      <c r="N182" s="77"/>
    </row>
    <row r="183" spans="1:14" x14ac:dyDescent="0.25">
      <c r="A183" s="77"/>
      <c r="N183" s="77"/>
    </row>
    <row r="184" spans="1:14" x14ac:dyDescent="0.25">
      <c r="A184" s="77"/>
      <c r="N184" s="77"/>
    </row>
    <row r="185" spans="1:14" x14ac:dyDescent="0.25">
      <c r="A185" s="77"/>
      <c r="N185" s="77"/>
    </row>
    <row r="186" spans="1:14" x14ac:dyDescent="0.25">
      <c r="A186" s="77"/>
      <c r="N186" s="77"/>
    </row>
    <row r="187" spans="1:14" x14ac:dyDescent="0.25">
      <c r="A187" s="77"/>
      <c r="N187" s="77"/>
    </row>
    <row r="188" spans="1:14" x14ac:dyDescent="0.25">
      <c r="A188" s="77"/>
    </row>
    <row r="189" spans="1:14" x14ac:dyDescent="0.25">
      <c r="A189" s="77"/>
    </row>
    <row r="190" spans="1:14" x14ac:dyDescent="0.25">
      <c r="A190" s="77"/>
    </row>
    <row r="191" spans="1:14" x14ac:dyDescent="0.25">
      <c r="A191" s="77"/>
    </row>
    <row r="192" spans="1:14" x14ac:dyDescent="0.25">
      <c r="A192" s="77"/>
    </row>
    <row r="193" spans="1:1" x14ac:dyDescent="0.25">
      <c r="A193" s="77"/>
    </row>
    <row r="194" spans="1:1" x14ac:dyDescent="0.25">
      <c r="A194" s="77"/>
    </row>
    <row r="195" spans="1:1" x14ac:dyDescent="0.25">
      <c r="A195" s="77"/>
    </row>
    <row r="196" spans="1:1" x14ac:dyDescent="0.25">
      <c r="A196" s="77"/>
    </row>
    <row r="197" spans="1:1" x14ac:dyDescent="0.25">
      <c r="A197" s="77"/>
    </row>
    <row r="198" spans="1:1" x14ac:dyDescent="0.25">
      <c r="A198" s="77"/>
    </row>
    <row r="199" spans="1:1" x14ac:dyDescent="0.25">
      <c r="A199" s="77"/>
    </row>
    <row r="200" spans="1:1" x14ac:dyDescent="0.25">
      <c r="A200" s="77"/>
    </row>
    <row r="201" spans="1:1" x14ac:dyDescent="0.25">
      <c r="A201" s="77"/>
    </row>
    <row r="202" spans="1:1" x14ac:dyDescent="0.25">
      <c r="A202" s="77"/>
    </row>
    <row r="203" spans="1:1" x14ac:dyDescent="0.25">
      <c r="A203" s="77"/>
    </row>
    <row r="204" spans="1:1" x14ac:dyDescent="0.25">
      <c r="A204" s="77"/>
    </row>
    <row r="205" spans="1:1" x14ac:dyDescent="0.25">
      <c r="A205" s="77"/>
    </row>
    <row r="206" spans="1:1" x14ac:dyDescent="0.25">
      <c r="A206" s="77"/>
    </row>
  </sheetData>
  <mergeCells count="266">
    <mergeCell ref="A110:B110"/>
    <mergeCell ref="N110:O110"/>
    <mergeCell ref="A112:C112"/>
    <mergeCell ref="F112:H112"/>
    <mergeCell ref="N112:P112"/>
    <mergeCell ref="A113:C113"/>
    <mergeCell ref="F113:H113"/>
    <mergeCell ref="N113:P113"/>
    <mergeCell ref="N139:U139"/>
    <mergeCell ref="N114:T114"/>
    <mergeCell ref="A115:H115"/>
    <mergeCell ref="A119:G119"/>
    <mergeCell ref="N119:U119"/>
    <mergeCell ref="A120:G120"/>
    <mergeCell ref="N120:U120"/>
    <mergeCell ref="A108:B108"/>
    <mergeCell ref="F108:G108"/>
    <mergeCell ref="N108:O108"/>
    <mergeCell ref="P108:Q108"/>
    <mergeCell ref="R108:S108"/>
    <mergeCell ref="A109:B109"/>
    <mergeCell ref="F109:G109"/>
    <mergeCell ref="N109:O109"/>
    <mergeCell ref="P109:Q109"/>
    <mergeCell ref="R109:S109"/>
    <mergeCell ref="C104:E104"/>
    <mergeCell ref="F105:G105"/>
    <mergeCell ref="A106:B106"/>
    <mergeCell ref="F106:G106"/>
    <mergeCell ref="N106:O106"/>
    <mergeCell ref="P106:Q106"/>
    <mergeCell ref="R106:S106"/>
    <mergeCell ref="A107:B107"/>
    <mergeCell ref="F107:G107"/>
    <mergeCell ref="N107:O107"/>
    <mergeCell ref="P107:Q107"/>
    <mergeCell ref="R107:S107"/>
    <mergeCell ref="A99:B99"/>
    <mergeCell ref="N99:O99"/>
    <mergeCell ref="P99:R99"/>
    <mergeCell ref="A100:B100"/>
    <mergeCell ref="N100:O100"/>
    <mergeCell ref="P100:R100"/>
    <mergeCell ref="A103:C103"/>
    <mergeCell ref="F103:I103"/>
    <mergeCell ref="N103:U103"/>
    <mergeCell ref="C92:D92"/>
    <mergeCell ref="P92:Q92"/>
    <mergeCell ref="C93:D93"/>
    <mergeCell ref="P93:T93"/>
    <mergeCell ref="A94:I94"/>
    <mergeCell ref="N94:U94"/>
    <mergeCell ref="F96:I96"/>
    <mergeCell ref="N96:P96"/>
    <mergeCell ref="Q96:T96"/>
    <mergeCell ref="C88:D88"/>
    <mergeCell ref="C89:D89"/>
    <mergeCell ref="N89:O89"/>
    <mergeCell ref="P89:Q89"/>
    <mergeCell ref="R89:U89"/>
    <mergeCell ref="C90:D90"/>
    <mergeCell ref="P90:Q90"/>
    <mergeCell ref="C91:D91"/>
    <mergeCell ref="P91:Q91"/>
    <mergeCell ref="N74:T74"/>
    <mergeCell ref="A76:C76"/>
    <mergeCell ref="N76:P76"/>
    <mergeCell ref="A77:C77"/>
    <mergeCell ref="N77:P77"/>
    <mergeCell ref="A85:C85"/>
    <mergeCell ref="N85:P85"/>
    <mergeCell ref="A87:I87"/>
    <mergeCell ref="N87:U87"/>
    <mergeCell ref="A78:C78"/>
    <mergeCell ref="N78:P78"/>
    <mergeCell ref="A79:C79"/>
    <mergeCell ref="N79:P79"/>
    <mergeCell ref="A80:C80"/>
    <mergeCell ref="N80:P80"/>
    <mergeCell ref="A69:C69"/>
    <mergeCell ref="N69:P69"/>
    <mergeCell ref="A70:C70"/>
    <mergeCell ref="A71:C71"/>
    <mergeCell ref="N71:P71"/>
    <mergeCell ref="A72:C72"/>
    <mergeCell ref="N72:P72"/>
    <mergeCell ref="F73:H73"/>
    <mergeCell ref="N73:T73"/>
    <mergeCell ref="A65:B65"/>
    <mergeCell ref="D65:G65"/>
    <mergeCell ref="N65:O65"/>
    <mergeCell ref="Q65:S65"/>
    <mergeCell ref="T65:U65"/>
    <mergeCell ref="N66:S66"/>
    <mergeCell ref="T66:U66"/>
    <mergeCell ref="A68:C68"/>
    <mergeCell ref="N68:P68"/>
    <mergeCell ref="A62:B62"/>
    <mergeCell ref="D62:G62"/>
    <mergeCell ref="N62:O62"/>
    <mergeCell ref="Q62:S62"/>
    <mergeCell ref="T62:U62"/>
    <mergeCell ref="N63:S63"/>
    <mergeCell ref="T63:U63"/>
    <mergeCell ref="A64:I64"/>
    <mergeCell ref="N64:U64"/>
    <mergeCell ref="A59:B59"/>
    <mergeCell ref="F59:H59"/>
    <mergeCell ref="N59:O59"/>
    <mergeCell ref="P59:Q59"/>
    <mergeCell ref="R59:T59"/>
    <mergeCell ref="A60:I60"/>
    <mergeCell ref="N60:U60"/>
    <mergeCell ref="A61:I61"/>
    <mergeCell ref="N61:U61"/>
    <mergeCell ref="A50:B58"/>
    <mergeCell ref="N50:O58"/>
    <mergeCell ref="P50:Q50"/>
    <mergeCell ref="P51:Q51"/>
    <mergeCell ref="P52:Q52"/>
    <mergeCell ref="P53:Q53"/>
    <mergeCell ref="P54:Q54"/>
    <mergeCell ref="P55:Q55"/>
    <mergeCell ref="P56:Q56"/>
    <mergeCell ref="P57:Q57"/>
    <mergeCell ref="P58:Q58"/>
    <mergeCell ref="A42:B42"/>
    <mergeCell ref="N42:O42"/>
    <mergeCell ref="P42:T42"/>
    <mergeCell ref="N43:Q43"/>
    <mergeCell ref="S43:T43"/>
    <mergeCell ref="N45:Q45"/>
    <mergeCell ref="S45:T45"/>
    <mergeCell ref="N49:O49"/>
    <mergeCell ref="P49:Q49"/>
    <mergeCell ref="A39:B39"/>
    <mergeCell ref="N39:O39"/>
    <mergeCell ref="P39:T39"/>
    <mergeCell ref="A40:B40"/>
    <mergeCell ref="N40:O40"/>
    <mergeCell ref="P40:T40"/>
    <mergeCell ref="A41:B41"/>
    <mergeCell ref="N41:O41"/>
    <mergeCell ref="P41:T41"/>
    <mergeCell ref="F33:H36"/>
    <mergeCell ref="N34:T34"/>
    <mergeCell ref="A36:B36"/>
    <mergeCell ref="N36:O36"/>
    <mergeCell ref="P36:T36"/>
    <mergeCell ref="A37:B37"/>
    <mergeCell ref="N37:O37"/>
    <mergeCell ref="P37:T37"/>
    <mergeCell ref="A38:B38"/>
    <mergeCell ref="N38:O38"/>
    <mergeCell ref="P38:T38"/>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A20:B20"/>
    <mergeCell ref="F20:G20"/>
    <mergeCell ref="N20:O20"/>
    <mergeCell ref="P20:Q20"/>
    <mergeCell ref="R20:S20"/>
    <mergeCell ref="A21:B21"/>
    <mergeCell ref="F21:G21"/>
    <mergeCell ref="N21:O21"/>
    <mergeCell ref="P21:Q21"/>
    <mergeCell ref="R21:S21"/>
    <mergeCell ref="A18:B18"/>
    <mergeCell ref="F18:G18"/>
    <mergeCell ref="N18:O18"/>
    <mergeCell ref="P18:Q18"/>
    <mergeCell ref="R18:S18"/>
    <mergeCell ref="A19:B19"/>
    <mergeCell ref="F19:G19"/>
    <mergeCell ref="N19:O19"/>
    <mergeCell ref="P19:Q19"/>
    <mergeCell ref="R19:S19"/>
    <mergeCell ref="A16:B16"/>
    <mergeCell ref="F16:G16"/>
    <mergeCell ref="N16:O16"/>
    <mergeCell ref="P16:Q16"/>
    <mergeCell ref="R16:S16"/>
    <mergeCell ref="A17:B17"/>
    <mergeCell ref="F17:G17"/>
    <mergeCell ref="N17:O17"/>
    <mergeCell ref="P17:Q17"/>
    <mergeCell ref="R17:S17"/>
    <mergeCell ref="A14:B14"/>
    <mergeCell ref="F14:G14"/>
    <mergeCell ref="N14:O14"/>
    <mergeCell ref="P14:Q14"/>
    <mergeCell ref="R14:S14"/>
    <mergeCell ref="A15:B15"/>
    <mergeCell ref="F15:G15"/>
    <mergeCell ref="N15:O15"/>
    <mergeCell ref="P15:Q15"/>
    <mergeCell ref="R15:S15"/>
    <mergeCell ref="A12:B12"/>
    <mergeCell ref="F12:G12"/>
    <mergeCell ref="N12:O12"/>
    <mergeCell ref="P12:Q12"/>
    <mergeCell ref="R12:S12"/>
    <mergeCell ref="A13:B13"/>
    <mergeCell ref="F13:G13"/>
    <mergeCell ref="N13:O13"/>
    <mergeCell ref="P13:Q13"/>
    <mergeCell ref="R13:S13"/>
    <mergeCell ref="N8:O8"/>
    <mergeCell ref="P8:Q8"/>
    <mergeCell ref="R8:S8"/>
    <mergeCell ref="T8:U8"/>
    <mergeCell ref="F10:G10"/>
    <mergeCell ref="R10:S10"/>
    <mergeCell ref="A11:B11"/>
    <mergeCell ref="F11:G11"/>
    <mergeCell ref="N11:O11"/>
    <mergeCell ref="P11:Q11"/>
    <mergeCell ref="R11:S11"/>
    <mergeCell ref="B1:I1"/>
    <mergeCell ref="O1:U1"/>
    <mergeCell ref="N2:U2"/>
    <mergeCell ref="N3:U3"/>
    <mergeCell ref="A4:B4"/>
    <mergeCell ref="C4:E4"/>
    <mergeCell ref="N4:O4"/>
    <mergeCell ref="P4:Q4"/>
    <mergeCell ref="A7:I7"/>
    <mergeCell ref="N7:U7"/>
  </mergeCells>
  <pageMargins left="0.1" right="0.1" top="0.5" bottom="0.5" header="0" footer="0.1"/>
  <pageSetup scale="70" fitToHeight="3" orientation="portrait" r:id="rId1"/>
  <headerFooter alignWithMargins="0">
    <oddFooter>&amp;R&amp;P of &amp;N</oddFooter>
  </headerFooter>
  <rowBreaks count="1" manualBreakCount="1">
    <brk id="138" max="16383" man="1"/>
  </rowBreaks>
  <colBreaks count="1" manualBreakCount="1">
    <brk id="9"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8">
    <tabColor rgb="FFCCFFCC"/>
  </sheetPr>
  <dimension ref="A1:U206"/>
  <sheetViews>
    <sheetView showGridLines="0" zoomScaleNormal="100" workbookViewId="0">
      <pane ySplit="1" topLeftCell="A11" activePane="bottomLeft" state="frozen"/>
      <selection activeCell="I9" sqref="I9"/>
      <selection pane="bottomLeft" activeCell="D50" sqref="D50:D57"/>
    </sheetView>
  </sheetViews>
  <sheetFormatPr defaultRowHeight="15.75" x14ac:dyDescent="0.25"/>
  <cols>
    <col min="1" max="1" width="10.28515625" style="72"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72"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5">
        <v>50</v>
      </c>
      <c r="B1" s="441" t="s">
        <v>17</v>
      </c>
      <c r="C1" s="442"/>
      <c r="D1" s="442"/>
      <c r="E1" s="442"/>
      <c r="F1" s="442"/>
      <c r="G1" s="442"/>
      <c r="H1" s="442"/>
      <c r="I1" s="442"/>
      <c r="J1" s="157"/>
      <c r="K1" s="157"/>
      <c r="L1" s="157"/>
      <c r="N1" s="85">
        <f>A1</f>
        <v>50</v>
      </c>
      <c r="O1" s="527" t="s">
        <v>17</v>
      </c>
      <c r="P1" s="528"/>
      <c r="Q1" s="528"/>
      <c r="R1" s="528"/>
      <c r="S1" s="528"/>
      <c r="T1" s="528"/>
      <c r="U1" s="528"/>
    </row>
    <row r="2" spans="1:21" ht="21" x14ac:dyDescent="0.35">
      <c r="A2" s="1" t="s">
        <v>178</v>
      </c>
      <c r="B2" s="2"/>
      <c r="C2" s="2"/>
      <c r="D2" s="2"/>
      <c r="E2" s="2"/>
      <c r="F2" s="2"/>
      <c r="G2" s="2"/>
      <c r="H2" s="2"/>
      <c r="I2" s="2"/>
      <c r="N2" s="529" t="s">
        <v>23</v>
      </c>
      <c r="O2" s="529"/>
      <c r="P2" s="529"/>
      <c r="Q2" s="529"/>
      <c r="R2" s="529"/>
      <c r="S2" s="529"/>
      <c r="T2" s="529"/>
      <c r="U2" s="529"/>
    </row>
    <row r="3" spans="1:21" x14ac:dyDescent="0.25">
      <c r="A3" s="84" t="str">
        <f>'0664'!A3</f>
        <v>Based on the FLDOE 2022-23 FEFP Third Calculation</v>
      </c>
      <c r="N3" s="485" t="str">
        <f>A3</f>
        <v>Based on the FLDOE 2022-23 FEFP Third Calculation</v>
      </c>
      <c r="O3" s="485"/>
      <c r="P3" s="485"/>
      <c r="Q3" s="485"/>
      <c r="R3" s="485"/>
      <c r="S3" s="485"/>
      <c r="T3" s="485"/>
      <c r="U3" s="485"/>
    </row>
    <row r="4" spans="1:21" x14ac:dyDescent="0.25">
      <c r="A4" s="443" t="s">
        <v>0</v>
      </c>
      <c r="B4" s="443"/>
      <c r="C4" s="444" t="s">
        <v>9</v>
      </c>
      <c r="D4" s="444"/>
      <c r="E4" s="444"/>
      <c r="F4" s="4" t="str">
        <f>'0664'!F4</f>
        <v>Apr 2023</v>
      </c>
      <c r="G4" s="4"/>
      <c r="H4" s="4"/>
      <c r="I4" s="4"/>
      <c r="N4" s="530" t="s">
        <v>0</v>
      </c>
      <c r="O4" s="530"/>
      <c r="P4" s="531" t="str">
        <f>C4</f>
        <v>Palm Beach</v>
      </c>
      <c r="Q4" s="531"/>
      <c r="R4" s="5"/>
      <c r="S4" s="5"/>
      <c r="T4" s="5"/>
      <c r="U4" s="5"/>
    </row>
    <row r="5" spans="1:21" ht="12" customHeight="1" thickBot="1" x14ac:dyDescent="0.3">
      <c r="A5" s="262"/>
      <c r="B5" s="262"/>
      <c r="C5" s="253"/>
      <c r="D5" s="253"/>
      <c r="E5" s="253"/>
      <c r="F5" s="254"/>
      <c r="G5" s="254"/>
      <c r="H5" s="254"/>
      <c r="I5" s="254"/>
      <c r="N5" s="86"/>
      <c r="O5" s="86"/>
      <c r="P5" s="6"/>
      <c r="Q5" s="6"/>
      <c r="R5" s="5"/>
      <c r="S5" s="5"/>
      <c r="T5" s="5"/>
      <c r="U5" s="5"/>
    </row>
    <row r="6" spans="1:21" ht="12" customHeight="1" x14ac:dyDescent="0.25">
      <c r="A6" s="150"/>
      <c r="B6" s="150"/>
      <c r="C6" s="261"/>
      <c r="D6" s="261"/>
      <c r="E6" s="261"/>
      <c r="F6" s="4"/>
      <c r="G6" s="4"/>
      <c r="H6" s="4"/>
      <c r="I6" s="4"/>
      <c r="N6" s="86"/>
      <c r="O6" s="86"/>
      <c r="P6" s="6"/>
      <c r="Q6" s="6"/>
      <c r="R6" s="5"/>
      <c r="S6" s="5"/>
      <c r="T6" s="5"/>
      <c r="U6" s="5"/>
    </row>
    <row r="7" spans="1:21" x14ac:dyDescent="0.25">
      <c r="A7" s="445" t="str">
        <f>'0664'!A7:I7</f>
        <v>1.   2022-23 FEFP State and Local Funding</v>
      </c>
      <c r="B7" s="533"/>
      <c r="C7" s="533"/>
      <c r="D7" s="533"/>
      <c r="E7" s="533"/>
      <c r="F7" s="533"/>
      <c r="G7" s="533"/>
      <c r="H7" s="533"/>
      <c r="I7" s="533"/>
      <c r="N7" s="530" t="s">
        <v>86</v>
      </c>
      <c r="O7" s="530"/>
      <c r="P7" s="530"/>
      <c r="Q7" s="530"/>
      <c r="R7" s="530"/>
      <c r="S7" s="530"/>
      <c r="T7" s="530"/>
      <c r="U7" s="530"/>
    </row>
    <row r="8" spans="1:21" x14ac:dyDescent="0.25">
      <c r="A8" s="87"/>
      <c r="B8" s="88" t="s">
        <v>123</v>
      </c>
      <c r="C8" s="334">
        <f>'0664'!C8</f>
        <v>4587.3999999999996</v>
      </c>
      <c r="D8" s="89"/>
      <c r="E8" s="90"/>
      <c r="F8" s="87"/>
      <c r="G8" s="88" t="s">
        <v>122</v>
      </c>
      <c r="H8" s="320">
        <f>'0664'!H8</f>
        <v>1.0438000000000001</v>
      </c>
      <c r="I8" s="78"/>
      <c r="N8" s="534" t="s">
        <v>10</v>
      </c>
      <c r="O8" s="534"/>
      <c r="P8" s="535">
        <v>4154.45</v>
      </c>
      <c r="Q8" s="535"/>
      <c r="R8" s="518" t="s">
        <v>11</v>
      </c>
      <c r="S8" s="518"/>
      <c r="T8" s="519">
        <f>H8</f>
        <v>1.0438000000000001</v>
      </c>
      <c r="U8" s="519"/>
    </row>
    <row r="9" spans="1:21" x14ac:dyDescent="0.25">
      <c r="A9" s="7"/>
      <c r="B9" s="44" t="s">
        <v>370</v>
      </c>
      <c r="C9" s="372" t="s">
        <v>370</v>
      </c>
      <c r="D9" s="372" t="s">
        <v>370</v>
      </c>
      <c r="E9" s="8"/>
      <c r="F9" s="9"/>
      <c r="G9" s="9"/>
      <c r="H9" s="10"/>
      <c r="I9" s="340" t="str">
        <f>'0664'!I9</f>
        <v>2022-23</v>
      </c>
      <c r="N9" s="12"/>
      <c r="O9" s="12"/>
      <c r="P9" s="13"/>
      <c r="Q9" s="13"/>
      <c r="R9" s="14"/>
      <c r="S9" s="14"/>
      <c r="T9" s="15"/>
      <c r="U9" s="405" t="s">
        <v>405</v>
      </c>
    </row>
    <row r="10" spans="1:21" x14ac:dyDescent="0.25">
      <c r="A10" s="7"/>
      <c r="B10" s="7"/>
      <c r="C10" s="91" t="s">
        <v>463</v>
      </c>
      <c r="D10" s="371" t="s">
        <v>464</v>
      </c>
      <c r="E10" s="92" t="s">
        <v>8</v>
      </c>
      <c r="F10" s="446" t="s">
        <v>1</v>
      </c>
      <c r="G10" s="446"/>
      <c r="H10" s="10" t="s">
        <v>73</v>
      </c>
      <c r="I10" s="11" t="s">
        <v>36</v>
      </c>
      <c r="N10" s="12"/>
      <c r="O10" s="12"/>
      <c r="P10" s="13"/>
      <c r="Q10" s="13"/>
      <c r="R10" s="520" t="s">
        <v>1</v>
      </c>
      <c r="S10" s="520"/>
      <c r="T10" s="15" t="s">
        <v>73</v>
      </c>
      <c r="U10" s="16" t="s">
        <v>36</v>
      </c>
    </row>
    <row r="11" spans="1:21" x14ac:dyDescent="0.25">
      <c r="A11" s="447" t="s">
        <v>1</v>
      </c>
      <c r="B11" s="447"/>
      <c r="C11" s="362" t="s">
        <v>2</v>
      </c>
      <c r="D11" s="362" t="s">
        <v>2</v>
      </c>
      <c r="E11" s="362" t="s">
        <v>2</v>
      </c>
      <c r="F11" s="448" t="s">
        <v>76</v>
      </c>
      <c r="G11" s="448"/>
      <c r="H11" s="17" t="s">
        <v>72</v>
      </c>
      <c r="I11" s="18" t="s">
        <v>75</v>
      </c>
      <c r="N11" s="510" t="s">
        <v>1</v>
      </c>
      <c r="O11" s="510"/>
      <c r="P11" s="521" t="s">
        <v>24</v>
      </c>
      <c r="Q11" s="521"/>
      <c r="R11" s="522" t="s">
        <v>76</v>
      </c>
      <c r="S11" s="522"/>
      <c r="T11" s="19" t="s">
        <v>72</v>
      </c>
      <c r="U11" s="20" t="s">
        <v>75</v>
      </c>
    </row>
    <row r="12" spans="1:21" x14ac:dyDescent="0.25">
      <c r="A12" s="449" t="s">
        <v>47</v>
      </c>
      <c r="B12" s="449"/>
      <c r="C12" s="94"/>
      <c r="D12" s="94"/>
      <c r="E12" s="95" t="s">
        <v>48</v>
      </c>
      <c r="F12" s="450" t="s">
        <v>49</v>
      </c>
      <c r="G12" s="450"/>
      <c r="H12" s="21" t="s">
        <v>50</v>
      </c>
      <c r="I12" s="22" t="s">
        <v>51</v>
      </c>
      <c r="N12" s="523" t="s">
        <v>47</v>
      </c>
      <c r="O12" s="523"/>
      <c r="P12" s="524" t="s">
        <v>48</v>
      </c>
      <c r="Q12" s="524"/>
      <c r="R12" s="525" t="s">
        <v>49</v>
      </c>
      <c r="S12" s="525"/>
      <c r="T12" s="23" t="s">
        <v>50</v>
      </c>
      <c r="U12" s="24" t="s">
        <v>51</v>
      </c>
    </row>
    <row r="13" spans="1:21" x14ac:dyDescent="0.25">
      <c r="A13" s="451" t="s">
        <v>29</v>
      </c>
      <c r="B13" s="451"/>
      <c r="C13" s="165">
        <v>0</v>
      </c>
      <c r="D13" s="163">
        <v>0</v>
      </c>
      <c r="E13" s="210">
        <f>IF(D$29=0,C13*2,C13+D13)</f>
        <v>0</v>
      </c>
      <c r="F13" s="537">
        <f>'0664'!F13:G13</f>
        <v>1.1259999999999999</v>
      </c>
      <c r="G13" s="537"/>
      <c r="H13" s="167">
        <f>ROUND(E13*F13,4)</f>
        <v>0</v>
      </c>
      <c r="I13" s="119">
        <f t="shared" ref="I13:I28" si="0">ROUND(ROUND(H13*$C$8,4)*($H$8),2)</f>
        <v>0</v>
      </c>
      <c r="N13" s="512" t="s">
        <v>29</v>
      </c>
      <c r="O13" s="512"/>
      <c r="P13" s="513">
        <f t="shared" ref="P13:P28" si="1">IF($H$120=1,E13,0)</f>
        <v>0</v>
      </c>
      <c r="Q13" s="513"/>
      <c r="R13" s="526">
        <v>1</v>
      </c>
      <c r="S13" s="526"/>
      <c r="T13" s="98">
        <f>ROUND(P13*R13,4)</f>
        <v>0</v>
      </c>
      <c r="U13" s="99">
        <f t="shared" ref="U13:U28" si="2">ROUND(ROUND(T13*$C$8,4)*($H$8),0)</f>
        <v>0</v>
      </c>
    </row>
    <row r="14" spans="1:21" x14ac:dyDescent="0.25">
      <c r="A14" s="453" t="s">
        <v>30</v>
      </c>
      <c r="B14" s="453"/>
      <c r="C14" s="165">
        <v>0</v>
      </c>
      <c r="D14" s="165">
        <v>0</v>
      </c>
      <c r="E14" s="125">
        <f t="shared" ref="E14:E28" si="3">IF(D$29=0,C14*2,C14+D14)</f>
        <v>0</v>
      </c>
      <c r="F14" s="532">
        <f>'0664'!F14:G14</f>
        <v>1.1259999999999999</v>
      </c>
      <c r="G14" s="532"/>
      <c r="H14" s="83">
        <f t="shared" ref="H14:H28" si="4">ROUND(E14*F14,4)</f>
        <v>0</v>
      </c>
      <c r="I14" s="104">
        <f t="shared" si="0"/>
        <v>0</v>
      </c>
      <c r="J14" s="68" t="str">
        <f>IF(ROUND(E14,2)=ROUND(SUM(E50:E52),2)," ","CHECK PK-3 LINES BELOW")</f>
        <v xml:space="preserve"> </v>
      </c>
      <c r="N14" s="479" t="s">
        <v>30</v>
      </c>
      <c r="O14" s="479"/>
      <c r="P14" s="513">
        <f t="shared" si="1"/>
        <v>0</v>
      </c>
      <c r="Q14" s="513"/>
      <c r="R14" s="517">
        <v>1</v>
      </c>
      <c r="S14" s="517"/>
      <c r="T14" s="98">
        <f t="shared" ref="T14:T28" si="5">ROUND(P14*R14,4)</f>
        <v>0</v>
      </c>
      <c r="U14" s="99">
        <f t="shared" si="2"/>
        <v>0</v>
      </c>
    </row>
    <row r="15" spans="1:21" x14ac:dyDescent="0.25">
      <c r="A15" s="453" t="s">
        <v>31</v>
      </c>
      <c r="B15" s="453"/>
      <c r="C15" s="165">
        <v>34.5</v>
      </c>
      <c r="D15" s="165">
        <v>32.43</v>
      </c>
      <c r="E15" s="125">
        <f t="shared" si="3"/>
        <v>66.930000000000007</v>
      </c>
      <c r="F15" s="532">
        <f>'0664'!F15:G15</f>
        <v>1</v>
      </c>
      <c r="G15" s="532"/>
      <c r="H15" s="83">
        <f t="shared" si="4"/>
        <v>66.930000000000007</v>
      </c>
      <c r="I15" s="104">
        <f t="shared" si="0"/>
        <v>320482.8</v>
      </c>
      <c r="N15" s="479" t="s">
        <v>31</v>
      </c>
      <c r="O15" s="479"/>
      <c r="P15" s="513">
        <f t="shared" si="1"/>
        <v>0</v>
      </c>
      <c r="Q15" s="513"/>
      <c r="R15" s="517">
        <v>1</v>
      </c>
      <c r="S15" s="517"/>
      <c r="T15" s="98">
        <f t="shared" si="5"/>
        <v>0</v>
      </c>
      <c r="U15" s="99">
        <f t="shared" si="2"/>
        <v>0</v>
      </c>
    </row>
    <row r="16" spans="1:21" x14ac:dyDescent="0.25">
      <c r="A16" s="453" t="s">
        <v>32</v>
      </c>
      <c r="B16" s="453"/>
      <c r="C16" s="165">
        <v>6.94</v>
      </c>
      <c r="D16" s="165">
        <v>7.28</v>
      </c>
      <c r="E16" s="125">
        <f t="shared" si="3"/>
        <v>14.22</v>
      </c>
      <c r="F16" s="532">
        <f>'0664'!F16:G16</f>
        <v>1</v>
      </c>
      <c r="G16" s="532"/>
      <c r="H16" s="83">
        <f t="shared" si="4"/>
        <v>14.22</v>
      </c>
      <c r="I16" s="104">
        <f t="shared" si="0"/>
        <v>68090.03</v>
      </c>
      <c r="J16" s="68" t="str">
        <f>IF(ROUND(E16,2)=ROUND(SUM(E53:E55),2)," ","CHECK 4-8 LINES BELOW")</f>
        <v xml:space="preserve"> </v>
      </c>
      <c r="N16" s="479" t="s">
        <v>32</v>
      </c>
      <c r="O16" s="479"/>
      <c r="P16" s="513">
        <f t="shared" si="1"/>
        <v>0</v>
      </c>
      <c r="Q16" s="513"/>
      <c r="R16" s="517">
        <v>1</v>
      </c>
      <c r="S16" s="517"/>
      <c r="T16" s="98">
        <f t="shared" si="5"/>
        <v>0</v>
      </c>
      <c r="U16" s="99">
        <f t="shared" si="2"/>
        <v>0</v>
      </c>
    </row>
    <row r="17" spans="1:21" x14ac:dyDescent="0.25">
      <c r="A17" s="453" t="s">
        <v>33</v>
      </c>
      <c r="B17" s="453"/>
      <c r="C17" s="165">
        <v>0</v>
      </c>
      <c r="D17" s="165">
        <v>0</v>
      </c>
      <c r="E17" s="125">
        <f t="shared" si="3"/>
        <v>0</v>
      </c>
      <c r="F17" s="532">
        <f>'0664'!F17:G17</f>
        <v>0.999</v>
      </c>
      <c r="G17" s="532"/>
      <c r="H17" s="83">
        <f t="shared" si="4"/>
        <v>0</v>
      </c>
      <c r="I17" s="104">
        <f t="shared" si="0"/>
        <v>0</v>
      </c>
      <c r="N17" s="479" t="s">
        <v>33</v>
      </c>
      <c r="O17" s="479"/>
      <c r="P17" s="513">
        <f t="shared" si="1"/>
        <v>0</v>
      </c>
      <c r="Q17" s="513"/>
      <c r="R17" s="517">
        <v>1</v>
      </c>
      <c r="S17" s="517"/>
      <c r="T17" s="98">
        <f t="shared" si="5"/>
        <v>0</v>
      </c>
      <c r="U17" s="99">
        <f t="shared" si="2"/>
        <v>0</v>
      </c>
    </row>
    <row r="18" spans="1:21" x14ac:dyDescent="0.25">
      <c r="A18" s="453" t="s">
        <v>34</v>
      </c>
      <c r="B18" s="453"/>
      <c r="C18" s="165">
        <v>0</v>
      </c>
      <c r="D18" s="165">
        <v>0</v>
      </c>
      <c r="E18" s="125">
        <f t="shared" si="3"/>
        <v>0</v>
      </c>
      <c r="F18" s="532">
        <f>'0664'!F18:G18</f>
        <v>0.999</v>
      </c>
      <c r="G18" s="532"/>
      <c r="H18" s="83">
        <f t="shared" si="4"/>
        <v>0</v>
      </c>
      <c r="I18" s="104">
        <f t="shared" si="0"/>
        <v>0</v>
      </c>
      <c r="J18" s="68" t="str">
        <f>IF(ROUND(E18,2)=ROUND(SUM(E56:E58),2)," ","CHECK 4-8 LINES BELOW")</f>
        <v xml:space="preserve"> </v>
      </c>
      <c r="N18" s="479" t="s">
        <v>34</v>
      </c>
      <c r="O18" s="479"/>
      <c r="P18" s="513">
        <f t="shared" si="1"/>
        <v>0</v>
      </c>
      <c r="Q18" s="513"/>
      <c r="R18" s="517">
        <v>1</v>
      </c>
      <c r="S18" s="517"/>
      <c r="T18" s="98">
        <f t="shared" si="5"/>
        <v>0</v>
      </c>
      <c r="U18" s="101">
        <f t="shared" si="2"/>
        <v>0</v>
      </c>
    </row>
    <row r="19" spans="1:21" x14ac:dyDescent="0.25">
      <c r="A19" s="453" t="s">
        <v>108</v>
      </c>
      <c r="B19" s="453"/>
      <c r="C19" s="165">
        <v>0</v>
      </c>
      <c r="D19" s="165">
        <v>0</v>
      </c>
      <c r="E19" s="125">
        <f t="shared" si="3"/>
        <v>0</v>
      </c>
      <c r="F19" s="532">
        <f>'0664'!F19:G19</f>
        <v>3.6739999999999999</v>
      </c>
      <c r="G19" s="532"/>
      <c r="H19" s="83">
        <f t="shared" si="4"/>
        <v>0</v>
      </c>
      <c r="I19" s="104">
        <f t="shared" si="0"/>
        <v>0</v>
      </c>
      <c r="N19" s="479" t="s">
        <v>108</v>
      </c>
      <c r="O19" s="479"/>
      <c r="P19" s="513">
        <f t="shared" si="1"/>
        <v>0</v>
      </c>
      <c r="Q19" s="513"/>
      <c r="R19" s="517">
        <v>1</v>
      </c>
      <c r="S19" s="517"/>
      <c r="T19" s="98">
        <f t="shared" si="5"/>
        <v>0</v>
      </c>
      <c r="U19" s="99">
        <f t="shared" si="2"/>
        <v>0</v>
      </c>
    </row>
    <row r="20" spans="1:21" x14ac:dyDescent="0.25">
      <c r="A20" s="453" t="s">
        <v>109</v>
      </c>
      <c r="B20" s="453"/>
      <c r="C20" s="165">
        <v>0</v>
      </c>
      <c r="D20" s="165">
        <v>0</v>
      </c>
      <c r="E20" s="125">
        <f t="shared" si="3"/>
        <v>0</v>
      </c>
      <c r="F20" s="532">
        <f>'0664'!F20:G20</f>
        <v>3.6739999999999999</v>
      </c>
      <c r="G20" s="532"/>
      <c r="H20" s="83">
        <f t="shared" si="4"/>
        <v>0</v>
      </c>
      <c r="I20" s="104">
        <f t="shared" si="0"/>
        <v>0</v>
      </c>
      <c r="N20" s="479" t="s">
        <v>109</v>
      </c>
      <c r="O20" s="479"/>
      <c r="P20" s="513">
        <f t="shared" si="1"/>
        <v>0</v>
      </c>
      <c r="Q20" s="513"/>
      <c r="R20" s="517">
        <v>1</v>
      </c>
      <c r="S20" s="517"/>
      <c r="T20" s="98">
        <f t="shared" si="5"/>
        <v>0</v>
      </c>
      <c r="U20" s="99">
        <f t="shared" si="2"/>
        <v>0</v>
      </c>
    </row>
    <row r="21" spans="1:21" x14ac:dyDescent="0.25">
      <c r="A21" s="453" t="s">
        <v>110</v>
      </c>
      <c r="B21" s="453"/>
      <c r="C21" s="165">
        <v>0</v>
      </c>
      <c r="D21" s="165">
        <v>0</v>
      </c>
      <c r="E21" s="125">
        <f t="shared" si="3"/>
        <v>0</v>
      </c>
      <c r="F21" s="532">
        <f>'0664'!F21:G21</f>
        <v>3.6739999999999999</v>
      </c>
      <c r="G21" s="532"/>
      <c r="H21" s="83">
        <f t="shared" si="4"/>
        <v>0</v>
      </c>
      <c r="I21" s="104">
        <f t="shared" si="0"/>
        <v>0</v>
      </c>
      <c r="N21" s="479" t="s">
        <v>110</v>
      </c>
      <c r="O21" s="479"/>
      <c r="P21" s="513">
        <f t="shared" si="1"/>
        <v>0</v>
      </c>
      <c r="Q21" s="513"/>
      <c r="R21" s="517">
        <v>1</v>
      </c>
      <c r="S21" s="517"/>
      <c r="T21" s="98">
        <f t="shared" si="5"/>
        <v>0</v>
      </c>
      <c r="U21" s="99">
        <f t="shared" si="2"/>
        <v>0</v>
      </c>
    </row>
    <row r="22" spans="1:21" x14ac:dyDescent="0.25">
      <c r="A22" s="453" t="s">
        <v>111</v>
      </c>
      <c r="B22" s="453"/>
      <c r="C22" s="165">
        <v>0</v>
      </c>
      <c r="D22" s="165">
        <v>0</v>
      </c>
      <c r="E22" s="125">
        <f t="shared" si="3"/>
        <v>0</v>
      </c>
      <c r="F22" s="532">
        <f>'0664'!F22:G22</f>
        <v>5.4009999999999998</v>
      </c>
      <c r="G22" s="532"/>
      <c r="H22" s="83">
        <f t="shared" si="4"/>
        <v>0</v>
      </c>
      <c r="I22" s="104">
        <f t="shared" si="0"/>
        <v>0</v>
      </c>
      <c r="N22" s="479" t="s">
        <v>111</v>
      </c>
      <c r="O22" s="479"/>
      <c r="P22" s="513">
        <f t="shared" si="1"/>
        <v>0</v>
      </c>
      <c r="Q22" s="513"/>
      <c r="R22" s="517">
        <v>1</v>
      </c>
      <c r="S22" s="517"/>
      <c r="T22" s="98">
        <f t="shared" si="5"/>
        <v>0</v>
      </c>
      <c r="U22" s="99">
        <f t="shared" si="2"/>
        <v>0</v>
      </c>
    </row>
    <row r="23" spans="1:21" x14ac:dyDescent="0.25">
      <c r="A23" s="453" t="s">
        <v>112</v>
      </c>
      <c r="B23" s="453"/>
      <c r="C23" s="165">
        <v>0</v>
      </c>
      <c r="D23" s="165">
        <v>0</v>
      </c>
      <c r="E23" s="125">
        <f t="shared" si="3"/>
        <v>0</v>
      </c>
      <c r="F23" s="532">
        <f>'0664'!F23:G23</f>
        <v>5.4009999999999998</v>
      </c>
      <c r="G23" s="532"/>
      <c r="H23" s="83">
        <f t="shared" si="4"/>
        <v>0</v>
      </c>
      <c r="I23" s="104">
        <f t="shared" si="0"/>
        <v>0</v>
      </c>
      <c r="N23" s="479" t="s">
        <v>112</v>
      </c>
      <c r="O23" s="479"/>
      <c r="P23" s="513">
        <f t="shared" si="1"/>
        <v>0</v>
      </c>
      <c r="Q23" s="513"/>
      <c r="R23" s="517">
        <v>1</v>
      </c>
      <c r="S23" s="517"/>
      <c r="T23" s="98">
        <f t="shared" si="5"/>
        <v>0</v>
      </c>
      <c r="U23" s="99">
        <f t="shared" si="2"/>
        <v>0</v>
      </c>
    </row>
    <row r="24" spans="1:21" x14ac:dyDescent="0.25">
      <c r="A24" s="453" t="s">
        <v>113</v>
      </c>
      <c r="B24" s="453"/>
      <c r="C24" s="165">
        <v>0</v>
      </c>
      <c r="D24" s="165">
        <v>0</v>
      </c>
      <c r="E24" s="125">
        <f t="shared" si="3"/>
        <v>0</v>
      </c>
      <c r="F24" s="532">
        <f>'0664'!F24:G24</f>
        <v>5.4009999999999998</v>
      </c>
      <c r="G24" s="532"/>
      <c r="H24" s="83">
        <f t="shared" si="4"/>
        <v>0</v>
      </c>
      <c r="I24" s="104">
        <f t="shared" si="0"/>
        <v>0</v>
      </c>
      <c r="N24" s="479" t="s">
        <v>113</v>
      </c>
      <c r="O24" s="479"/>
      <c r="P24" s="513">
        <f t="shared" si="1"/>
        <v>0</v>
      </c>
      <c r="Q24" s="513"/>
      <c r="R24" s="517">
        <v>1</v>
      </c>
      <c r="S24" s="517"/>
      <c r="T24" s="98">
        <f t="shared" si="5"/>
        <v>0</v>
      </c>
      <c r="U24" s="99">
        <f t="shared" si="2"/>
        <v>0</v>
      </c>
    </row>
    <row r="25" spans="1:21" x14ac:dyDescent="0.25">
      <c r="A25" s="453" t="s">
        <v>114</v>
      </c>
      <c r="B25" s="453"/>
      <c r="C25" s="165">
        <v>0</v>
      </c>
      <c r="D25" s="165">
        <v>0</v>
      </c>
      <c r="E25" s="125">
        <f t="shared" si="3"/>
        <v>0</v>
      </c>
      <c r="F25" s="532">
        <f>'0664'!F25:G25</f>
        <v>1.206</v>
      </c>
      <c r="G25" s="532"/>
      <c r="H25" s="83">
        <f t="shared" si="4"/>
        <v>0</v>
      </c>
      <c r="I25" s="104">
        <f t="shared" si="0"/>
        <v>0</v>
      </c>
      <c r="N25" s="479" t="s">
        <v>114</v>
      </c>
      <c r="O25" s="479"/>
      <c r="P25" s="513">
        <f t="shared" si="1"/>
        <v>0</v>
      </c>
      <c r="Q25" s="513"/>
      <c r="R25" s="517">
        <v>1</v>
      </c>
      <c r="S25" s="517"/>
      <c r="T25" s="98">
        <f t="shared" si="5"/>
        <v>0</v>
      </c>
      <c r="U25" s="99">
        <f t="shared" si="2"/>
        <v>0</v>
      </c>
    </row>
    <row r="26" spans="1:21" x14ac:dyDescent="0.25">
      <c r="A26" s="453" t="s">
        <v>115</v>
      </c>
      <c r="B26" s="453"/>
      <c r="C26" s="165">
        <v>0</v>
      </c>
      <c r="D26" s="165">
        <v>0</v>
      </c>
      <c r="E26" s="125">
        <f t="shared" si="3"/>
        <v>0</v>
      </c>
      <c r="F26" s="532">
        <f>'0664'!F26:G26</f>
        <v>1.206</v>
      </c>
      <c r="G26" s="532"/>
      <c r="H26" s="83">
        <f t="shared" si="4"/>
        <v>0</v>
      </c>
      <c r="I26" s="104">
        <f t="shared" si="0"/>
        <v>0</v>
      </c>
      <c r="N26" s="479" t="s">
        <v>115</v>
      </c>
      <c r="O26" s="479"/>
      <c r="P26" s="513">
        <f t="shared" si="1"/>
        <v>0</v>
      </c>
      <c r="Q26" s="513"/>
      <c r="R26" s="517">
        <v>1</v>
      </c>
      <c r="S26" s="517"/>
      <c r="T26" s="98">
        <f t="shared" si="5"/>
        <v>0</v>
      </c>
      <c r="U26" s="99">
        <f t="shared" si="2"/>
        <v>0</v>
      </c>
    </row>
    <row r="27" spans="1:21" x14ac:dyDescent="0.25">
      <c r="A27" s="453" t="s">
        <v>116</v>
      </c>
      <c r="B27" s="453"/>
      <c r="C27" s="165">
        <v>0</v>
      </c>
      <c r="D27" s="165">
        <v>0</v>
      </c>
      <c r="E27" s="125">
        <f t="shared" si="3"/>
        <v>0</v>
      </c>
      <c r="F27" s="532">
        <f>'0664'!F27:G27</f>
        <v>1.206</v>
      </c>
      <c r="G27" s="532"/>
      <c r="H27" s="83">
        <f t="shared" si="4"/>
        <v>0</v>
      </c>
      <c r="I27" s="104">
        <f t="shared" si="0"/>
        <v>0</v>
      </c>
      <c r="N27" s="479" t="s">
        <v>116</v>
      </c>
      <c r="O27" s="479"/>
      <c r="P27" s="513">
        <f t="shared" si="1"/>
        <v>0</v>
      </c>
      <c r="Q27" s="513"/>
      <c r="R27" s="517">
        <v>1</v>
      </c>
      <c r="S27" s="517"/>
      <c r="T27" s="98">
        <f t="shared" si="5"/>
        <v>0</v>
      </c>
      <c r="U27" s="99">
        <f t="shared" si="2"/>
        <v>0</v>
      </c>
    </row>
    <row r="28" spans="1:21" x14ac:dyDescent="0.25">
      <c r="A28" s="453" t="s">
        <v>117</v>
      </c>
      <c r="B28" s="453"/>
      <c r="C28" s="116">
        <v>0</v>
      </c>
      <c r="D28" s="116">
        <v>0</v>
      </c>
      <c r="E28" s="177">
        <f t="shared" si="3"/>
        <v>0</v>
      </c>
      <c r="F28" s="532">
        <f>'0664'!F28:G28</f>
        <v>0.999</v>
      </c>
      <c r="G28" s="532"/>
      <c r="H28" s="96">
        <f t="shared" si="4"/>
        <v>0</v>
      </c>
      <c r="I28" s="97">
        <f t="shared" si="0"/>
        <v>0</v>
      </c>
      <c r="N28" s="482" t="s">
        <v>117</v>
      </c>
      <c r="O28" s="482"/>
      <c r="P28" s="513">
        <f t="shared" si="1"/>
        <v>0</v>
      </c>
      <c r="Q28" s="513"/>
      <c r="R28" s="514">
        <v>1</v>
      </c>
      <c r="S28" s="514"/>
      <c r="T28" s="98">
        <f t="shared" si="5"/>
        <v>0</v>
      </c>
      <c r="U28" s="99">
        <f t="shared" si="2"/>
        <v>0</v>
      </c>
    </row>
    <row r="29" spans="1:21" x14ac:dyDescent="0.25">
      <c r="A29" s="461" t="s">
        <v>5</v>
      </c>
      <c r="B29" s="461"/>
      <c r="C29" s="97">
        <f>SUM(C13:C28)</f>
        <v>41.44</v>
      </c>
      <c r="D29" s="97">
        <f>SUM(D13:D28)</f>
        <v>39.71</v>
      </c>
      <c r="E29" s="97">
        <f>SUM(E13:E28)</f>
        <v>81.150000000000006</v>
      </c>
      <c r="F29" s="457"/>
      <c r="G29" s="457"/>
      <c r="H29" s="102">
        <f>SUM(H13:H28)</f>
        <v>81.150000000000006</v>
      </c>
      <c r="I29" s="97">
        <f>SUM(I13:I28)</f>
        <v>388572.82999999996</v>
      </c>
      <c r="N29" s="515" t="s">
        <v>5</v>
      </c>
      <c r="O29" s="515"/>
      <c r="P29" s="516">
        <f>SUM(P13:P28)</f>
        <v>0</v>
      </c>
      <c r="Q29" s="516"/>
      <c r="R29" s="508"/>
      <c r="S29" s="508"/>
      <c r="T29" s="103">
        <f>SUM(T13:T28)</f>
        <v>0</v>
      </c>
      <c r="U29" s="99">
        <f>SUM(U13:U28)</f>
        <v>0</v>
      </c>
    </row>
    <row r="30" spans="1:21" x14ac:dyDescent="0.25">
      <c r="A30" s="27"/>
      <c r="B30" s="27"/>
      <c r="C30" s="104"/>
      <c r="D30" s="104"/>
      <c r="E30" s="104"/>
      <c r="F30" s="28"/>
      <c r="G30" s="28"/>
      <c r="H30" s="83"/>
      <c r="I30" s="104"/>
      <c r="N30" s="29"/>
      <c r="O30" s="29"/>
      <c r="P30" s="30"/>
      <c r="Q30" s="30"/>
      <c r="R30" s="31"/>
      <c r="S30" s="31"/>
      <c r="T30" s="105"/>
      <c r="U30" s="106"/>
    </row>
    <row r="31" spans="1:21" x14ac:dyDescent="0.25">
      <c r="A31" s="168" t="s">
        <v>97</v>
      </c>
      <c r="B31" s="27"/>
      <c r="C31" s="104"/>
      <c r="D31" s="104"/>
      <c r="E31" s="104"/>
      <c r="F31" s="28"/>
      <c r="G31" s="28"/>
      <c r="H31" s="83"/>
      <c r="I31" s="104"/>
      <c r="N31" s="29"/>
      <c r="O31" s="29"/>
      <c r="P31" s="30"/>
      <c r="Q31" s="30"/>
      <c r="R31" s="31"/>
      <c r="S31" s="31"/>
      <c r="T31" s="105"/>
      <c r="U31" s="106"/>
    </row>
    <row r="32" spans="1:21" hidden="1" x14ac:dyDescent="0.25">
      <c r="A32" s="168"/>
      <c r="B32" s="27"/>
      <c r="C32" s="104"/>
      <c r="D32" s="104"/>
      <c r="E32" s="104"/>
      <c r="F32" s="28"/>
      <c r="G32" s="28"/>
      <c r="H32" s="83"/>
      <c r="I32" s="104"/>
      <c r="N32" s="29"/>
      <c r="O32" s="29"/>
      <c r="P32" s="30"/>
      <c r="Q32" s="30"/>
      <c r="R32" s="31"/>
      <c r="S32" s="31"/>
      <c r="T32" s="105"/>
      <c r="U32" s="106"/>
    </row>
    <row r="33" spans="1:21" hidden="1" x14ac:dyDescent="0.25">
      <c r="A33" s="168"/>
      <c r="B33" s="27"/>
      <c r="C33" s="104"/>
      <c r="D33" s="104"/>
      <c r="E33" s="104"/>
      <c r="F33" s="541" t="s">
        <v>282</v>
      </c>
      <c r="G33" s="541"/>
      <c r="H33" s="541"/>
      <c r="I33" s="104"/>
      <c r="N33" s="29"/>
      <c r="O33" s="29"/>
      <c r="P33" s="30"/>
      <c r="Q33" s="30"/>
      <c r="R33" s="31"/>
      <c r="S33" s="31"/>
      <c r="T33" s="105"/>
      <c r="U33" s="106"/>
    </row>
    <row r="34" spans="1:21" hidden="1" x14ac:dyDescent="0.25">
      <c r="A34" s="3"/>
      <c r="B34" s="72"/>
      <c r="C34" s="72"/>
      <c r="D34" s="72"/>
      <c r="E34" s="72"/>
      <c r="F34" s="541"/>
      <c r="G34" s="541"/>
      <c r="H34" s="541"/>
      <c r="I34" s="25" t="s">
        <v>74</v>
      </c>
      <c r="N34" s="485" t="s">
        <v>35</v>
      </c>
      <c r="O34" s="485"/>
      <c r="P34" s="485"/>
      <c r="Q34" s="485"/>
      <c r="R34" s="485"/>
      <c r="S34" s="485"/>
      <c r="T34" s="485"/>
      <c r="U34" s="26" t="s">
        <v>74</v>
      </c>
    </row>
    <row r="35" spans="1:21" hidden="1" x14ac:dyDescent="0.25">
      <c r="A35" s="27"/>
      <c r="B35" s="27"/>
      <c r="C35" s="91" t="s">
        <v>124</v>
      </c>
      <c r="D35" s="91" t="s">
        <v>125</v>
      </c>
      <c r="E35" s="92" t="s">
        <v>8</v>
      </c>
      <c r="F35" s="541"/>
      <c r="G35" s="541"/>
      <c r="H35" s="541"/>
      <c r="I35" s="25" t="s">
        <v>36</v>
      </c>
      <c r="N35" s="29"/>
      <c r="O35" s="29"/>
      <c r="P35" s="30"/>
      <c r="Q35" s="30"/>
      <c r="R35" s="31"/>
      <c r="S35" s="31"/>
      <c r="T35" s="105"/>
      <c r="U35" s="26" t="s">
        <v>36</v>
      </c>
    </row>
    <row r="36" spans="1:21" hidden="1" x14ac:dyDescent="0.25">
      <c r="A36" s="447" t="s">
        <v>63</v>
      </c>
      <c r="B36" s="447"/>
      <c r="C36" s="93" t="s">
        <v>2</v>
      </c>
      <c r="D36" s="93" t="s">
        <v>2</v>
      </c>
      <c r="E36" s="93" t="s">
        <v>2</v>
      </c>
      <c r="F36" s="542"/>
      <c r="G36" s="542"/>
      <c r="H36" s="542"/>
      <c r="I36" s="32" t="s">
        <v>75</v>
      </c>
      <c r="N36" s="510" t="s">
        <v>63</v>
      </c>
      <c r="O36" s="510"/>
      <c r="P36" s="511" t="s">
        <v>24</v>
      </c>
      <c r="Q36" s="511"/>
      <c r="R36" s="511"/>
      <c r="S36" s="511"/>
      <c r="T36" s="511"/>
      <c r="U36" s="20" t="s">
        <v>75</v>
      </c>
    </row>
    <row r="37" spans="1:21" hidden="1" x14ac:dyDescent="0.25">
      <c r="A37" s="451" t="s">
        <v>56</v>
      </c>
      <c r="B37" s="451"/>
      <c r="C37" s="169">
        <v>0</v>
      </c>
      <c r="D37" s="169">
        <v>0</v>
      </c>
      <c r="E37" s="210">
        <f t="shared" ref="E37:E42" si="6">IF(D$43=0,C37*2,C37+D37)</f>
        <v>0</v>
      </c>
      <c r="F37" s="170"/>
      <c r="G37" s="170"/>
      <c r="H37" s="170"/>
      <c r="I37" s="119">
        <f t="shared" ref="I37:I42" si="7">ROUND(ROUND(E37*$C$8,4)*($H$8),2)</f>
        <v>0</v>
      </c>
      <c r="N37" s="512" t="s">
        <v>56</v>
      </c>
      <c r="O37" s="512"/>
      <c r="P37" s="483">
        <f t="shared" ref="P37:P42" si="8">IF($H$120=1,E37,0)</f>
        <v>0</v>
      </c>
      <c r="Q37" s="483"/>
      <c r="R37" s="483"/>
      <c r="S37" s="483"/>
      <c r="T37" s="483"/>
      <c r="U37" s="101">
        <f t="shared" ref="U37:U42" si="9">ROUND(ROUND(P37*$C$8,4)*($H$8),0)</f>
        <v>0</v>
      </c>
    </row>
    <row r="38" spans="1:21" hidden="1" x14ac:dyDescent="0.25">
      <c r="A38" s="453" t="s">
        <v>57</v>
      </c>
      <c r="B38" s="453"/>
      <c r="C38" s="172">
        <v>0</v>
      </c>
      <c r="D38" s="172">
        <v>0</v>
      </c>
      <c r="E38" s="125">
        <f t="shared" si="6"/>
        <v>0</v>
      </c>
      <c r="F38" s="173"/>
      <c r="G38" s="173"/>
      <c r="H38" s="173"/>
      <c r="I38" s="104">
        <f t="shared" si="7"/>
        <v>0</v>
      </c>
      <c r="N38" s="479" t="s">
        <v>57</v>
      </c>
      <c r="O38" s="479"/>
      <c r="P38" s="483">
        <f t="shared" si="8"/>
        <v>0</v>
      </c>
      <c r="Q38" s="483"/>
      <c r="R38" s="483"/>
      <c r="S38" s="483"/>
      <c r="T38" s="483"/>
      <c r="U38" s="101">
        <f t="shared" si="9"/>
        <v>0</v>
      </c>
    </row>
    <row r="39" spans="1:21" hidden="1" x14ac:dyDescent="0.25">
      <c r="A39" s="458" t="s">
        <v>58</v>
      </c>
      <c r="B39" s="458"/>
      <c r="C39" s="172">
        <v>0</v>
      </c>
      <c r="D39" s="172">
        <v>0</v>
      </c>
      <c r="E39" s="125">
        <f t="shared" si="6"/>
        <v>0</v>
      </c>
      <c r="F39" s="173"/>
      <c r="G39" s="173"/>
      <c r="H39" s="173"/>
      <c r="I39" s="104">
        <f t="shared" si="7"/>
        <v>0</v>
      </c>
      <c r="N39" s="509" t="s">
        <v>58</v>
      </c>
      <c r="O39" s="509"/>
      <c r="P39" s="483">
        <f t="shared" si="8"/>
        <v>0</v>
      </c>
      <c r="Q39" s="483"/>
      <c r="R39" s="483"/>
      <c r="S39" s="483"/>
      <c r="T39" s="483"/>
      <c r="U39" s="101">
        <f t="shared" si="9"/>
        <v>0</v>
      </c>
    </row>
    <row r="40" spans="1:21" hidden="1" x14ac:dyDescent="0.25">
      <c r="A40" s="453" t="s">
        <v>59</v>
      </c>
      <c r="B40" s="453"/>
      <c r="C40" s="172">
        <v>0</v>
      </c>
      <c r="D40" s="172">
        <v>0</v>
      </c>
      <c r="E40" s="125">
        <f t="shared" si="6"/>
        <v>0</v>
      </c>
      <c r="F40" s="173"/>
      <c r="G40" s="173"/>
      <c r="H40" s="173"/>
      <c r="I40" s="104">
        <f t="shared" si="7"/>
        <v>0</v>
      </c>
      <c r="N40" s="479" t="s">
        <v>59</v>
      </c>
      <c r="O40" s="479"/>
      <c r="P40" s="483">
        <f t="shared" si="8"/>
        <v>0</v>
      </c>
      <c r="Q40" s="483"/>
      <c r="R40" s="483"/>
      <c r="S40" s="483"/>
      <c r="T40" s="483"/>
      <c r="U40" s="101">
        <f t="shared" si="9"/>
        <v>0</v>
      </c>
    </row>
    <row r="41" spans="1:21" hidden="1" x14ac:dyDescent="0.25">
      <c r="A41" s="453" t="s">
        <v>60</v>
      </c>
      <c r="B41" s="453"/>
      <c r="C41" s="172">
        <v>0</v>
      </c>
      <c r="D41" s="172">
        <v>0</v>
      </c>
      <c r="E41" s="125">
        <f t="shared" si="6"/>
        <v>0</v>
      </c>
      <c r="F41" s="173"/>
      <c r="G41" s="173"/>
      <c r="H41" s="173"/>
      <c r="I41" s="104">
        <f t="shared" si="7"/>
        <v>0</v>
      </c>
      <c r="N41" s="479" t="s">
        <v>60</v>
      </c>
      <c r="O41" s="479"/>
      <c r="P41" s="483">
        <f t="shared" si="8"/>
        <v>0</v>
      </c>
      <c r="Q41" s="483"/>
      <c r="R41" s="483"/>
      <c r="S41" s="483"/>
      <c r="T41" s="483"/>
      <c r="U41" s="101">
        <f t="shared" si="9"/>
        <v>0</v>
      </c>
    </row>
    <row r="42" spans="1:21" hidden="1" x14ac:dyDescent="0.25">
      <c r="A42" s="453" t="s">
        <v>52</v>
      </c>
      <c r="B42" s="453"/>
      <c r="C42" s="171">
        <v>0</v>
      </c>
      <c r="D42" s="171">
        <v>0</v>
      </c>
      <c r="E42" s="177">
        <f t="shared" si="6"/>
        <v>0</v>
      </c>
      <c r="F42" s="173"/>
      <c r="G42" s="173"/>
      <c r="H42" s="173"/>
      <c r="I42" s="97">
        <f t="shared" si="7"/>
        <v>0</v>
      </c>
      <c r="N42" s="482" t="s">
        <v>52</v>
      </c>
      <c r="O42" s="482"/>
      <c r="P42" s="483">
        <f t="shared" si="8"/>
        <v>0</v>
      </c>
      <c r="Q42" s="483"/>
      <c r="R42" s="483"/>
      <c r="S42" s="483"/>
      <c r="T42" s="483"/>
      <c r="U42" s="101">
        <f t="shared" si="9"/>
        <v>0</v>
      </c>
    </row>
    <row r="43" spans="1:21" hidden="1" x14ac:dyDescent="0.25">
      <c r="A43" s="3"/>
      <c r="B43" s="55" t="s">
        <v>126</v>
      </c>
      <c r="C43" s="100">
        <f>SUM(C37:C42)</f>
        <v>0</v>
      </c>
      <c r="D43" s="100">
        <f>SUM(D37:D42)</f>
        <v>0</v>
      </c>
      <c r="E43" s="100">
        <f>SUM(E37:E42)</f>
        <v>0</v>
      </c>
      <c r="F43" s="33"/>
      <c r="G43" s="109"/>
      <c r="H43" s="110" t="s">
        <v>128</v>
      </c>
      <c r="I43" s="100">
        <f>SUM(I37:I42)</f>
        <v>0</v>
      </c>
      <c r="N43" s="480" t="s">
        <v>54</v>
      </c>
      <c r="O43" s="480"/>
      <c r="P43" s="480"/>
      <c r="Q43" s="480"/>
      <c r="R43" s="34">
        <f>SUM(P37:R42)</f>
        <v>0</v>
      </c>
      <c r="S43" s="508" t="s">
        <v>64</v>
      </c>
      <c r="T43" s="508"/>
      <c r="U43" s="106">
        <f>SUM(U37:U42)</f>
        <v>0</v>
      </c>
    </row>
    <row r="44" spans="1:21" ht="16.5" hidden="1" thickBot="1" x14ac:dyDescent="0.3">
      <c r="A44" s="3"/>
      <c r="B44" s="55"/>
      <c r="C44" s="104"/>
      <c r="D44" s="104"/>
      <c r="E44" s="119"/>
      <c r="F44" s="33"/>
      <c r="G44" s="109"/>
      <c r="H44" s="110"/>
      <c r="I44" s="104"/>
      <c r="N44" s="29"/>
      <c r="O44" s="29"/>
      <c r="P44" s="29"/>
      <c r="Q44" s="29"/>
      <c r="R44" s="34"/>
      <c r="S44" s="31"/>
      <c r="T44" s="31"/>
      <c r="U44" s="106"/>
    </row>
    <row r="45" spans="1:21" ht="16.5" hidden="1" thickBot="1" x14ac:dyDescent="0.3">
      <c r="A45" s="3"/>
      <c r="B45" s="55" t="s">
        <v>127</v>
      </c>
      <c r="E45" s="174">
        <f>H29+E43</f>
        <v>81.150000000000006</v>
      </c>
      <c r="F45" s="35"/>
      <c r="G45" s="109"/>
      <c r="H45" s="110" t="s">
        <v>129</v>
      </c>
      <c r="I45" s="97">
        <f>SUM(I43,I29)</f>
        <v>388572.82999999996</v>
      </c>
      <c r="N45" s="480" t="s">
        <v>55</v>
      </c>
      <c r="O45" s="480"/>
      <c r="P45" s="480"/>
      <c r="Q45" s="480"/>
      <c r="R45" s="36">
        <f>R43+T29</f>
        <v>0</v>
      </c>
      <c r="S45" s="508" t="s">
        <v>53</v>
      </c>
      <c r="T45" s="508"/>
      <c r="U45" s="111">
        <f>SUM(U43,U29)</f>
        <v>0</v>
      </c>
    </row>
    <row r="46" spans="1:21" hidden="1" x14ac:dyDescent="0.25">
      <c r="A46" s="27"/>
      <c r="B46" s="27"/>
      <c r="C46" s="27"/>
      <c r="D46" s="27"/>
      <c r="E46" s="27"/>
      <c r="F46" s="35"/>
      <c r="G46" s="28"/>
      <c r="H46" s="28"/>
      <c r="I46" s="104"/>
      <c r="N46" s="29"/>
      <c r="O46" s="29"/>
      <c r="P46" s="29"/>
      <c r="Q46" s="29"/>
      <c r="R46" s="36"/>
      <c r="S46" s="31"/>
      <c r="T46" s="31"/>
      <c r="U46" s="106"/>
    </row>
    <row r="47" spans="1:21" x14ac:dyDescent="0.25">
      <c r="A47" s="27"/>
      <c r="B47" s="55" t="s">
        <v>370</v>
      </c>
      <c r="C47" s="372" t="s">
        <v>370</v>
      </c>
      <c r="D47" s="372" t="s">
        <v>370</v>
      </c>
      <c r="E47" s="27"/>
      <c r="F47" s="35"/>
      <c r="G47" s="28"/>
      <c r="H47" s="28"/>
      <c r="I47" s="104"/>
      <c r="N47" s="29"/>
      <c r="O47" s="29"/>
      <c r="P47" s="29"/>
      <c r="Q47" s="29"/>
      <c r="R47" s="36"/>
      <c r="S47" s="31"/>
      <c r="T47" s="31"/>
      <c r="U47" s="106"/>
    </row>
    <row r="48" spans="1:21" x14ac:dyDescent="0.25">
      <c r="A48" s="27"/>
      <c r="B48" s="27"/>
      <c r="C48" s="91" t="s">
        <v>463</v>
      </c>
      <c r="D48" s="371" t="s">
        <v>464</v>
      </c>
      <c r="E48" s="92" t="s">
        <v>8</v>
      </c>
      <c r="F48" s="49" t="s">
        <v>130</v>
      </c>
      <c r="G48" s="112" t="s">
        <v>132</v>
      </c>
      <c r="H48" s="113" t="s">
        <v>133</v>
      </c>
      <c r="I48" s="104"/>
      <c r="N48" s="29"/>
      <c r="O48" s="29"/>
      <c r="P48" s="29"/>
      <c r="Q48" s="29"/>
      <c r="R48" s="36"/>
      <c r="S48" s="31"/>
      <c r="T48" s="31"/>
      <c r="U48" s="106"/>
    </row>
    <row r="49" spans="1:21" x14ac:dyDescent="0.25">
      <c r="A49" s="37" t="s">
        <v>87</v>
      </c>
      <c r="B49" s="37"/>
      <c r="C49" s="362" t="s">
        <v>2</v>
      </c>
      <c r="D49" s="362" t="s">
        <v>2</v>
      </c>
      <c r="E49" s="362" t="s">
        <v>2</v>
      </c>
      <c r="F49" s="95" t="s">
        <v>131</v>
      </c>
      <c r="G49" s="62" t="s">
        <v>131</v>
      </c>
      <c r="H49" s="114" t="s">
        <v>134</v>
      </c>
      <c r="I49" s="37"/>
      <c r="N49" s="482" t="s">
        <v>87</v>
      </c>
      <c r="O49" s="482"/>
      <c r="P49" s="503" t="s">
        <v>2</v>
      </c>
      <c r="Q49" s="503"/>
      <c r="R49" s="38" t="s">
        <v>25</v>
      </c>
      <c r="S49" s="63" t="s">
        <v>26</v>
      </c>
      <c r="T49" s="115" t="s">
        <v>27</v>
      </c>
      <c r="U49" s="38"/>
    </row>
    <row r="50" spans="1:21" x14ac:dyDescent="0.25">
      <c r="A50" s="459" t="s">
        <v>98</v>
      </c>
      <c r="B50" s="459"/>
      <c r="C50" s="165">
        <v>0</v>
      </c>
      <c r="D50" s="165">
        <v>0</v>
      </c>
      <c r="E50" s="125">
        <f>IF(D$59=0,C50*2,C50+D50)</f>
        <v>0</v>
      </c>
      <c r="F50" s="39" t="s">
        <v>21</v>
      </c>
      <c r="G50" s="39">
        <v>251</v>
      </c>
      <c r="H50" s="321">
        <f>'0664'!H50</f>
        <v>1047</v>
      </c>
      <c r="I50" s="104">
        <f>ROUND(E50*H50,2)</f>
        <v>0</v>
      </c>
      <c r="N50" s="504" t="s">
        <v>28</v>
      </c>
      <c r="O50" s="504"/>
      <c r="P50" s="505"/>
      <c r="Q50" s="505"/>
      <c r="R50" s="40" t="s">
        <v>21</v>
      </c>
      <c r="S50" s="40">
        <v>251</v>
      </c>
      <c r="T50" s="117">
        <f>H50</f>
        <v>1047</v>
      </c>
      <c r="U50" s="118">
        <f>ROUND(P50*T50,0)</f>
        <v>0</v>
      </c>
    </row>
    <row r="51" spans="1:21" x14ac:dyDescent="0.25">
      <c r="A51" s="460"/>
      <c r="B51" s="460"/>
      <c r="C51" s="165">
        <v>0</v>
      </c>
      <c r="D51" s="165">
        <v>0</v>
      </c>
      <c r="E51" s="125">
        <f t="shared" ref="E51:E58" si="10">IF(D$59=0,C51*2,C51+D51)</f>
        <v>0</v>
      </c>
      <c r="F51" s="39" t="s">
        <v>21</v>
      </c>
      <c r="G51" s="39">
        <v>252</v>
      </c>
      <c r="H51" s="321">
        <f>'0664'!H51</f>
        <v>3380</v>
      </c>
      <c r="I51" s="104">
        <f t="shared" ref="I51:I58" si="11">ROUND(E51*H51,2)</f>
        <v>0</v>
      </c>
      <c r="N51" s="504"/>
      <c r="O51" s="504"/>
      <c r="P51" s="506"/>
      <c r="Q51" s="506"/>
      <c r="R51" s="40" t="s">
        <v>21</v>
      </c>
      <c r="S51" s="40">
        <v>252</v>
      </c>
      <c r="T51" s="117">
        <f t="shared" ref="T51:T58" si="12">H51</f>
        <v>3380</v>
      </c>
      <c r="U51" s="118">
        <f t="shared" ref="U51:U58" si="13">ROUND(P51*T51,0)</f>
        <v>0</v>
      </c>
    </row>
    <row r="52" spans="1:21" x14ac:dyDescent="0.25">
      <c r="A52" s="460"/>
      <c r="B52" s="460"/>
      <c r="C52" s="165">
        <v>0</v>
      </c>
      <c r="D52" s="165">
        <v>0</v>
      </c>
      <c r="E52" s="125">
        <f t="shared" si="10"/>
        <v>0</v>
      </c>
      <c r="F52" s="39" t="s">
        <v>21</v>
      </c>
      <c r="G52" s="39">
        <v>253</v>
      </c>
      <c r="H52" s="321">
        <f>'0664'!H52</f>
        <v>6896</v>
      </c>
      <c r="I52" s="104">
        <f t="shared" si="11"/>
        <v>0</v>
      </c>
      <c r="N52" s="504"/>
      <c r="O52" s="504"/>
      <c r="P52" s="506"/>
      <c r="Q52" s="506"/>
      <c r="R52" s="40" t="s">
        <v>21</v>
      </c>
      <c r="S52" s="40">
        <v>253</v>
      </c>
      <c r="T52" s="117">
        <f t="shared" si="12"/>
        <v>6896</v>
      </c>
      <c r="U52" s="118">
        <f t="shared" si="13"/>
        <v>0</v>
      </c>
    </row>
    <row r="53" spans="1:21" x14ac:dyDescent="0.25">
      <c r="A53" s="460"/>
      <c r="B53" s="460"/>
      <c r="C53" s="165">
        <v>5.93</v>
      </c>
      <c r="D53" s="165">
        <v>6.22</v>
      </c>
      <c r="E53" s="125">
        <f t="shared" si="10"/>
        <v>12.149999999999999</v>
      </c>
      <c r="F53" s="41" t="s">
        <v>14</v>
      </c>
      <c r="G53" s="39">
        <v>251</v>
      </c>
      <c r="H53" s="321">
        <f>'0664'!H53</f>
        <v>1173</v>
      </c>
      <c r="I53" s="104">
        <f t="shared" si="11"/>
        <v>14251.95</v>
      </c>
      <c r="N53" s="504"/>
      <c r="O53" s="504"/>
      <c r="P53" s="506"/>
      <c r="Q53" s="506"/>
      <c r="R53" s="42" t="s">
        <v>14</v>
      </c>
      <c r="S53" s="40">
        <v>251</v>
      </c>
      <c r="T53" s="117">
        <f t="shared" si="12"/>
        <v>1173</v>
      </c>
      <c r="U53" s="118">
        <f t="shared" si="13"/>
        <v>0</v>
      </c>
    </row>
    <row r="54" spans="1:21" x14ac:dyDescent="0.25">
      <c r="A54" s="460"/>
      <c r="B54" s="460"/>
      <c r="C54" s="165">
        <v>1.01</v>
      </c>
      <c r="D54" s="165">
        <v>1.06</v>
      </c>
      <c r="E54" s="125">
        <f t="shared" si="10"/>
        <v>2.0700000000000003</v>
      </c>
      <c r="F54" s="41" t="s">
        <v>14</v>
      </c>
      <c r="G54" s="39">
        <v>252</v>
      </c>
      <c r="H54" s="321">
        <f>'0664'!H54</f>
        <v>3506</v>
      </c>
      <c r="I54" s="104">
        <f t="shared" si="11"/>
        <v>7257.42</v>
      </c>
      <c r="N54" s="504"/>
      <c r="O54" s="504"/>
      <c r="P54" s="506"/>
      <c r="Q54" s="506"/>
      <c r="R54" s="42" t="s">
        <v>14</v>
      </c>
      <c r="S54" s="40">
        <v>252</v>
      </c>
      <c r="T54" s="117">
        <f t="shared" si="12"/>
        <v>3506</v>
      </c>
      <c r="U54" s="118">
        <f t="shared" si="13"/>
        <v>0</v>
      </c>
    </row>
    <row r="55" spans="1:21" x14ac:dyDescent="0.25">
      <c r="A55" s="460"/>
      <c r="B55" s="460"/>
      <c r="C55" s="165">
        <v>0</v>
      </c>
      <c r="D55" s="165">
        <v>0</v>
      </c>
      <c r="E55" s="125">
        <f t="shared" si="10"/>
        <v>0</v>
      </c>
      <c r="F55" s="41" t="s">
        <v>14</v>
      </c>
      <c r="G55" s="39">
        <v>253</v>
      </c>
      <c r="H55" s="321">
        <f>'0664'!H55</f>
        <v>7023</v>
      </c>
      <c r="I55" s="104">
        <f t="shared" si="11"/>
        <v>0</v>
      </c>
      <c r="N55" s="504"/>
      <c r="O55" s="504"/>
      <c r="P55" s="506"/>
      <c r="Q55" s="506"/>
      <c r="R55" s="42" t="s">
        <v>14</v>
      </c>
      <c r="S55" s="40">
        <v>253</v>
      </c>
      <c r="T55" s="117">
        <f t="shared" si="12"/>
        <v>7023</v>
      </c>
      <c r="U55" s="118">
        <f t="shared" si="13"/>
        <v>0</v>
      </c>
    </row>
    <row r="56" spans="1:21" x14ac:dyDescent="0.25">
      <c r="A56" s="460"/>
      <c r="B56" s="460"/>
      <c r="C56" s="165">
        <v>0</v>
      </c>
      <c r="D56" s="165">
        <v>0</v>
      </c>
      <c r="E56" s="125">
        <f t="shared" si="10"/>
        <v>0</v>
      </c>
      <c r="F56" s="41" t="s">
        <v>15</v>
      </c>
      <c r="G56" s="39">
        <v>251</v>
      </c>
      <c r="H56" s="321">
        <f>'0664'!H56</f>
        <v>835</v>
      </c>
      <c r="I56" s="104">
        <f t="shared" si="11"/>
        <v>0</v>
      </c>
      <c r="N56" s="504"/>
      <c r="O56" s="504"/>
      <c r="P56" s="506"/>
      <c r="Q56" s="506"/>
      <c r="R56" s="42" t="s">
        <v>15</v>
      </c>
      <c r="S56" s="40">
        <v>251</v>
      </c>
      <c r="T56" s="117">
        <f t="shared" si="12"/>
        <v>835</v>
      </c>
      <c r="U56" s="118">
        <f t="shared" si="13"/>
        <v>0</v>
      </c>
    </row>
    <row r="57" spans="1:21" x14ac:dyDescent="0.25">
      <c r="A57" s="460"/>
      <c r="B57" s="460"/>
      <c r="C57" s="165">
        <v>0</v>
      </c>
      <c r="D57" s="165">
        <v>0</v>
      </c>
      <c r="E57" s="125">
        <f t="shared" si="10"/>
        <v>0</v>
      </c>
      <c r="F57" s="41" t="s">
        <v>15</v>
      </c>
      <c r="G57" s="39">
        <v>252</v>
      </c>
      <c r="H57" s="321">
        <f>'0664'!H57</f>
        <v>3168</v>
      </c>
      <c r="I57" s="104">
        <f t="shared" si="11"/>
        <v>0</v>
      </c>
      <c r="N57" s="504"/>
      <c r="O57" s="504"/>
      <c r="P57" s="506"/>
      <c r="Q57" s="506"/>
      <c r="R57" s="42" t="s">
        <v>15</v>
      </c>
      <c r="S57" s="40">
        <v>252</v>
      </c>
      <c r="T57" s="117">
        <f t="shared" si="12"/>
        <v>3168</v>
      </c>
      <c r="U57" s="118">
        <f t="shared" si="13"/>
        <v>0</v>
      </c>
    </row>
    <row r="58" spans="1:21" ht="16.5" thickBot="1" x14ac:dyDescent="0.3">
      <c r="A58" s="460"/>
      <c r="B58" s="460"/>
      <c r="C58" s="165">
        <v>0</v>
      </c>
      <c r="D58" s="165">
        <v>0</v>
      </c>
      <c r="E58" s="125">
        <f t="shared" si="10"/>
        <v>0</v>
      </c>
      <c r="F58" s="41" t="s">
        <v>15</v>
      </c>
      <c r="G58" s="39">
        <v>253</v>
      </c>
      <c r="H58" s="321">
        <f>'0664'!H58</f>
        <v>6685</v>
      </c>
      <c r="I58" s="104">
        <f t="shared" si="11"/>
        <v>0</v>
      </c>
      <c r="N58" s="504"/>
      <c r="O58" s="504"/>
      <c r="P58" s="507"/>
      <c r="Q58" s="507"/>
      <c r="R58" s="42" t="s">
        <v>15</v>
      </c>
      <c r="S58" s="40">
        <v>253</v>
      </c>
      <c r="T58" s="117">
        <f t="shared" si="12"/>
        <v>6685</v>
      </c>
      <c r="U58" s="120">
        <f t="shared" si="13"/>
        <v>0</v>
      </c>
    </row>
    <row r="59" spans="1:21" ht="16.5" thickBot="1" x14ac:dyDescent="0.3">
      <c r="A59" s="461" t="s">
        <v>16</v>
      </c>
      <c r="B59" s="461"/>
      <c r="C59" s="100">
        <f>SUM(C50:C58)</f>
        <v>6.9399999999999995</v>
      </c>
      <c r="D59" s="100">
        <f>SUM(D50:D58)</f>
        <v>7.2799999999999994</v>
      </c>
      <c r="E59" s="100">
        <f>SUM(E50:E58)</f>
        <v>14.219999999999999</v>
      </c>
      <c r="F59" s="461" t="s">
        <v>77</v>
      </c>
      <c r="G59" s="461"/>
      <c r="H59" s="461"/>
      <c r="I59" s="100">
        <f>SUM(I50:I58)</f>
        <v>21509.370000000003</v>
      </c>
      <c r="N59" s="480" t="s">
        <v>16</v>
      </c>
      <c r="O59" s="480"/>
      <c r="P59" s="502">
        <f>SUM(P50:P58)</f>
        <v>0</v>
      </c>
      <c r="Q59" s="502"/>
      <c r="R59" s="480" t="s">
        <v>77</v>
      </c>
      <c r="S59" s="480"/>
      <c r="T59" s="480"/>
      <c r="U59" s="111">
        <f>SUM(U50:U58)</f>
        <v>0</v>
      </c>
    </row>
    <row r="60" spans="1:21" x14ac:dyDescent="0.25">
      <c r="A60" s="462"/>
      <c r="B60" s="462"/>
      <c r="C60" s="462"/>
      <c r="D60" s="462"/>
      <c r="E60" s="462"/>
      <c r="F60" s="462"/>
      <c r="G60" s="462"/>
      <c r="H60" s="462"/>
      <c r="I60" s="462"/>
      <c r="N60" s="484"/>
      <c r="O60" s="484"/>
      <c r="P60" s="484"/>
      <c r="Q60" s="484"/>
      <c r="R60" s="484"/>
      <c r="S60" s="484"/>
      <c r="T60" s="484"/>
      <c r="U60" s="484"/>
    </row>
    <row r="61" spans="1:21" x14ac:dyDescent="0.25">
      <c r="A61" s="463" t="s">
        <v>136</v>
      </c>
      <c r="B61" s="453"/>
      <c r="C61" s="453"/>
      <c r="D61" s="453"/>
      <c r="E61" s="453"/>
      <c r="F61" s="453"/>
      <c r="G61" s="453"/>
      <c r="H61" s="453"/>
      <c r="I61" s="453"/>
      <c r="N61" s="479" t="s">
        <v>88</v>
      </c>
      <c r="O61" s="479"/>
      <c r="P61" s="479"/>
      <c r="Q61" s="479"/>
      <c r="R61" s="479"/>
      <c r="S61" s="479"/>
      <c r="T61" s="479"/>
      <c r="U61" s="479"/>
    </row>
    <row r="62" spans="1:21" x14ac:dyDescent="0.25">
      <c r="A62" s="463" t="s">
        <v>138</v>
      </c>
      <c r="B62" s="453"/>
      <c r="C62" s="121">
        <f>E29</f>
        <v>81.150000000000006</v>
      </c>
      <c r="D62" s="464" t="s">
        <v>135</v>
      </c>
      <c r="E62" s="464"/>
      <c r="F62" s="464"/>
      <c r="G62" s="464"/>
      <c r="H62" s="335">
        <f>'0664'!H62</f>
        <v>193340.76</v>
      </c>
      <c r="I62" s="122"/>
      <c r="N62" s="478" t="s">
        <v>312</v>
      </c>
      <c r="O62" s="479"/>
      <c r="P62" s="43">
        <f>P29</f>
        <v>0</v>
      </c>
      <c r="Q62" s="498" t="s">
        <v>78</v>
      </c>
      <c r="R62" s="498"/>
      <c r="S62" s="498"/>
      <c r="T62" s="497">
        <f>H62</f>
        <v>193340.76</v>
      </c>
      <c r="U62" s="497"/>
    </row>
    <row r="63" spans="1:21" x14ac:dyDescent="0.25">
      <c r="B63" s="72"/>
      <c r="G63" s="44" t="s">
        <v>13</v>
      </c>
      <c r="H63" s="123">
        <f>ROUND(C62/H62,6)</f>
        <v>4.2000000000000002E-4</v>
      </c>
      <c r="I63" s="124"/>
      <c r="N63" s="479" t="s">
        <v>19</v>
      </c>
      <c r="O63" s="479"/>
      <c r="P63" s="479"/>
      <c r="Q63" s="479"/>
      <c r="R63" s="479"/>
      <c r="S63" s="479"/>
      <c r="T63" s="501">
        <f>ROUND(P62/T62,6)</f>
        <v>0</v>
      </c>
      <c r="U63" s="501"/>
    </row>
    <row r="64" spans="1:21" x14ac:dyDescent="0.25">
      <c r="A64" s="463" t="s">
        <v>137</v>
      </c>
      <c r="B64" s="453"/>
      <c r="C64" s="453"/>
      <c r="D64" s="453"/>
      <c r="E64" s="453"/>
      <c r="F64" s="453"/>
      <c r="G64" s="453"/>
      <c r="H64" s="453"/>
      <c r="I64" s="453"/>
      <c r="N64" s="479" t="s">
        <v>89</v>
      </c>
      <c r="O64" s="479"/>
      <c r="P64" s="479"/>
      <c r="Q64" s="479"/>
      <c r="R64" s="479"/>
      <c r="S64" s="479"/>
      <c r="T64" s="479"/>
      <c r="U64" s="479"/>
    </row>
    <row r="65" spans="1:21" x14ac:dyDescent="0.25">
      <c r="A65" s="463" t="s">
        <v>139</v>
      </c>
      <c r="B65" s="453"/>
      <c r="C65" s="121">
        <f>E45</f>
        <v>81.150000000000006</v>
      </c>
      <c r="D65" s="464" t="s">
        <v>140</v>
      </c>
      <c r="E65" s="464"/>
      <c r="F65" s="464"/>
      <c r="G65" s="464"/>
      <c r="H65" s="336">
        <f>'0664'!H65</f>
        <v>216845.88</v>
      </c>
      <c r="I65" s="125"/>
      <c r="N65" s="479" t="s">
        <v>80</v>
      </c>
      <c r="O65" s="479"/>
      <c r="P65" s="43">
        <f>R45</f>
        <v>0</v>
      </c>
      <c r="Q65" s="498" t="s">
        <v>79</v>
      </c>
      <c r="R65" s="498"/>
      <c r="S65" s="498"/>
      <c r="T65" s="497">
        <f>H65</f>
        <v>216845.88</v>
      </c>
      <c r="U65" s="497"/>
    </row>
    <row r="66" spans="1:21" s="37" customFormat="1" x14ac:dyDescent="0.25">
      <c r="A66" s="126"/>
      <c r="G66" s="45" t="s">
        <v>13</v>
      </c>
      <c r="H66" s="127">
        <f>ROUND(C65/H65,6)</f>
        <v>3.7399999999999998E-4</v>
      </c>
      <c r="I66" s="127"/>
      <c r="N66" s="482" t="s">
        <v>20</v>
      </c>
      <c r="O66" s="482"/>
      <c r="P66" s="482"/>
      <c r="Q66" s="482"/>
      <c r="R66" s="482"/>
      <c r="S66" s="482"/>
      <c r="T66" s="500">
        <f>ROUND(P65/T65,6)</f>
        <v>0</v>
      </c>
      <c r="U66" s="500"/>
    </row>
    <row r="67" spans="1:21" x14ac:dyDescent="0.25">
      <c r="G67" s="44"/>
      <c r="H67" s="123"/>
      <c r="I67" s="123"/>
      <c r="N67" s="48"/>
      <c r="O67" s="48"/>
      <c r="P67" s="48"/>
      <c r="Q67" s="48"/>
      <c r="R67" s="128"/>
      <c r="S67" s="48"/>
      <c r="T67" s="129"/>
      <c r="U67" s="130"/>
    </row>
    <row r="68" spans="1:21" x14ac:dyDescent="0.25">
      <c r="A68" s="453" t="s">
        <v>85</v>
      </c>
      <c r="B68" s="453"/>
      <c r="C68" s="453"/>
      <c r="D68" s="72"/>
      <c r="E68" s="46" t="s">
        <v>3</v>
      </c>
      <c r="F68" s="337">
        <f>'0664'!F68</f>
        <v>42465042</v>
      </c>
      <c r="G68" s="39" t="s">
        <v>6</v>
      </c>
      <c r="H68" s="131">
        <f>H63</f>
        <v>4.2000000000000002E-4</v>
      </c>
      <c r="I68" s="104">
        <f>ROUND(F68*H68,2)</f>
        <v>17835.32</v>
      </c>
      <c r="N68" s="479" t="s">
        <v>85</v>
      </c>
      <c r="O68" s="479"/>
      <c r="P68" s="479"/>
      <c r="Q68" s="47"/>
      <c r="R68" s="132">
        <f>F68</f>
        <v>42465042</v>
      </c>
      <c r="S68" s="40" t="s">
        <v>6</v>
      </c>
      <c r="T68" s="133">
        <f>T63</f>
        <v>0</v>
      </c>
      <c r="U68" s="99">
        <f>ROUND(R68*T68,0)</f>
        <v>0</v>
      </c>
    </row>
    <row r="69" spans="1:21" x14ac:dyDescent="0.25">
      <c r="A69" s="458" t="s">
        <v>96</v>
      </c>
      <c r="B69" s="453"/>
      <c r="C69" s="453"/>
      <c r="D69" s="72"/>
      <c r="E69" s="46"/>
      <c r="F69" s="136"/>
      <c r="G69" s="39"/>
      <c r="H69" s="131"/>
      <c r="I69" s="104"/>
      <c r="N69" s="479" t="s">
        <v>84</v>
      </c>
      <c r="O69" s="479"/>
      <c r="P69" s="479"/>
      <c r="Q69" s="54"/>
      <c r="R69" s="54"/>
      <c r="S69" s="54"/>
      <c r="T69" s="54"/>
      <c r="U69" s="54"/>
    </row>
    <row r="70" spans="1:21" x14ac:dyDescent="0.25">
      <c r="A70" s="465" t="s">
        <v>141</v>
      </c>
      <c r="B70" s="453"/>
      <c r="C70" s="453"/>
      <c r="D70" s="72"/>
      <c r="E70" s="46" t="s">
        <v>3</v>
      </c>
      <c r="F70" s="337">
        <f>'0664'!F70</f>
        <v>0</v>
      </c>
      <c r="G70" s="39" t="s">
        <v>6</v>
      </c>
      <c r="H70" s="131">
        <f>H63</f>
        <v>4.2000000000000002E-4</v>
      </c>
      <c r="I70" s="104">
        <f>ROUND(F70*H70,2)</f>
        <v>0</v>
      </c>
      <c r="N70" s="48"/>
      <c r="O70" s="48"/>
      <c r="P70" s="48"/>
      <c r="Q70" s="47"/>
      <c r="R70" s="132">
        <f>F70</f>
        <v>0</v>
      </c>
      <c r="S70" s="40" t="s">
        <v>6</v>
      </c>
      <c r="T70" s="133">
        <f>T63</f>
        <v>0</v>
      </c>
      <c r="U70" s="99">
        <f>ROUND(R70*T70,0)</f>
        <v>0</v>
      </c>
    </row>
    <row r="71" spans="1:21" x14ac:dyDescent="0.25">
      <c r="A71" s="463" t="s">
        <v>433</v>
      </c>
      <c r="B71" s="453"/>
      <c r="C71" s="453"/>
      <c r="D71" s="72"/>
      <c r="E71" s="46" t="s">
        <v>3</v>
      </c>
      <c r="F71" s="337">
        <f>'0664'!F71</f>
        <v>13414654</v>
      </c>
      <c r="G71" s="39" t="s">
        <v>6</v>
      </c>
      <c r="H71" s="131">
        <f>H63</f>
        <v>4.2000000000000002E-4</v>
      </c>
      <c r="I71" s="104">
        <f>ROUND(F71*H71,2)</f>
        <v>5634.15</v>
      </c>
      <c r="N71" s="479" t="s">
        <v>83</v>
      </c>
      <c r="O71" s="479"/>
      <c r="P71" s="479"/>
      <c r="Q71" s="47"/>
      <c r="R71" s="132">
        <f>F71</f>
        <v>13414654</v>
      </c>
      <c r="S71" s="40" t="s">
        <v>6</v>
      </c>
      <c r="T71" s="133">
        <f>T63</f>
        <v>0</v>
      </c>
      <c r="U71" s="99">
        <f>ROUND(R71*T71,0)</f>
        <v>0</v>
      </c>
    </row>
    <row r="72" spans="1:21" x14ac:dyDescent="0.25">
      <c r="A72" s="463" t="s">
        <v>434</v>
      </c>
      <c r="B72" s="453"/>
      <c r="C72" s="453"/>
      <c r="D72" s="72"/>
      <c r="E72" s="46" t="s">
        <v>3</v>
      </c>
      <c r="F72" s="337">
        <f>'0664'!F72</f>
        <v>14708421</v>
      </c>
      <c r="G72" s="39" t="s">
        <v>6</v>
      </c>
      <c r="H72" s="131">
        <f>H63</f>
        <v>4.2000000000000002E-4</v>
      </c>
      <c r="I72" s="104">
        <f>ROUND(F72*H72,2)</f>
        <v>6177.54</v>
      </c>
      <c r="N72" s="479" t="s">
        <v>82</v>
      </c>
      <c r="O72" s="479"/>
      <c r="P72" s="479"/>
      <c r="Q72" s="47"/>
      <c r="R72" s="134">
        <f>F72</f>
        <v>14708421</v>
      </c>
      <c r="S72" s="40" t="s">
        <v>6</v>
      </c>
      <c r="T72" s="133">
        <f>T63</f>
        <v>0</v>
      </c>
      <c r="U72" s="99">
        <f>ROUND(R72*T72,0)</f>
        <v>0</v>
      </c>
    </row>
    <row r="73" spans="1:21" x14ac:dyDescent="0.25">
      <c r="A73" s="263" t="s">
        <v>99</v>
      </c>
      <c r="D73" s="72"/>
      <c r="E73" s="41" t="s">
        <v>353</v>
      </c>
      <c r="F73" s="466"/>
      <c r="G73" s="466"/>
      <c r="H73" s="466"/>
      <c r="I73" s="104">
        <v>0</v>
      </c>
      <c r="N73" s="499" t="s">
        <v>118</v>
      </c>
      <c r="O73" s="499"/>
      <c r="P73" s="499"/>
      <c r="Q73" s="499"/>
      <c r="R73" s="499"/>
      <c r="S73" s="499"/>
      <c r="T73" s="499"/>
      <c r="U73" s="99">
        <f>IF($H$120=1,I73,0)</f>
        <v>0</v>
      </c>
    </row>
    <row r="74" spans="1:21" x14ac:dyDescent="0.25">
      <c r="A74" s="264" t="s">
        <v>142</v>
      </c>
      <c r="I74" s="104"/>
      <c r="N74" s="499" t="s">
        <v>43</v>
      </c>
      <c r="O74" s="499"/>
      <c r="P74" s="499"/>
      <c r="Q74" s="499"/>
      <c r="R74" s="499"/>
      <c r="S74" s="499"/>
      <c r="T74" s="499"/>
      <c r="U74" s="99">
        <f>IF($H$120=1,I74,0)</f>
        <v>0</v>
      </c>
    </row>
    <row r="75" spans="1:21" x14ac:dyDescent="0.25">
      <c r="A75" s="324" t="s">
        <v>101</v>
      </c>
      <c r="B75" s="72"/>
      <c r="C75" s="72"/>
      <c r="D75" s="72"/>
      <c r="E75" s="72"/>
      <c r="F75" s="72"/>
      <c r="G75" s="72"/>
      <c r="H75" s="72"/>
      <c r="I75" s="135"/>
      <c r="N75" s="382" t="s">
        <v>44</v>
      </c>
      <c r="O75" s="48"/>
      <c r="P75" s="48"/>
      <c r="Q75" s="48"/>
      <c r="R75" s="48"/>
      <c r="S75" s="48"/>
      <c r="T75" s="48"/>
      <c r="U75" s="106"/>
    </row>
    <row r="76" spans="1:21" x14ac:dyDescent="0.25">
      <c r="A76" s="463" t="s">
        <v>435</v>
      </c>
      <c r="B76" s="453"/>
      <c r="C76" s="453"/>
      <c r="D76" s="72"/>
      <c r="E76" s="46" t="s">
        <v>3</v>
      </c>
      <c r="F76" s="337">
        <f>'0664'!F76</f>
        <v>8720092</v>
      </c>
      <c r="G76" s="39" t="s">
        <v>6</v>
      </c>
      <c r="H76" s="131">
        <f>H63</f>
        <v>4.2000000000000002E-4</v>
      </c>
      <c r="I76" s="104">
        <f t="shared" ref="I76:I85" si="14">ROUND(F76*H76,2)</f>
        <v>3662.44</v>
      </c>
      <c r="N76" s="478" t="s">
        <v>366</v>
      </c>
      <c r="O76" s="479"/>
      <c r="P76" s="479"/>
      <c r="Q76" s="47"/>
      <c r="R76" s="134">
        <f t="shared" ref="R76:R85" si="15">F76</f>
        <v>8720092</v>
      </c>
      <c r="S76" s="40" t="s">
        <v>6</v>
      </c>
      <c r="T76" s="133">
        <f>T63</f>
        <v>0</v>
      </c>
      <c r="U76" s="99">
        <f t="shared" ref="U76:U85" si="16">ROUND(R76*T76,0)</f>
        <v>0</v>
      </c>
    </row>
    <row r="77" spans="1:21" x14ac:dyDescent="0.25">
      <c r="A77" s="463" t="s">
        <v>436</v>
      </c>
      <c r="B77" s="453"/>
      <c r="C77" s="453"/>
      <c r="D77" s="72"/>
      <c r="E77" s="46" t="s">
        <v>3</v>
      </c>
      <c r="F77" s="337">
        <f>'0664'!F77</f>
        <v>0</v>
      </c>
      <c r="G77" s="39" t="s">
        <v>6</v>
      </c>
      <c r="H77" s="131">
        <f>H63</f>
        <v>4.2000000000000002E-4</v>
      </c>
      <c r="I77" s="104">
        <f t="shared" si="14"/>
        <v>0</v>
      </c>
      <c r="N77" s="479" t="s">
        <v>367</v>
      </c>
      <c r="O77" s="479"/>
      <c r="P77" s="479"/>
      <c r="Q77" s="47"/>
      <c r="R77" s="134">
        <f t="shared" si="15"/>
        <v>0</v>
      </c>
      <c r="S77" s="40" t="s">
        <v>6</v>
      </c>
      <c r="T77" s="133">
        <f>T63</f>
        <v>0</v>
      </c>
      <c r="U77" s="99">
        <f t="shared" si="16"/>
        <v>0</v>
      </c>
    </row>
    <row r="78" spans="1:21" x14ac:dyDescent="0.25">
      <c r="A78" s="463" t="s">
        <v>437</v>
      </c>
      <c r="B78" s="453"/>
      <c r="C78" s="453"/>
      <c r="D78" s="72"/>
      <c r="E78" s="46" t="s">
        <v>4</v>
      </c>
      <c r="F78" s="337">
        <f>'0664'!F78</f>
        <v>0</v>
      </c>
      <c r="G78" s="39" t="s">
        <v>6</v>
      </c>
      <c r="H78" s="131">
        <f>H66</f>
        <v>3.7399999999999998E-4</v>
      </c>
      <c r="I78" s="104">
        <f t="shared" si="14"/>
        <v>0</v>
      </c>
      <c r="N78" s="478" t="s">
        <v>392</v>
      </c>
      <c r="O78" s="479"/>
      <c r="P78" s="479"/>
      <c r="Q78" s="47"/>
      <c r="R78" s="134">
        <f t="shared" si="15"/>
        <v>0</v>
      </c>
      <c r="S78" s="40" t="s">
        <v>6</v>
      </c>
      <c r="T78" s="133">
        <f>T66</f>
        <v>0</v>
      </c>
      <c r="U78" s="99">
        <f t="shared" si="16"/>
        <v>0</v>
      </c>
    </row>
    <row r="79" spans="1:21" x14ac:dyDescent="0.25">
      <c r="A79" s="463" t="s">
        <v>438</v>
      </c>
      <c r="B79" s="453"/>
      <c r="C79" s="453"/>
      <c r="D79" s="72"/>
      <c r="E79" s="46" t="s">
        <v>4</v>
      </c>
      <c r="F79" s="337">
        <f>'0664'!F79</f>
        <v>11278687</v>
      </c>
      <c r="G79" s="39" t="s">
        <v>6</v>
      </c>
      <c r="H79" s="131">
        <f>H66</f>
        <v>3.7399999999999998E-4</v>
      </c>
      <c r="I79" s="104">
        <f t="shared" si="14"/>
        <v>4218.2299999999996</v>
      </c>
      <c r="N79" s="478" t="s">
        <v>393</v>
      </c>
      <c r="O79" s="479"/>
      <c r="P79" s="479"/>
      <c r="Q79" s="47"/>
      <c r="R79" s="134">
        <f t="shared" si="15"/>
        <v>11278687</v>
      </c>
      <c r="S79" s="40" t="s">
        <v>6</v>
      </c>
      <c r="T79" s="133">
        <f>T66</f>
        <v>0</v>
      </c>
      <c r="U79" s="99">
        <f t="shared" si="16"/>
        <v>0</v>
      </c>
    </row>
    <row r="80" spans="1:21" x14ac:dyDescent="0.25">
      <c r="A80" s="463" t="s">
        <v>439</v>
      </c>
      <c r="B80" s="453"/>
      <c r="C80" s="453"/>
      <c r="D80" s="72"/>
      <c r="E80" s="46" t="s">
        <v>4</v>
      </c>
      <c r="F80" s="337">
        <f>'0664'!F80</f>
        <v>206284749</v>
      </c>
      <c r="G80" s="39" t="s">
        <v>6</v>
      </c>
      <c r="H80" s="131">
        <f>H66</f>
        <v>3.7399999999999998E-4</v>
      </c>
      <c r="I80" s="104">
        <f t="shared" si="14"/>
        <v>77150.5</v>
      </c>
      <c r="N80" s="478" t="s">
        <v>397</v>
      </c>
      <c r="O80" s="479"/>
      <c r="P80" s="479"/>
      <c r="Q80" s="47"/>
      <c r="R80" s="134">
        <f t="shared" si="15"/>
        <v>206284749</v>
      </c>
      <c r="S80" s="40" t="s">
        <v>6</v>
      </c>
      <c r="T80" s="133">
        <f>T66</f>
        <v>0</v>
      </c>
      <c r="U80" s="99">
        <f t="shared" si="16"/>
        <v>0</v>
      </c>
    </row>
    <row r="81" spans="1:21" x14ac:dyDescent="0.25">
      <c r="A81" s="84" t="s">
        <v>440</v>
      </c>
      <c r="B81" s="72"/>
      <c r="C81" s="72"/>
      <c r="D81" s="72"/>
      <c r="E81" s="46"/>
      <c r="F81" s="337"/>
      <c r="G81" s="39"/>
      <c r="H81" s="131"/>
      <c r="I81" s="104"/>
      <c r="N81" s="419" t="s">
        <v>440</v>
      </c>
      <c r="O81" s="48"/>
      <c r="P81" s="48"/>
      <c r="Q81" s="47"/>
      <c r="R81" s="423"/>
      <c r="S81" s="40"/>
      <c r="T81" s="133"/>
      <c r="U81" s="120"/>
    </row>
    <row r="82" spans="1:21" x14ac:dyDescent="0.25">
      <c r="A82" s="264" t="s">
        <v>441</v>
      </c>
      <c r="B82" s="72"/>
      <c r="C82" s="72"/>
      <c r="D82" s="72"/>
      <c r="E82" s="46" t="s">
        <v>442</v>
      </c>
      <c r="F82" s="337">
        <f>'0664'!F82</f>
        <v>0</v>
      </c>
      <c r="G82" s="39" t="s">
        <v>6</v>
      </c>
      <c r="H82" s="131">
        <f>H66</f>
        <v>3.7399999999999998E-4</v>
      </c>
      <c r="I82" s="104">
        <v>15428.09</v>
      </c>
      <c r="N82" s="422" t="s">
        <v>441</v>
      </c>
      <c r="O82" s="48"/>
      <c r="P82" s="48"/>
      <c r="Q82" s="47"/>
      <c r="R82" s="134">
        <f t="shared" si="15"/>
        <v>0</v>
      </c>
      <c r="S82" s="40"/>
      <c r="T82" s="133"/>
      <c r="U82" s="99">
        <f t="shared" si="16"/>
        <v>0</v>
      </c>
    </row>
    <row r="83" spans="1:21" x14ac:dyDescent="0.25">
      <c r="A83" s="264" t="s">
        <v>443</v>
      </c>
      <c r="B83" s="72"/>
      <c r="C83" s="72"/>
      <c r="D83" s="72"/>
      <c r="E83" s="46" t="s">
        <v>442</v>
      </c>
      <c r="F83" s="337">
        <f>'0664'!F83</f>
        <v>0</v>
      </c>
      <c r="G83" s="39" t="s">
        <v>6</v>
      </c>
      <c r="H83" s="131">
        <f>H66</f>
        <v>3.7399999999999998E-4</v>
      </c>
      <c r="I83" s="104">
        <v>7012.77</v>
      </c>
      <c r="N83" s="422" t="s">
        <v>443</v>
      </c>
      <c r="O83" s="48"/>
      <c r="P83" s="48"/>
      <c r="Q83" s="47"/>
      <c r="R83" s="134">
        <f t="shared" si="15"/>
        <v>0</v>
      </c>
      <c r="S83" s="40"/>
      <c r="T83" s="133"/>
      <c r="U83" s="99">
        <f t="shared" si="16"/>
        <v>0</v>
      </c>
    </row>
    <row r="84" spans="1:21" x14ac:dyDescent="0.25">
      <c r="A84" s="420" t="s">
        <v>444</v>
      </c>
      <c r="B84" s="72"/>
      <c r="C84" s="72"/>
      <c r="D84" s="72"/>
      <c r="E84" s="46"/>
      <c r="F84" s="337"/>
      <c r="G84" s="39"/>
      <c r="H84" s="131"/>
      <c r="I84" s="104">
        <f>I82+I83</f>
        <v>22440.86</v>
      </c>
      <c r="N84" s="421" t="s">
        <v>444</v>
      </c>
      <c r="O84" s="48"/>
      <c r="P84" s="48"/>
      <c r="Q84" s="47"/>
      <c r="R84" s="423"/>
      <c r="S84" s="40"/>
      <c r="T84" s="133"/>
      <c r="U84" s="99">
        <f>U82+U83</f>
        <v>0</v>
      </c>
    </row>
    <row r="85" spans="1:21" x14ac:dyDescent="0.25">
      <c r="A85" s="463" t="s">
        <v>398</v>
      </c>
      <c r="B85" s="453"/>
      <c r="C85" s="453"/>
      <c r="D85" s="72"/>
      <c r="E85" s="46" t="s">
        <v>4</v>
      </c>
      <c r="F85" s="337">
        <f>'0664'!F85</f>
        <v>0</v>
      </c>
      <c r="G85" s="39" t="s">
        <v>6</v>
      </c>
      <c r="H85" s="131">
        <f>H66</f>
        <v>3.7399999999999998E-4</v>
      </c>
      <c r="I85" s="104">
        <f t="shared" si="14"/>
        <v>0</v>
      </c>
      <c r="N85" s="478" t="s">
        <v>398</v>
      </c>
      <c r="O85" s="479"/>
      <c r="P85" s="479"/>
      <c r="Q85" s="47"/>
      <c r="R85" s="132">
        <f t="shared" si="15"/>
        <v>0</v>
      </c>
      <c r="S85" s="40" t="s">
        <v>6</v>
      </c>
      <c r="T85" s="133">
        <f>T66</f>
        <v>0</v>
      </c>
      <c r="U85" s="99">
        <f t="shared" si="16"/>
        <v>0</v>
      </c>
    </row>
    <row r="86" spans="1:21" x14ac:dyDescent="0.25">
      <c r="B86" s="72"/>
      <c r="C86" s="72"/>
      <c r="D86" s="72"/>
      <c r="E86" s="46"/>
      <c r="F86" s="136"/>
      <c r="G86" s="39"/>
      <c r="H86" s="131"/>
      <c r="I86" s="104"/>
      <c r="N86" s="48"/>
      <c r="O86" s="48"/>
      <c r="P86" s="48"/>
      <c r="Q86" s="47"/>
      <c r="R86" s="137"/>
      <c r="S86" s="40"/>
      <c r="T86" s="133"/>
      <c r="U86" s="106"/>
    </row>
    <row r="87" spans="1:21" x14ac:dyDescent="0.25">
      <c r="A87" s="463" t="s">
        <v>445</v>
      </c>
      <c r="B87" s="453"/>
      <c r="C87" s="453"/>
      <c r="D87" s="453"/>
      <c r="E87" s="453"/>
      <c r="F87" s="453"/>
      <c r="G87" s="453"/>
      <c r="H87" s="453"/>
      <c r="I87" s="453"/>
      <c r="N87" s="478" t="s">
        <v>429</v>
      </c>
      <c r="O87" s="479"/>
      <c r="P87" s="479"/>
      <c r="Q87" s="479"/>
      <c r="R87" s="479"/>
      <c r="S87" s="479"/>
      <c r="T87" s="479"/>
      <c r="U87" s="479"/>
    </row>
    <row r="88" spans="1:21" x14ac:dyDescent="0.25">
      <c r="B88" s="72"/>
      <c r="C88" s="466" t="s">
        <v>73</v>
      </c>
      <c r="D88" s="466"/>
      <c r="E88" s="72"/>
      <c r="F88" s="41" t="s">
        <v>37</v>
      </c>
      <c r="G88" s="72"/>
      <c r="H88" s="72"/>
      <c r="I88" s="72"/>
      <c r="N88" s="48"/>
      <c r="O88" s="48"/>
      <c r="P88" s="48"/>
      <c r="Q88" s="48"/>
      <c r="R88" s="48"/>
      <c r="S88" s="48"/>
      <c r="T88" s="48"/>
      <c r="U88" s="48"/>
    </row>
    <row r="89" spans="1:21" x14ac:dyDescent="0.25">
      <c r="A89" s="3"/>
      <c r="B89" s="138"/>
      <c r="C89" s="462" t="s">
        <v>144</v>
      </c>
      <c r="D89" s="462"/>
      <c r="E89" s="139" t="s">
        <v>150</v>
      </c>
      <c r="F89" s="140" t="s">
        <v>149</v>
      </c>
      <c r="G89" s="141"/>
      <c r="H89" s="141"/>
      <c r="I89" s="141"/>
      <c r="N89" s="495" t="s">
        <v>46</v>
      </c>
      <c r="O89" s="495"/>
      <c r="P89" s="496" t="s">
        <v>119</v>
      </c>
      <c r="Q89" s="496"/>
      <c r="R89" s="497" t="s">
        <v>40</v>
      </c>
      <c r="S89" s="497"/>
      <c r="T89" s="497"/>
      <c r="U89" s="497"/>
    </row>
    <row r="90" spans="1:21" x14ac:dyDescent="0.25">
      <c r="A90" s="27"/>
      <c r="B90" s="55" t="s">
        <v>148</v>
      </c>
      <c r="C90" s="467">
        <f>H13+H14+H19+H22+H25</f>
        <v>0</v>
      </c>
      <c r="D90" s="467"/>
      <c r="E90" s="49">
        <f>H8</f>
        <v>1.0438000000000001</v>
      </c>
      <c r="F90" s="338">
        <f>'0664'!F90</f>
        <v>957.94</v>
      </c>
      <c r="G90" s="41" t="s">
        <v>13</v>
      </c>
      <c r="H90" s="104">
        <f>ROUND(C90*E90*F90,2)</f>
        <v>0</v>
      </c>
      <c r="I90" s="107"/>
      <c r="N90" s="29" t="s">
        <v>22</v>
      </c>
      <c r="O90" s="50">
        <f>T13+T14+T19+T22+T25</f>
        <v>0</v>
      </c>
      <c r="P90" s="490">
        <f>T8</f>
        <v>1.0438000000000001</v>
      </c>
      <c r="Q90" s="490"/>
      <c r="R90" s="51">
        <f>F90</f>
        <v>957.94</v>
      </c>
      <c r="S90" s="42" t="s">
        <v>13</v>
      </c>
      <c r="T90" s="134">
        <f>ROUND(O90*P90*R90,0)</f>
        <v>0</v>
      </c>
      <c r="U90" s="105"/>
    </row>
    <row r="91" spans="1:21" x14ac:dyDescent="0.25">
      <c r="A91" s="52"/>
      <c r="B91" s="52" t="s">
        <v>147</v>
      </c>
      <c r="C91" s="467">
        <f>H15+H16+H20+H23+H26</f>
        <v>81.150000000000006</v>
      </c>
      <c r="D91" s="467"/>
      <c r="E91" s="49">
        <f>H8</f>
        <v>1.0438000000000001</v>
      </c>
      <c r="F91" s="338">
        <f>'0664'!F91</f>
        <v>914.63</v>
      </c>
      <c r="G91" s="41" t="s">
        <v>13</v>
      </c>
      <c r="H91" s="104">
        <f>ROUND(C91*E91*F91,2)</f>
        <v>77473.16</v>
      </c>
      <c r="N91" s="53" t="s">
        <v>14</v>
      </c>
      <c r="O91" s="50">
        <f>T15+T16+T20+T23+T26</f>
        <v>0</v>
      </c>
      <c r="P91" s="490">
        <f>T8</f>
        <v>1.0438000000000001</v>
      </c>
      <c r="Q91" s="490"/>
      <c r="R91" s="51">
        <f>F91</f>
        <v>914.63</v>
      </c>
      <c r="S91" s="42" t="s">
        <v>13</v>
      </c>
      <c r="T91" s="134">
        <f>ROUND(O91*P91*R91,0)</f>
        <v>0</v>
      </c>
      <c r="U91" s="54"/>
    </row>
    <row r="92" spans="1:21" ht="16.5" thickBot="1" x14ac:dyDescent="0.3">
      <c r="A92" s="55"/>
      <c r="B92" s="55" t="s">
        <v>146</v>
      </c>
      <c r="C92" s="467">
        <f>H17+H18+H21+H24+H27+H28</f>
        <v>0</v>
      </c>
      <c r="D92" s="467"/>
      <c r="E92" s="49">
        <f>H8</f>
        <v>1.0438000000000001</v>
      </c>
      <c r="F92" s="338">
        <f>'0664'!F92</f>
        <v>916.84</v>
      </c>
      <c r="G92" s="41" t="s">
        <v>13</v>
      </c>
      <c r="H92" s="97">
        <f>ROUND(C92*E92*F92,2)</f>
        <v>0</v>
      </c>
      <c r="N92" s="56" t="s">
        <v>15</v>
      </c>
      <c r="O92" s="57">
        <f>T17+T18+T21+T24+T27+T28</f>
        <v>0</v>
      </c>
      <c r="P92" s="490">
        <f>T8</f>
        <v>1.0438000000000001</v>
      </c>
      <c r="Q92" s="490"/>
      <c r="R92" s="51">
        <f>F92</f>
        <v>916.84</v>
      </c>
      <c r="S92" s="42" t="s">
        <v>13</v>
      </c>
      <c r="T92" s="134">
        <f>ROUND(O92*P92*R92,0)</f>
        <v>0</v>
      </c>
      <c r="U92" s="54"/>
    </row>
    <row r="93" spans="1:21" ht="16.5" thickBot="1" x14ac:dyDescent="0.3">
      <c r="A93" s="58"/>
      <c r="B93" s="142" t="s">
        <v>145</v>
      </c>
      <c r="C93" s="469">
        <f>SUM(C90:C92)</f>
        <v>81.150000000000006</v>
      </c>
      <c r="D93" s="469"/>
      <c r="E93" s="143"/>
      <c r="F93" s="143"/>
      <c r="G93" s="143"/>
      <c r="H93" s="144" t="s">
        <v>143</v>
      </c>
      <c r="I93" s="104">
        <f>IF(A1=75,0,H92+H91+H90)</f>
        <v>77473.16</v>
      </c>
      <c r="N93" s="59" t="s">
        <v>120</v>
      </c>
      <c r="O93" s="60">
        <f>SUM(O90:O92)</f>
        <v>0</v>
      </c>
      <c r="P93" s="491" t="s">
        <v>18</v>
      </c>
      <c r="Q93" s="492"/>
      <c r="R93" s="492"/>
      <c r="S93" s="492"/>
      <c r="T93" s="492"/>
      <c r="U93" s="99">
        <f>IF(N1=75,0,T92+T91+T90)</f>
        <v>0</v>
      </c>
    </row>
    <row r="94" spans="1:21" ht="16.5" thickTop="1" x14ac:dyDescent="0.25">
      <c r="A94" s="540" t="s">
        <v>90</v>
      </c>
      <c r="B94" s="540"/>
      <c r="C94" s="540"/>
      <c r="D94" s="540"/>
      <c r="E94" s="540"/>
      <c r="F94" s="540"/>
      <c r="G94" s="540"/>
      <c r="H94" s="540"/>
      <c r="I94" s="540"/>
      <c r="N94" s="493" t="s">
        <v>90</v>
      </c>
      <c r="O94" s="493"/>
      <c r="P94" s="493"/>
      <c r="Q94" s="493"/>
      <c r="R94" s="493"/>
      <c r="S94" s="493"/>
      <c r="T94" s="493"/>
      <c r="U94" s="493"/>
    </row>
    <row r="95" spans="1:21" x14ac:dyDescent="0.25">
      <c r="A95" s="145"/>
      <c r="B95" s="145"/>
      <c r="C95" s="145"/>
      <c r="D95" s="145"/>
      <c r="E95" s="145"/>
      <c r="F95" s="145"/>
      <c r="G95" s="145"/>
      <c r="H95" s="145"/>
      <c r="I95" s="145"/>
      <c r="N95" s="146"/>
      <c r="O95" s="146"/>
      <c r="P95" s="146"/>
      <c r="Q95" s="146"/>
      <c r="R95" s="146"/>
      <c r="S95" s="146"/>
      <c r="T95" s="146"/>
      <c r="U95" s="146"/>
    </row>
    <row r="96" spans="1:21" x14ac:dyDescent="0.25">
      <c r="A96" s="84" t="s">
        <v>446</v>
      </c>
      <c r="C96" s="46"/>
      <c r="D96" s="72"/>
      <c r="E96" s="46" t="s">
        <v>100</v>
      </c>
      <c r="F96" s="471"/>
      <c r="G96" s="471"/>
      <c r="H96" s="471"/>
      <c r="I96" s="471"/>
      <c r="N96" s="478" t="s">
        <v>426</v>
      </c>
      <c r="O96" s="479"/>
      <c r="P96" s="479"/>
      <c r="Q96" s="494"/>
      <c r="R96" s="494"/>
      <c r="S96" s="494"/>
      <c r="T96" s="494"/>
      <c r="U96" s="106"/>
    </row>
    <row r="97" spans="1:21" x14ac:dyDescent="0.25">
      <c r="B97" s="72"/>
      <c r="C97" s="91" t="s">
        <v>409</v>
      </c>
      <c r="D97" s="371" t="s">
        <v>410</v>
      </c>
      <c r="E97" s="92" t="s">
        <v>151</v>
      </c>
      <c r="F97" s="46"/>
      <c r="G97" s="46"/>
      <c r="H97" s="46"/>
      <c r="I97" s="46"/>
      <c r="N97" s="48"/>
      <c r="O97" s="48"/>
      <c r="P97" s="48"/>
      <c r="Q97" s="147"/>
      <c r="R97" s="147"/>
      <c r="S97" s="147"/>
      <c r="T97" s="147"/>
      <c r="U97" s="106"/>
    </row>
    <row r="98" spans="1:21" x14ac:dyDescent="0.25">
      <c r="B98" s="72"/>
      <c r="C98" s="362" t="s">
        <v>2</v>
      </c>
      <c r="D98" s="362" t="s">
        <v>2</v>
      </c>
      <c r="E98" s="362" t="s">
        <v>2</v>
      </c>
      <c r="F98" s="46"/>
      <c r="G98" s="46"/>
      <c r="H98" s="46"/>
      <c r="I98" s="46"/>
      <c r="N98" s="48"/>
      <c r="O98" s="48"/>
      <c r="P98" s="48"/>
      <c r="Q98" s="147"/>
      <c r="R98" s="147"/>
      <c r="S98" s="147"/>
      <c r="T98" s="147"/>
      <c r="U98" s="106"/>
    </row>
    <row r="99" spans="1:21" x14ac:dyDescent="0.25">
      <c r="A99" s="536" t="s">
        <v>470</v>
      </c>
      <c r="B99" s="461"/>
      <c r="C99" s="165">
        <v>0</v>
      </c>
      <c r="D99" s="165">
        <v>0</v>
      </c>
      <c r="E99" s="125">
        <f>C99</f>
        <v>0</v>
      </c>
      <c r="F99" s="148" t="s">
        <v>39</v>
      </c>
      <c r="G99" s="339">
        <f>'0664'!G99</f>
        <v>558</v>
      </c>
      <c r="I99" s="104">
        <f>ROUND(G99*E99,2)</f>
        <v>0</v>
      </c>
      <c r="N99" s="488" t="s">
        <v>65</v>
      </c>
      <c r="O99" s="488"/>
      <c r="P99" s="489">
        <f>IF(H120=1,E99,0)</f>
        <v>0</v>
      </c>
      <c r="Q99" s="489"/>
      <c r="R99" s="489"/>
      <c r="S99" s="86" t="s">
        <v>39</v>
      </c>
      <c r="T99" s="61">
        <f>G99</f>
        <v>558</v>
      </c>
      <c r="U99" s="99">
        <f>ROUND(T99*P99,0)</f>
        <v>0</v>
      </c>
    </row>
    <row r="100" spans="1:21" x14ac:dyDescent="0.25">
      <c r="A100" s="536" t="s">
        <v>471</v>
      </c>
      <c r="B100" s="461"/>
      <c r="C100" s="165">
        <v>0</v>
      </c>
      <c r="D100" s="165">
        <v>0</v>
      </c>
      <c r="E100" s="125">
        <f>C100</f>
        <v>0</v>
      </c>
      <c r="F100" s="148" t="s">
        <v>39</v>
      </c>
      <c r="G100" s="339">
        <f>'0664'!G100</f>
        <v>1707</v>
      </c>
      <c r="I100" s="104">
        <f>ROUND(G100*E100,2)</f>
        <v>0</v>
      </c>
      <c r="N100" s="488" t="s">
        <v>81</v>
      </c>
      <c r="O100" s="488"/>
      <c r="P100" s="483"/>
      <c r="Q100" s="483"/>
      <c r="R100" s="483"/>
      <c r="S100" s="86" t="s">
        <v>39</v>
      </c>
      <c r="T100" s="61">
        <f>G100</f>
        <v>1707</v>
      </c>
      <c r="U100" s="99">
        <f>ROUND(T100*P100,0)</f>
        <v>0</v>
      </c>
    </row>
    <row r="101" spans="1:21" x14ac:dyDescent="0.25">
      <c r="A101" s="149"/>
      <c r="B101" s="149"/>
      <c r="C101" s="68"/>
      <c r="D101" s="68"/>
      <c r="E101" s="68"/>
      <c r="F101" s="68"/>
      <c r="G101" s="150"/>
      <c r="H101" s="151"/>
      <c r="I101" s="104"/>
      <c r="N101" s="152"/>
      <c r="O101" s="152"/>
      <c r="P101" s="153"/>
      <c r="Q101" s="153"/>
      <c r="R101" s="153"/>
      <c r="S101" s="86"/>
      <c r="T101" s="61"/>
      <c r="U101" s="106"/>
    </row>
    <row r="102" spans="1:21" x14ac:dyDescent="0.25">
      <c r="A102" s="149"/>
      <c r="B102" s="149"/>
      <c r="C102" s="68"/>
      <c r="D102" s="68"/>
      <c r="E102" s="68"/>
      <c r="F102" s="68"/>
      <c r="G102" s="150"/>
      <c r="H102" s="151"/>
      <c r="I102" s="104"/>
      <c r="N102" s="152"/>
      <c r="O102" s="152"/>
      <c r="P102" s="153"/>
      <c r="Q102" s="153"/>
      <c r="R102" s="153"/>
      <c r="S102" s="86"/>
      <c r="T102" s="61"/>
      <c r="U102" s="106"/>
    </row>
    <row r="103" spans="1:21" hidden="1" x14ac:dyDescent="0.25">
      <c r="A103" s="463" t="s">
        <v>447</v>
      </c>
      <c r="B103" s="453"/>
      <c r="C103" s="453"/>
      <c r="D103" s="72"/>
      <c r="E103" s="41" t="s">
        <v>41</v>
      </c>
      <c r="F103" s="466"/>
      <c r="G103" s="466"/>
      <c r="H103" s="466"/>
      <c r="I103" s="466"/>
      <c r="N103" s="478" t="s">
        <v>362</v>
      </c>
      <c r="O103" s="479"/>
      <c r="P103" s="479"/>
      <c r="Q103" s="479"/>
      <c r="R103" s="479"/>
      <c r="S103" s="479"/>
      <c r="T103" s="479"/>
      <c r="U103" s="479"/>
    </row>
    <row r="104" spans="1:21" hidden="1" x14ac:dyDescent="0.25">
      <c r="B104" s="72"/>
      <c r="C104" s="462" t="s">
        <v>91</v>
      </c>
      <c r="D104" s="462"/>
      <c r="E104" s="462"/>
      <c r="F104" s="39"/>
      <c r="G104" s="39"/>
      <c r="H104" s="41" t="s">
        <v>152</v>
      </c>
      <c r="I104" s="39"/>
      <c r="N104" s="48"/>
      <c r="O104" s="48"/>
      <c r="P104" s="48"/>
      <c r="Q104" s="48"/>
      <c r="R104" s="48"/>
      <c r="S104" s="48"/>
      <c r="T104" s="48"/>
      <c r="U104" s="48"/>
    </row>
    <row r="105" spans="1:21" hidden="1" x14ac:dyDescent="0.25">
      <c r="B105" s="72"/>
      <c r="C105" s="91" t="s">
        <v>371</v>
      </c>
      <c r="D105" s="91" t="s">
        <v>351</v>
      </c>
      <c r="E105" s="159" t="s">
        <v>8</v>
      </c>
      <c r="F105" s="464" t="s">
        <v>153</v>
      </c>
      <c r="G105" s="466"/>
      <c r="H105" s="39" t="s">
        <v>38</v>
      </c>
      <c r="I105" s="39"/>
      <c r="N105" s="48"/>
      <c r="O105" s="48"/>
      <c r="P105" s="48"/>
      <c r="Q105" s="48"/>
      <c r="R105" s="48"/>
      <c r="S105" s="48"/>
      <c r="T105" s="48"/>
      <c r="U105" s="48"/>
    </row>
    <row r="106" spans="1:21" hidden="1" x14ac:dyDescent="0.25">
      <c r="A106" s="462" t="s">
        <v>94</v>
      </c>
      <c r="B106" s="462"/>
      <c r="C106" s="93" t="s">
        <v>2</v>
      </c>
      <c r="D106" s="93" t="s">
        <v>2</v>
      </c>
      <c r="E106" s="62" t="s">
        <v>2</v>
      </c>
      <c r="F106" s="462" t="s">
        <v>37</v>
      </c>
      <c r="G106" s="462"/>
      <c r="H106" s="62" t="s">
        <v>37</v>
      </c>
      <c r="I106" s="62" t="s">
        <v>8</v>
      </c>
      <c r="N106" s="484" t="s">
        <v>66</v>
      </c>
      <c r="O106" s="484"/>
      <c r="P106" s="489" t="s">
        <v>91</v>
      </c>
      <c r="Q106" s="489"/>
      <c r="R106" s="484" t="s">
        <v>67</v>
      </c>
      <c r="S106" s="484"/>
      <c r="T106" s="63" t="s">
        <v>68</v>
      </c>
      <c r="U106" s="63" t="s">
        <v>8</v>
      </c>
    </row>
    <row r="107" spans="1:21" hidden="1" x14ac:dyDescent="0.25">
      <c r="A107" s="473" t="s">
        <v>69</v>
      </c>
      <c r="B107" s="473"/>
      <c r="C107" s="163">
        <v>0</v>
      </c>
      <c r="D107" s="163">
        <v>0</v>
      </c>
      <c r="E107" s="210">
        <f>IF(D$59=0,C107*2,C107+D107)</f>
        <v>0</v>
      </c>
      <c r="F107" s="474">
        <v>0</v>
      </c>
      <c r="G107" s="474"/>
      <c r="H107" s="250">
        <f>IF(C107=0,0,125)</f>
        <v>0</v>
      </c>
      <c r="I107" s="104">
        <f>ROUND((H107+F107)*E107,2)</f>
        <v>0</v>
      </c>
      <c r="N107" s="479" t="s">
        <v>69</v>
      </c>
      <c r="O107" s="479"/>
      <c r="P107" s="483">
        <f>IF(H$120=1,C107,0)</f>
        <v>0</v>
      </c>
      <c r="Q107" s="483"/>
      <c r="R107" s="486">
        <f>F107</f>
        <v>0</v>
      </c>
      <c r="S107" s="486"/>
      <c r="T107" s="65">
        <f>H107</f>
        <v>0</v>
      </c>
      <c r="U107" s="99">
        <f>ROUND((T107+R107)*P107,0)</f>
        <v>0</v>
      </c>
    </row>
    <row r="108" spans="1:21" hidden="1" x14ac:dyDescent="0.25">
      <c r="A108" s="456" t="s">
        <v>70</v>
      </c>
      <c r="B108" s="456"/>
      <c r="C108" s="165">
        <v>0</v>
      </c>
      <c r="D108" s="165">
        <v>0</v>
      </c>
      <c r="E108" s="125">
        <f>IF(D$59=0,C108*2,C108+D108)</f>
        <v>0</v>
      </c>
      <c r="F108" s="468">
        <f>ROUND(F107/2,2)</f>
        <v>0</v>
      </c>
      <c r="G108" s="468"/>
      <c r="H108" s="250">
        <f>IF(C108=0,0,62.5)</f>
        <v>0</v>
      </c>
      <c r="I108" s="104">
        <f>ROUND((H108+F108)*E108,2)</f>
        <v>0</v>
      </c>
      <c r="N108" s="479" t="s">
        <v>70</v>
      </c>
      <c r="O108" s="479"/>
      <c r="P108" s="483">
        <f>IF(H$120=1,C108,0)</f>
        <v>0</v>
      </c>
      <c r="Q108" s="483"/>
      <c r="R108" s="487">
        <f>ROUND(R107/2,2)</f>
        <v>0</v>
      </c>
      <c r="S108" s="487"/>
      <c r="T108" s="65">
        <f>H108</f>
        <v>0</v>
      </c>
      <c r="U108" s="99">
        <f>ROUND((T108+R108)*P108,0)</f>
        <v>0</v>
      </c>
    </row>
    <row r="109" spans="1:21" ht="16.5" hidden="1" thickBot="1" x14ac:dyDescent="0.3">
      <c r="A109" s="456" t="s">
        <v>71</v>
      </c>
      <c r="B109" s="456"/>
      <c r="C109" s="165">
        <v>0</v>
      </c>
      <c r="D109" s="165">
        <v>0</v>
      </c>
      <c r="E109" s="125">
        <f>IF(D$59=0,C109*2,C109+D109)</f>
        <v>0</v>
      </c>
      <c r="F109" s="475"/>
      <c r="G109" s="475"/>
      <c r="H109" s="251">
        <f>IF(H107&gt;0,436,0)</f>
        <v>0</v>
      </c>
      <c r="I109" s="104">
        <f>ROUND(H109*E109,2)</f>
        <v>0</v>
      </c>
      <c r="N109" s="482" t="s">
        <v>71</v>
      </c>
      <c r="O109" s="482"/>
      <c r="P109" s="483">
        <f>IF(H$120=1,C109,0)</f>
        <v>0</v>
      </c>
      <c r="Q109" s="483"/>
      <c r="R109" s="484"/>
      <c r="S109" s="484"/>
      <c r="T109" s="67">
        <f>H109</f>
        <v>0</v>
      </c>
      <c r="U109" s="106">
        <f>ROUND(T109*P109,0)</f>
        <v>0</v>
      </c>
    </row>
    <row r="110" spans="1:21" ht="16.5" hidden="1" thickBot="1" x14ac:dyDescent="0.3">
      <c r="A110" s="466" t="s">
        <v>8</v>
      </c>
      <c r="B110" s="466"/>
      <c r="C110" s="68"/>
      <c r="D110" s="68"/>
      <c r="E110" s="68"/>
      <c r="F110" s="68"/>
      <c r="G110" s="68"/>
      <c r="H110" s="68"/>
      <c r="I110" s="100">
        <f>SUM(I107:I109)</f>
        <v>0</v>
      </c>
      <c r="N110" s="485" t="s">
        <v>8</v>
      </c>
      <c r="O110" s="485"/>
      <c r="P110" s="69"/>
      <c r="Q110" s="69"/>
      <c r="R110" s="69"/>
      <c r="S110" s="69"/>
      <c r="T110" s="69"/>
      <c r="U110" s="70">
        <f>SUM(U107:U109)</f>
        <v>0</v>
      </c>
    </row>
    <row r="111" spans="1:21" hidden="1" x14ac:dyDescent="0.25">
      <c r="A111" s="39"/>
      <c r="B111" s="39"/>
      <c r="C111" s="68"/>
      <c r="D111" s="68"/>
      <c r="E111" s="68"/>
      <c r="F111" s="68"/>
      <c r="G111" s="68"/>
      <c r="H111" s="68"/>
      <c r="I111" s="104"/>
      <c r="N111" s="40"/>
      <c r="O111" s="40"/>
      <c r="P111" s="69"/>
      <c r="Q111" s="69"/>
      <c r="R111" s="69"/>
      <c r="S111" s="69"/>
      <c r="T111" s="69"/>
      <c r="U111" s="160"/>
    </row>
    <row r="112" spans="1:21" x14ac:dyDescent="0.25">
      <c r="A112" s="463" t="s">
        <v>448</v>
      </c>
      <c r="B112" s="453"/>
      <c r="C112" s="453"/>
      <c r="D112" s="72"/>
      <c r="E112" s="71" t="s">
        <v>354</v>
      </c>
      <c r="F112" s="472"/>
      <c r="G112" s="472"/>
      <c r="H112" s="472"/>
      <c r="I112" s="125">
        <v>0</v>
      </c>
      <c r="N112" s="478" t="s">
        <v>427</v>
      </c>
      <c r="O112" s="479"/>
      <c r="P112" s="479"/>
      <c r="Q112" s="341"/>
      <c r="R112" s="341"/>
      <c r="S112" s="341"/>
      <c r="T112" s="341"/>
      <c r="U112" s="99">
        <f>IF($H$120=1,I112,0)</f>
        <v>0</v>
      </c>
    </row>
    <row r="113" spans="1:21" x14ac:dyDescent="0.25">
      <c r="A113" s="463" t="s">
        <v>449</v>
      </c>
      <c r="B113" s="453"/>
      <c r="C113" s="453"/>
      <c r="D113" s="72"/>
      <c r="E113" s="71" t="s">
        <v>45</v>
      </c>
      <c r="F113" s="472"/>
      <c r="G113" s="472"/>
      <c r="H113" s="472"/>
      <c r="I113" s="177">
        <v>0</v>
      </c>
      <c r="N113" s="478" t="s">
        <v>428</v>
      </c>
      <c r="O113" s="479"/>
      <c r="P113" s="479"/>
      <c r="Q113" s="341"/>
      <c r="R113" s="341"/>
      <c r="S113" s="341"/>
      <c r="T113" s="341"/>
      <c r="U113" s="99">
        <f>IF($H$120=1,I113,0)</f>
        <v>0</v>
      </c>
    </row>
    <row r="114" spans="1:21" ht="16.5" thickBot="1" x14ac:dyDescent="0.3">
      <c r="B114" s="72"/>
      <c r="C114" s="72"/>
      <c r="D114" s="72"/>
      <c r="E114" s="71"/>
      <c r="F114" s="71"/>
      <c r="G114" s="71"/>
      <c r="H114" s="71"/>
      <c r="I114" s="125"/>
      <c r="N114" s="480" t="s">
        <v>42</v>
      </c>
      <c r="O114" s="480"/>
      <c r="P114" s="480"/>
      <c r="Q114" s="480"/>
      <c r="R114" s="480"/>
      <c r="S114" s="480"/>
      <c r="T114" s="480"/>
      <c r="U114" s="154">
        <f>SUM(U112,U110,U100,U99,U93,U77,U76,U74,U73,U72,U71,U70,U68,U59,U45,U78,U79,U80,U85,U113)</f>
        <v>0</v>
      </c>
    </row>
    <row r="115" spans="1:21" ht="16.5" thickTop="1" x14ac:dyDescent="0.25">
      <c r="A115" s="461" t="s">
        <v>8</v>
      </c>
      <c r="B115" s="461"/>
      <c r="C115" s="461"/>
      <c r="D115" s="461"/>
      <c r="E115" s="461"/>
      <c r="F115" s="461"/>
      <c r="G115" s="461"/>
      <c r="H115" s="461"/>
      <c r="I115" s="97">
        <f>SUM(I113,I112,I110,I100,I99,I93,I85,I84,I80,I79,I78,I77,I76,I74,I73,I72,I71,I70,I68,I59,I45)</f>
        <v>624674.4</v>
      </c>
      <c r="N115" s="29"/>
      <c r="O115" s="29"/>
      <c r="P115" s="29"/>
      <c r="Q115" s="29"/>
      <c r="R115" s="29"/>
      <c r="S115" s="29"/>
      <c r="T115" s="29"/>
      <c r="U115" s="160"/>
    </row>
    <row r="116" spans="1:21" x14ac:dyDescent="0.25">
      <c r="A116" s="27"/>
      <c r="B116" s="27"/>
      <c r="C116" s="27"/>
      <c r="D116" s="27"/>
      <c r="E116" s="27"/>
      <c r="F116" s="27"/>
      <c r="G116" s="27"/>
      <c r="H116" s="27"/>
      <c r="I116" s="104"/>
      <c r="N116" s="29"/>
      <c r="O116" s="29"/>
      <c r="P116" s="29"/>
      <c r="Q116" s="29"/>
      <c r="R116" s="29"/>
      <c r="S116" s="29"/>
      <c r="T116" s="29"/>
      <c r="U116" s="160"/>
    </row>
    <row r="117" spans="1:21" x14ac:dyDescent="0.25">
      <c r="A117" s="432" t="s">
        <v>467</v>
      </c>
      <c r="B117" s="27"/>
      <c r="C117" s="27"/>
      <c r="D117" s="27"/>
      <c r="E117" s="27"/>
      <c r="F117" s="27"/>
      <c r="G117" s="27"/>
      <c r="H117" s="27"/>
      <c r="I117" s="104">
        <f>I115-I84</f>
        <v>602233.54</v>
      </c>
      <c r="N117" s="29"/>
      <c r="O117" s="29"/>
      <c r="P117" s="29"/>
      <c r="Q117" s="29"/>
      <c r="R117" s="29"/>
      <c r="S117" s="29"/>
      <c r="T117" s="29"/>
      <c r="U117" s="160"/>
    </row>
    <row r="118" spans="1:21" x14ac:dyDescent="0.25">
      <c r="A118" s="27"/>
      <c r="B118" s="27"/>
      <c r="C118" s="27"/>
      <c r="D118" s="27"/>
      <c r="E118" s="27"/>
      <c r="F118" s="27"/>
      <c r="G118" s="27"/>
      <c r="H118" s="27"/>
      <c r="I118" s="104"/>
      <c r="N118" s="29"/>
      <c r="O118" s="29"/>
      <c r="P118" s="29"/>
      <c r="Q118" s="29"/>
      <c r="R118" s="29"/>
      <c r="S118" s="29"/>
      <c r="T118" s="29"/>
      <c r="U118" s="160"/>
    </row>
    <row r="119" spans="1:21" x14ac:dyDescent="0.25">
      <c r="A119" s="463" t="s">
        <v>468</v>
      </c>
      <c r="B119" s="453"/>
      <c r="C119" s="453"/>
      <c r="D119" s="453"/>
      <c r="E119" s="453"/>
      <c r="F119" s="453"/>
      <c r="G119" s="453"/>
      <c r="H119" s="84" t="s">
        <v>394</v>
      </c>
      <c r="I119" s="156"/>
      <c r="N119" s="481"/>
      <c r="O119" s="481"/>
      <c r="P119" s="481"/>
      <c r="Q119" s="481"/>
      <c r="R119" s="481"/>
      <c r="S119" s="481"/>
      <c r="T119" s="481"/>
      <c r="U119" s="481"/>
    </row>
    <row r="120" spans="1:21" x14ac:dyDescent="0.25">
      <c r="A120" s="453" t="s">
        <v>95</v>
      </c>
      <c r="B120" s="453"/>
      <c r="C120" s="453"/>
      <c r="D120" s="453"/>
      <c r="E120" s="453"/>
      <c r="F120" s="453"/>
      <c r="G120" s="453"/>
      <c r="H120" s="73" t="str">
        <f>IF(E29=0,"",IF((E14+E16+SUM(E18:E24))/E29&gt;0.75,1,""))</f>
        <v/>
      </c>
      <c r="I120" s="125">
        <f>U114</f>
        <v>0</v>
      </c>
      <c r="N120" s="476" t="s">
        <v>7</v>
      </c>
      <c r="O120" s="476"/>
      <c r="P120" s="476"/>
      <c r="Q120" s="476"/>
      <c r="R120" s="476"/>
      <c r="S120" s="476"/>
      <c r="T120" s="476"/>
      <c r="U120" s="476"/>
    </row>
    <row r="121" spans="1:21" x14ac:dyDescent="0.25">
      <c r="B121" s="72"/>
      <c r="C121" s="72"/>
      <c r="D121" s="72"/>
      <c r="E121" s="72"/>
      <c r="F121" s="72"/>
      <c r="G121" s="72"/>
      <c r="H121" s="68"/>
      <c r="I121" s="104"/>
      <c r="N121" s="74" t="s">
        <v>106</v>
      </c>
      <c r="O121" s="74"/>
      <c r="P121" s="74"/>
      <c r="Q121" s="74"/>
      <c r="R121" s="74"/>
      <c r="S121" s="74"/>
      <c r="T121" s="74"/>
      <c r="U121" s="74"/>
    </row>
    <row r="122" spans="1:21" x14ac:dyDescent="0.25">
      <c r="A122" s="3" t="s">
        <v>102</v>
      </c>
      <c r="B122" s="72"/>
      <c r="C122" s="72"/>
      <c r="D122" s="72"/>
      <c r="E122" s="72"/>
      <c r="F122" s="72"/>
      <c r="G122" s="287" t="s">
        <v>290</v>
      </c>
      <c r="H122" s="161">
        <f>IF(H120=1,I120,I117)</f>
        <v>602233.54</v>
      </c>
      <c r="I122" s="97">
        <f>ROUND(IF(E29=0,0,IF(E29&gt;250,-(((250/E29)*H122)*IF(G122="H",0.02,0.05)),IF(G122="H",-0.02*H122,-0.05*H122))),2)</f>
        <v>-12044.67</v>
      </c>
      <c r="N122" s="75" t="s">
        <v>107</v>
      </c>
      <c r="O122" s="74"/>
      <c r="P122" s="74"/>
      <c r="Q122" s="74"/>
      <c r="R122" s="74"/>
      <c r="S122" s="74"/>
      <c r="T122" s="74"/>
      <c r="U122" s="74"/>
    </row>
    <row r="123" spans="1:21" x14ac:dyDescent="0.25">
      <c r="B123" s="72"/>
      <c r="C123" s="72"/>
      <c r="D123" s="72"/>
      <c r="E123" s="72"/>
      <c r="F123" s="72"/>
      <c r="G123" s="72"/>
      <c r="H123" s="68"/>
      <c r="I123" s="104"/>
      <c r="N123" s="76"/>
      <c r="O123" s="76"/>
      <c r="P123" s="76"/>
      <c r="Q123" s="76"/>
      <c r="R123" s="76"/>
      <c r="S123" s="76"/>
      <c r="T123" s="76"/>
      <c r="U123" s="76"/>
    </row>
    <row r="124" spans="1:21" x14ac:dyDescent="0.25">
      <c r="A124" s="345" t="s">
        <v>103</v>
      </c>
      <c r="B124" s="346"/>
      <c r="C124" s="346"/>
      <c r="D124" s="346"/>
      <c r="E124" s="346"/>
      <c r="F124" s="346"/>
      <c r="G124" s="346"/>
      <c r="H124" s="347"/>
      <c r="I124" s="348">
        <f>I115+I122</f>
        <v>612629.73</v>
      </c>
      <c r="N124" s="76"/>
      <c r="O124" s="76"/>
      <c r="P124" s="76"/>
      <c r="Q124" s="76"/>
      <c r="R124" s="76"/>
      <c r="S124" s="76"/>
      <c r="T124" s="76"/>
      <c r="U124" s="76"/>
    </row>
    <row r="125" spans="1:21" x14ac:dyDescent="0.25">
      <c r="B125" s="72"/>
      <c r="C125" s="72"/>
      <c r="D125" s="72"/>
      <c r="E125" s="72"/>
      <c r="F125" s="72"/>
      <c r="G125" s="72"/>
      <c r="H125" s="68"/>
      <c r="I125" s="104"/>
      <c r="N125" s="76"/>
      <c r="O125" s="76"/>
      <c r="P125" s="76"/>
      <c r="Q125" s="76"/>
      <c r="R125" s="76"/>
      <c r="S125" s="76"/>
      <c r="T125" s="76"/>
      <c r="U125" s="76"/>
    </row>
    <row r="126" spans="1:21" x14ac:dyDescent="0.25">
      <c r="A126" s="3" t="s">
        <v>104</v>
      </c>
      <c r="B126" s="72"/>
      <c r="C126" s="162"/>
      <c r="D126" s="72"/>
      <c r="F126" s="72"/>
      <c r="G126" s="72"/>
      <c r="H126" s="68"/>
      <c r="I126" s="302">
        <v>-475324.24</v>
      </c>
      <c r="N126" s="76"/>
      <c r="O126" s="76"/>
      <c r="P126" s="76"/>
      <c r="Q126" s="76"/>
      <c r="R126" s="76"/>
      <c r="S126" s="76"/>
      <c r="T126" s="76"/>
      <c r="U126" s="76"/>
    </row>
    <row r="127" spans="1:21" x14ac:dyDescent="0.25">
      <c r="B127" s="72"/>
      <c r="C127" s="72"/>
      <c r="D127" s="72"/>
      <c r="E127" s="72"/>
      <c r="F127" s="72"/>
      <c r="G127" s="72"/>
      <c r="H127" s="68"/>
      <c r="I127" s="104"/>
      <c r="N127" s="76"/>
      <c r="O127" s="76"/>
      <c r="P127" s="76"/>
      <c r="Q127" s="76"/>
      <c r="R127" s="76"/>
      <c r="S127" s="76"/>
      <c r="T127" s="76"/>
      <c r="U127" s="76"/>
    </row>
    <row r="128" spans="1:21" x14ac:dyDescent="0.25">
      <c r="A128" s="84" t="s">
        <v>297</v>
      </c>
      <c r="B128" s="72"/>
      <c r="C128" s="72"/>
      <c r="D128" s="72"/>
      <c r="E128" s="72"/>
      <c r="F128" s="72"/>
      <c r="G128" s="72"/>
      <c r="H128" s="68"/>
      <c r="I128" s="104">
        <f>I124+I126</f>
        <v>137305.49</v>
      </c>
      <c r="N128" s="76"/>
      <c r="O128" s="76"/>
      <c r="P128" s="76"/>
      <c r="Q128" s="76"/>
      <c r="R128" s="76"/>
      <c r="S128" s="76"/>
      <c r="T128" s="76"/>
      <c r="U128" s="76"/>
    </row>
    <row r="129" spans="1:21" x14ac:dyDescent="0.25">
      <c r="A129" s="84"/>
      <c r="B129" s="72"/>
      <c r="C129" s="72"/>
      <c r="D129" s="72"/>
      <c r="E129" s="72"/>
      <c r="F129" s="72"/>
      <c r="G129" s="72"/>
      <c r="H129" s="68"/>
      <c r="I129" s="104"/>
      <c r="N129" s="76"/>
      <c r="O129" s="76"/>
      <c r="P129" s="76"/>
      <c r="Q129" s="76"/>
      <c r="R129" s="76"/>
      <c r="S129" s="76"/>
      <c r="T129" s="76"/>
      <c r="U129" s="76"/>
    </row>
    <row r="130" spans="1:21" x14ac:dyDescent="0.25">
      <c r="A130" s="84" t="s">
        <v>298</v>
      </c>
      <c r="B130" s="72"/>
      <c r="C130" s="72"/>
      <c r="D130" s="72"/>
      <c r="E130" s="72"/>
      <c r="F130" s="72"/>
      <c r="G130" s="72"/>
      <c r="H130" s="68"/>
      <c r="I130" s="303">
        <f>'0664'!I130</f>
        <v>3</v>
      </c>
      <c r="N130" s="76"/>
      <c r="O130" s="76"/>
      <c r="P130" s="76"/>
      <c r="Q130" s="76"/>
      <c r="R130" s="76"/>
      <c r="S130" s="76"/>
      <c r="T130" s="76"/>
      <c r="U130" s="76"/>
    </row>
    <row r="131" spans="1:21" x14ac:dyDescent="0.25">
      <c r="B131" s="72"/>
      <c r="C131" s="72"/>
      <c r="D131" s="72"/>
      <c r="E131" s="72"/>
      <c r="F131" s="72"/>
      <c r="G131" s="72"/>
      <c r="H131" s="68"/>
      <c r="I131" s="104"/>
      <c r="N131" s="76"/>
      <c r="O131" s="76"/>
      <c r="P131" s="76"/>
      <c r="Q131" s="76"/>
      <c r="R131" s="76"/>
      <c r="S131" s="76"/>
      <c r="T131" s="76"/>
      <c r="U131" s="76"/>
    </row>
    <row r="132" spans="1:21" ht="16.5" thickBot="1" x14ac:dyDescent="0.3">
      <c r="A132" s="3" t="s">
        <v>105</v>
      </c>
      <c r="B132" s="72"/>
      <c r="C132" s="72"/>
      <c r="D132" s="72"/>
      <c r="E132" s="72"/>
      <c r="F132" s="72"/>
      <c r="G132" s="72"/>
      <c r="H132" s="68"/>
      <c r="I132" s="178">
        <f>ROUND(I128/I130,2)</f>
        <v>45768.5</v>
      </c>
      <c r="N132" s="76"/>
      <c r="O132" s="76"/>
      <c r="P132" s="76"/>
      <c r="Q132" s="76"/>
      <c r="R132" s="76"/>
      <c r="S132" s="76"/>
      <c r="T132" s="76"/>
      <c r="U132" s="76"/>
    </row>
    <row r="133" spans="1:21" ht="16.5" thickTop="1" x14ac:dyDescent="0.25">
      <c r="B133" s="72"/>
      <c r="C133" s="72"/>
      <c r="D133" s="72"/>
      <c r="E133" s="72"/>
      <c r="F133" s="72"/>
      <c r="G133" s="72"/>
      <c r="H133" s="68"/>
      <c r="I133" s="104"/>
      <c r="N133" s="76"/>
      <c r="O133" s="76"/>
      <c r="P133" s="76"/>
      <c r="Q133" s="76"/>
      <c r="R133" s="76"/>
      <c r="S133" s="76"/>
      <c r="T133" s="76"/>
      <c r="U133" s="76"/>
    </row>
    <row r="134" spans="1:21" ht="16.5" thickBot="1" x14ac:dyDescent="0.3">
      <c r="A134" s="3" t="s">
        <v>121</v>
      </c>
      <c r="B134" s="72"/>
      <c r="C134" s="72"/>
      <c r="D134" s="72"/>
      <c r="E134" s="72"/>
      <c r="F134" s="72"/>
      <c r="G134" s="72"/>
      <c r="H134" s="68"/>
      <c r="I134" s="155">
        <f>ROUND(IF(G122="H",(H122*0.02)+I122,(H122*0.05)+I122),2)</f>
        <v>0</v>
      </c>
      <c r="N134" s="76"/>
      <c r="O134" s="76"/>
      <c r="P134" s="76"/>
      <c r="Q134" s="76"/>
      <c r="R134" s="76"/>
      <c r="S134" s="76"/>
      <c r="T134" s="76"/>
      <c r="U134" s="76"/>
    </row>
    <row r="135" spans="1:21" ht="16.5" thickTop="1" x14ac:dyDescent="0.25">
      <c r="B135" s="72"/>
      <c r="C135" s="72"/>
      <c r="D135" s="72"/>
      <c r="E135" s="72"/>
      <c r="F135" s="72"/>
      <c r="G135" s="72"/>
      <c r="H135" s="68"/>
      <c r="I135" s="156"/>
      <c r="N135" s="76"/>
      <c r="O135" s="76"/>
      <c r="P135" s="76"/>
      <c r="Q135" s="76"/>
      <c r="R135" s="76"/>
      <c r="S135" s="76"/>
      <c r="T135" s="76"/>
      <c r="U135" s="76"/>
    </row>
    <row r="136" spans="1:21" x14ac:dyDescent="0.25">
      <c r="B136" s="72"/>
      <c r="C136" s="72"/>
      <c r="D136" s="72"/>
      <c r="E136" s="72"/>
      <c r="F136" s="72"/>
      <c r="G136" s="72"/>
      <c r="H136" s="68"/>
      <c r="I136" s="104"/>
      <c r="N136" s="76"/>
      <c r="O136" s="76"/>
      <c r="P136" s="76"/>
      <c r="Q136" s="76"/>
      <c r="R136" s="76"/>
      <c r="S136" s="76"/>
      <c r="T136" s="76"/>
      <c r="U136" s="76"/>
    </row>
    <row r="137" spans="1:21" x14ac:dyDescent="0.25">
      <c r="B137" s="72"/>
      <c r="C137" s="72"/>
      <c r="D137" s="72"/>
      <c r="E137" s="72"/>
      <c r="F137" s="72"/>
      <c r="G137" s="72"/>
      <c r="H137" s="68"/>
      <c r="I137" s="156"/>
      <c r="N137" s="76"/>
      <c r="O137" s="76"/>
      <c r="P137" s="76"/>
      <c r="Q137" s="76"/>
      <c r="R137" s="76"/>
      <c r="S137" s="76"/>
      <c r="T137" s="76"/>
      <c r="U137" s="76"/>
    </row>
    <row r="138" spans="1:21" x14ac:dyDescent="0.25">
      <c r="A138" s="281" t="s">
        <v>7</v>
      </c>
      <c r="B138" s="281"/>
      <c r="C138" s="281"/>
      <c r="D138" s="281"/>
      <c r="E138" s="281"/>
      <c r="F138" s="281"/>
      <c r="G138" s="281"/>
      <c r="H138" s="281"/>
      <c r="I138" s="281"/>
      <c r="J138" s="156"/>
      <c r="N138" s="76"/>
      <c r="O138" s="76"/>
      <c r="P138" s="76"/>
      <c r="Q138" s="76"/>
      <c r="R138" s="76"/>
      <c r="S138" s="76"/>
      <c r="T138" s="76"/>
      <c r="U138" s="76"/>
    </row>
    <row r="139" spans="1:21" ht="15.75" customHeight="1" x14ac:dyDescent="0.25">
      <c r="A139" s="356" t="str">
        <f>'0664'!A139</f>
        <v>(a) Additional FTE includes FTE earned through Advanced Placement, International Baccalaureate, Advanced International Certificate of Education, Industry Certified Career</v>
      </c>
      <c r="B139" s="357"/>
      <c r="C139" s="357"/>
      <c r="D139" s="357"/>
      <c r="E139" s="357"/>
      <c r="F139" s="357"/>
      <c r="G139" s="357"/>
      <c r="H139" s="357"/>
      <c r="I139" s="357"/>
      <c r="J139" s="80"/>
      <c r="K139" s="79"/>
      <c r="L139" s="79"/>
      <c r="M139" s="79"/>
      <c r="N139" s="477"/>
      <c r="O139" s="477"/>
      <c r="P139" s="477"/>
      <c r="Q139" s="477"/>
      <c r="R139" s="477"/>
      <c r="S139" s="477"/>
      <c r="T139" s="477"/>
      <c r="U139" s="477"/>
    </row>
    <row r="140" spans="1:21" ht="15.75" customHeight="1" x14ac:dyDescent="0.25">
      <c r="A140" s="390" t="str">
        <f>'0664'!A140</f>
        <v xml:space="preserve">Education (CAPE), Early High School Graduation and the small district ESE Supplement, pursuant to s. 1011.62(1)(l-p), F.S. </v>
      </c>
      <c r="B140" s="357"/>
      <c r="C140" s="357"/>
      <c r="D140" s="357"/>
      <c r="E140" s="357"/>
      <c r="F140" s="357"/>
      <c r="G140" s="357"/>
      <c r="H140" s="357"/>
      <c r="I140" s="357"/>
      <c r="J140" s="80"/>
      <c r="K140" s="79"/>
      <c r="L140" s="79"/>
      <c r="M140" s="79"/>
      <c r="N140" s="76"/>
      <c r="O140" s="76"/>
      <c r="P140" s="76"/>
      <c r="Q140" s="76"/>
      <c r="R140" s="76"/>
      <c r="S140" s="76"/>
      <c r="T140" s="76"/>
      <c r="U140" s="76"/>
    </row>
    <row r="141" spans="1:21" x14ac:dyDescent="0.25">
      <c r="A141" s="356" t="str">
        <f>'0664'!A141</f>
        <v>(b) District allocations multiplied by percentage from item 3A.</v>
      </c>
      <c r="B141" s="281"/>
      <c r="C141" s="281"/>
      <c r="D141" s="281"/>
      <c r="E141" s="281"/>
      <c r="F141" s="281"/>
      <c r="G141" s="281"/>
      <c r="H141" s="281"/>
      <c r="I141" s="281"/>
      <c r="J141" s="79"/>
      <c r="K141" s="79"/>
      <c r="L141" s="79"/>
      <c r="M141" s="79"/>
      <c r="N141" s="81"/>
      <c r="O141" s="82"/>
      <c r="P141" s="82"/>
      <c r="Q141" s="82"/>
      <c r="R141" s="82"/>
      <c r="S141" s="82"/>
      <c r="T141" s="82"/>
      <c r="U141" s="82"/>
    </row>
    <row r="142" spans="1:21" s="79" customFormat="1" x14ac:dyDescent="0.2">
      <c r="A142" s="356" t="str">
        <f>'0664'!A142</f>
        <v>(c) District allocations multiplied by percentage from item 3B.</v>
      </c>
      <c r="B142" s="281"/>
      <c r="C142" s="281"/>
      <c r="D142" s="281"/>
      <c r="E142" s="281"/>
      <c r="F142" s="281"/>
      <c r="G142" s="281"/>
      <c r="H142" s="281"/>
      <c r="I142" s="281"/>
      <c r="N142" s="81"/>
    </row>
    <row r="143" spans="1:21" s="79" customFormat="1" ht="15.75" customHeight="1" x14ac:dyDescent="0.2">
      <c r="A143" s="356" t="str">
        <f>'0664'!A143</f>
        <v>(d) The Digital Classroom Allocation is provided pursuant to s. 1011.62(12), F.S.</v>
      </c>
      <c r="B143" s="281"/>
      <c r="C143" s="281"/>
      <c r="D143" s="281"/>
      <c r="E143" s="281"/>
      <c r="F143" s="281"/>
      <c r="G143" s="281"/>
      <c r="H143" s="281"/>
      <c r="I143" s="281"/>
      <c r="N143" s="81"/>
    </row>
    <row r="144" spans="1:21" s="79" customFormat="1" ht="15.75" customHeight="1" x14ac:dyDescent="0.2">
      <c r="A144" s="356" t="str">
        <f>'0664'!A144</f>
        <v>(e) School districts are required to pay for instructional materials used for the instruction of public high school students who are earning credit toward high school</v>
      </c>
      <c r="B144" s="281"/>
      <c r="C144" s="281"/>
      <c r="D144" s="281"/>
      <c r="E144" s="281"/>
      <c r="F144" s="281"/>
      <c r="G144" s="281"/>
      <c r="H144" s="281"/>
      <c r="I144" s="281"/>
      <c r="N144" s="81"/>
    </row>
    <row r="145" spans="1:14" s="79" customFormat="1" ht="15.75" customHeight="1" x14ac:dyDescent="0.2">
      <c r="A145" s="390" t="str">
        <f>'0664'!A145</f>
        <v xml:space="preserve">graduation under the dual enrollment program as provided in s. 1011.62(l)(i), F.S.  </v>
      </c>
      <c r="B145" s="281"/>
      <c r="C145" s="281"/>
      <c r="D145" s="281"/>
      <c r="E145" s="281"/>
      <c r="F145" s="281"/>
      <c r="G145" s="281"/>
      <c r="H145" s="281"/>
      <c r="I145" s="281"/>
      <c r="N145" s="81"/>
    </row>
    <row r="146" spans="1:14" s="79" customFormat="1" x14ac:dyDescent="0.2">
      <c r="A146" s="356" t="str">
        <f>'0664'!A146</f>
        <v>(f) This allocation will be frozen as of the 2021-22 FEFP Second Calculation and will not be recalculated throughout the year. Charter school allocations should be</v>
      </c>
      <c r="B146" s="281"/>
      <c r="C146" s="281"/>
      <c r="D146" s="281"/>
      <c r="E146" s="281"/>
      <c r="F146" s="281"/>
      <c r="G146" s="281"/>
      <c r="H146" s="281"/>
      <c r="I146" s="281"/>
      <c r="N146" s="81"/>
    </row>
    <row r="147" spans="1:14" s="79" customFormat="1" x14ac:dyDescent="0.2">
      <c r="A147" s="358" t="str">
        <f>'0664'!A147</f>
        <v xml:space="preserve">distributed on weighted FTE (or base funding as is done in the FEFP) and should not be recalculated with fluctuations in student enrollment later in the year. </v>
      </c>
      <c r="B147" s="281"/>
      <c r="C147" s="281"/>
      <c r="D147" s="281"/>
      <c r="E147" s="281"/>
      <c r="F147" s="281"/>
      <c r="G147" s="281"/>
      <c r="H147" s="281"/>
      <c r="I147" s="281"/>
      <c r="N147" s="81"/>
    </row>
    <row r="148" spans="1:14" s="79" customFormat="1" x14ac:dyDescent="0.2">
      <c r="A148" s="356" t="str">
        <f>'0664'!A148</f>
        <v>(g) Numbers entered here will be multiplied by the district level transportation funding per rider. "All Adjusted Fundable Riders" should include both basic and ESE Riders.</v>
      </c>
      <c r="B148" s="281"/>
      <c r="C148" s="281"/>
      <c r="D148" s="281"/>
      <c r="E148" s="281"/>
      <c r="F148" s="281"/>
      <c r="G148" s="281"/>
      <c r="H148" s="281"/>
      <c r="I148" s="281"/>
      <c r="N148" s="81"/>
    </row>
    <row r="149" spans="1:14" s="79" customFormat="1" x14ac:dyDescent="0.2">
      <c r="A149" s="390" t="str">
        <f>'0664'!A149</f>
        <v>"All Adjusted ESE Riders" should include only ESE Riders.</v>
      </c>
      <c r="B149" s="281"/>
      <c r="C149" s="281"/>
      <c r="D149" s="281"/>
      <c r="E149" s="281"/>
      <c r="F149" s="281"/>
      <c r="G149" s="281"/>
      <c r="H149" s="281"/>
      <c r="I149" s="281"/>
      <c r="N149" s="81"/>
    </row>
    <row r="150" spans="1:14" s="79" customFormat="1" x14ac:dyDescent="0.2">
      <c r="A150" s="356" t="str">
        <f>'0664'!A150</f>
        <v xml:space="preserve">(h) The Federally Connected Student Supplement provides additional funding for students on federal lands that receive Section 8003 impact aide pursuant to s. 1011.62(13), F.S. </v>
      </c>
      <c r="B150" s="281"/>
      <c r="C150" s="281"/>
      <c r="D150" s="281"/>
      <c r="E150" s="281"/>
      <c r="F150" s="281"/>
      <c r="G150" s="281"/>
      <c r="H150" s="281"/>
      <c r="I150" s="281"/>
      <c r="N150" s="81"/>
    </row>
    <row r="151" spans="1:14" s="79" customFormat="1" x14ac:dyDescent="0.2">
      <c r="A151" s="356" t="str">
        <f>'0664'!A151</f>
        <v>(i) Teacher Classroom Supply Assistance Program allocation pursuant to s. 1012.71, F.S., for certified teachers employed by a public school district or public charter school</v>
      </c>
      <c r="B151" s="281"/>
      <c r="C151" s="281"/>
      <c r="D151" s="281"/>
      <c r="E151" s="281"/>
      <c r="F151" s="281"/>
      <c r="G151" s="281"/>
      <c r="H151" s="281"/>
      <c r="I151" s="281"/>
      <c r="N151" s="81"/>
    </row>
    <row r="152" spans="1:14" s="79" customFormat="1" x14ac:dyDescent="0.2">
      <c r="A152" s="358" t="str">
        <f>'0664'!A152</f>
        <v xml:space="preserve">before September 1 of each year whose full-time or job-share responsibility is the classroom instruction of students in prekindergarten through grade 12, including </v>
      </c>
      <c r="B152" s="281"/>
      <c r="C152" s="281"/>
      <c r="D152" s="281"/>
      <c r="E152" s="281"/>
      <c r="F152" s="281"/>
      <c r="G152" s="281"/>
      <c r="H152" s="281"/>
      <c r="I152" s="281"/>
      <c r="N152" s="81"/>
    </row>
    <row r="153" spans="1:14" s="79" customFormat="1" ht="15.75" customHeight="1" x14ac:dyDescent="0.2">
      <c r="A153" s="358" t="str">
        <f>'0664'!A153</f>
        <v>full-time media specialists and certified school counselors serving students in prekindergarten through grade 12, who are funded through the FEFP.</v>
      </c>
      <c r="B153" s="281"/>
      <c r="C153" s="281"/>
      <c r="D153" s="281"/>
      <c r="E153" s="281"/>
      <c r="F153" s="281"/>
      <c r="G153" s="281"/>
      <c r="H153" s="281"/>
      <c r="I153" s="281"/>
      <c r="N153" s="81"/>
    </row>
    <row r="154" spans="1:14" s="79" customFormat="1" ht="15.75" customHeight="1" x14ac:dyDescent="0.2">
      <c r="A154" s="356" t="str">
        <f>'0664'!A154</f>
        <v xml:space="preserve">(j) Funding based on student eligibility and meals provided, if participating in the National School Lunch Program. </v>
      </c>
      <c r="B154" s="328"/>
      <c r="C154" s="328"/>
      <c r="D154" s="328"/>
      <c r="E154" s="328"/>
      <c r="F154" s="328"/>
      <c r="G154" s="328"/>
      <c r="H154" s="328"/>
      <c r="I154" s="328"/>
      <c r="N154" s="81"/>
    </row>
    <row r="155" spans="1:14" s="79" customFormat="1" ht="15.75" customHeight="1" x14ac:dyDescent="0.2">
      <c r="A155" s="356" t="str">
        <f>'0664'!A155</f>
        <v>(k) Consistent with s. 1002.33(20)(a), F.S., for charter schools with a population of 75% or more ESE students, the administrative fee shall be calculated based on</v>
      </c>
      <c r="B155" s="381"/>
      <c r="C155" s="381"/>
      <c r="D155" s="381"/>
      <c r="E155" s="381"/>
      <c r="F155" s="381"/>
      <c r="G155" s="381"/>
      <c r="H155" s="381"/>
      <c r="I155" s="381"/>
      <c r="N155" s="81"/>
    </row>
    <row r="156" spans="1:14" s="79" customFormat="1" ht="15.75" customHeight="1" x14ac:dyDescent="0.2">
      <c r="A156" s="390" t="str">
        <f>'0664'!A156</f>
        <v xml:space="preserve">unweighted full-time equivalent students. </v>
      </c>
      <c r="B156" s="381"/>
      <c r="C156" s="381"/>
      <c r="D156" s="381"/>
      <c r="E156" s="381"/>
      <c r="F156" s="381"/>
      <c r="G156" s="381"/>
      <c r="H156" s="381"/>
      <c r="I156" s="381"/>
      <c r="N156" s="81"/>
    </row>
    <row r="157" spans="1:14" s="79" customFormat="1" ht="15.75" customHeight="1" x14ac:dyDescent="0.2">
      <c r="A157" s="356"/>
      <c r="B157" s="381"/>
      <c r="C157" s="381"/>
      <c r="D157" s="381"/>
      <c r="E157" s="381"/>
      <c r="F157" s="381"/>
      <c r="G157" s="381"/>
      <c r="H157" s="381"/>
      <c r="I157" s="381"/>
      <c r="N157" s="81"/>
    </row>
    <row r="158" spans="1:14" s="79" customFormat="1" ht="15.75" customHeight="1" x14ac:dyDescent="0.25">
      <c r="A158" s="398" t="str">
        <f>'0664'!A158</f>
        <v>Administrative fees:</v>
      </c>
      <c r="B158" s="328"/>
      <c r="C158" s="328"/>
      <c r="D158" s="328"/>
      <c r="E158" s="328"/>
      <c r="F158" s="328"/>
      <c r="G158" s="328"/>
      <c r="H158" s="328"/>
      <c r="I158" s="328"/>
      <c r="J158" s="3"/>
      <c r="K158" s="3"/>
      <c r="L158" s="3"/>
      <c r="M158" s="3"/>
      <c r="N158" s="81"/>
    </row>
    <row r="159" spans="1:14" s="79" customFormat="1" ht="15.75" customHeight="1" x14ac:dyDescent="0.25">
      <c r="A159" s="399" t="str">
        <f>'0664'!A159</f>
        <v xml:space="preserve">Administrative fees charged by the school district pursuant to s. 1002.33(20)(a), F.S., shall be calculated based upon 5% of available funds from the FEFP and categorical </v>
      </c>
      <c r="B159" s="328"/>
      <c r="C159" s="328"/>
      <c r="D159" s="328"/>
      <c r="E159" s="328"/>
      <c r="F159" s="328"/>
      <c r="G159" s="328"/>
      <c r="H159" s="328"/>
      <c r="I159" s="328"/>
      <c r="J159" s="3"/>
      <c r="K159" s="3"/>
      <c r="L159" s="3"/>
      <c r="M159" s="3"/>
      <c r="N159" s="81"/>
    </row>
    <row r="160" spans="1:14" s="79" customFormat="1" ht="15.75" customHeight="1" x14ac:dyDescent="0.25">
      <c r="A160" s="400" t="str">
        <f>'0664'!A160</f>
        <v>funding for which charter students may be eligible.  To calculate the administrative fee to be withheld for schools with more than 250 students, divide the school</v>
      </c>
      <c r="B160" s="328"/>
      <c r="C160" s="328"/>
      <c r="D160" s="328"/>
      <c r="E160" s="328"/>
      <c r="F160" s="328"/>
      <c r="G160" s="328"/>
      <c r="H160" s="328"/>
      <c r="I160" s="328"/>
      <c r="J160" s="3"/>
      <c r="K160" s="3"/>
      <c r="L160" s="3"/>
      <c r="M160" s="3"/>
      <c r="N160" s="81"/>
    </row>
    <row r="161" spans="1:21" s="79" customFormat="1" ht="15.75" customHeight="1" x14ac:dyDescent="0.25">
      <c r="A161" s="400" t="str">
        <f>'0664'!A161</f>
        <v xml:space="preserve">population into 250. Multiply that fraction times the funds available, then times 5%.  </v>
      </c>
      <c r="B161" s="328"/>
      <c r="C161" s="328"/>
      <c r="D161" s="328"/>
      <c r="E161" s="328"/>
      <c r="F161" s="328"/>
      <c r="G161" s="328"/>
      <c r="H161" s="328"/>
      <c r="I161" s="328"/>
      <c r="J161" s="3"/>
      <c r="K161" s="3"/>
      <c r="L161" s="3"/>
      <c r="M161" s="3"/>
      <c r="N161" s="81"/>
    </row>
    <row r="162" spans="1:21" s="79" customFormat="1" ht="15.75" customHeight="1" x14ac:dyDescent="0.25">
      <c r="A162" s="399"/>
      <c r="B162" s="394"/>
      <c r="C162" s="394"/>
      <c r="D162" s="394"/>
      <c r="E162" s="394"/>
      <c r="F162" s="394"/>
      <c r="G162" s="394"/>
      <c r="H162" s="394"/>
      <c r="I162" s="394"/>
      <c r="N162" s="77"/>
      <c r="O162" s="3"/>
      <c r="P162" s="3"/>
      <c r="Q162" s="3"/>
      <c r="R162" s="3"/>
      <c r="S162" s="3"/>
      <c r="T162" s="3"/>
      <c r="U162" s="3"/>
    </row>
    <row r="163" spans="1:21" ht="15.75" customHeight="1" x14ac:dyDescent="0.25">
      <c r="A163" s="399" t="str">
        <f>'0664'!A163</f>
        <v xml:space="preserve">For high performing charter schools, administrative fees charged by the school district shall be calculated based upon 2% of available funds from the FEFP and categorical </v>
      </c>
      <c r="B163" s="328"/>
      <c r="C163" s="328"/>
      <c r="D163" s="328"/>
      <c r="E163" s="328"/>
      <c r="F163" s="328"/>
      <c r="G163" s="328"/>
      <c r="H163" s="328"/>
      <c r="I163" s="328"/>
      <c r="J163" s="79"/>
      <c r="K163" s="79"/>
      <c r="L163" s="79"/>
      <c r="M163" s="79"/>
      <c r="N163" s="81"/>
      <c r="O163" s="79"/>
      <c r="P163" s="79"/>
      <c r="Q163" s="79"/>
      <c r="R163" s="79"/>
      <c r="S163" s="79"/>
      <c r="T163" s="79"/>
      <c r="U163" s="79"/>
    </row>
    <row r="164" spans="1:21" ht="15.75" customHeight="1" x14ac:dyDescent="0.25">
      <c r="A164" s="400" t="str">
        <f>'0664'!A164</f>
        <v>funding for which charter students may be eligible.  To calculate the administrative fee to be withheld for schools with more than 250 students, divide the school</v>
      </c>
      <c r="B164" s="381"/>
      <c r="C164" s="381"/>
      <c r="D164" s="381"/>
      <c r="E164" s="381"/>
      <c r="F164" s="381"/>
      <c r="G164" s="381"/>
      <c r="H164" s="381"/>
      <c r="I164" s="381"/>
      <c r="J164" s="79"/>
      <c r="K164" s="79"/>
      <c r="L164" s="79"/>
      <c r="M164" s="79"/>
      <c r="N164" s="81"/>
      <c r="O164" s="79"/>
      <c r="P164" s="79"/>
      <c r="Q164" s="79"/>
      <c r="R164" s="79"/>
      <c r="S164" s="79"/>
      <c r="T164" s="79"/>
      <c r="U164" s="79"/>
    </row>
    <row r="165" spans="1:21" s="79" customFormat="1" ht="15.75" customHeight="1" x14ac:dyDescent="0.2">
      <c r="A165" s="400" t="str">
        <f>'0664'!A165</f>
        <v xml:space="preserve">population into 250. Multiply that fraction times the funds available, then times 2%.  </v>
      </c>
      <c r="B165" s="328"/>
      <c r="C165" s="328"/>
      <c r="D165" s="328"/>
      <c r="E165" s="328"/>
      <c r="F165" s="328"/>
      <c r="G165" s="328"/>
      <c r="H165" s="328"/>
      <c r="I165" s="328"/>
      <c r="N165" s="81"/>
    </row>
    <row r="166" spans="1:21" x14ac:dyDescent="0.25">
      <c r="A166" s="356"/>
      <c r="N166" s="77"/>
    </row>
    <row r="167" spans="1:21" x14ac:dyDescent="0.25">
      <c r="A167" s="398" t="str">
        <f>'0664'!A167</f>
        <v>Other:</v>
      </c>
      <c r="N167" s="77"/>
    </row>
    <row r="168" spans="1:21" x14ac:dyDescent="0.25">
      <c r="A168" s="399" t="str">
        <f>'0664'!A168</f>
        <v>FEFP and categorical funding are recalculated during the year to reflect the revised number of full-time equivalent students reported during the survey periods designated</v>
      </c>
      <c r="N168" s="77"/>
    </row>
    <row r="169" spans="1:21" x14ac:dyDescent="0.25">
      <c r="A169" s="402" t="str">
        <f>'0664'!A169</f>
        <v>by the Commissioner of Education.</v>
      </c>
      <c r="N169" s="77"/>
    </row>
    <row r="170" spans="1:21" x14ac:dyDescent="0.25">
      <c r="A170" s="399" t="str">
        <f>'0664'!A170</f>
        <v>Revenues flow to districts from state sources and from county tax collectors on various distribution schedules.</v>
      </c>
      <c r="N170" s="77"/>
    </row>
    <row r="171" spans="1:21" x14ac:dyDescent="0.25">
      <c r="A171" s="77"/>
      <c r="N171" s="77"/>
    </row>
    <row r="172" spans="1:21" x14ac:dyDescent="0.25">
      <c r="A172" s="77"/>
      <c r="N172" s="77"/>
    </row>
    <row r="173" spans="1:21" x14ac:dyDescent="0.25">
      <c r="A173" s="77"/>
      <c r="N173" s="77"/>
    </row>
    <row r="174" spans="1:21" x14ac:dyDescent="0.25">
      <c r="A174" s="77"/>
      <c r="N174" s="77"/>
    </row>
    <row r="175" spans="1:21" x14ac:dyDescent="0.25">
      <c r="A175" s="77"/>
      <c r="N175" s="77"/>
    </row>
    <row r="176" spans="1:21" x14ac:dyDescent="0.25">
      <c r="A176" s="77"/>
      <c r="N176" s="77"/>
    </row>
    <row r="177" spans="1:14" x14ac:dyDescent="0.25">
      <c r="A177" s="77"/>
      <c r="N177" s="77"/>
    </row>
    <row r="178" spans="1:14" x14ac:dyDescent="0.25">
      <c r="A178" s="77"/>
      <c r="N178" s="77"/>
    </row>
    <row r="179" spans="1:14" x14ac:dyDescent="0.25">
      <c r="A179" s="77"/>
      <c r="N179" s="77"/>
    </row>
    <row r="180" spans="1:14" x14ac:dyDescent="0.25">
      <c r="A180" s="77"/>
      <c r="N180" s="77"/>
    </row>
    <row r="181" spans="1:14" x14ac:dyDescent="0.25">
      <c r="A181" s="77"/>
      <c r="N181" s="77"/>
    </row>
    <row r="182" spans="1:14" x14ac:dyDescent="0.25">
      <c r="A182" s="77"/>
      <c r="N182" s="77"/>
    </row>
    <row r="183" spans="1:14" x14ac:dyDescent="0.25">
      <c r="A183" s="77"/>
      <c r="N183" s="77"/>
    </row>
    <row r="184" spans="1:14" x14ac:dyDescent="0.25">
      <c r="A184" s="77"/>
      <c r="N184" s="77"/>
    </row>
    <row r="185" spans="1:14" x14ac:dyDescent="0.25">
      <c r="A185" s="77"/>
      <c r="N185" s="77"/>
    </row>
    <row r="186" spans="1:14" x14ac:dyDescent="0.25">
      <c r="A186" s="77"/>
      <c r="N186" s="77"/>
    </row>
    <row r="187" spans="1:14" x14ac:dyDescent="0.25">
      <c r="A187" s="77"/>
      <c r="N187" s="77"/>
    </row>
    <row r="188" spans="1:14" x14ac:dyDescent="0.25">
      <c r="A188" s="77"/>
    </row>
    <row r="189" spans="1:14" x14ac:dyDescent="0.25">
      <c r="A189" s="77"/>
    </row>
    <row r="190" spans="1:14" x14ac:dyDescent="0.25">
      <c r="A190" s="77"/>
    </row>
    <row r="191" spans="1:14" x14ac:dyDescent="0.25">
      <c r="A191" s="77"/>
    </row>
    <row r="192" spans="1:14" x14ac:dyDescent="0.25">
      <c r="A192" s="77"/>
    </row>
    <row r="193" spans="1:1" x14ac:dyDescent="0.25">
      <c r="A193" s="77"/>
    </row>
    <row r="194" spans="1:1" x14ac:dyDescent="0.25">
      <c r="A194" s="77"/>
    </row>
    <row r="195" spans="1:1" x14ac:dyDescent="0.25">
      <c r="A195" s="77"/>
    </row>
    <row r="196" spans="1:1" x14ac:dyDescent="0.25">
      <c r="A196" s="77"/>
    </row>
    <row r="197" spans="1:1" x14ac:dyDescent="0.25">
      <c r="A197" s="77"/>
    </row>
    <row r="198" spans="1:1" x14ac:dyDescent="0.25">
      <c r="A198" s="77"/>
    </row>
    <row r="199" spans="1:1" x14ac:dyDescent="0.25">
      <c r="A199" s="77"/>
    </row>
    <row r="200" spans="1:1" x14ac:dyDescent="0.25">
      <c r="A200" s="77"/>
    </row>
    <row r="201" spans="1:1" x14ac:dyDescent="0.25">
      <c r="A201" s="77"/>
    </row>
    <row r="202" spans="1:1" x14ac:dyDescent="0.25">
      <c r="A202" s="77"/>
    </row>
    <row r="203" spans="1:1" x14ac:dyDescent="0.25">
      <c r="A203" s="77"/>
    </row>
    <row r="204" spans="1:1" x14ac:dyDescent="0.25">
      <c r="A204" s="77"/>
    </row>
    <row r="205" spans="1:1" x14ac:dyDescent="0.25">
      <c r="A205" s="77"/>
    </row>
    <row r="206" spans="1:1" x14ac:dyDescent="0.25">
      <c r="A206" s="77"/>
    </row>
  </sheetData>
  <mergeCells count="266">
    <mergeCell ref="A112:C112"/>
    <mergeCell ref="F112:H112"/>
    <mergeCell ref="N112:P112"/>
    <mergeCell ref="A109:B109"/>
    <mergeCell ref="F109:G109"/>
    <mergeCell ref="N109:O109"/>
    <mergeCell ref="P109:Q109"/>
    <mergeCell ref="N139:U139"/>
    <mergeCell ref="N119:U119"/>
    <mergeCell ref="N113:P113"/>
    <mergeCell ref="A113:C113"/>
    <mergeCell ref="F113:H113"/>
    <mergeCell ref="N114:T114"/>
    <mergeCell ref="A115:H115"/>
    <mergeCell ref="A119:G119"/>
    <mergeCell ref="N120:U120"/>
    <mergeCell ref="A120:G120"/>
    <mergeCell ref="R109:S109"/>
    <mergeCell ref="A110:B110"/>
    <mergeCell ref="N110:O110"/>
    <mergeCell ref="A107:B107"/>
    <mergeCell ref="F107:G107"/>
    <mergeCell ref="N107:O107"/>
    <mergeCell ref="P107:Q107"/>
    <mergeCell ref="R107:S107"/>
    <mergeCell ref="A108:B108"/>
    <mergeCell ref="F108:G108"/>
    <mergeCell ref="N108:O108"/>
    <mergeCell ref="P108:Q108"/>
    <mergeCell ref="R108:S108"/>
    <mergeCell ref="A103:C103"/>
    <mergeCell ref="F103:I103"/>
    <mergeCell ref="N103:U103"/>
    <mergeCell ref="C104:E104"/>
    <mergeCell ref="F105:G105"/>
    <mergeCell ref="A106:B106"/>
    <mergeCell ref="F106:G106"/>
    <mergeCell ref="N106:O106"/>
    <mergeCell ref="P106:Q106"/>
    <mergeCell ref="R106:S106"/>
    <mergeCell ref="A99:B99"/>
    <mergeCell ref="N99:O99"/>
    <mergeCell ref="P99:R99"/>
    <mergeCell ref="A100:B100"/>
    <mergeCell ref="N100:O100"/>
    <mergeCell ref="P100:R100"/>
    <mergeCell ref="C91:D91"/>
    <mergeCell ref="P91:Q91"/>
    <mergeCell ref="C92:D92"/>
    <mergeCell ref="P92:Q92"/>
    <mergeCell ref="C93:D93"/>
    <mergeCell ref="P93:T93"/>
    <mergeCell ref="A94:I94"/>
    <mergeCell ref="N94:U94"/>
    <mergeCell ref="F96:I96"/>
    <mergeCell ref="N96:P96"/>
    <mergeCell ref="Q96:T96"/>
    <mergeCell ref="A87:I87"/>
    <mergeCell ref="N87:U87"/>
    <mergeCell ref="C88:D88"/>
    <mergeCell ref="C89:D89"/>
    <mergeCell ref="N89:O89"/>
    <mergeCell ref="P89:Q89"/>
    <mergeCell ref="R89:U89"/>
    <mergeCell ref="C90:D90"/>
    <mergeCell ref="P90:Q90"/>
    <mergeCell ref="A80:C80"/>
    <mergeCell ref="N80:P80"/>
    <mergeCell ref="A85:C85"/>
    <mergeCell ref="N85:P85"/>
    <mergeCell ref="F73:H73"/>
    <mergeCell ref="N73:T73"/>
    <mergeCell ref="N74:T74"/>
    <mergeCell ref="A78:C78"/>
    <mergeCell ref="N78:P78"/>
    <mergeCell ref="A79:C79"/>
    <mergeCell ref="A69:C69"/>
    <mergeCell ref="N69:P69"/>
    <mergeCell ref="N79:P79"/>
    <mergeCell ref="A76:C76"/>
    <mergeCell ref="N76:P76"/>
    <mergeCell ref="A77:C77"/>
    <mergeCell ref="A70:C70"/>
    <mergeCell ref="A71:C71"/>
    <mergeCell ref="N71:P71"/>
    <mergeCell ref="A72:C72"/>
    <mergeCell ref="N77:P77"/>
    <mergeCell ref="N72:P72"/>
    <mergeCell ref="A65:B65"/>
    <mergeCell ref="D65:G65"/>
    <mergeCell ref="N65:O65"/>
    <mergeCell ref="Q65:S65"/>
    <mergeCell ref="T65:U65"/>
    <mergeCell ref="N66:S66"/>
    <mergeCell ref="T66:U66"/>
    <mergeCell ref="A68:C68"/>
    <mergeCell ref="N68:P68"/>
    <mergeCell ref="A62:B62"/>
    <mergeCell ref="D62:G62"/>
    <mergeCell ref="N62:O62"/>
    <mergeCell ref="Q62:S62"/>
    <mergeCell ref="T62:U62"/>
    <mergeCell ref="N63:S63"/>
    <mergeCell ref="T63:U63"/>
    <mergeCell ref="A64:I64"/>
    <mergeCell ref="N64:U64"/>
    <mergeCell ref="A59:B59"/>
    <mergeCell ref="F59:H59"/>
    <mergeCell ref="N59:O59"/>
    <mergeCell ref="P59:Q59"/>
    <mergeCell ref="R59:T59"/>
    <mergeCell ref="A60:I60"/>
    <mergeCell ref="N60:U60"/>
    <mergeCell ref="A61:I61"/>
    <mergeCell ref="N61:U61"/>
    <mergeCell ref="A50:B58"/>
    <mergeCell ref="N50:O58"/>
    <mergeCell ref="P50:Q50"/>
    <mergeCell ref="P51:Q51"/>
    <mergeCell ref="P52:Q52"/>
    <mergeCell ref="P53:Q53"/>
    <mergeCell ref="P54:Q54"/>
    <mergeCell ref="P55:Q55"/>
    <mergeCell ref="P56:Q56"/>
    <mergeCell ref="P57:Q57"/>
    <mergeCell ref="P58:Q58"/>
    <mergeCell ref="A42:B42"/>
    <mergeCell ref="N42:O42"/>
    <mergeCell ref="P42:T42"/>
    <mergeCell ref="N43:Q43"/>
    <mergeCell ref="S43:T43"/>
    <mergeCell ref="N45:Q45"/>
    <mergeCell ref="S45:T45"/>
    <mergeCell ref="N49:O49"/>
    <mergeCell ref="P49:Q49"/>
    <mergeCell ref="A39:B39"/>
    <mergeCell ref="N39:O39"/>
    <mergeCell ref="P39:T39"/>
    <mergeCell ref="A40:B40"/>
    <mergeCell ref="N40:O40"/>
    <mergeCell ref="P40:T40"/>
    <mergeCell ref="A41:B41"/>
    <mergeCell ref="N41:O41"/>
    <mergeCell ref="P41:T41"/>
    <mergeCell ref="N34:T34"/>
    <mergeCell ref="A36:B36"/>
    <mergeCell ref="N36:O36"/>
    <mergeCell ref="P36:T36"/>
    <mergeCell ref="A37:B37"/>
    <mergeCell ref="N37:O37"/>
    <mergeCell ref="P37:T37"/>
    <mergeCell ref="F33:H36"/>
    <mergeCell ref="A38:B38"/>
    <mergeCell ref="N38:O38"/>
    <mergeCell ref="P38:T38"/>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A20:B20"/>
    <mergeCell ref="F20:G20"/>
    <mergeCell ref="N20:O20"/>
    <mergeCell ref="P20:Q20"/>
    <mergeCell ref="R20:S20"/>
    <mergeCell ref="A21:B21"/>
    <mergeCell ref="F21:G21"/>
    <mergeCell ref="N21:O21"/>
    <mergeCell ref="P21:Q21"/>
    <mergeCell ref="R21:S21"/>
    <mergeCell ref="A18:B18"/>
    <mergeCell ref="F18:G18"/>
    <mergeCell ref="N18:O18"/>
    <mergeCell ref="P18:Q18"/>
    <mergeCell ref="R18:S18"/>
    <mergeCell ref="A19:B19"/>
    <mergeCell ref="F19:G19"/>
    <mergeCell ref="N19:O19"/>
    <mergeCell ref="P19:Q19"/>
    <mergeCell ref="R19:S19"/>
    <mergeCell ref="A16:B16"/>
    <mergeCell ref="F16:G16"/>
    <mergeCell ref="N16:O16"/>
    <mergeCell ref="P16:Q16"/>
    <mergeCell ref="R16:S16"/>
    <mergeCell ref="A17:B17"/>
    <mergeCell ref="F17:G17"/>
    <mergeCell ref="N17:O17"/>
    <mergeCell ref="P17:Q17"/>
    <mergeCell ref="R17:S17"/>
    <mergeCell ref="A14:B14"/>
    <mergeCell ref="F14:G14"/>
    <mergeCell ref="N14:O14"/>
    <mergeCell ref="P14:Q14"/>
    <mergeCell ref="R14:S14"/>
    <mergeCell ref="A15:B15"/>
    <mergeCell ref="F15:G15"/>
    <mergeCell ref="N15:O15"/>
    <mergeCell ref="P15:Q15"/>
    <mergeCell ref="R15:S15"/>
    <mergeCell ref="A12:B12"/>
    <mergeCell ref="F12:G12"/>
    <mergeCell ref="N12:O12"/>
    <mergeCell ref="P12:Q12"/>
    <mergeCell ref="R12:S12"/>
    <mergeCell ref="A13:B13"/>
    <mergeCell ref="F13:G13"/>
    <mergeCell ref="N13:O13"/>
    <mergeCell ref="P13:Q13"/>
    <mergeCell ref="R13:S13"/>
    <mergeCell ref="N8:O8"/>
    <mergeCell ref="P8:Q8"/>
    <mergeCell ref="R8:S8"/>
    <mergeCell ref="T8:U8"/>
    <mergeCell ref="F10:G10"/>
    <mergeCell ref="R10:S10"/>
    <mergeCell ref="A11:B11"/>
    <mergeCell ref="F11:G11"/>
    <mergeCell ref="N11:O11"/>
    <mergeCell ref="P11:Q11"/>
    <mergeCell ref="R11:S11"/>
    <mergeCell ref="B1:I1"/>
    <mergeCell ref="O1:U1"/>
    <mergeCell ref="N2:U2"/>
    <mergeCell ref="N3:U3"/>
    <mergeCell ref="A4:B4"/>
    <mergeCell ref="C4:E4"/>
    <mergeCell ref="N4:O4"/>
    <mergeCell ref="P4:Q4"/>
    <mergeCell ref="A7:I7"/>
    <mergeCell ref="N7:U7"/>
  </mergeCells>
  <pageMargins left="0.1" right="0.1" top="0.5" bottom="0.5" header="0" footer="0.1"/>
  <pageSetup scale="70" fitToHeight="3" orientation="portrait" r:id="rId1"/>
  <headerFooter alignWithMargins="0">
    <oddFooter>&amp;R&amp;P of &amp;N</oddFooter>
  </headerFooter>
  <rowBreaks count="1" manualBreakCount="1">
    <brk id="138" max="16383" man="1"/>
  </rowBreaks>
  <colBreaks count="1" manualBreakCount="1">
    <brk id="9" max="1048575" man="1"/>
  </colBreak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CCFFCC"/>
    <pageSetUpPr fitToPage="1"/>
  </sheetPr>
  <dimension ref="A1:U231"/>
  <sheetViews>
    <sheetView showGridLines="0" zoomScaleNormal="100" workbookViewId="0">
      <pane ySplit="1" topLeftCell="A17" activePane="bottomLeft" state="frozen"/>
      <selection activeCell="E78" sqref="E78"/>
      <selection pane="bottomLeft" activeCell="D50" sqref="D50:D58"/>
    </sheetView>
  </sheetViews>
  <sheetFormatPr defaultRowHeight="15.75" x14ac:dyDescent="0.25"/>
  <cols>
    <col min="1" max="1" width="10.28515625" style="72"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72"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5">
        <v>50</v>
      </c>
      <c r="B1" s="441" t="s">
        <v>17</v>
      </c>
      <c r="C1" s="442"/>
      <c r="D1" s="442"/>
      <c r="E1" s="442"/>
      <c r="F1" s="442"/>
      <c r="G1" s="442"/>
      <c r="H1" s="442"/>
      <c r="I1" s="442"/>
      <c r="J1" s="157"/>
      <c r="K1" s="157"/>
      <c r="L1" s="157"/>
      <c r="N1" s="85">
        <f>A1</f>
        <v>50</v>
      </c>
      <c r="O1" s="527" t="s">
        <v>17</v>
      </c>
      <c r="P1" s="528"/>
      <c r="Q1" s="528"/>
      <c r="R1" s="528"/>
      <c r="S1" s="528"/>
      <c r="T1" s="528"/>
      <c r="U1" s="528"/>
    </row>
    <row r="2" spans="1:21" ht="21" x14ac:dyDescent="0.35">
      <c r="A2" s="1" t="s">
        <v>154</v>
      </c>
      <c r="B2" s="2"/>
      <c r="C2" s="2"/>
      <c r="D2" s="2"/>
      <c r="E2" s="2"/>
      <c r="F2" s="2"/>
      <c r="G2" s="2"/>
      <c r="H2" s="2"/>
      <c r="I2" s="2"/>
      <c r="N2" s="529" t="s">
        <v>23</v>
      </c>
      <c r="O2" s="529"/>
      <c r="P2" s="529"/>
      <c r="Q2" s="529"/>
      <c r="R2" s="529"/>
      <c r="S2" s="529"/>
      <c r="T2" s="529"/>
      <c r="U2" s="529"/>
    </row>
    <row r="3" spans="1:21" x14ac:dyDescent="0.25">
      <c r="A3" s="283" t="s">
        <v>465</v>
      </c>
      <c r="N3" s="485" t="str">
        <f>A3</f>
        <v>Based on the FLDOE 2022-23 FEFP Third Calculation</v>
      </c>
      <c r="O3" s="485"/>
      <c r="P3" s="485"/>
      <c r="Q3" s="485"/>
      <c r="R3" s="485"/>
      <c r="S3" s="485"/>
      <c r="T3" s="485"/>
      <c r="U3" s="485"/>
    </row>
    <row r="4" spans="1:21" x14ac:dyDescent="0.25">
      <c r="A4" s="443" t="s">
        <v>0</v>
      </c>
      <c r="B4" s="443"/>
      <c r="C4" s="444" t="s">
        <v>9</v>
      </c>
      <c r="D4" s="444"/>
      <c r="E4" s="444"/>
      <c r="F4" s="351" t="s">
        <v>479</v>
      </c>
      <c r="G4" s="4"/>
      <c r="H4" s="4"/>
      <c r="I4" s="4"/>
      <c r="N4" s="530" t="s">
        <v>0</v>
      </c>
      <c r="O4" s="530"/>
      <c r="P4" s="531" t="str">
        <f>C4</f>
        <v>Palm Beach</v>
      </c>
      <c r="Q4" s="531"/>
      <c r="R4" s="5"/>
      <c r="S4" s="5"/>
      <c r="T4" s="5"/>
      <c r="U4" s="5"/>
    </row>
    <row r="5" spans="1:21" ht="12" customHeight="1" thickBot="1" x14ac:dyDescent="0.3">
      <c r="A5" s="262"/>
      <c r="B5" s="262"/>
      <c r="C5" s="253"/>
      <c r="D5" s="253"/>
      <c r="E5" s="253"/>
      <c r="F5" s="254"/>
      <c r="G5" s="254"/>
      <c r="H5" s="254"/>
      <c r="I5" s="254"/>
      <c r="N5" s="86"/>
      <c r="O5" s="86"/>
      <c r="P5" s="6"/>
      <c r="Q5" s="6"/>
      <c r="R5" s="5"/>
      <c r="S5" s="5"/>
      <c r="T5" s="5"/>
      <c r="U5" s="5"/>
    </row>
    <row r="6" spans="1:21" ht="12" customHeight="1" x14ac:dyDescent="0.25">
      <c r="A6" s="150"/>
      <c r="B6" s="150"/>
      <c r="C6" s="261"/>
      <c r="D6" s="261"/>
      <c r="E6" s="261"/>
      <c r="F6" s="4"/>
      <c r="G6" s="4"/>
      <c r="H6" s="4"/>
      <c r="I6" s="4"/>
      <c r="N6" s="86"/>
      <c r="O6" s="86"/>
      <c r="P6" s="6"/>
      <c r="Q6" s="6"/>
      <c r="R6" s="5"/>
      <c r="S6" s="5"/>
      <c r="T6" s="5"/>
      <c r="U6" s="5"/>
    </row>
    <row r="7" spans="1:21" x14ac:dyDescent="0.25">
      <c r="A7" s="445" t="s">
        <v>466</v>
      </c>
      <c r="B7" s="533"/>
      <c r="C7" s="533"/>
      <c r="D7" s="533"/>
      <c r="E7" s="533"/>
      <c r="F7" s="533"/>
      <c r="G7" s="533"/>
      <c r="H7" s="533"/>
      <c r="I7" s="533"/>
      <c r="N7" s="530" t="s">
        <v>86</v>
      </c>
      <c r="O7" s="530"/>
      <c r="P7" s="530"/>
      <c r="Q7" s="530"/>
      <c r="R7" s="530"/>
      <c r="S7" s="530"/>
      <c r="T7" s="530"/>
      <c r="U7" s="530"/>
    </row>
    <row r="8" spans="1:21" x14ac:dyDescent="0.25">
      <c r="A8" s="87"/>
      <c r="B8" s="88" t="s">
        <v>123</v>
      </c>
      <c r="C8" s="334">
        <v>4587.3999999999996</v>
      </c>
      <c r="D8" s="89"/>
      <c r="E8" s="90"/>
      <c r="F8" s="87"/>
      <c r="G8" s="88" t="s">
        <v>122</v>
      </c>
      <c r="H8" s="320">
        <v>1.0438000000000001</v>
      </c>
      <c r="I8" s="78"/>
      <c r="N8" s="534" t="s">
        <v>10</v>
      </c>
      <c r="O8" s="534"/>
      <c r="P8" s="535">
        <v>4154.45</v>
      </c>
      <c r="Q8" s="535"/>
      <c r="R8" s="518" t="s">
        <v>11</v>
      </c>
      <c r="S8" s="518"/>
      <c r="T8" s="519">
        <f>H8</f>
        <v>1.0438000000000001</v>
      </c>
      <c r="U8" s="519"/>
    </row>
    <row r="9" spans="1:21" x14ac:dyDescent="0.25">
      <c r="A9" s="7"/>
      <c r="B9" s="7" t="s">
        <v>370</v>
      </c>
      <c r="C9" s="8" t="s">
        <v>370</v>
      </c>
      <c r="D9" s="8" t="s">
        <v>370</v>
      </c>
      <c r="E9" s="8"/>
      <c r="F9" s="9"/>
      <c r="G9" s="9"/>
      <c r="H9" s="10"/>
      <c r="I9" s="363" t="s">
        <v>480</v>
      </c>
      <c r="N9" s="12"/>
      <c r="O9" s="12"/>
      <c r="P9" s="13"/>
      <c r="Q9" s="13"/>
      <c r="R9" s="14"/>
      <c r="S9" s="14"/>
      <c r="T9" s="15"/>
      <c r="U9" s="405" t="s">
        <v>405</v>
      </c>
    </row>
    <row r="10" spans="1:21" x14ac:dyDescent="0.25">
      <c r="A10" s="7"/>
      <c r="B10" s="7"/>
      <c r="C10" s="91" t="s">
        <v>463</v>
      </c>
      <c r="D10" s="371" t="s">
        <v>464</v>
      </c>
      <c r="E10" s="92" t="s">
        <v>8</v>
      </c>
      <c r="F10" s="446" t="s">
        <v>1</v>
      </c>
      <c r="G10" s="446"/>
      <c r="H10" s="10" t="s">
        <v>73</v>
      </c>
      <c r="I10" s="11" t="s">
        <v>36</v>
      </c>
      <c r="N10" s="12"/>
      <c r="O10" s="12"/>
      <c r="P10" s="13"/>
      <c r="Q10" s="13"/>
      <c r="R10" s="520" t="s">
        <v>1</v>
      </c>
      <c r="S10" s="520"/>
      <c r="T10" s="15" t="s">
        <v>73</v>
      </c>
      <c r="U10" s="16" t="s">
        <v>36</v>
      </c>
    </row>
    <row r="11" spans="1:21" x14ac:dyDescent="0.25">
      <c r="A11" s="37" t="s">
        <v>1</v>
      </c>
      <c r="B11" s="37"/>
      <c r="C11" s="362" t="s">
        <v>2</v>
      </c>
      <c r="D11" s="362" t="s">
        <v>2</v>
      </c>
      <c r="E11" s="93" t="s">
        <v>2</v>
      </c>
      <c r="F11" s="448" t="s">
        <v>76</v>
      </c>
      <c r="G11" s="448"/>
      <c r="H11" s="17" t="s">
        <v>72</v>
      </c>
      <c r="I11" s="18" t="s">
        <v>75</v>
      </c>
      <c r="N11" s="510" t="s">
        <v>1</v>
      </c>
      <c r="O11" s="510"/>
      <c r="P11" s="521" t="s">
        <v>24</v>
      </c>
      <c r="Q11" s="521"/>
      <c r="R11" s="522" t="s">
        <v>76</v>
      </c>
      <c r="S11" s="522"/>
      <c r="T11" s="19" t="s">
        <v>72</v>
      </c>
      <c r="U11" s="20" t="s">
        <v>75</v>
      </c>
    </row>
    <row r="12" spans="1:21" x14ac:dyDescent="0.25">
      <c r="A12" s="449" t="s">
        <v>47</v>
      </c>
      <c r="B12" s="449"/>
      <c r="C12" s="94"/>
      <c r="D12" s="94"/>
      <c r="E12" s="95" t="s">
        <v>48</v>
      </c>
      <c r="F12" s="450" t="s">
        <v>49</v>
      </c>
      <c r="G12" s="450"/>
      <c r="H12" s="21" t="s">
        <v>50</v>
      </c>
      <c r="I12" s="22" t="s">
        <v>51</v>
      </c>
      <c r="N12" s="523" t="s">
        <v>47</v>
      </c>
      <c r="O12" s="523"/>
      <c r="P12" s="524" t="s">
        <v>48</v>
      </c>
      <c r="Q12" s="524"/>
      <c r="R12" s="525" t="s">
        <v>49</v>
      </c>
      <c r="S12" s="525"/>
      <c r="T12" s="23" t="s">
        <v>50</v>
      </c>
      <c r="U12" s="24" t="s">
        <v>51</v>
      </c>
    </row>
    <row r="13" spans="1:21" x14ac:dyDescent="0.25">
      <c r="A13" s="451" t="s">
        <v>29</v>
      </c>
      <c r="B13" s="451"/>
      <c r="C13" s="165">
        <v>12.35</v>
      </c>
      <c r="D13" s="163">
        <v>11.76</v>
      </c>
      <c r="E13" s="210">
        <f>IF(D$29=0,C13*2,C13+D13)</f>
        <v>24.11</v>
      </c>
      <c r="F13" s="537">
        <v>1.1259999999999999</v>
      </c>
      <c r="G13" s="537"/>
      <c r="H13" s="167">
        <f>ROUND(E13*F13,4)</f>
        <v>27.1479</v>
      </c>
      <c r="I13" s="119">
        <f t="shared" ref="I13:I28" si="0">ROUND(ROUND(H13*$C$8,4)*($H$8),2)</f>
        <v>129993.05</v>
      </c>
      <c r="N13" s="512" t="s">
        <v>29</v>
      </c>
      <c r="O13" s="512"/>
      <c r="P13" s="513">
        <f t="shared" ref="P13:P28" si="1">IF($H$120=1,E13,0)</f>
        <v>0</v>
      </c>
      <c r="Q13" s="513"/>
      <c r="R13" s="526">
        <v>1</v>
      </c>
      <c r="S13" s="526"/>
      <c r="T13" s="98">
        <f>ROUND(P13*R13,4)</f>
        <v>0</v>
      </c>
      <c r="U13" s="99">
        <f t="shared" ref="U13:U28" si="2">ROUND(ROUND(T13*$C$8,4)*($H$8),0)</f>
        <v>0</v>
      </c>
    </row>
    <row r="14" spans="1:21" x14ac:dyDescent="0.25">
      <c r="A14" s="453" t="s">
        <v>30</v>
      </c>
      <c r="B14" s="453"/>
      <c r="C14" s="165">
        <v>3</v>
      </c>
      <c r="D14" s="165">
        <v>3.48</v>
      </c>
      <c r="E14" s="125">
        <f t="shared" ref="E14:E28" si="3">IF(D$29=0,C14*2,C14+D14)</f>
        <v>6.48</v>
      </c>
      <c r="F14" s="532">
        <v>1.1259999999999999</v>
      </c>
      <c r="G14" s="532"/>
      <c r="H14" s="83">
        <f t="shared" ref="H14:H28" si="4">ROUND(E14*F14,4)</f>
        <v>7.2965</v>
      </c>
      <c r="I14" s="104">
        <f t="shared" si="0"/>
        <v>34938.04</v>
      </c>
      <c r="J14" s="68" t="str">
        <f>IF(ROUND(E14,2)=ROUND(SUM(E50:E52),2)," ","CHECK PK-3 LINES BELOW")</f>
        <v xml:space="preserve"> </v>
      </c>
      <c r="N14" s="479" t="s">
        <v>30</v>
      </c>
      <c r="O14" s="479"/>
      <c r="P14" s="513">
        <f t="shared" si="1"/>
        <v>0</v>
      </c>
      <c r="Q14" s="513"/>
      <c r="R14" s="517">
        <v>1</v>
      </c>
      <c r="S14" s="517"/>
      <c r="T14" s="98">
        <f t="shared" ref="T14:T28" si="5">ROUND(P14*R14,4)</f>
        <v>0</v>
      </c>
      <c r="U14" s="99">
        <f t="shared" si="2"/>
        <v>0</v>
      </c>
    </row>
    <row r="15" spans="1:21" x14ac:dyDescent="0.25">
      <c r="A15" s="453" t="s">
        <v>31</v>
      </c>
      <c r="B15" s="453"/>
      <c r="C15" s="165">
        <v>16.09</v>
      </c>
      <c r="D15" s="165">
        <v>18.18</v>
      </c>
      <c r="E15" s="125">
        <f t="shared" si="3"/>
        <v>34.269999999999996</v>
      </c>
      <c r="F15" s="532">
        <v>1</v>
      </c>
      <c r="G15" s="532"/>
      <c r="H15" s="83">
        <f t="shared" si="4"/>
        <v>34.270000000000003</v>
      </c>
      <c r="I15" s="104">
        <f t="shared" si="0"/>
        <v>164096</v>
      </c>
      <c r="N15" s="479" t="s">
        <v>31</v>
      </c>
      <c r="O15" s="479"/>
      <c r="P15" s="513">
        <f t="shared" si="1"/>
        <v>0</v>
      </c>
      <c r="Q15" s="513"/>
      <c r="R15" s="517">
        <v>1</v>
      </c>
      <c r="S15" s="517"/>
      <c r="T15" s="98">
        <f t="shared" si="5"/>
        <v>0</v>
      </c>
      <c r="U15" s="99">
        <f t="shared" si="2"/>
        <v>0</v>
      </c>
    </row>
    <row r="16" spans="1:21" x14ac:dyDescent="0.25">
      <c r="A16" s="453" t="s">
        <v>32</v>
      </c>
      <c r="B16" s="453"/>
      <c r="C16" s="165">
        <v>3</v>
      </c>
      <c r="D16" s="165">
        <v>2</v>
      </c>
      <c r="E16" s="125">
        <f t="shared" si="3"/>
        <v>5</v>
      </c>
      <c r="F16" s="532">
        <v>1</v>
      </c>
      <c r="G16" s="532"/>
      <c r="H16" s="83">
        <f t="shared" si="4"/>
        <v>5</v>
      </c>
      <c r="I16" s="104">
        <f t="shared" si="0"/>
        <v>23941.64</v>
      </c>
      <c r="J16" s="68" t="str">
        <f>IF(ROUND(E16,2)=ROUND(SUM(E53:E55),2)," ","CHECK 4-8 LINES BELOW")</f>
        <v xml:space="preserve"> </v>
      </c>
      <c r="N16" s="479" t="s">
        <v>32</v>
      </c>
      <c r="O16" s="479"/>
      <c r="P16" s="513">
        <f t="shared" si="1"/>
        <v>0</v>
      </c>
      <c r="Q16" s="513"/>
      <c r="R16" s="517">
        <v>1</v>
      </c>
      <c r="S16" s="517"/>
      <c r="T16" s="98">
        <f t="shared" si="5"/>
        <v>0</v>
      </c>
      <c r="U16" s="99">
        <f t="shared" si="2"/>
        <v>0</v>
      </c>
    </row>
    <row r="17" spans="1:21" x14ac:dyDescent="0.25">
      <c r="A17" s="453" t="s">
        <v>33</v>
      </c>
      <c r="B17" s="453"/>
      <c r="C17" s="165">
        <v>0</v>
      </c>
      <c r="D17" s="165">
        <v>0</v>
      </c>
      <c r="E17" s="125">
        <f t="shared" si="3"/>
        <v>0</v>
      </c>
      <c r="F17" s="532">
        <v>0.999</v>
      </c>
      <c r="G17" s="532"/>
      <c r="H17" s="83">
        <f t="shared" si="4"/>
        <v>0</v>
      </c>
      <c r="I17" s="104">
        <f t="shared" si="0"/>
        <v>0</v>
      </c>
      <c r="N17" s="479" t="s">
        <v>33</v>
      </c>
      <c r="O17" s="479"/>
      <c r="P17" s="513">
        <f t="shared" si="1"/>
        <v>0</v>
      </c>
      <c r="Q17" s="513"/>
      <c r="R17" s="517">
        <v>1</v>
      </c>
      <c r="S17" s="517"/>
      <c r="T17" s="98">
        <f t="shared" si="5"/>
        <v>0</v>
      </c>
      <c r="U17" s="99">
        <f t="shared" si="2"/>
        <v>0</v>
      </c>
    </row>
    <row r="18" spans="1:21" x14ac:dyDescent="0.25">
      <c r="A18" s="453" t="s">
        <v>34</v>
      </c>
      <c r="B18" s="453"/>
      <c r="C18" s="165">
        <v>0</v>
      </c>
      <c r="D18" s="165">
        <v>0</v>
      </c>
      <c r="E18" s="125">
        <f t="shared" si="3"/>
        <v>0</v>
      </c>
      <c r="F18" s="532">
        <v>0.999</v>
      </c>
      <c r="G18" s="532"/>
      <c r="H18" s="83">
        <f t="shared" si="4"/>
        <v>0</v>
      </c>
      <c r="I18" s="104">
        <f t="shared" si="0"/>
        <v>0</v>
      </c>
      <c r="J18" s="68" t="str">
        <f>IF(ROUND(E18,2)=ROUND(SUM(E56:E58),2)," ","CHECK 4-8 LINES BELOW")</f>
        <v xml:space="preserve"> </v>
      </c>
      <c r="N18" s="479" t="s">
        <v>34</v>
      </c>
      <c r="O18" s="479"/>
      <c r="P18" s="513">
        <f t="shared" si="1"/>
        <v>0</v>
      </c>
      <c r="Q18" s="513"/>
      <c r="R18" s="517">
        <v>1</v>
      </c>
      <c r="S18" s="517"/>
      <c r="T18" s="98">
        <f t="shared" si="5"/>
        <v>0</v>
      </c>
      <c r="U18" s="101">
        <f t="shared" si="2"/>
        <v>0</v>
      </c>
    </row>
    <row r="19" spans="1:21" x14ac:dyDescent="0.25">
      <c r="A19" s="453" t="s">
        <v>108</v>
      </c>
      <c r="B19" s="453"/>
      <c r="C19" s="165">
        <v>0</v>
      </c>
      <c r="D19" s="165">
        <v>0</v>
      </c>
      <c r="E19" s="125">
        <f t="shared" si="3"/>
        <v>0</v>
      </c>
      <c r="F19" s="532">
        <v>3.6739999999999999</v>
      </c>
      <c r="G19" s="532"/>
      <c r="H19" s="83">
        <f t="shared" si="4"/>
        <v>0</v>
      </c>
      <c r="I19" s="104">
        <f t="shared" si="0"/>
        <v>0</v>
      </c>
      <c r="N19" s="479" t="s">
        <v>108</v>
      </c>
      <c r="O19" s="479"/>
      <c r="P19" s="513">
        <f t="shared" si="1"/>
        <v>0</v>
      </c>
      <c r="Q19" s="513"/>
      <c r="R19" s="517">
        <v>1</v>
      </c>
      <c r="S19" s="517"/>
      <c r="T19" s="98">
        <f t="shared" si="5"/>
        <v>0</v>
      </c>
      <c r="U19" s="99">
        <f t="shared" si="2"/>
        <v>0</v>
      </c>
    </row>
    <row r="20" spans="1:21" x14ac:dyDescent="0.25">
      <c r="A20" s="453" t="s">
        <v>109</v>
      </c>
      <c r="B20" s="453"/>
      <c r="C20" s="165">
        <v>0</v>
      </c>
      <c r="D20" s="165">
        <v>0</v>
      </c>
      <c r="E20" s="125">
        <f t="shared" si="3"/>
        <v>0</v>
      </c>
      <c r="F20" s="532">
        <v>3.6739999999999999</v>
      </c>
      <c r="G20" s="532"/>
      <c r="H20" s="83">
        <f t="shared" si="4"/>
        <v>0</v>
      </c>
      <c r="I20" s="104">
        <f t="shared" si="0"/>
        <v>0</v>
      </c>
      <c r="N20" s="479" t="s">
        <v>109</v>
      </c>
      <c r="O20" s="479"/>
      <c r="P20" s="513">
        <f t="shared" si="1"/>
        <v>0</v>
      </c>
      <c r="Q20" s="513"/>
      <c r="R20" s="517">
        <v>1</v>
      </c>
      <c r="S20" s="517"/>
      <c r="T20" s="98">
        <f t="shared" si="5"/>
        <v>0</v>
      </c>
      <c r="U20" s="99">
        <f t="shared" si="2"/>
        <v>0</v>
      </c>
    </row>
    <row r="21" spans="1:21" x14ac:dyDescent="0.25">
      <c r="A21" s="453" t="s">
        <v>110</v>
      </c>
      <c r="B21" s="453"/>
      <c r="C21" s="165">
        <v>0</v>
      </c>
      <c r="D21" s="165">
        <v>0</v>
      </c>
      <c r="E21" s="125">
        <f t="shared" si="3"/>
        <v>0</v>
      </c>
      <c r="F21" s="532">
        <v>3.6739999999999999</v>
      </c>
      <c r="G21" s="532"/>
      <c r="H21" s="83">
        <f t="shared" si="4"/>
        <v>0</v>
      </c>
      <c r="I21" s="104">
        <f t="shared" si="0"/>
        <v>0</v>
      </c>
      <c r="N21" s="479" t="s">
        <v>110</v>
      </c>
      <c r="O21" s="479"/>
      <c r="P21" s="513">
        <f t="shared" si="1"/>
        <v>0</v>
      </c>
      <c r="Q21" s="513"/>
      <c r="R21" s="517">
        <v>1</v>
      </c>
      <c r="S21" s="517"/>
      <c r="T21" s="98">
        <f t="shared" si="5"/>
        <v>0</v>
      </c>
      <c r="U21" s="99">
        <f t="shared" si="2"/>
        <v>0</v>
      </c>
    </row>
    <row r="22" spans="1:21" x14ac:dyDescent="0.25">
      <c r="A22" s="453" t="s">
        <v>111</v>
      </c>
      <c r="B22" s="453"/>
      <c r="C22" s="165">
        <v>0</v>
      </c>
      <c r="D22" s="165">
        <v>0</v>
      </c>
      <c r="E22" s="125">
        <f t="shared" si="3"/>
        <v>0</v>
      </c>
      <c r="F22" s="532">
        <v>5.4009999999999998</v>
      </c>
      <c r="G22" s="532"/>
      <c r="H22" s="83">
        <f t="shared" si="4"/>
        <v>0</v>
      </c>
      <c r="I22" s="104">
        <f t="shared" si="0"/>
        <v>0</v>
      </c>
      <c r="N22" s="479" t="s">
        <v>111</v>
      </c>
      <c r="O22" s="479"/>
      <c r="P22" s="513">
        <f t="shared" si="1"/>
        <v>0</v>
      </c>
      <c r="Q22" s="513"/>
      <c r="R22" s="517">
        <v>1</v>
      </c>
      <c r="S22" s="517"/>
      <c r="T22" s="98">
        <f t="shared" si="5"/>
        <v>0</v>
      </c>
      <c r="U22" s="99">
        <f t="shared" si="2"/>
        <v>0</v>
      </c>
    </row>
    <row r="23" spans="1:21" x14ac:dyDescent="0.25">
      <c r="A23" s="453" t="s">
        <v>112</v>
      </c>
      <c r="B23" s="453"/>
      <c r="C23" s="165">
        <v>0</v>
      </c>
      <c r="D23" s="165">
        <v>0</v>
      </c>
      <c r="E23" s="125">
        <f t="shared" si="3"/>
        <v>0</v>
      </c>
      <c r="F23" s="532">
        <v>5.4009999999999998</v>
      </c>
      <c r="G23" s="532"/>
      <c r="H23" s="83">
        <f t="shared" si="4"/>
        <v>0</v>
      </c>
      <c r="I23" s="104">
        <f t="shared" si="0"/>
        <v>0</v>
      </c>
      <c r="N23" s="479" t="s">
        <v>112</v>
      </c>
      <c r="O23" s="479"/>
      <c r="P23" s="513">
        <f t="shared" si="1"/>
        <v>0</v>
      </c>
      <c r="Q23" s="513"/>
      <c r="R23" s="517">
        <v>1</v>
      </c>
      <c r="S23" s="517"/>
      <c r="T23" s="98">
        <f t="shared" si="5"/>
        <v>0</v>
      </c>
      <c r="U23" s="99">
        <f t="shared" si="2"/>
        <v>0</v>
      </c>
    </row>
    <row r="24" spans="1:21" x14ac:dyDescent="0.25">
      <c r="A24" s="453" t="s">
        <v>113</v>
      </c>
      <c r="B24" s="453"/>
      <c r="C24" s="165">
        <v>0</v>
      </c>
      <c r="D24" s="165">
        <v>0</v>
      </c>
      <c r="E24" s="125">
        <f t="shared" si="3"/>
        <v>0</v>
      </c>
      <c r="F24" s="532">
        <v>5.4009999999999998</v>
      </c>
      <c r="G24" s="532"/>
      <c r="H24" s="83">
        <f t="shared" si="4"/>
        <v>0</v>
      </c>
      <c r="I24" s="104">
        <f t="shared" si="0"/>
        <v>0</v>
      </c>
      <c r="N24" s="479" t="s">
        <v>113</v>
      </c>
      <c r="O24" s="479"/>
      <c r="P24" s="513">
        <f t="shared" si="1"/>
        <v>0</v>
      </c>
      <c r="Q24" s="513"/>
      <c r="R24" s="517">
        <v>1</v>
      </c>
      <c r="S24" s="517"/>
      <c r="T24" s="98">
        <f t="shared" si="5"/>
        <v>0</v>
      </c>
      <c r="U24" s="99">
        <f t="shared" si="2"/>
        <v>0</v>
      </c>
    </row>
    <row r="25" spans="1:21" x14ac:dyDescent="0.25">
      <c r="A25" s="453" t="s">
        <v>114</v>
      </c>
      <c r="B25" s="453"/>
      <c r="C25" s="165">
        <v>8.15</v>
      </c>
      <c r="D25" s="165">
        <v>7.74</v>
      </c>
      <c r="E25" s="125">
        <f t="shared" si="3"/>
        <v>15.89</v>
      </c>
      <c r="F25" s="532">
        <v>1.206</v>
      </c>
      <c r="G25" s="532"/>
      <c r="H25" s="83">
        <f t="shared" si="4"/>
        <v>19.1633</v>
      </c>
      <c r="I25" s="104">
        <f t="shared" si="0"/>
        <v>91760.17</v>
      </c>
      <c r="L25" s="280"/>
      <c r="N25" s="479" t="s">
        <v>114</v>
      </c>
      <c r="O25" s="479"/>
      <c r="P25" s="513">
        <f t="shared" si="1"/>
        <v>0</v>
      </c>
      <c r="Q25" s="513"/>
      <c r="R25" s="517">
        <v>1</v>
      </c>
      <c r="S25" s="517"/>
      <c r="T25" s="98">
        <f t="shared" si="5"/>
        <v>0</v>
      </c>
      <c r="U25" s="99">
        <f t="shared" si="2"/>
        <v>0</v>
      </c>
    </row>
    <row r="26" spans="1:21" x14ac:dyDescent="0.25">
      <c r="A26" s="453" t="s">
        <v>115</v>
      </c>
      <c r="B26" s="453"/>
      <c r="C26" s="165">
        <v>6.41</v>
      </c>
      <c r="D26" s="165">
        <v>6.8</v>
      </c>
      <c r="E26" s="125">
        <f t="shared" si="3"/>
        <v>13.21</v>
      </c>
      <c r="F26" s="532">
        <v>1.206</v>
      </c>
      <c r="G26" s="532"/>
      <c r="H26" s="83">
        <f t="shared" si="4"/>
        <v>15.9313</v>
      </c>
      <c r="I26" s="104">
        <f t="shared" si="0"/>
        <v>76284.289999999994</v>
      </c>
      <c r="L26" s="280"/>
      <c r="N26" s="479" t="s">
        <v>115</v>
      </c>
      <c r="O26" s="479"/>
      <c r="P26" s="513">
        <f t="shared" si="1"/>
        <v>0</v>
      </c>
      <c r="Q26" s="513"/>
      <c r="R26" s="517">
        <v>1</v>
      </c>
      <c r="S26" s="517"/>
      <c r="T26" s="98">
        <f t="shared" si="5"/>
        <v>0</v>
      </c>
      <c r="U26" s="99">
        <f t="shared" si="2"/>
        <v>0</v>
      </c>
    </row>
    <row r="27" spans="1:21" x14ac:dyDescent="0.25">
      <c r="A27" s="453" t="s">
        <v>116</v>
      </c>
      <c r="B27" s="453"/>
      <c r="C27" s="165">
        <v>0</v>
      </c>
      <c r="D27" s="165">
        <v>0</v>
      </c>
      <c r="E27" s="125">
        <f t="shared" si="3"/>
        <v>0</v>
      </c>
      <c r="F27" s="532">
        <v>1.206</v>
      </c>
      <c r="G27" s="532"/>
      <c r="H27" s="83">
        <f t="shared" si="4"/>
        <v>0</v>
      </c>
      <c r="I27" s="104">
        <f t="shared" si="0"/>
        <v>0</v>
      </c>
      <c r="N27" s="479" t="s">
        <v>116</v>
      </c>
      <c r="O27" s="479"/>
      <c r="P27" s="513">
        <f t="shared" si="1"/>
        <v>0</v>
      </c>
      <c r="Q27" s="513"/>
      <c r="R27" s="517">
        <v>1</v>
      </c>
      <c r="S27" s="517"/>
      <c r="T27" s="98">
        <f t="shared" si="5"/>
        <v>0</v>
      </c>
      <c r="U27" s="99">
        <f t="shared" si="2"/>
        <v>0</v>
      </c>
    </row>
    <row r="28" spans="1:21" x14ac:dyDescent="0.25">
      <c r="A28" s="453" t="s">
        <v>117</v>
      </c>
      <c r="B28" s="453"/>
      <c r="C28" s="116">
        <v>0</v>
      </c>
      <c r="D28" s="116">
        <v>0</v>
      </c>
      <c r="E28" s="177">
        <f t="shared" si="3"/>
        <v>0</v>
      </c>
      <c r="F28" s="532">
        <v>0.999</v>
      </c>
      <c r="G28" s="532"/>
      <c r="H28" s="96">
        <f t="shared" si="4"/>
        <v>0</v>
      </c>
      <c r="I28" s="97">
        <f t="shared" si="0"/>
        <v>0</v>
      </c>
      <c r="N28" s="482" t="s">
        <v>117</v>
      </c>
      <c r="O28" s="482"/>
      <c r="P28" s="513">
        <f t="shared" si="1"/>
        <v>0</v>
      </c>
      <c r="Q28" s="513"/>
      <c r="R28" s="514">
        <v>1</v>
      </c>
      <c r="S28" s="514"/>
      <c r="T28" s="98">
        <f t="shared" si="5"/>
        <v>0</v>
      </c>
      <c r="U28" s="99">
        <f t="shared" si="2"/>
        <v>0</v>
      </c>
    </row>
    <row r="29" spans="1:21" x14ac:dyDescent="0.25">
      <c r="A29" s="461" t="s">
        <v>5</v>
      </c>
      <c r="B29" s="461"/>
      <c r="C29" s="97">
        <f>SUM(C13:C28)</f>
        <v>49</v>
      </c>
      <c r="D29" s="97">
        <f>SUM(D13:D28)</f>
        <v>49.96</v>
      </c>
      <c r="E29" s="97">
        <f>SUM(E13:E28)</f>
        <v>98.960000000000008</v>
      </c>
      <c r="F29" s="457"/>
      <c r="G29" s="457"/>
      <c r="H29" s="102">
        <f>SUM(H13:H28)</f>
        <v>108.809</v>
      </c>
      <c r="I29" s="97">
        <f>SUM(I13:I28)</f>
        <v>521013.18999999994</v>
      </c>
      <c r="N29" s="515" t="s">
        <v>5</v>
      </c>
      <c r="O29" s="515"/>
      <c r="P29" s="516">
        <f>SUM(P13:P28)</f>
        <v>0</v>
      </c>
      <c r="Q29" s="516"/>
      <c r="R29" s="508"/>
      <c r="S29" s="508"/>
      <c r="T29" s="103">
        <f>SUM(T13:T28)</f>
        <v>0</v>
      </c>
      <c r="U29" s="99">
        <f>SUM(U13:U28)</f>
        <v>0</v>
      </c>
    </row>
    <row r="30" spans="1:21" x14ac:dyDescent="0.25">
      <c r="A30" s="27"/>
      <c r="B30" s="27"/>
      <c r="C30" s="104"/>
      <c r="D30" s="104"/>
      <c r="E30" s="104"/>
      <c r="F30" s="28"/>
      <c r="G30" s="28"/>
      <c r="H30" s="83"/>
      <c r="I30" s="104"/>
      <c r="N30" s="29"/>
      <c r="O30" s="29"/>
      <c r="P30" s="30"/>
      <c r="Q30" s="30"/>
      <c r="R30" s="31"/>
      <c r="S30" s="31"/>
      <c r="T30" s="105"/>
      <c r="U30" s="106"/>
    </row>
    <row r="31" spans="1:21" x14ac:dyDescent="0.25">
      <c r="A31" s="315" t="s">
        <v>302</v>
      </c>
      <c r="B31" s="27"/>
      <c r="C31" s="104"/>
      <c r="D31" s="104"/>
      <c r="E31" s="104"/>
      <c r="F31" s="28"/>
      <c r="G31" s="28"/>
      <c r="H31" s="83"/>
      <c r="I31" s="104"/>
      <c r="N31" s="29"/>
      <c r="O31" s="29"/>
      <c r="P31" s="30"/>
      <c r="Q31" s="30"/>
      <c r="R31" s="31"/>
      <c r="S31" s="31"/>
      <c r="T31" s="105"/>
      <c r="U31" s="106"/>
    </row>
    <row r="32" spans="1:21" hidden="1" x14ac:dyDescent="0.25">
      <c r="A32" s="168"/>
      <c r="B32" s="27"/>
      <c r="C32" s="104"/>
      <c r="D32" s="104"/>
      <c r="E32" s="104"/>
      <c r="F32" s="28"/>
      <c r="G32" s="28"/>
      <c r="H32" s="83"/>
      <c r="I32" s="104"/>
      <c r="N32" s="29"/>
      <c r="O32" s="29"/>
      <c r="P32" s="30"/>
      <c r="Q32" s="30"/>
      <c r="R32" s="31"/>
      <c r="S32" s="31"/>
      <c r="T32" s="105"/>
      <c r="U32" s="106"/>
    </row>
    <row r="33" spans="1:21" hidden="1" x14ac:dyDescent="0.25">
      <c r="A33" s="168"/>
      <c r="B33" s="27"/>
      <c r="C33" s="104"/>
      <c r="D33" s="104"/>
      <c r="E33" s="104"/>
      <c r="F33" s="538" t="s">
        <v>282</v>
      </c>
      <c r="G33" s="538"/>
      <c r="H33" s="538"/>
      <c r="I33" s="104"/>
      <c r="N33" s="29"/>
      <c r="O33" s="29"/>
      <c r="P33" s="30"/>
      <c r="Q33" s="30"/>
      <c r="R33" s="31"/>
      <c r="S33" s="31"/>
      <c r="T33" s="105"/>
      <c r="U33" s="106"/>
    </row>
    <row r="34" spans="1:21" ht="15.75" hidden="1" customHeight="1" x14ac:dyDescent="0.25">
      <c r="A34" s="3"/>
      <c r="B34" s="72"/>
      <c r="C34" s="72"/>
      <c r="D34" s="72"/>
      <c r="E34" s="72"/>
      <c r="F34" s="538"/>
      <c r="G34" s="538"/>
      <c r="H34" s="538"/>
      <c r="I34" s="25" t="str">
        <f>I9</f>
        <v>2022-23</v>
      </c>
      <c r="N34" s="485" t="s">
        <v>35</v>
      </c>
      <c r="O34" s="485"/>
      <c r="P34" s="485"/>
      <c r="Q34" s="485"/>
      <c r="R34" s="485"/>
      <c r="S34" s="485"/>
      <c r="T34" s="485"/>
      <c r="U34" s="26" t="s">
        <v>74</v>
      </c>
    </row>
    <row r="35" spans="1:21" hidden="1" x14ac:dyDescent="0.25">
      <c r="A35" s="27"/>
      <c r="B35" s="27"/>
      <c r="C35" s="91" t="s">
        <v>376</v>
      </c>
      <c r="D35" s="91"/>
      <c r="E35" s="92" t="s">
        <v>8</v>
      </c>
      <c r="F35" s="538"/>
      <c r="G35" s="538"/>
      <c r="H35" s="538"/>
      <c r="I35" s="25" t="s">
        <v>36</v>
      </c>
      <c r="N35" s="29"/>
      <c r="O35" s="29"/>
      <c r="P35" s="30"/>
      <c r="Q35" s="30"/>
      <c r="R35" s="31"/>
      <c r="S35" s="31"/>
      <c r="T35" s="105"/>
      <c r="U35" s="26" t="s">
        <v>36</v>
      </c>
    </row>
    <row r="36" spans="1:21" hidden="1" x14ac:dyDescent="0.25">
      <c r="A36" s="447" t="s">
        <v>63</v>
      </c>
      <c r="B36" s="447"/>
      <c r="C36" s="362" t="s">
        <v>2</v>
      </c>
      <c r="D36" s="362"/>
      <c r="E36" s="93" t="s">
        <v>2</v>
      </c>
      <c r="F36" s="539"/>
      <c r="G36" s="539"/>
      <c r="H36" s="539"/>
      <c r="I36" s="32" t="s">
        <v>75</v>
      </c>
      <c r="N36" s="510" t="s">
        <v>63</v>
      </c>
      <c r="O36" s="510"/>
      <c r="P36" s="511" t="s">
        <v>24</v>
      </c>
      <c r="Q36" s="511"/>
      <c r="R36" s="511"/>
      <c r="S36" s="511"/>
      <c r="T36" s="511"/>
      <c r="U36" s="20" t="s">
        <v>75</v>
      </c>
    </row>
    <row r="37" spans="1:21" hidden="1" x14ac:dyDescent="0.25">
      <c r="A37" s="451" t="s">
        <v>56</v>
      </c>
      <c r="B37" s="451"/>
      <c r="C37" s="169">
        <v>0</v>
      </c>
      <c r="D37" s="169">
        <v>0</v>
      </c>
      <c r="E37" s="210">
        <f t="shared" ref="E37:E42" si="6">IF(D$43=0,C37*2,C37+D37)</f>
        <v>0</v>
      </c>
      <c r="F37" s="170"/>
      <c r="G37" s="170"/>
      <c r="H37" s="170"/>
      <c r="I37" s="119">
        <f t="shared" ref="I37:I42" si="7">ROUND(ROUND(E37*$C$8,4)*($H$8),2)</f>
        <v>0</v>
      </c>
      <c r="N37" s="512" t="s">
        <v>56</v>
      </c>
      <c r="O37" s="512"/>
      <c r="P37" s="483">
        <f t="shared" ref="P37:P42" si="8">IF($H$120=1,E37,0)</f>
        <v>0</v>
      </c>
      <c r="Q37" s="483"/>
      <c r="R37" s="483"/>
      <c r="S37" s="483"/>
      <c r="T37" s="483"/>
      <c r="U37" s="101">
        <f t="shared" ref="U37:U42" si="9">ROUND(ROUND(P37*$C$8,4)*($H$8),0)</f>
        <v>0</v>
      </c>
    </row>
    <row r="38" spans="1:21" hidden="1" x14ac:dyDescent="0.25">
      <c r="A38" s="453" t="s">
        <v>57</v>
      </c>
      <c r="B38" s="453"/>
      <c r="C38" s="172">
        <v>0</v>
      </c>
      <c r="D38" s="172">
        <v>0</v>
      </c>
      <c r="E38" s="125">
        <f t="shared" si="6"/>
        <v>0</v>
      </c>
      <c r="F38" s="173"/>
      <c r="G38" s="173"/>
      <c r="H38" s="173"/>
      <c r="I38" s="104">
        <f t="shared" si="7"/>
        <v>0</v>
      </c>
      <c r="N38" s="479" t="s">
        <v>57</v>
      </c>
      <c r="O38" s="479"/>
      <c r="P38" s="483">
        <f t="shared" si="8"/>
        <v>0</v>
      </c>
      <c r="Q38" s="483"/>
      <c r="R38" s="483"/>
      <c r="S38" s="483"/>
      <c r="T38" s="483"/>
      <c r="U38" s="101">
        <f t="shared" si="9"/>
        <v>0</v>
      </c>
    </row>
    <row r="39" spans="1:21" hidden="1" x14ac:dyDescent="0.25">
      <c r="A39" s="458" t="s">
        <v>58</v>
      </c>
      <c r="B39" s="458"/>
      <c r="C39" s="172">
        <v>0</v>
      </c>
      <c r="D39" s="172">
        <v>0</v>
      </c>
      <c r="E39" s="125">
        <f t="shared" si="6"/>
        <v>0</v>
      </c>
      <c r="F39" s="173"/>
      <c r="G39" s="173"/>
      <c r="H39" s="173"/>
      <c r="I39" s="104">
        <f t="shared" si="7"/>
        <v>0</v>
      </c>
      <c r="N39" s="509" t="s">
        <v>58</v>
      </c>
      <c r="O39" s="509"/>
      <c r="P39" s="483">
        <f t="shared" si="8"/>
        <v>0</v>
      </c>
      <c r="Q39" s="483"/>
      <c r="R39" s="483"/>
      <c r="S39" s="483"/>
      <c r="T39" s="483"/>
      <c r="U39" s="101">
        <f t="shared" si="9"/>
        <v>0</v>
      </c>
    </row>
    <row r="40" spans="1:21" hidden="1" x14ac:dyDescent="0.25">
      <c r="A40" s="453" t="s">
        <v>59</v>
      </c>
      <c r="B40" s="453"/>
      <c r="C40" s="172">
        <v>0</v>
      </c>
      <c r="D40" s="172">
        <v>0</v>
      </c>
      <c r="E40" s="125">
        <f t="shared" si="6"/>
        <v>0</v>
      </c>
      <c r="F40" s="173"/>
      <c r="G40" s="173"/>
      <c r="H40" s="173"/>
      <c r="I40" s="104">
        <f t="shared" si="7"/>
        <v>0</v>
      </c>
      <c r="N40" s="479" t="s">
        <v>59</v>
      </c>
      <c r="O40" s="479"/>
      <c r="P40" s="483">
        <f t="shared" si="8"/>
        <v>0</v>
      </c>
      <c r="Q40" s="483"/>
      <c r="R40" s="483"/>
      <c r="S40" s="483"/>
      <c r="T40" s="483"/>
      <c r="U40" s="101">
        <f t="shared" si="9"/>
        <v>0</v>
      </c>
    </row>
    <row r="41" spans="1:21" hidden="1" x14ac:dyDescent="0.25">
      <c r="A41" s="453" t="s">
        <v>60</v>
      </c>
      <c r="B41" s="453"/>
      <c r="C41" s="172">
        <v>0</v>
      </c>
      <c r="D41" s="172">
        <v>0</v>
      </c>
      <c r="E41" s="125">
        <f t="shared" si="6"/>
        <v>0</v>
      </c>
      <c r="F41" s="173"/>
      <c r="G41" s="173"/>
      <c r="H41" s="173"/>
      <c r="I41" s="104">
        <f t="shared" si="7"/>
        <v>0</v>
      </c>
      <c r="N41" s="479" t="s">
        <v>60</v>
      </c>
      <c r="O41" s="479"/>
      <c r="P41" s="483">
        <f t="shared" si="8"/>
        <v>0</v>
      </c>
      <c r="Q41" s="483"/>
      <c r="R41" s="483"/>
      <c r="S41" s="483"/>
      <c r="T41" s="483"/>
      <c r="U41" s="101">
        <f t="shared" si="9"/>
        <v>0</v>
      </c>
    </row>
    <row r="42" spans="1:21" hidden="1" x14ac:dyDescent="0.25">
      <c r="A42" s="453" t="s">
        <v>52</v>
      </c>
      <c r="B42" s="453"/>
      <c r="C42" s="171">
        <v>0</v>
      </c>
      <c r="D42" s="171">
        <v>0</v>
      </c>
      <c r="E42" s="177">
        <f t="shared" si="6"/>
        <v>0</v>
      </c>
      <c r="F42" s="173"/>
      <c r="G42" s="173"/>
      <c r="H42" s="173"/>
      <c r="I42" s="97">
        <f t="shared" si="7"/>
        <v>0</v>
      </c>
      <c r="N42" s="482" t="s">
        <v>52</v>
      </c>
      <c r="O42" s="482"/>
      <c r="P42" s="483">
        <f t="shared" si="8"/>
        <v>0</v>
      </c>
      <c r="Q42" s="483"/>
      <c r="R42" s="483"/>
      <c r="S42" s="483"/>
      <c r="T42" s="483"/>
      <c r="U42" s="101">
        <f t="shared" si="9"/>
        <v>0</v>
      </c>
    </row>
    <row r="43" spans="1:21" hidden="1" x14ac:dyDescent="0.25">
      <c r="A43" s="3"/>
      <c r="B43" s="55" t="s">
        <v>126</v>
      </c>
      <c r="C43" s="100">
        <f>SUM(C37:C42)</f>
        <v>0</v>
      </c>
      <c r="D43" s="100">
        <f>SUM(D37:D42)</f>
        <v>0</v>
      </c>
      <c r="E43" s="100">
        <f>SUM(E37:E42)</f>
        <v>0</v>
      </c>
      <c r="F43" s="33"/>
      <c r="G43" s="109"/>
      <c r="H43" s="110" t="s">
        <v>128</v>
      </c>
      <c r="I43" s="100">
        <f>SUM(I37:I42)</f>
        <v>0</v>
      </c>
      <c r="N43" s="480" t="s">
        <v>54</v>
      </c>
      <c r="O43" s="480"/>
      <c r="P43" s="480"/>
      <c r="Q43" s="480"/>
      <c r="R43" s="34">
        <f>SUM(P37:R42)</f>
        <v>0</v>
      </c>
      <c r="S43" s="508" t="s">
        <v>64</v>
      </c>
      <c r="T43" s="508"/>
      <c r="U43" s="106">
        <f>SUM(U37:U42)</f>
        <v>0</v>
      </c>
    </row>
    <row r="44" spans="1:21" ht="16.5" hidden="1" thickBot="1" x14ac:dyDescent="0.3">
      <c r="A44" s="3"/>
      <c r="B44" s="55"/>
      <c r="C44" s="104"/>
      <c r="D44" s="104"/>
      <c r="E44" s="119"/>
      <c r="F44" s="33"/>
      <c r="G44" s="109"/>
      <c r="H44" s="110"/>
      <c r="I44" s="104"/>
      <c r="N44" s="29"/>
      <c r="O44" s="29"/>
      <c r="P44" s="29"/>
      <c r="Q44" s="29"/>
      <c r="R44" s="34"/>
      <c r="S44" s="31"/>
      <c r="T44" s="31"/>
      <c r="U44" s="106"/>
    </row>
    <row r="45" spans="1:21" ht="16.5" hidden="1" thickBot="1" x14ac:dyDescent="0.3">
      <c r="A45" s="3"/>
      <c r="B45" s="55" t="s">
        <v>127</v>
      </c>
      <c r="E45" s="174">
        <f>H29+E43</f>
        <v>108.809</v>
      </c>
      <c r="F45" s="35"/>
      <c r="G45" s="109"/>
      <c r="H45" s="110" t="s">
        <v>129</v>
      </c>
      <c r="I45" s="97">
        <f>SUM(I43,I29)</f>
        <v>521013.18999999994</v>
      </c>
      <c r="N45" s="480" t="s">
        <v>55</v>
      </c>
      <c r="O45" s="480"/>
      <c r="P45" s="480"/>
      <c r="Q45" s="480"/>
      <c r="R45" s="36">
        <f>R43+T29</f>
        <v>0</v>
      </c>
      <c r="S45" s="508" t="s">
        <v>53</v>
      </c>
      <c r="T45" s="508"/>
      <c r="U45" s="111">
        <f>SUM(U43,U29)</f>
        <v>0</v>
      </c>
    </row>
    <row r="46" spans="1:21" ht="16.5" hidden="1" thickTop="1" x14ac:dyDescent="0.25">
      <c r="A46" s="27"/>
      <c r="B46" s="27"/>
      <c r="C46" s="27"/>
      <c r="D46" s="27"/>
      <c r="E46" s="27"/>
      <c r="F46" s="35"/>
      <c r="G46" s="28"/>
      <c r="H46" s="28"/>
      <c r="I46" s="104"/>
      <c r="N46" s="29"/>
      <c r="O46" s="29"/>
      <c r="P46" s="29"/>
      <c r="Q46" s="29"/>
      <c r="R46" s="36"/>
      <c r="S46" s="31"/>
      <c r="T46" s="31"/>
      <c r="U46" s="106"/>
    </row>
    <row r="47" spans="1:21" x14ac:dyDescent="0.25">
      <c r="A47" s="27"/>
      <c r="B47" s="27" t="s">
        <v>370</v>
      </c>
      <c r="C47" s="8" t="s">
        <v>370</v>
      </c>
      <c r="D47" s="8" t="s">
        <v>370</v>
      </c>
      <c r="E47" s="27"/>
      <c r="F47" s="35"/>
      <c r="G47" s="28"/>
      <c r="H47" s="28"/>
      <c r="I47" s="104"/>
      <c r="N47" s="29"/>
      <c r="O47" s="29"/>
      <c r="P47" s="29"/>
      <c r="Q47" s="29"/>
      <c r="R47" s="36"/>
      <c r="S47" s="31"/>
      <c r="T47" s="31"/>
      <c r="U47" s="106"/>
    </row>
    <row r="48" spans="1:21" x14ac:dyDescent="0.25">
      <c r="A48" s="27"/>
      <c r="B48" s="27"/>
      <c r="C48" s="91" t="s">
        <v>463</v>
      </c>
      <c r="D48" s="371" t="s">
        <v>464</v>
      </c>
      <c r="E48" s="92" t="s">
        <v>8</v>
      </c>
      <c r="F48" s="49" t="s">
        <v>130</v>
      </c>
      <c r="G48" s="112" t="s">
        <v>132</v>
      </c>
      <c r="H48" s="113" t="s">
        <v>133</v>
      </c>
      <c r="I48" s="104"/>
      <c r="N48" s="29"/>
      <c r="O48" s="29"/>
      <c r="P48" s="29"/>
      <c r="Q48" s="29"/>
      <c r="R48" s="36"/>
      <c r="S48" s="31"/>
      <c r="T48" s="31"/>
      <c r="U48" s="106"/>
    </row>
    <row r="49" spans="1:21" x14ac:dyDescent="0.25">
      <c r="A49" s="37" t="s">
        <v>87</v>
      </c>
      <c r="B49" s="37"/>
      <c r="C49" s="362" t="s">
        <v>2</v>
      </c>
      <c r="D49" s="362" t="s">
        <v>2</v>
      </c>
      <c r="E49" s="93" t="s">
        <v>2</v>
      </c>
      <c r="F49" s="95" t="s">
        <v>131</v>
      </c>
      <c r="G49" s="62" t="s">
        <v>131</v>
      </c>
      <c r="H49" s="114" t="s">
        <v>134</v>
      </c>
      <c r="I49" s="37"/>
      <c r="N49" s="482" t="s">
        <v>87</v>
      </c>
      <c r="O49" s="482"/>
      <c r="P49" s="503" t="s">
        <v>2</v>
      </c>
      <c r="Q49" s="503"/>
      <c r="R49" s="38" t="s">
        <v>25</v>
      </c>
      <c r="S49" s="63" t="s">
        <v>26</v>
      </c>
      <c r="T49" s="115" t="s">
        <v>27</v>
      </c>
      <c r="U49" s="38"/>
    </row>
    <row r="50" spans="1:21" x14ac:dyDescent="0.25">
      <c r="A50" s="459" t="s">
        <v>98</v>
      </c>
      <c r="B50" s="459"/>
      <c r="C50" s="165">
        <v>2.5</v>
      </c>
      <c r="D50" s="165">
        <v>2.9</v>
      </c>
      <c r="E50" s="125">
        <f>IF(D$59=0,C50*2,C50+D50)</f>
        <v>5.4</v>
      </c>
      <c r="F50" s="39" t="s">
        <v>21</v>
      </c>
      <c r="G50" s="39">
        <v>251</v>
      </c>
      <c r="H50" s="321">
        <v>1047</v>
      </c>
      <c r="I50" s="104">
        <f>ROUND(E50*H50,2)</f>
        <v>5653.8</v>
      </c>
      <c r="N50" s="504" t="s">
        <v>28</v>
      </c>
      <c r="O50" s="504"/>
      <c r="P50" s="505"/>
      <c r="Q50" s="505"/>
      <c r="R50" s="40" t="s">
        <v>21</v>
      </c>
      <c r="S50" s="40">
        <v>251</v>
      </c>
      <c r="T50" s="117">
        <f>H50</f>
        <v>1047</v>
      </c>
      <c r="U50" s="118">
        <f>ROUND(P50*T50,0)</f>
        <v>0</v>
      </c>
    </row>
    <row r="51" spans="1:21" x14ac:dyDescent="0.25">
      <c r="A51" s="460"/>
      <c r="B51" s="460"/>
      <c r="C51" s="165">
        <v>0.5</v>
      </c>
      <c r="D51" s="165">
        <v>0.57999999999999996</v>
      </c>
      <c r="E51" s="125">
        <f t="shared" ref="E51:E58" si="10">IF(D$59=0,C51*2,C51+D51)</f>
        <v>1.08</v>
      </c>
      <c r="F51" s="39" t="s">
        <v>21</v>
      </c>
      <c r="G51" s="39">
        <v>252</v>
      </c>
      <c r="H51" s="321">
        <v>3380</v>
      </c>
      <c r="I51" s="104">
        <f t="shared" ref="I51:I58" si="11">ROUND(E51*H51,2)</f>
        <v>3650.4</v>
      </c>
      <c r="K51" s="280"/>
      <c r="N51" s="504"/>
      <c r="O51" s="504"/>
      <c r="P51" s="506"/>
      <c r="Q51" s="506"/>
      <c r="R51" s="40" t="s">
        <v>21</v>
      </c>
      <c r="S51" s="40">
        <v>252</v>
      </c>
      <c r="T51" s="117">
        <f t="shared" ref="T51:T58" si="12">H51</f>
        <v>3380</v>
      </c>
      <c r="U51" s="118">
        <f t="shared" ref="U51:U58" si="13">ROUND(P51*T51,0)</f>
        <v>0</v>
      </c>
    </row>
    <row r="52" spans="1:21" x14ac:dyDescent="0.25">
      <c r="A52" s="460"/>
      <c r="B52" s="460"/>
      <c r="C52" s="165">
        <v>0</v>
      </c>
      <c r="D52" s="165">
        <v>0</v>
      </c>
      <c r="E52" s="125">
        <f t="shared" si="10"/>
        <v>0</v>
      </c>
      <c r="F52" s="39" t="s">
        <v>21</v>
      </c>
      <c r="G52" s="39">
        <v>253</v>
      </c>
      <c r="H52" s="321">
        <v>6896</v>
      </c>
      <c r="I52" s="104">
        <f t="shared" si="11"/>
        <v>0</v>
      </c>
      <c r="K52" s="280"/>
      <c r="N52" s="504"/>
      <c r="O52" s="504"/>
      <c r="P52" s="506"/>
      <c r="Q52" s="506"/>
      <c r="R52" s="40" t="s">
        <v>21</v>
      </c>
      <c r="S52" s="40">
        <v>253</v>
      </c>
      <c r="T52" s="117">
        <f t="shared" si="12"/>
        <v>6896</v>
      </c>
      <c r="U52" s="118">
        <f t="shared" si="13"/>
        <v>0</v>
      </c>
    </row>
    <row r="53" spans="1:21" x14ac:dyDescent="0.25">
      <c r="A53" s="460"/>
      <c r="B53" s="460"/>
      <c r="C53" s="165">
        <v>3</v>
      </c>
      <c r="D53" s="165">
        <v>2</v>
      </c>
      <c r="E53" s="125">
        <f t="shared" si="10"/>
        <v>5</v>
      </c>
      <c r="F53" s="41" t="s">
        <v>14</v>
      </c>
      <c r="G53" s="39">
        <v>251</v>
      </c>
      <c r="H53" s="321">
        <v>1173</v>
      </c>
      <c r="I53" s="104">
        <f t="shared" si="11"/>
        <v>5865</v>
      </c>
      <c r="N53" s="504"/>
      <c r="O53" s="504"/>
      <c r="P53" s="506"/>
      <c r="Q53" s="506"/>
      <c r="R53" s="42" t="s">
        <v>14</v>
      </c>
      <c r="S53" s="40">
        <v>251</v>
      </c>
      <c r="T53" s="117">
        <f t="shared" si="12"/>
        <v>1173</v>
      </c>
      <c r="U53" s="118">
        <f t="shared" si="13"/>
        <v>0</v>
      </c>
    </row>
    <row r="54" spans="1:21" x14ac:dyDescent="0.25">
      <c r="A54" s="460"/>
      <c r="B54" s="460"/>
      <c r="C54" s="165">
        <v>0</v>
      </c>
      <c r="D54" s="165">
        <v>0</v>
      </c>
      <c r="E54" s="125">
        <f t="shared" si="10"/>
        <v>0</v>
      </c>
      <c r="F54" s="41" t="s">
        <v>14</v>
      </c>
      <c r="G54" s="39">
        <v>252</v>
      </c>
      <c r="H54" s="321">
        <v>3506</v>
      </c>
      <c r="I54" s="104">
        <f t="shared" si="11"/>
        <v>0</v>
      </c>
      <c r="N54" s="504"/>
      <c r="O54" s="504"/>
      <c r="P54" s="506"/>
      <c r="Q54" s="506"/>
      <c r="R54" s="42" t="s">
        <v>14</v>
      </c>
      <c r="S54" s="40">
        <v>252</v>
      </c>
      <c r="T54" s="117">
        <f t="shared" si="12"/>
        <v>3506</v>
      </c>
      <c r="U54" s="118">
        <f t="shared" si="13"/>
        <v>0</v>
      </c>
    </row>
    <row r="55" spans="1:21" x14ac:dyDescent="0.25">
      <c r="A55" s="460"/>
      <c r="B55" s="460"/>
      <c r="C55" s="165">
        <v>0</v>
      </c>
      <c r="D55" s="165">
        <v>0</v>
      </c>
      <c r="E55" s="125">
        <f t="shared" si="10"/>
        <v>0</v>
      </c>
      <c r="F55" s="41" t="s">
        <v>14</v>
      </c>
      <c r="G55" s="39">
        <v>253</v>
      </c>
      <c r="H55" s="321">
        <v>7023</v>
      </c>
      <c r="I55" s="104">
        <f t="shared" si="11"/>
        <v>0</v>
      </c>
      <c r="N55" s="504"/>
      <c r="O55" s="504"/>
      <c r="P55" s="506"/>
      <c r="Q55" s="506"/>
      <c r="R55" s="42" t="s">
        <v>14</v>
      </c>
      <c r="S55" s="40">
        <v>253</v>
      </c>
      <c r="T55" s="117">
        <f t="shared" si="12"/>
        <v>7023</v>
      </c>
      <c r="U55" s="118">
        <f t="shared" si="13"/>
        <v>0</v>
      </c>
    </row>
    <row r="56" spans="1:21" x14ac:dyDescent="0.25">
      <c r="A56" s="460"/>
      <c r="B56" s="460"/>
      <c r="C56" s="165">
        <v>0</v>
      </c>
      <c r="D56" s="165">
        <v>0</v>
      </c>
      <c r="E56" s="125">
        <f t="shared" si="10"/>
        <v>0</v>
      </c>
      <c r="F56" s="41" t="s">
        <v>15</v>
      </c>
      <c r="G56" s="39">
        <v>251</v>
      </c>
      <c r="H56" s="321">
        <v>835</v>
      </c>
      <c r="I56" s="104">
        <f t="shared" si="11"/>
        <v>0</v>
      </c>
      <c r="N56" s="504"/>
      <c r="O56" s="504"/>
      <c r="P56" s="506"/>
      <c r="Q56" s="506"/>
      <c r="R56" s="42" t="s">
        <v>15</v>
      </c>
      <c r="S56" s="40">
        <v>251</v>
      </c>
      <c r="T56" s="117">
        <f t="shared" si="12"/>
        <v>835</v>
      </c>
      <c r="U56" s="118">
        <f t="shared" si="13"/>
        <v>0</v>
      </c>
    </row>
    <row r="57" spans="1:21" x14ac:dyDescent="0.25">
      <c r="A57" s="460"/>
      <c r="B57" s="460"/>
      <c r="C57" s="165">
        <v>0</v>
      </c>
      <c r="D57" s="165">
        <v>0</v>
      </c>
      <c r="E57" s="125">
        <f t="shared" si="10"/>
        <v>0</v>
      </c>
      <c r="F57" s="41" t="s">
        <v>15</v>
      </c>
      <c r="G57" s="39">
        <v>252</v>
      </c>
      <c r="H57" s="321">
        <v>3168</v>
      </c>
      <c r="I57" s="104">
        <f t="shared" si="11"/>
        <v>0</v>
      </c>
      <c r="N57" s="504"/>
      <c r="O57" s="504"/>
      <c r="P57" s="506"/>
      <c r="Q57" s="506"/>
      <c r="R57" s="42" t="s">
        <v>15</v>
      </c>
      <c r="S57" s="40">
        <v>252</v>
      </c>
      <c r="T57" s="117">
        <f t="shared" si="12"/>
        <v>3168</v>
      </c>
      <c r="U57" s="118">
        <f t="shared" si="13"/>
        <v>0</v>
      </c>
    </row>
    <row r="58" spans="1:21" ht="16.5" thickBot="1" x14ac:dyDescent="0.3">
      <c r="A58" s="460"/>
      <c r="B58" s="460"/>
      <c r="C58" s="165">
        <v>0</v>
      </c>
      <c r="D58" s="165">
        <v>0</v>
      </c>
      <c r="E58" s="125">
        <f t="shared" si="10"/>
        <v>0</v>
      </c>
      <c r="F58" s="41" t="s">
        <v>15</v>
      </c>
      <c r="G58" s="39">
        <v>253</v>
      </c>
      <c r="H58" s="321">
        <v>6685</v>
      </c>
      <c r="I58" s="104">
        <f t="shared" si="11"/>
        <v>0</v>
      </c>
      <c r="N58" s="504"/>
      <c r="O58" s="504"/>
      <c r="P58" s="507"/>
      <c r="Q58" s="507"/>
      <c r="R58" s="42" t="s">
        <v>15</v>
      </c>
      <c r="S58" s="40">
        <v>253</v>
      </c>
      <c r="T58" s="117">
        <f t="shared" si="12"/>
        <v>6685</v>
      </c>
      <c r="U58" s="120">
        <f t="shared" si="13"/>
        <v>0</v>
      </c>
    </row>
    <row r="59" spans="1:21" ht="16.5" thickBot="1" x14ac:dyDescent="0.3">
      <c r="A59" s="461" t="s">
        <v>16</v>
      </c>
      <c r="B59" s="461"/>
      <c r="C59" s="100">
        <f>SUM(C50:C58)</f>
        <v>6</v>
      </c>
      <c r="D59" s="100">
        <f>SUM(D50:D58)</f>
        <v>5.48</v>
      </c>
      <c r="E59" s="100">
        <f>SUM(E50:E58)</f>
        <v>11.48</v>
      </c>
      <c r="F59" s="461" t="s">
        <v>77</v>
      </c>
      <c r="G59" s="461"/>
      <c r="H59" s="461"/>
      <c r="I59" s="100">
        <f>SUM(I50:I58)</f>
        <v>15169.2</v>
      </c>
      <c r="N59" s="480" t="s">
        <v>16</v>
      </c>
      <c r="O59" s="480"/>
      <c r="P59" s="502">
        <f>SUM(P50:P58)</f>
        <v>0</v>
      </c>
      <c r="Q59" s="502"/>
      <c r="R59" s="480" t="s">
        <v>77</v>
      </c>
      <c r="S59" s="480"/>
      <c r="T59" s="480"/>
      <c r="U59" s="111">
        <f>SUM(U50:U58)</f>
        <v>0</v>
      </c>
    </row>
    <row r="60" spans="1:21" x14ac:dyDescent="0.25">
      <c r="A60" s="462"/>
      <c r="B60" s="462"/>
      <c r="C60" s="462"/>
      <c r="D60" s="462"/>
      <c r="E60" s="462"/>
      <c r="F60" s="462"/>
      <c r="G60" s="462"/>
      <c r="H60" s="462"/>
      <c r="I60" s="462"/>
      <c r="N60" s="484"/>
      <c r="O60" s="484"/>
      <c r="P60" s="484"/>
      <c r="Q60" s="484"/>
      <c r="R60" s="484"/>
      <c r="S60" s="484"/>
      <c r="T60" s="484"/>
      <c r="U60" s="484"/>
    </row>
    <row r="61" spans="1:21" x14ac:dyDescent="0.25">
      <c r="A61" s="463" t="s">
        <v>310</v>
      </c>
      <c r="B61" s="453"/>
      <c r="C61" s="453"/>
      <c r="D61" s="453"/>
      <c r="E61" s="453"/>
      <c r="F61" s="453"/>
      <c r="G61" s="453"/>
      <c r="H61" s="453"/>
      <c r="I61" s="453"/>
      <c r="N61" s="479" t="s">
        <v>88</v>
      </c>
      <c r="O61" s="479"/>
      <c r="P61" s="479"/>
      <c r="Q61" s="479"/>
      <c r="R61" s="479"/>
      <c r="S61" s="479"/>
      <c r="T61" s="479"/>
      <c r="U61" s="479"/>
    </row>
    <row r="62" spans="1:21" x14ac:dyDescent="0.25">
      <c r="A62" s="463" t="s">
        <v>138</v>
      </c>
      <c r="B62" s="453"/>
      <c r="C62" s="121">
        <f>E29</f>
        <v>98.960000000000008</v>
      </c>
      <c r="D62" s="464" t="s">
        <v>135</v>
      </c>
      <c r="E62" s="464"/>
      <c r="F62" s="464"/>
      <c r="G62" s="464"/>
      <c r="H62" s="322">
        <v>193340.76</v>
      </c>
      <c r="I62" s="122"/>
      <c r="N62" s="478" t="s">
        <v>312</v>
      </c>
      <c r="O62" s="479"/>
      <c r="P62" s="43">
        <f>P29</f>
        <v>0</v>
      </c>
      <c r="Q62" s="498" t="s">
        <v>78</v>
      </c>
      <c r="R62" s="498"/>
      <c r="S62" s="498"/>
      <c r="T62" s="497">
        <f>H62</f>
        <v>193340.76</v>
      </c>
      <c r="U62" s="497"/>
    </row>
    <row r="63" spans="1:21" x14ac:dyDescent="0.25">
      <c r="B63" s="72"/>
      <c r="G63" s="44" t="s">
        <v>13</v>
      </c>
      <c r="H63" s="123">
        <f>ROUND(C62/H62,6)</f>
        <v>5.1199999999999998E-4</v>
      </c>
      <c r="I63" s="124"/>
      <c r="N63" s="479" t="s">
        <v>19</v>
      </c>
      <c r="O63" s="479"/>
      <c r="P63" s="479"/>
      <c r="Q63" s="479"/>
      <c r="R63" s="479"/>
      <c r="S63" s="479"/>
      <c r="T63" s="501">
        <f>ROUND(P62/T62,6)</f>
        <v>0</v>
      </c>
      <c r="U63" s="501"/>
    </row>
    <row r="64" spans="1:21" x14ac:dyDescent="0.25">
      <c r="A64" s="463" t="s">
        <v>311</v>
      </c>
      <c r="B64" s="453"/>
      <c r="C64" s="453"/>
      <c r="D64" s="453"/>
      <c r="E64" s="453"/>
      <c r="F64" s="453"/>
      <c r="G64" s="453"/>
      <c r="H64" s="453"/>
      <c r="I64" s="453"/>
      <c r="N64" s="479" t="s">
        <v>89</v>
      </c>
      <c r="O64" s="479"/>
      <c r="P64" s="479"/>
      <c r="Q64" s="479"/>
      <c r="R64" s="479"/>
      <c r="S64" s="479"/>
      <c r="T64" s="479"/>
      <c r="U64" s="479"/>
    </row>
    <row r="65" spans="1:21" x14ac:dyDescent="0.25">
      <c r="A65" s="463" t="s">
        <v>139</v>
      </c>
      <c r="B65" s="453"/>
      <c r="C65" s="121">
        <f>E45</f>
        <v>108.809</v>
      </c>
      <c r="D65" s="464" t="s">
        <v>140</v>
      </c>
      <c r="E65" s="464"/>
      <c r="F65" s="464"/>
      <c r="G65" s="464"/>
      <c r="H65" s="323">
        <v>216845.88</v>
      </c>
      <c r="I65" s="125"/>
      <c r="N65" s="479" t="s">
        <v>80</v>
      </c>
      <c r="O65" s="479"/>
      <c r="P65" s="43">
        <f>R45</f>
        <v>0</v>
      </c>
      <c r="Q65" s="498" t="s">
        <v>79</v>
      </c>
      <c r="R65" s="498"/>
      <c r="S65" s="498"/>
      <c r="T65" s="497">
        <f>H65</f>
        <v>216845.88</v>
      </c>
      <c r="U65" s="497"/>
    </row>
    <row r="66" spans="1:21" s="37" customFormat="1" x14ac:dyDescent="0.25">
      <c r="A66" s="126"/>
      <c r="G66" s="45" t="s">
        <v>13</v>
      </c>
      <c r="H66" s="127">
        <f>ROUND(C65/H65,6)</f>
        <v>5.0199999999999995E-4</v>
      </c>
      <c r="I66" s="127"/>
      <c r="N66" s="482" t="s">
        <v>20</v>
      </c>
      <c r="O66" s="482"/>
      <c r="P66" s="482"/>
      <c r="Q66" s="482"/>
      <c r="R66" s="482"/>
      <c r="S66" s="482"/>
      <c r="T66" s="500">
        <f>ROUND(P65/T65,6)</f>
        <v>0</v>
      </c>
      <c r="U66" s="500"/>
    </row>
    <row r="67" spans="1:21" x14ac:dyDescent="0.25">
      <c r="A67" s="271"/>
      <c r="G67" s="44"/>
      <c r="H67" s="123"/>
      <c r="I67" s="123"/>
      <c r="N67" s="48"/>
      <c r="O67" s="48"/>
      <c r="P67" s="48"/>
      <c r="Q67" s="48"/>
      <c r="R67" s="128"/>
      <c r="S67" s="48"/>
      <c r="T67" s="129"/>
      <c r="U67" s="130"/>
    </row>
    <row r="68" spans="1:21" x14ac:dyDescent="0.25">
      <c r="A68" s="453" t="s">
        <v>85</v>
      </c>
      <c r="B68" s="453"/>
      <c r="C68" s="453"/>
      <c r="D68" s="72"/>
      <c r="E68" s="46" t="s">
        <v>3</v>
      </c>
      <c r="F68" s="325">
        <v>42465042</v>
      </c>
      <c r="G68" s="39" t="s">
        <v>6</v>
      </c>
      <c r="H68" s="131">
        <f>H63</f>
        <v>5.1199999999999998E-4</v>
      </c>
      <c r="I68" s="104">
        <f>ROUND(F68*H68,2)</f>
        <v>21742.1</v>
      </c>
      <c r="N68" s="479" t="s">
        <v>85</v>
      </c>
      <c r="O68" s="479"/>
      <c r="P68" s="479"/>
      <c r="Q68" s="47"/>
      <c r="R68" s="132">
        <f>F68</f>
        <v>42465042</v>
      </c>
      <c r="S68" s="40" t="s">
        <v>6</v>
      </c>
      <c r="T68" s="133">
        <f>T63</f>
        <v>0</v>
      </c>
      <c r="U68" s="99">
        <f>ROUND(R68*T68,0)</f>
        <v>0</v>
      </c>
    </row>
    <row r="69" spans="1:21" x14ac:dyDescent="0.25">
      <c r="A69" s="458" t="s">
        <v>96</v>
      </c>
      <c r="B69" s="453"/>
      <c r="C69" s="453"/>
      <c r="D69" s="72"/>
      <c r="E69" s="46"/>
      <c r="F69" s="307"/>
      <c r="G69" s="39"/>
      <c r="H69" s="131"/>
      <c r="I69" s="104"/>
      <c r="N69" s="479" t="s">
        <v>84</v>
      </c>
      <c r="O69" s="479"/>
      <c r="P69" s="479"/>
      <c r="Q69" s="54"/>
      <c r="R69" s="54"/>
      <c r="S69" s="54"/>
      <c r="T69" s="54"/>
      <c r="U69" s="54"/>
    </row>
    <row r="70" spans="1:21" x14ac:dyDescent="0.25">
      <c r="A70" s="465" t="s">
        <v>141</v>
      </c>
      <c r="B70" s="453"/>
      <c r="C70" s="453"/>
      <c r="D70" s="72"/>
      <c r="E70" s="46" t="s">
        <v>3</v>
      </c>
      <c r="F70" s="325">
        <v>0</v>
      </c>
      <c r="G70" s="39" t="s">
        <v>6</v>
      </c>
      <c r="H70" s="131">
        <f>H63</f>
        <v>5.1199999999999998E-4</v>
      </c>
      <c r="I70" s="104">
        <f>ROUND(F70*H70,2)</f>
        <v>0</v>
      </c>
      <c r="N70" s="48"/>
      <c r="O70" s="48"/>
      <c r="P70" s="48"/>
      <c r="Q70" s="47"/>
      <c r="R70" s="132">
        <f>F70</f>
        <v>0</v>
      </c>
      <c r="S70" s="40" t="s">
        <v>6</v>
      </c>
      <c r="T70" s="133">
        <f>T63</f>
        <v>0</v>
      </c>
      <c r="U70" s="99">
        <f>ROUND(R70*T70,0)</f>
        <v>0</v>
      </c>
    </row>
    <row r="71" spans="1:21" x14ac:dyDescent="0.25">
      <c r="A71" s="463" t="s">
        <v>433</v>
      </c>
      <c r="B71" s="453"/>
      <c r="C71" s="453"/>
      <c r="D71" s="72"/>
      <c r="E71" s="46" t="s">
        <v>3</v>
      </c>
      <c r="F71" s="325">
        <v>13414654</v>
      </c>
      <c r="G71" s="39" t="s">
        <v>6</v>
      </c>
      <c r="H71" s="131">
        <f>H63</f>
        <v>5.1199999999999998E-4</v>
      </c>
      <c r="I71" s="104">
        <f>ROUND(F71*H71,2)</f>
        <v>6868.3</v>
      </c>
      <c r="N71" s="479" t="s">
        <v>83</v>
      </c>
      <c r="O71" s="479"/>
      <c r="P71" s="479"/>
      <c r="Q71" s="47"/>
      <c r="R71" s="132">
        <f>F71</f>
        <v>13414654</v>
      </c>
      <c r="S71" s="40" t="s">
        <v>6</v>
      </c>
      <c r="T71" s="133">
        <f>T63</f>
        <v>0</v>
      </c>
      <c r="U71" s="99">
        <f>ROUND(R71*T71,0)</f>
        <v>0</v>
      </c>
    </row>
    <row r="72" spans="1:21" x14ac:dyDescent="0.25">
      <c r="A72" s="463" t="s">
        <v>434</v>
      </c>
      <c r="B72" s="453"/>
      <c r="C72" s="453"/>
      <c r="D72" s="72"/>
      <c r="E72" s="46" t="s">
        <v>3</v>
      </c>
      <c r="F72" s="325">
        <v>14708421</v>
      </c>
      <c r="G72" s="39" t="s">
        <v>6</v>
      </c>
      <c r="H72" s="131">
        <f>H63</f>
        <v>5.1199999999999998E-4</v>
      </c>
      <c r="I72" s="104">
        <f>ROUND(F72*H72,2)</f>
        <v>7530.71</v>
      </c>
      <c r="N72" s="479" t="s">
        <v>82</v>
      </c>
      <c r="O72" s="479"/>
      <c r="P72" s="479"/>
      <c r="Q72" s="47"/>
      <c r="R72" s="134">
        <f>F72</f>
        <v>14708421</v>
      </c>
      <c r="S72" s="40" t="s">
        <v>6</v>
      </c>
      <c r="T72" s="133">
        <f>T63</f>
        <v>0</v>
      </c>
      <c r="U72" s="99">
        <f>ROUND(R72*T72,0)</f>
        <v>0</v>
      </c>
    </row>
    <row r="73" spans="1:21" x14ac:dyDescent="0.25">
      <c r="A73" s="263" t="s">
        <v>99</v>
      </c>
      <c r="D73" s="72"/>
      <c r="E73" s="41" t="s">
        <v>353</v>
      </c>
      <c r="F73" s="466"/>
      <c r="G73" s="466"/>
      <c r="H73" s="466"/>
      <c r="I73" s="104">
        <v>0</v>
      </c>
      <c r="N73" s="499" t="s">
        <v>118</v>
      </c>
      <c r="O73" s="499"/>
      <c r="P73" s="499"/>
      <c r="Q73" s="499"/>
      <c r="R73" s="499"/>
      <c r="S73" s="499"/>
      <c r="T73" s="499"/>
      <c r="U73" s="99">
        <f>IF($H$120=1,I73,0)</f>
        <v>0</v>
      </c>
    </row>
    <row r="74" spans="1:21" x14ac:dyDescent="0.25">
      <c r="A74" s="264" t="s">
        <v>142</v>
      </c>
      <c r="I74" s="104">
        <v>0</v>
      </c>
      <c r="N74" s="499" t="s">
        <v>43</v>
      </c>
      <c r="O74" s="499"/>
      <c r="P74" s="499"/>
      <c r="Q74" s="499"/>
      <c r="R74" s="499"/>
      <c r="S74" s="499"/>
      <c r="T74" s="499"/>
      <c r="U74" s="99">
        <f>IF($H$120=1,I74,0)</f>
        <v>0</v>
      </c>
    </row>
    <row r="75" spans="1:21" x14ac:dyDescent="0.25">
      <c r="A75" s="324" t="s">
        <v>101</v>
      </c>
      <c r="B75" s="72"/>
      <c r="C75" s="72"/>
      <c r="D75" s="72"/>
      <c r="E75" s="72"/>
      <c r="F75" s="72"/>
      <c r="G75" s="72"/>
      <c r="H75" s="72"/>
      <c r="I75" s="135"/>
      <c r="N75" s="382" t="s">
        <v>44</v>
      </c>
      <c r="O75" s="48"/>
      <c r="P75" s="48"/>
      <c r="Q75" s="48"/>
      <c r="R75" s="48"/>
      <c r="S75" s="48"/>
      <c r="T75" s="48"/>
      <c r="U75" s="106"/>
    </row>
    <row r="76" spans="1:21" x14ac:dyDescent="0.25">
      <c r="A76" s="463" t="s">
        <v>435</v>
      </c>
      <c r="B76" s="453"/>
      <c r="C76" s="453"/>
      <c r="D76" s="72"/>
      <c r="E76" s="46" t="s">
        <v>3</v>
      </c>
      <c r="F76" s="325">
        <v>8720092</v>
      </c>
      <c r="G76" s="39" t="s">
        <v>6</v>
      </c>
      <c r="H76" s="131">
        <f>H63</f>
        <v>5.1199999999999998E-4</v>
      </c>
      <c r="I76" s="104">
        <f t="shared" ref="I76:I85" si="14">ROUND(F76*H76,2)</f>
        <v>4464.6899999999996</v>
      </c>
      <c r="N76" s="478" t="s">
        <v>366</v>
      </c>
      <c r="O76" s="479"/>
      <c r="P76" s="479"/>
      <c r="Q76" s="47"/>
      <c r="R76" s="134">
        <f t="shared" ref="R76:R85" si="15">F76</f>
        <v>8720092</v>
      </c>
      <c r="S76" s="40" t="s">
        <v>6</v>
      </c>
      <c r="T76" s="133">
        <f>T63</f>
        <v>0</v>
      </c>
      <c r="U76" s="99">
        <f t="shared" ref="U76:U85" si="16">ROUND(R76*T76,0)</f>
        <v>0</v>
      </c>
    </row>
    <row r="77" spans="1:21" x14ac:dyDescent="0.25">
      <c r="A77" s="463" t="s">
        <v>436</v>
      </c>
      <c r="B77" s="453"/>
      <c r="C77" s="453"/>
      <c r="D77" s="72"/>
      <c r="E77" s="46" t="s">
        <v>3</v>
      </c>
      <c r="F77" s="325">
        <v>0</v>
      </c>
      <c r="G77" s="39" t="s">
        <v>6</v>
      </c>
      <c r="H77" s="131">
        <f>H63</f>
        <v>5.1199999999999998E-4</v>
      </c>
      <c r="I77" s="104">
        <f t="shared" si="14"/>
        <v>0</v>
      </c>
      <c r="N77" s="479" t="s">
        <v>367</v>
      </c>
      <c r="O77" s="479"/>
      <c r="P77" s="479"/>
      <c r="Q77" s="47"/>
      <c r="R77" s="134">
        <f t="shared" si="15"/>
        <v>0</v>
      </c>
      <c r="S77" s="40" t="s">
        <v>6</v>
      </c>
      <c r="T77" s="133">
        <f>T63</f>
        <v>0</v>
      </c>
      <c r="U77" s="99">
        <f t="shared" si="16"/>
        <v>0</v>
      </c>
    </row>
    <row r="78" spans="1:21" x14ac:dyDescent="0.25">
      <c r="A78" s="463" t="s">
        <v>437</v>
      </c>
      <c r="B78" s="453"/>
      <c r="C78" s="453"/>
      <c r="D78" s="72"/>
      <c r="E78" s="46" t="s">
        <v>4</v>
      </c>
      <c r="F78" s="325">
        <v>0</v>
      </c>
      <c r="G78" s="39" t="s">
        <v>6</v>
      </c>
      <c r="H78" s="131">
        <f>H66</f>
        <v>5.0199999999999995E-4</v>
      </c>
      <c r="I78" s="104">
        <f t="shared" si="14"/>
        <v>0</v>
      </c>
      <c r="N78" s="478" t="s">
        <v>392</v>
      </c>
      <c r="O78" s="479"/>
      <c r="P78" s="479"/>
      <c r="Q78" s="47"/>
      <c r="R78" s="134">
        <f t="shared" si="15"/>
        <v>0</v>
      </c>
      <c r="S78" s="40" t="s">
        <v>6</v>
      </c>
      <c r="T78" s="133">
        <f>T66</f>
        <v>0</v>
      </c>
      <c r="U78" s="99">
        <f t="shared" si="16"/>
        <v>0</v>
      </c>
    </row>
    <row r="79" spans="1:21" x14ac:dyDescent="0.25">
      <c r="A79" s="463" t="s">
        <v>438</v>
      </c>
      <c r="B79" s="453"/>
      <c r="C79" s="453"/>
      <c r="D79" s="72"/>
      <c r="E79" s="46" t="s">
        <v>4</v>
      </c>
      <c r="F79" s="325">
        <v>11278687</v>
      </c>
      <c r="G79" s="39" t="s">
        <v>6</v>
      </c>
      <c r="H79" s="131">
        <f>H66</f>
        <v>5.0199999999999995E-4</v>
      </c>
      <c r="I79" s="104">
        <f t="shared" si="14"/>
        <v>5661.9</v>
      </c>
      <c r="N79" s="478" t="s">
        <v>393</v>
      </c>
      <c r="O79" s="479"/>
      <c r="P79" s="479"/>
      <c r="Q79" s="47"/>
      <c r="R79" s="134">
        <f t="shared" si="15"/>
        <v>11278687</v>
      </c>
      <c r="S79" s="40" t="s">
        <v>6</v>
      </c>
      <c r="T79" s="133">
        <f>T66</f>
        <v>0</v>
      </c>
      <c r="U79" s="99">
        <f t="shared" si="16"/>
        <v>0</v>
      </c>
    </row>
    <row r="80" spans="1:21" x14ac:dyDescent="0.25">
      <c r="A80" s="463" t="s">
        <v>439</v>
      </c>
      <c r="B80" s="453"/>
      <c r="C80" s="453"/>
      <c r="D80" s="72"/>
      <c r="E80" s="46" t="s">
        <v>4</v>
      </c>
      <c r="F80" s="325">
        <v>206284749</v>
      </c>
      <c r="G80" s="39" t="s">
        <v>6</v>
      </c>
      <c r="H80" s="131">
        <f>H66</f>
        <v>5.0199999999999995E-4</v>
      </c>
      <c r="I80" s="104">
        <f t="shared" si="14"/>
        <v>103554.94</v>
      </c>
      <c r="N80" s="478" t="s">
        <v>397</v>
      </c>
      <c r="O80" s="479"/>
      <c r="P80" s="479"/>
      <c r="Q80" s="47"/>
      <c r="R80" s="134">
        <f t="shared" si="15"/>
        <v>206284749</v>
      </c>
      <c r="S80" s="40" t="s">
        <v>6</v>
      </c>
      <c r="T80" s="133">
        <f>T66</f>
        <v>0</v>
      </c>
      <c r="U80" s="99">
        <f t="shared" si="16"/>
        <v>0</v>
      </c>
    </row>
    <row r="81" spans="1:21" x14ac:dyDescent="0.25">
      <c r="A81" s="84" t="s">
        <v>440</v>
      </c>
      <c r="B81" s="72"/>
      <c r="C81" s="72"/>
      <c r="D81" s="72"/>
      <c r="E81" s="46"/>
      <c r="F81" s="325"/>
      <c r="G81" s="39"/>
      <c r="H81" s="131"/>
      <c r="I81" s="104"/>
      <c r="N81" s="419" t="s">
        <v>440</v>
      </c>
      <c r="O81" s="48"/>
      <c r="P81" s="48"/>
      <c r="Q81" s="47"/>
      <c r="R81" s="423"/>
      <c r="S81" s="40"/>
      <c r="T81" s="133"/>
      <c r="U81" s="120"/>
    </row>
    <row r="82" spans="1:21" x14ac:dyDescent="0.25">
      <c r="A82" s="264" t="s">
        <v>441</v>
      </c>
      <c r="B82" s="72"/>
      <c r="C82" s="72"/>
      <c r="D82" s="72"/>
      <c r="E82" s="46" t="s">
        <v>442</v>
      </c>
      <c r="F82" s="325">
        <v>0</v>
      </c>
      <c r="G82" s="39" t="s">
        <v>6</v>
      </c>
      <c r="H82" s="131">
        <f>H66</f>
        <v>5.0199999999999995E-4</v>
      </c>
      <c r="I82" s="104">
        <v>17191.349999999999</v>
      </c>
      <c r="N82" s="422" t="s">
        <v>441</v>
      </c>
      <c r="O82" s="48"/>
      <c r="P82" s="48"/>
      <c r="Q82" s="47"/>
      <c r="R82" s="134">
        <f t="shared" si="15"/>
        <v>0</v>
      </c>
      <c r="S82" s="40"/>
      <c r="T82" s="133"/>
      <c r="U82" s="99">
        <f t="shared" si="16"/>
        <v>0</v>
      </c>
    </row>
    <row r="83" spans="1:21" x14ac:dyDescent="0.25">
      <c r="A83" s="264" t="s">
        <v>443</v>
      </c>
      <c r="B83" s="72"/>
      <c r="C83" s="72"/>
      <c r="D83" s="72"/>
      <c r="E83" s="46" t="s">
        <v>442</v>
      </c>
      <c r="F83" s="325">
        <v>0</v>
      </c>
      <c r="G83" s="39" t="s">
        <v>6</v>
      </c>
      <c r="H83" s="131">
        <f>H66</f>
        <v>5.0199999999999995E-4</v>
      </c>
      <c r="I83" s="104">
        <f t="shared" si="14"/>
        <v>0</v>
      </c>
      <c r="N83" s="422" t="s">
        <v>443</v>
      </c>
      <c r="O83" s="48"/>
      <c r="P83" s="48"/>
      <c r="Q83" s="47"/>
      <c r="R83" s="134">
        <f t="shared" si="15"/>
        <v>0</v>
      </c>
      <c r="S83" s="40"/>
      <c r="T83" s="133"/>
      <c r="U83" s="99">
        <f t="shared" si="16"/>
        <v>0</v>
      </c>
    </row>
    <row r="84" spans="1:21" x14ac:dyDescent="0.25">
      <c r="A84" s="420" t="s">
        <v>444</v>
      </c>
      <c r="B84" s="72"/>
      <c r="C84" s="72"/>
      <c r="D84" s="72"/>
      <c r="E84" s="46"/>
      <c r="F84" s="325"/>
      <c r="G84" s="39"/>
      <c r="H84" s="131"/>
      <c r="I84" s="104">
        <f>I82+I83</f>
        <v>17191.349999999999</v>
      </c>
      <c r="N84" s="421" t="s">
        <v>444</v>
      </c>
      <c r="O84" s="48"/>
      <c r="P84" s="48"/>
      <c r="Q84" s="47"/>
      <c r="R84" s="423"/>
      <c r="S84" s="40"/>
      <c r="T84" s="133"/>
      <c r="U84" s="99">
        <f>U82+U83</f>
        <v>0</v>
      </c>
    </row>
    <row r="85" spans="1:21" x14ac:dyDescent="0.25">
      <c r="A85" s="463" t="s">
        <v>398</v>
      </c>
      <c r="B85" s="453"/>
      <c r="C85" s="453"/>
      <c r="D85" s="72"/>
      <c r="E85" s="46" t="s">
        <v>4</v>
      </c>
      <c r="F85" s="325">
        <v>0</v>
      </c>
      <c r="G85" s="39" t="s">
        <v>6</v>
      </c>
      <c r="H85" s="131">
        <f>H66</f>
        <v>5.0199999999999995E-4</v>
      </c>
      <c r="I85" s="104">
        <f t="shared" si="14"/>
        <v>0</v>
      </c>
      <c r="N85" s="478" t="s">
        <v>398</v>
      </c>
      <c r="O85" s="479"/>
      <c r="P85" s="479"/>
      <c r="Q85" s="47"/>
      <c r="R85" s="132">
        <f t="shared" si="15"/>
        <v>0</v>
      </c>
      <c r="S85" s="40" t="s">
        <v>6</v>
      </c>
      <c r="T85" s="133">
        <f>T66</f>
        <v>0</v>
      </c>
      <c r="U85" s="99">
        <f t="shared" si="16"/>
        <v>0</v>
      </c>
    </row>
    <row r="86" spans="1:21" x14ac:dyDescent="0.25">
      <c r="B86" s="72"/>
      <c r="C86" s="72"/>
      <c r="D86" s="72"/>
      <c r="E86" s="46"/>
      <c r="F86" s="136"/>
      <c r="G86" s="39"/>
      <c r="H86" s="131"/>
      <c r="I86" s="104"/>
      <c r="N86" s="48"/>
      <c r="O86" s="48"/>
      <c r="P86" s="48"/>
      <c r="Q86" s="47"/>
      <c r="R86" s="137"/>
      <c r="S86" s="40"/>
      <c r="T86" s="133"/>
      <c r="U86" s="106"/>
    </row>
    <row r="87" spans="1:21" x14ac:dyDescent="0.25">
      <c r="A87" s="463" t="s">
        <v>445</v>
      </c>
      <c r="B87" s="453"/>
      <c r="C87" s="453"/>
      <c r="D87" s="453"/>
      <c r="E87" s="453"/>
      <c r="F87" s="453"/>
      <c r="G87" s="453"/>
      <c r="H87" s="453"/>
      <c r="I87" s="453"/>
      <c r="N87" s="478" t="s">
        <v>429</v>
      </c>
      <c r="O87" s="479"/>
      <c r="P87" s="479"/>
      <c r="Q87" s="479"/>
      <c r="R87" s="479"/>
      <c r="S87" s="479"/>
      <c r="T87" s="479"/>
      <c r="U87" s="479"/>
    </row>
    <row r="88" spans="1:21" x14ac:dyDescent="0.25">
      <c r="B88" s="72"/>
      <c r="C88" s="466" t="s">
        <v>73</v>
      </c>
      <c r="D88" s="466"/>
      <c r="E88" s="72"/>
      <c r="F88" s="41" t="s">
        <v>37</v>
      </c>
      <c r="G88" s="72"/>
      <c r="H88" s="72"/>
      <c r="I88" s="72"/>
      <c r="N88" s="48"/>
      <c r="O88" s="48"/>
      <c r="P88" s="48"/>
      <c r="Q88" s="48"/>
      <c r="R88" s="48"/>
      <c r="S88" s="48"/>
      <c r="T88" s="48"/>
      <c r="U88" s="48"/>
    </row>
    <row r="89" spans="1:21" x14ac:dyDescent="0.25">
      <c r="A89" s="3"/>
      <c r="B89" s="138"/>
      <c r="C89" s="462" t="s">
        <v>144</v>
      </c>
      <c r="D89" s="462"/>
      <c r="E89" s="139" t="s">
        <v>150</v>
      </c>
      <c r="F89" s="140" t="s">
        <v>149</v>
      </c>
      <c r="G89" s="141"/>
      <c r="H89" s="141"/>
      <c r="I89" s="141"/>
      <c r="N89" s="495" t="s">
        <v>46</v>
      </c>
      <c r="O89" s="495"/>
      <c r="P89" s="496" t="s">
        <v>119</v>
      </c>
      <c r="Q89" s="496"/>
      <c r="R89" s="497" t="s">
        <v>40</v>
      </c>
      <c r="S89" s="497"/>
      <c r="T89" s="497"/>
      <c r="U89" s="497"/>
    </row>
    <row r="90" spans="1:21" x14ac:dyDescent="0.25">
      <c r="A90" s="27"/>
      <c r="B90" s="55" t="s">
        <v>148</v>
      </c>
      <c r="C90" s="467">
        <f>H13+H14+H19+H22+H25</f>
        <v>53.607700000000001</v>
      </c>
      <c r="D90" s="467"/>
      <c r="E90" s="49">
        <f>H8</f>
        <v>1.0438000000000001</v>
      </c>
      <c r="F90" s="326">
        <v>957.94</v>
      </c>
      <c r="G90" s="41" t="s">
        <v>13</v>
      </c>
      <c r="H90" s="104">
        <f>ROUND(C90*E90*F90,2)</f>
        <v>53602.22</v>
      </c>
      <c r="I90" s="107"/>
      <c r="N90" s="29" t="s">
        <v>22</v>
      </c>
      <c r="O90" s="50">
        <f>T13+T14+T19+T22+T25</f>
        <v>0</v>
      </c>
      <c r="P90" s="490">
        <f>T8</f>
        <v>1.0438000000000001</v>
      </c>
      <c r="Q90" s="490"/>
      <c r="R90" s="51">
        <f>F90</f>
        <v>957.94</v>
      </c>
      <c r="S90" s="42" t="s">
        <v>13</v>
      </c>
      <c r="T90" s="134">
        <f>ROUND(O90*P90*R90,0)</f>
        <v>0</v>
      </c>
      <c r="U90" s="105"/>
    </row>
    <row r="91" spans="1:21" x14ac:dyDescent="0.25">
      <c r="A91" s="52"/>
      <c r="B91" s="52" t="s">
        <v>147</v>
      </c>
      <c r="C91" s="467">
        <f>H15+H16+H20+H23+H26</f>
        <v>55.201300000000003</v>
      </c>
      <c r="D91" s="467"/>
      <c r="E91" s="49">
        <f>H8</f>
        <v>1.0438000000000001</v>
      </c>
      <c r="F91" s="326">
        <v>914.63</v>
      </c>
      <c r="G91" s="41" t="s">
        <v>13</v>
      </c>
      <c r="H91" s="104">
        <f>ROUND(C91*E91*F91,2)</f>
        <v>52700.17</v>
      </c>
      <c r="N91" s="53" t="s">
        <v>14</v>
      </c>
      <c r="O91" s="50">
        <f>T15+T16+T20+T23+T26</f>
        <v>0</v>
      </c>
      <c r="P91" s="490">
        <f>T8</f>
        <v>1.0438000000000001</v>
      </c>
      <c r="Q91" s="490"/>
      <c r="R91" s="51">
        <f>F91</f>
        <v>914.63</v>
      </c>
      <c r="S91" s="42" t="s">
        <v>13</v>
      </c>
      <c r="T91" s="134">
        <f>ROUND(O91*P91*R91,0)</f>
        <v>0</v>
      </c>
      <c r="U91" s="54"/>
    </row>
    <row r="92" spans="1:21" ht="16.5" thickBot="1" x14ac:dyDescent="0.3">
      <c r="A92" s="55"/>
      <c r="B92" s="55" t="s">
        <v>146</v>
      </c>
      <c r="C92" s="467">
        <f>H17+H18+H21+H24+H27+H28</f>
        <v>0</v>
      </c>
      <c r="D92" s="467"/>
      <c r="E92" s="49">
        <f>H8</f>
        <v>1.0438000000000001</v>
      </c>
      <c r="F92" s="326">
        <v>916.84</v>
      </c>
      <c r="G92" s="41" t="s">
        <v>13</v>
      </c>
      <c r="H92" s="97">
        <f>ROUND(C92*E92*F92,2)</f>
        <v>0</v>
      </c>
      <c r="N92" s="56" t="s">
        <v>15</v>
      </c>
      <c r="O92" s="57">
        <f>T17+T18+T21+T24+T27+T28</f>
        <v>0</v>
      </c>
      <c r="P92" s="490">
        <f>T8</f>
        <v>1.0438000000000001</v>
      </c>
      <c r="Q92" s="490"/>
      <c r="R92" s="51">
        <f>F92</f>
        <v>916.84</v>
      </c>
      <c r="S92" s="42" t="s">
        <v>13</v>
      </c>
      <c r="T92" s="134">
        <f>ROUND(O92*P92*R92,0)</f>
        <v>0</v>
      </c>
      <c r="U92" s="54"/>
    </row>
    <row r="93" spans="1:21" ht="16.5" thickBot="1" x14ac:dyDescent="0.3">
      <c r="A93" s="58"/>
      <c r="B93" s="142" t="s">
        <v>145</v>
      </c>
      <c r="C93" s="469">
        <f>SUM(C90:C92)</f>
        <v>108.809</v>
      </c>
      <c r="D93" s="469"/>
      <c r="E93" s="143"/>
      <c r="F93" s="143"/>
      <c r="G93" s="143"/>
      <c r="H93" s="144" t="s">
        <v>143</v>
      </c>
      <c r="I93" s="104">
        <f>IF(A1=75,0,H92+H91+H90)</f>
        <v>106302.39</v>
      </c>
      <c r="N93" s="59" t="s">
        <v>120</v>
      </c>
      <c r="O93" s="60">
        <f>SUM(O90:O92)</f>
        <v>0</v>
      </c>
      <c r="P93" s="491" t="s">
        <v>18</v>
      </c>
      <c r="Q93" s="492"/>
      <c r="R93" s="492"/>
      <c r="S93" s="492"/>
      <c r="T93" s="492"/>
      <c r="U93" s="99">
        <f>IF(N1=75,0,T92+T91+T90)</f>
        <v>0</v>
      </c>
    </row>
    <row r="94" spans="1:21" ht="16.5" thickTop="1" x14ac:dyDescent="0.25">
      <c r="A94" s="540" t="s">
        <v>90</v>
      </c>
      <c r="B94" s="540"/>
      <c r="C94" s="540"/>
      <c r="D94" s="540"/>
      <c r="E94" s="540"/>
      <c r="F94" s="540"/>
      <c r="G94" s="540"/>
      <c r="H94" s="540"/>
      <c r="I94" s="540"/>
      <c r="N94" s="493" t="s">
        <v>90</v>
      </c>
      <c r="O94" s="493"/>
      <c r="P94" s="493"/>
      <c r="Q94" s="493"/>
      <c r="R94" s="493"/>
      <c r="S94" s="493"/>
      <c r="T94" s="493"/>
      <c r="U94" s="493"/>
    </row>
    <row r="95" spans="1:21" x14ac:dyDescent="0.25">
      <c r="A95" s="145"/>
      <c r="B95" s="145"/>
      <c r="C95" s="145"/>
      <c r="D95" s="145"/>
      <c r="E95" s="145"/>
      <c r="F95" s="145"/>
      <c r="G95" s="145"/>
      <c r="H95" s="145"/>
      <c r="I95" s="145"/>
      <c r="N95" s="146"/>
      <c r="O95" s="146"/>
      <c r="P95" s="146"/>
      <c r="Q95" s="146"/>
      <c r="R95" s="146"/>
      <c r="S95" s="146"/>
      <c r="T95" s="146"/>
      <c r="U95" s="146"/>
    </row>
    <row r="96" spans="1:21" x14ac:dyDescent="0.25">
      <c r="A96" s="84" t="s">
        <v>446</v>
      </c>
      <c r="C96" s="46"/>
      <c r="D96" s="72"/>
      <c r="E96" s="46" t="s">
        <v>100</v>
      </c>
      <c r="F96" s="471"/>
      <c r="G96" s="471"/>
      <c r="H96" s="471"/>
      <c r="I96" s="471"/>
      <c r="N96" s="478" t="s">
        <v>426</v>
      </c>
      <c r="O96" s="479"/>
      <c r="P96" s="479"/>
      <c r="Q96" s="494"/>
      <c r="R96" s="494"/>
      <c r="S96" s="494"/>
      <c r="T96" s="494"/>
      <c r="U96" s="106"/>
    </row>
    <row r="97" spans="1:21" x14ac:dyDescent="0.25">
      <c r="B97" s="72"/>
      <c r="C97" s="91" t="s">
        <v>409</v>
      </c>
      <c r="D97" s="371" t="s">
        <v>410</v>
      </c>
      <c r="E97" s="92" t="s">
        <v>151</v>
      </c>
      <c r="F97" s="46"/>
      <c r="G97" s="46"/>
      <c r="H97" s="46"/>
      <c r="I97" s="46"/>
      <c r="N97" s="48"/>
      <c r="O97" s="48"/>
      <c r="P97" s="48"/>
      <c r="Q97" s="147"/>
      <c r="R97" s="147"/>
      <c r="S97" s="147"/>
      <c r="T97" s="147"/>
      <c r="U97" s="106"/>
    </row>
    <row r="98" spans="1:21" x14ac:dyDescent="0.25">
      <c r="B98" s="72"/>
      <c r="C98" s="362" t="s">
        <v>2</v>
      </c>
      <c r="D98" s="362" t="s">
        <v>2</v>
      </c>
      <c r="E98" s="93" t="s">
        <v>2</v>
      </c>
      <c r="F98" s="46"/>
      <c r="G98" s="46"/>
      <c r="H98" s="46"/>
      <c r="I98" s="46"/>
      <c r="N98" s="48"/>
      <c r="O98" s="48"/>
      <c r="P98" s="48"/>
      <c r="Q98" s="147"/>
      <c r="R98" s="147"/>
      <c r="S98" s="147"/>
      <c r="T98" s="147"/>
      <c r="U98" s="106"/>
    </row>
    <row r="99" spans="1:21" x14ac:dyDescent="0.25">
      <c r="A99" s="536" t="s">
        <v>470</v>
      </c>
      <c r="B99" s="461"/>
      <c r="C99" s="165">
        <v>0</v>
      </c>
      <c r="D99" s="165">
        <v>0</v>
      </c>
      <c r="E99" s="125">
        <f>C99</f>
        <v>0</v>
      </c>
      <c r="F99" s="148" t="s">
        <v>39</v>
      </c>
      <c r="G99" s="327">
        <v>558</v>
      </c>
      <c r="I99" s="104">
        <f>ROUND(G99*E99,2)</f>
        <v>0</v>
      </c>
      <c r="N99" s="488" t="s">
        <v>65</v>
      </c>
      <c r="O99" s="488"/>
      <c r="P99" s="489">
        <f>IF(H120=1,E99,0)</f>
        <v>0</v>
      </c>
      <c r="Q99" s="489"/>
      <c r="R99" s="489"/>
      <c r="S99" s="86" t="s">
        <v>39</v>
      </c>
      <c r="T99" s="61">
        <f>G99</f>
        <v>558</v>
      </c>
      <c r="U99" s="99">
        <f>ROUND(T99*P99,0)</f>
        <v>0</v>
      </c>
    </row>
    <row r="100" spans="1:21" x14ac:dyDescent="0.25">
      <c r="A100" s="536" t="s">
        <v>471</v>
      </c>
      <c r="B100" s="461"/>
      <c r="C100" s="165">
        <v>0</v>
      </c>
      <c r="D100" s="165">
        <v>0</v>
      </c>
      <c r="E100" s="125">
        <f>C100</f>
        <v>0</v>
      </c>
      <c r="F100" s="148" t="s">
        <v>39</v>
      </c>
      <c r="G100" s="327">
        <v>1707</v>
      </c>
      <c r="I100" s="104">
        <f>ROUND(G100*E100,2)</f>
        <v>0</v>
      </c>
      <c r="N100" s="488" t="s">
        <v>81</v>
      </c>
      <c r="O100" s="488"/>
      <c r="P100" s="483"/>
      <c r="Q100" s="483"/>
      <c r="R100" s="483"/>
      <c r="S100" s="86" t="s">
        <v>39</v>
      </c>
      <c r="T100" s="61">
        <f>G100</f>
        <v>1707</v>
      </c>
      <c r="U100" s="99">
        <f>ROUND(T100*P100,0)</f>
        <v>0</v>
      </c>
    </row>
    <row r="101" spans="1:21" x14ac:dyDescent="0.25">
      <c r="A101" s="149"/>
      <c r="B101" s="149"/>
      <c r="C101" s="68"/>
      <c r="D101" s="68"/>
      <c r="E101" s="68"/>
      <c r="F101" s="68"/>
      <c r="G101" s="150"/>
      <c r="H101" s="151"/>
      <c r="I101" s="104"/>
      <c r="N101" s="152"/>
      <c r="O101" s="152"/>
      <c r="P101" s="153"/>
      <c r="Q101" s="153"/>
      <c r="R101" s="153"/>
      <c r="S101" s="86"/>
      <c r="T101" s="61"/>
      <c r="U101" s="106"/>
    </row>
    <row r="102" spans="1:21" x14ac:dyDescent="0.25">
      <c r="A102" s="149"/>
      <c r="B102" s="149"/>
      <c r="C102" s="68"/>
      <c r="D102" s="68"/>
      <c r="E102" s="68"/>
      <c r="F102" s="68"/>
      <c r="G102" s="150"/>
      <c r="H102" s="151"/>
      <c r="I102" s="104"/>
      <c r="N102" s="152"/>
      <c r="O102" s="152"/>
      <c r="P102" s="153"/>
      <c r="Q102" s="153"/>
      <c r="R102" s="153"/>
      <c r="S102" s="86"/>
      <c r="T102" s="61"/>
      <c r="U102" s="106"/>
    </row>
    <row r="103" spans="1:21" x14ac:dyDescent="0.25">
      <c r="A103" s="463" t="s">
        <v>447</v>
      </c>
      <c r="B103" s="453"/>
      <c r="C103" s="453"/>
      <c r="D103" s="72"/>
      <c r="E103" s="41" t="s">
        <v>41</v>
      </c>
      <c r="F103" s="466"/>
      <c r="G103" s="466"/>
      <c r="H103" s="466"/>
      <c r="I103" s="466"/>
      <c r="N103" s="478" t="s">
        <v>362</v>
      </c>
      <c r="O103" s="479"/>
      <c r="P103" s="479"/>
      <c r="Q103" s="479"/>
      <c r="R103" s="479"/>
      <c r="S103" s="479"/>
      <c r="T103" s="479"/>
      <c r="U103" s="479"/>
    </row>
    <row r="104" spans="1:21" x14ac:dyDescent="0.25">
      <c r="B104" s="72"/>
      <c r="C104" s="462" t="s">
        <v>91</v>
      </c>
      <c r="D104" s="462"/>
      <c r="E104" s="462"/>
      <c r="F104" s="39"/>
      <c r="G104" s="39"/>
      <c r="H104" s="41" t="s">
        <v>152</v>
      </c>
      <c r="I104" s="39"/>
      <c r="N104" s="48"/>
      <c r="O104" s="48"/>
      <c r="P104" s="48"/>
      <c r="Q104" s="48"/>
      <c r="R104" s="48"/>
      <c r="S104" s="48"/>
      <c r="T104" s="48"/>
      <c r="U104" s="48"/>
    </row>
    <row r="105" spans="1:21" x14ac:dyDescent="0.25">
      <c r="B105" s="72"/>
      <c r="C105" s="91" t="s">
        <v>371</v>
      </c>
      <c r="D105" s="91" t="s">
        <v>351</v>
      </c>
      <c r="E105" s="159" t="s">
        <v>8</v>
      </c>
      <c r="F105" s="464" t="s">
        <v>153</v>
      </c>
      <c r="G105" s="466"/>
      <c r="H105" s="39" t="s">
        <v>38</v>
      </c>
      <c r="I105" s="39"/>
      <c r="N105" s="48"/>
      <c r="O105" s="48"/>
      <c r="P105" s="48"/>
      <c r="Q105" s="48"/>
      <c r="R105" s="48"/>
      <c r="S105" s="48"/>
      <c r="T105" s="48"/>
      <c r="U105" s="48"/>
    </row>
    <row r="106" spans="1:21" x14ac:dyDescent="0.25">
      <c r="A106" s="462" t="s">
        <v>94</v>
      </c>
      <c r="B106" s="462"/>
      <c r="C106" s="93" t="s">
        <v>2</v>
      </c>
      <c r="D106" s="93" t="s">
        <v>2</v>
      </c>
      <c r="E106" s="62" t="s">
        <v>2</v>
      </c>
      <c r="F106" s="462" t="s">
        <v>37</v>
      </c>
      <c r="G106" s="462"/>
      <c r="H106" s="62" t="s">
        <v>37</v>
      </c>
      <c r="I106" s="62" t="s">
        <v>8</v>
      </c>
      <c r="N106" s="484" t="s">
        <v>66</v>
      </c>
      <c r="O106" s="484"/>
      <c r="P106" s="489" t="s">
        <v>91</v>
      </c>
      <c r="Q106" s="489"/>
      <c r="R106" s="484" t="s">
        <v>67</v>
      </c>
      <c r="S106" s="484"/>
      <c r="T106" s="63" t="s">
        <v>68</v>
      </c>
      <c r="U106" s="63" t="s">
        <v>8</v>
      </c>
    </row>
    <row r="107" spans="1:21" x14ac:dyDescent="0.25">
      <c r="A107" s="473" t="s">
        <v>69</v>
      </c>
      <c r="B107" s="473"/>
      <c r="C107" s="163">
        <v>0</v>
      </c>
      <c r="D107" s="163">
        <v>0</v>
      </c>
      <c r="E107" s="210">
        <f>IF(D$59=0,C107*2,C107+D107)</f>
        <v>0</v>
      </c>
      <c r="F107" s="474">
        <v>0</v>
      </c>
      <c r="G107" s="474"/>
      <c r="H107" s="250">
        <f>IF(C107=0,0,125)</f>
        <v>0</v>
      </c>
      <c r="I107" s="104">
        <f>ROUND((H107+F107)*E107,2)</f>
        <v>0</v>
      </c>
      <c r="N107" s="479" t="s">
        <v>69</v>
      </c>
      <c r="O107" s="479"/>
      <c r="P107" s="483">
        <f>IF(H$120=1,C107,0)</f>
        <v>0</v>
      </c>
      <c r="Q107" s="483"/>
      <c r="R107" s="486">
        <f>F107</f>
        <v>0</v>
      </c>
      <c r="S107" s="486"/>
      <c r="T107" s="65">
        <f>H107</f>
        <v>0</v>
      </c>
      <c r="U107" s="99">
        <f>ROUND((T107+R107)*P107,0)</f>
        <v>0</v>
      </c>
    </row>
    <row r="108" spans="1:21" x14ac:dyDescent="0.25">
      <c r="A108" s="456" t="s">
        <v>70</v>
      </c>
      <c r="B108" s="456"/>
      <c r="C108" s="165">
        <v>0</v>
      </c>
      <c r="D108" s="165">
        <v>0</v>
      </c>
      <c r="E108" s="125">
        <f>IF(D$59=0,C108*2,C108+D108)</f>
        <v>0</v>
      </c>
      <c r="F108" s="468">
        <f>ROUND(F107/2,2)</f>
        <v>0</v>
      </c>
      <c r="G108" s="468"/>
      <c r="H108" s="250">
        <f>IF(C108=0,0,62.5)</f>
        <v>0</v>
      </c>
      <c r="I108" s="104">
        <f>ROUND((H108+F108)*E108,2)</f>
        <v>0</v>
      </c>
      <c r="N108" s="479" t="s">
        <v>70</v>
      </c>
      <c r="O108" s="479"/>
      <c r="P108" s="483">
        <f>IF(H$120=1,C108,0)</f>
        <v>0</v>
      </c>
      <c r="Q108" s="483"/>
      <c r="R108" s="487">
        <f>ROUND(R107/2,2)</f>
        <v>0</v>
      </c>
      <c r="S108" s="487"/>
      <c r="T108" s="65">
        <f>H108</f>
        <v>0</v>
      </c>
      <c r="U108" s="99">
        <f>ROUND((T108+R108)*P108,0)</f>
        <v>0</v>
      </c>
    </row>
    <row r="109" spans="1:21" ht="16.5" thickBot="1" x14ac:dyDescent="0.3">
      <c r="A109" s="456" t="s">
        <v>71</v>
      </c>
      <c r="B109" s="456"/>
      <c r="C109" s="165">
        <v>0</v>
      </c>
      <c r="D109" s="165">
        <v>0</v>
      </c>
      <c r="E109" s="125">
        <f>IF(D$59=0,C109*2,C109+D109)</f>
        <v>0</v>
      </c>
      <c r="F109" s="475"/>
      <c r="G109" s="475"/>
      <c r="H109" s="251">
        <f>IF(H107&gt;0,436,0)</f>
        <v>0</v>
      </c>
      <c r="I109" s="104">
        <f>ROUND(H109*E109,2)</f>
        <v>0</v>
      </c>
      <c r="N109" s="482" t="s">
        <v>71</v>
      </c>
      <c r="O109" s="482"/>
      <c r="P109" s="483">
        <f>IF(H$120=1,C109,0)</f>
        <v>0</v>
      </c>
      <c r="Q109" s="483"/>
      <c r="R109" s="484"/>
      <c r="S109" s="484"/>
      <c r="T109" s="67">
        <f>H109</f>
        <v>0</v>
      </c>
      <c r="U109" s="106">
        <f>ROUND(T109*P109,0)</f>
        <v>0</v>
      </c>
    </row>
    <row r="110" spans="1:21" ht="16.5" thickBot="1" x14ac:dyDescent="0.3">
      <c r="A110" s="466" t="s">
        <v>8</v>
      </c>
      <c r="B110" s="466"/>
      <c r="C110" s="68"/>
      <c r="D110" s="68"/>
      <c r="E110" s="68"/>
      <c r="F110" s="68"/>
      <c r="G110" s="68"/>
      <c r="H110" s="68"/>
      <c r="I110" s="100">
        <f>SUM(I107:I109)</f>
        <v>0</v>
      </c>
      <c r="N110" s="485" t="s">
        <v>8</v>
      </c>
      <c r="O110" s="485"/>
      <c r="P110" s="69"/>
      <c r="Q110" s="69"/>
      <c r="R110" s="69"/>
      <c r="S110" s="69"/>
      <c r="T110" s="69"/>
      <c r="U110" s="70">
        <f>SUM(U107:U109)</f>
        <v>0</v>
      </c>
    </row>
    <row r="111" spans="1:21" x14ac:dyDescent="0.25">
      <c r="A111" s="39"/>
      <c r="B111" s="39"/>
      <c r="C111" s="68"/>
      <c r="D111" s="68"/>
      <c r="E111" s="68"/>
      <c r="F111" s="68"/>
      <c r="G111" s="68"/>
      <c r="H111" s="68"/>
      <c r="I111" s="104"/>
      <c r="N111" s="40"/>
      <c r="O111" s="40"/>
      <c r="P111" s="69"/>
      <c r="Q111" s="69"/>
      <c r="R111" s="69"/>
      <c r="S111" s="69"/>
      <c r="T111" s="69"/>
      <c r="U111" s="160"/>
    </row>
    <row r="112" spans="1:21" x14ac:dyDescent="0.25">
      <c r="A112" s="463" t="s">
        <v>448</v>
      </c>
      <c r="B112" s="453"/>
      <c r="C112" s="453"/>
      <c r="D112" s="72"/>
      <c r="E112" s="71" t="s">
        <v>354</v>
      </c>
      <c r="F112" s="472"/>
      <c r="G112" s="472"/>
      <c r="H112" s="472"/>
      <c r="I112" s="125">
        <v>0</v>
      </c>
      <c r="N112" s="478" t="s">
        <v>427</v>
      </c>
      <c r="O112" s="479"/>
      <c r="P112" s="479"/>
      <c r="Q112" s="341"/>
      <c r="R112" s="341"/>
      <c r="S112" s="341"/>
      <c r="T112" s="341"/>
      <c r="U112" s="99">
        <f>IF($H$120=1,I112,0)</f>
        <v>0</v>
      </c>
    </row>
    <row r="113" spans="1:21" x14ac:dyDescent="0.25">
      <c r="A113" s="463" t="s">
        <v>449</v>
      </c>
      <c r="B113" s="453"/>
      <c r="C113" s="453"/>
      <c r="D113" s="72"/>
      <c r="E113" s="71" t="s">
        <v>45</v>
      </c>
      <c r="F113" s="472"/>
      <c r="G113" s="472"/>
      <c r="H113" s="472"/>
      <c r="I113" s="177">
        <v>0</v>
      </c>
      <c r="N113" s="478" t="s">
        <v>428</v>
      </c>
      <c r="O113" s="479"/>
      <c r="P113" s="479"/>
      <c r="Q113" s="341"/>
      <c r="R113" s="341"/>
      <c r="S113" s="341"/>
      <c r="T113" s="341"/>
      <c r="U113" s="99">
        <f>IF($H$120=1,I113,0)</f>
        <v>0</v>
      </c>
    </row>
    <row r="114" spans="1:21" ht="16.5" thickBot="1" x14ac:dyDescent="0.3">
      <c r="B114" s="72"/>
      <c r="C114" s="72"/>
      <c r="D114" s="72"/>
      <c r="E114" s="71"/>
      <c r="F114" s="71"/>
      <c r="G114" s="71"/>
      <c r="H114" s="71"/>
      <c r="I114" s="125"/>
      <c r="N114" s="480" t="s">
        <v>42</v>
      </c>
      <c r="O114" s="480"/>
      <c r="P114" s="480"/>
      <c r="Q114" s="480"/>
      <c r="R114" s="480"/>
      <c r="S114" s="480"/>
      <c r="T114" s="480"/>
      <c r="U114" s="154">
        <f>SUM(U112,U110,U100,U99,U93,U77,U76,U74,U73,U72,U71,U70,U68,U59,U45,U78,U79,U80,U85,U113)</f>
        <v>0</v>
      </c>
    </row>
    <row r="115" spans="1:21" ht="16.5" thickTop="1" x14ac:dyDescent="0.25">
      <c r="A115" s="461" t="s">
        <v>8</v>
      </c>
      <c r="B115" s="461"/>
      <c r="C115" s="461"/>
      <c r="D115" s="461"/>
      <c r="E115" s="461"/>
      <c r="F115" s="461"/>
      <c r="G115" s="461"/>
      <c r="H115" s="461"/>
      <c r="I115" s="97">
        <f>SUM(I113,I112,I110,I100,I99,I93,I85,I84,I80,I79,I78,I77,I76,I74,I73,I72,I71,I70,I68,I59,I45)</f>
        <v>809498.7699999999</v>
      </c>
      <c r="J115" s="280"/>
      <c r="N115" s="29"/>
      <c r="O115" s="29"/>
      <c r="P115" s="29"/>
      <c r="Q115" s="29"/>
      <c r="R115" s="29"/>
      <c r="S115" s="29"/>
      <c r="T115" s="29"/>
      <c r="U115" s="160"/>
    </row>
    <row r="116" spans="1:21" x14ac:dyDescent="0.25">
      <c r="A116" s="27"/>
      <c r="B116" s="27"/>
      <c r="C116" s="27"/>
      <c r="D116" s="27"/>
      <c r="E116" s="27"/>
      <c r="F116" s="27"/>
      <c r="G116" s="27"/>
      <c r="H116" s="27"/>
      <c r="I116" s="104"/>
      <c r="J116" s="280"/>
      <c r="N116" s="29"/>
      <c r="O116" s="29"/>
      <c r="P116" s="29"/>
      <c r="Q116" s="29"/>
      <c r="R116" s="29"/>
      <c r="S116" s="29"/>
      <c r="T116" s="29"/>
      <c r="U116" s="160"/>
    </row>
    <row r="117" spans="1:21" x14ac:dyDescent="0.25">
      <c r="A117" s="3" t="s">
        <v>467</v>
      </c>
      <c r="B117" s="27"/>
      <c r="C117" s="27"/>
      <c r="D117" s="27"/>
      <c r="E117" s="27"/>
      <c r="F117" s="27"/>
      <c r="G117" s="27"/>
      <c r="H117" s="27"/>
      <c r="I117" s="104">
        <f>I115-I84</f>
        <v>792307.41999999993</v>
      </c>
      <c r="J117" s="280"/>
      <c r="N117" s="29"/>
      <c r="O117" s="29"/>
      <c r="P117" s="29"/>
      <c r="Q117" s="29"/>
      <c r="R117" s="29"/>
      <c r="S117" s="29"/>
      <c r="T117" s="29"/>
      <c r="U117" s="160"/>
    </row>
    <row r="118" spans="1:21" x14ac:dyDescent="0.25">
      <c r="A118" s="27"/>
      <c r="B118" s="27"/>
      <c r="C118" s="27"/>
      <c r="D118" s="27"/>
      <c r="E118" s="27"/>
      <c r="F118" s="27"/>
      <c r="G118" s="27"/>
      <c r="H118" s="27"/>
      <c r="I118" s="104"/>
      <c r="J118" s="280"/>
      <c r="N118" s="29"/>
      <c r="O118" s="29"/>
      <c r="P118" s="29"/>
      <c r="Q118" s="29"/>
      <c r="R118" s="29"/>
      <c r="S118" s="29"/>
      <c r="T118" s="29"/>
      <c r="U118" s="160"/>
    </row>
    <row r="119" spans="1:21" x14ac:dyDescent="0.25">
      <c r="A119" s="463" t="s">
        <v>468</v>
      </c>
      <c r="B119" s="453"/>
      <c r="C119" s="453"/>
      <c r="D119" s="453"/>
      <c r="E119" s="453"/>
      <c r="F119" s="453"/>
      <c r="G119" s="453"/>
      <c r="H119" s="84" t="s">
        <v>394</v>
      </c>
      <c r="I119" s="156"/>
      <c r="J119" s="280"/>
      <c r="N119" s="481"/>
      <c r="O119" s="481"/>
      <c r="P119" s="481"/>
      <c r="Q119" s="481"/>
      <c r="R119" s="481"/>
      <c r="S119" s="481"/>
      <c r="T119" s="481"/>
      <c r="U119" s="481"/>
    </row>
    <row r="120" spans="1:21" x14ac:dyDescent="0.25">
      <c r="A120" s="453" t="s">
        <v>95</v>
      </c>
      <c r="B120" s="453"/>
      <c r="C120" s="453"/>
      <c r="D120" s="453"/>
      <c r="E120" s="453"/>
      <c r="F120" s="453"/>
      <c r="G120" s="453"/>
      <c r="H120" s="73" t="str">
        <f>IF(E29=0,"",IF((E14+E16+SUM(E18:E24))/E29&gt;0.75,1,""))</f>
        <v/>
      </c>
      <c r="I120" s="125">
        <f>U114</f>
        <v>0</v>
      </c>
      <c r="N120" s="476" t="s">
        <v>7</v>
      </c>
      <c r="O120" s="476"/>
      <c r="P120" s="476"/>
      <c r="Q120" s="476"/>
      <c r="R120" s="476"/>
      <c r="S120" s="476"/>
      <c r="T120" s="476"/>
      <c r="U120" s="476"/>
    </row>
    <row r="121" spans="1:21" x14ac:dyDescent="0.25">
      <c r="B121" s="72"/>
      <c r="C121" s="72"/>
      <c r="D121" s="72"/>
      <c r="E121" s="72"/>
      <c r="F121" s="72"/>
      <c r="G121" s="72"/>
      <c r="H121" s="68"/>
      <c r="I121" s="104"/>
      <c r="N121" s="74" t="s">
        <v>106</v>
      </c>
      <c r="O121" s="74"/>
      <c r="P121" s="74"/>
      <c r="Q121" s="74"/>
      <c r="R121" s="74"/>
      <c r="S121" s="74"/>
      <c r="T121" s="74"/>
      <c r="U121" s="74"/>
    </row>
    <row r="122" spans="1:21" x14ac:dyDescent="0.25">
      <c r="A122" s="3" t="s">
        <v>102</v>
      </c>
      <c r="B122" s="72"/>
      <c r="C122" s="72"/>
      <c r="D122" s="72"/>
      <c r="E122" s="72"/>
      <c r="F122" s="72"/>
      <c r="G122" s="287"/>
      <c r="H122" s="161">
        <f>IF(H120=1,I120,I117)</f>
        <v>792307.41999999993</v>
      </c>
      <c r="I122" s="97">
        <f>ROUND(IF(E29=0,0,IF(E29&gt;250,-(((250/E29)*H122)*IF(G122="H",0.02,0.05)),IF(G122="H",-0.02*H122,-0.05*H122))),2)</f>
        <v>-39615.370000000003</v>
      </c>
      <c r="N122" s="75" t="s">
        <v>107</v>
      </c>
      <c r="O122" s="74"/>
      <c r="P122" s="74"/>
      <c r="Q122" s="74"/>
      <c r="R122" s="74"/>
      <c r="S122" s="74"/>
      <c r="T122" s="74"/>
      <c r="U122" s="74"/>
    </row>
    <row r="123" spans="1:21" x14ac:dyDescent="0.25">
      <c r="B123" s="72"/>
      <c r="C123" s="72"/>
      <c r="D123" s="72"/>
      <c r="E123" s="72"/>
      <c r="F123" s="72"/>
      <c r="G123" s="72"/>
      <c r="H123" s="68"/>
      <c r="I123" s="104"/>
      <c r="N123" s="76"/>
      <c r="O123" s="76"/>
      <c r="P123" s="76"/>
      <c r="Q123" s="76"/>
      <c r="R123" s="76"/>
      <c r="S123" s="76"/>
      <c r="T123" s="76"/>
      <c r="U123" s="76"/>
    </row>
    <row r="124" spans="1:21" x14ac:dyDescent="0.25">
      <c r="A124" s="345" t="s">
        <v>103</v>
      </c>
      <c r="B124" s="346"/>
      <c r="C124" s="346"/>
      <c r="D124" s="346"/>
      <c r="E124" s="346"/>
      <c r="F124" s="346"/>
      <c r="G124" s="346"/>
      <c r="H124" s="347"/>
      <c r="I124" s="348">
        <f>I115+I122</f>
        <v>769883.39999999991</v>
      </c>
      <c r="N124" s="76"/>
      <c r="O124" s="76"/>
      <c r="P124" s="76"/>
      <c r="Q124" s="76"/>
      <c r="R124" s="76"/>
      <c r="S124" s="76"/>
      <c r="T124" s="76"/>
      <c r="U124" s="76"/>
    </row>
    <row r="125" spans="1:21" x14ac:dyDescent="0.25">
      <c r="B125" s="72"/>
      <c r="C125" s="72"/>
      <c r="D125" s="72"/>
      <c r="E125" s="72"/>
      <c r="F125" s="72"/>
      <c r="G125" s="72"/>
      <c r="H125" s="68"/>
      <c r="I125" s="104"/>
      <c r="N125" s="76"/>
      <c r="O125" s="76"/>
      <c r="P125" s="76"/>
      <c r="Q125" s="76"/>
      <c r="R125" s="76"/>
      <c r="S125" s="76"/>
      <c r="T125" s="76"/>
      <c r="U125" s="76"/>
    </row>
    <row r="126" spans="1:21" x14ac:dyDescent="0.25">
      <c r="A126" s="3" t="s">
        <v>104</v>
      </c>
      <c r="B126" s="72"/>
      <c r="C126" s="162"/>
      <c r="D126" s="72"/>
      <c r="F126" s="72"/>
      <c r="G126" s="72"/>
      <c r="H126" s="68"/>
      <c r="I126" s="302">
        <v>-555647.32999999996</v>
      </c>
      <c r="N126" s="76"/>
      <c r="O126" s="76"/>
      <c r="P126" s="76"/>
      <c r="Q126" s="76"/>
      <c r="R126" s="76"/>
      <c r="S126" s="76"/>
      <c r="T126" s="76"/>
      <c r="U126" s="76"/>
    </row>
    <row r="127" spans="1:21" x14ac:dyDescent="0.25">
      <c r="B127" s="72"/>
      <c r="C127" s="72"/>
      <c r="D127" s="72"/>
      <c r="E127" s="72"/>
      <c r="F127" s="72"/>
      <c r="G127" s="72"/>
      <c r="H127" s="68"/>
      <c r="I127" s="104"/>
      <c r="N127" s="76"/>
      <c r="O127" s="76"/>
      <c r="P127" s="76"/>
      <c r="Q127" s="76"/>
      <c r="R127" s="76"/>
      <c r="S127" s="76"/>
      <c r="T127" s="76"/>
      <c r="U127" s="76"/>
    </row>
    <row r="128" spans="1:21" x14ac:dyDescent="0.25">
      <c r="A128" s="3" t="s">
        <v>297</v>
      </c>
      <c r="B128" s="72"/>
      <c r="C128" s="72"/>
      <c r="D128" s="72"/>
      <c r="E128" s="72"/>
      <c r="F128" s="72"/>
      <c r="G128" s="72"/>
      <c r="H128" s="68"/>
      <c r="I128" s="104">
        <f>I124+I126</f>
        <v>214236.06999999995</v>
      </c>
      <c r="N128" s="76"/>
      <c r="O128" s="76"/>
      <c r="P128" s="76"/>
      <c r="Q128" s="76"/>
      <c r="R128" s="76"/>
      <c r="S128" s="76"/>
      <c r="T128" s="76"/>
      <c r="U128" s="76"/>
    </row>
    <row r="129" spans="1:21" x14ac:dyDescent="0.25">
      <c r="A129" s="3"/>
      <c r="B129" s="72"/>
      <c r="C129" s="72"/>
      <c r="D129" s="72"/>
      <c r="E129" s="72"/>
      <c r="F129" s="72"/>
      <c r="G129" s="72"/>
      <c r="H129" s="68"/>
      <c r="I129" s="104"/>
      <c r="N129" s="76"/>
      <c r="O129" s="76"/>
      <c r="P129" s="76"/>
      <c r="Q129" s="76"/>
      <c r="R129" s="76"/>
      <c r="S129" s="76"/>
      <c r="T129" s="76"/>
      <c r="U129" s="76"/>
    </row>
    <row r="130" spans="1:21" x14ac:dyDescent="0.25">
      <c r="A130" s="3" t="s">
        <v>298</v>
      </c>
      <c r="B130" s="72"/>
      <c r="C130" s="72"/>
      <c r="D130" s="72"/>
      <c r="E130" s="72"/>
      <c r="F130" s="72"/>
      <c r="G130" s="72"/>
      <c r="H130" s="68"/>
      <c r="I130" s="303">
        <v>3</v>
      </c>
      <c r="N130" s="76"/>
      <c r="O130" s="76"/>
      <c r="P130" s="76"/>
      <c r="Q130" s="76"/>
      <c r="R130" s="76"/>
      <c r="S130" s="76"/>
      <c r="T130" s="76"/>
      <c r="U130" s="76"/>
    </row>
    <row r="131" spans="1:21" x14ac:dyDescent="0.25">
      <c r="B131" s="72"/>
      <c r="C131" s="72"/>
      <c r="D131" s="72"/>
      <c r="E131" s="72"/>
      <c r="F131" s="72"/>
      <c r="G131" s="72"/>
      <c r="H131" s="68"/>
      <c r="I131" s="104"/>
      <c r="N131" s="76"/>
      <c r="O131" s="76"/>
      <c r="P131" s="76"/>
      <c r="Q131" s="76"/>
      <c r="R131" s="76"/>
      <c r="S131" s="76"/>
      <c r="T131" s="76"/>
      <c r="U131" s="76"/>
    </row>
    <row r="132" spans="1:21" ht="16.5" thickBot="1" x14ac:dyDescent="0.3">
      <c r="A132" s="3" t="s">
        <v>105</v>
      </c>
      <c r="B132" s="72"/>
      <c r="C132" s="72"/>
      <c r="D132" s="72"/>
      <c r="E132" s="72"/>
      <c r="F132" s="72"/>
      <c r="G132" s="72"/>
      <c r="H132" s="68"/>
      <c r="I132" s="178">
        <f>ROUND(I128/I130,2)</f>
        <v>71412.02</v>
      </c>
      <c r="N132" s="76"/>
      <c r="O132" s="76"/>
      <c r="P132" s="76"/>
      <c r="Q132" s="76"/>
      <c r="R132" s="76"/>
      <c r="S132" s="76"/>
      <c r="T132" s="76"/>
      <c r="U132" s="76"/>
    </row>
    <row r="133" spans="1:21" ht="16.5" thickTop="1" x14ac:dyDescent="0.25">
      <c r="B133" s="72"/>
      <c r="C133" s="72"/>
      <c r="D133" s="72"/>
      <c r="E133" s="72"/>
      <c r="F133" s="72"/>
      <c r="G133" s="72"/>
      <c r="H133" s="68"/>
      <c r="I133" s="104"/>
      <c r="N133" s="76"/>
      <c r="O133" s="76"/>
      <c r="P133" s="76"/>
      <c r="Q133" s="76"/>
      <c r="R133" s="76"/>
      <c r="S133" s="76"/>
      <c r="T133" s="76"/>
      <c r="U133" s="76"/>
    </row>
    <row r="134" spans="1:21" ht="16.5" thickBot="1" x14ac:dyDescent="0.3">
      <c r="A134" s="3" t="s">
        <v>121</v>
      </c>
      <c r="B134" s="72"/>
      <c r="C134" s="72"/>
      <c r="D134" s="72"/>
      <c r="E134" s="72"/>
      <c r="F134" s="72"/>
      <c r="G134" s="72"/>
      <c r="H134" s="68"/>
      <c r="I134" s="155">
        <f>ROUND(IF(G122="H",(H122*0.02)+I122,(H122*0.05)+I122),2)</f>
        <v>0</v>
      </c>
      <c r="N134" s="76"/>
      <c r="O134" s="76"/>
      <c r="P134" s="76"/>
      <c r="Q134" s="76"/>
      <c r="R134" s="76"/>
      <c r="S134" s="76"/>
      <c r="T134" s="76"/>
      <c r="U134" s="76"/>
    </row>
    <row r="135" spans="1:21" ht="16.5" thickTop="1" x14ac:dyDescent="0.25">
      <c r="B135" s="72"/>
      <c r="C135" s="72"/>
      <c r="D135" s="72"/>
      <c r="E135" s="72"/>
      <c r="F135" s="72"/>
      <c r="G135" s="72"/>
      <c r="H135" s="68"/>
      <c r="I135" s="156"/>
      <c r="N135" s="76"/>
      <c r="O135" s="76"/>
      <c r="P135" s="76"/>
      <c r="Q135" s="76"/>
      <c r="R135" s="76"/>
      <c r="S135" s="76"/>
      <c r="T135" s="76"/>
      <c r="U135" s="76"/>
    </row>
    <row r="136" spans="1:21" x14ac:dyDescent="0.25">
      <c r="B136" s="72"/>
      <c r="C136" s="72"/>
      <c r="D136" s="72"/>
      <c r="E136" s="72"/>
      <c r="F136" s="72"/>
      <c r="G136" s="72"/>
      <c r="H136" s="68"/>
      <c r="I136" s="104"/>
      <c r="N136" s="76"/>
      <c r="O136" s="76"/>
      <c r="P136" s="76"/>
      <c r="Q136" s="76"/>
      <c r="R136" s="76"/>
      <c r="S136" s="76"/>
      <c r="T136" s="76"/>
      <c r="U136" s="76"/>
    </row>
    <row r="137" spans="1:21" x14ac:dyDescent="0.25">
      <c r="B137" s="72"/>
      <c r="C137" s="72"/>
      <c r="D137" s="72"/>
      <c r="E137" s="72"/>
      <c r="F137" s="72"/>
      <c r="G137" s="72"/>
      <c r="H137" s="68"/>
      <c r="I137" s="156"/>
      <c r="N137" s="76"/>
      <c r="O137" s="76"/>
      <c r="P137" s="76"/>
      <c r="Q137" s="76"/>
      <c r="R137" s="76"/>
      <c r="S137" s="76"/>
      <c r="T137" s="76"/>
      <c r="U137" s="76"/>
    </row>
    <row r="138" spans="1:21" ht="12.75" customHeight="1" x14ac:dyDescent="0.25">
      <c r="A138" s="383" t="s">
        <v>7</v>
      </c>
      <c r="B138" s="383"/>
      <c r="C138" s="383"/>
      <c r="D138" s="383"/>
      <c r="E138" s="383"/>
      <c r="F138" s="383"/>
      <c r="G138" s="383"/>
      <c r="H138" s="383"/>
      <c r="I138" s="383"/>
      <c r="J138" s="156"/>
      <c r="N138" s="76"/>
      <c r="O138" s="76"/>
      <c r="P138" s="76"/>
      <c r="Q138" s="76"/>
      <c r="R138" s="76"/>
      <c r="S138" s="76"/>
      <c r="T138" s="76"/>
      <c r="U138" s="76"/>
    </row>
    <row r="139" spans="1:21" ht="12.75" customHeight="1" x14ac:dyDescent="0.25">
      <c r="A139" s="384" t="s">
        <v>313</v>
      </c>
      <c r="B139" s="385"/>
      <c r="C139" s="385"/>
      <c r="D139" s="385"/>
      <c r="E139" s="385"/>
      <c r="F139" s="385"/>
      <c r="G139" s="385"/>
      <c r="H139" s="385"/>
      <c r="I139" s="385"/>
      <c r="J139" s="80"/>
      <c r="K139" s="361"/>
      <c r="L139" s="79"/>
      <c r="M139" s="79"/>
      <c r="N139" s="477"/>
      <c r="O139" s="477"/>
      <c r="P139" s="477"/>
      <c r="Q139" s="477"/>
      <c r="R139" s="477"/>
      <c r="S139" s="477"/>
      <c r="T139" s="477"/>
      <c r="U139" s="477"/>
    </row>
    <row r="140" spans="1:21" ht="12.75" customHeight="1" x14ac:dyDescent="0.25">
      <c r="A140" s="390" t="s">
        <v>356</v>
      </c>
      <c r="B140" s="385"/>
      <c r="C140" s="385"/>
      <c r="D140" s="385"/>
      <c r="E140" s="385"/>
      <c r="F140" s="385"/>
      <c r="G140" s="385"/>
      <c r="H140" s="385"/>
      <c r="I140" s="385"/>
      <c r="J140" s="80"/>
      <c r="K140" s="361"/>
      <c r="L140" s="79"/>
      <c r="M140" s="79"/>
      <c r="N140" s="76"/>
      <c r="O140" s="76"/>
      <c r="P140" s="76"/>
      <c r="Q140" s="76"/>
      <c r="R140" s="76"/>
      <c r="S140" s="76"/>
      <c r="T140" s="76"/>
      <c r="U140" s="76"/>
    </row>
    <row r="141" spans="1:21" ht="12.75" customHeight="1" x14ac:dyDescent="0.25">
      <c r="A141" s="386" t="s">
        <v>61</v>
      </c>
      <c r="B141" s="386"/>
      <c r="C141" s="386"/>
      <c r="D141" s="386"/>
      <c r="E141" s="386"/>
      <c r="F141" s="386"/>
      <c r="G141" s="386"/>
      <c r="H141" s="386"/>
      <c r="I141" s="386"/>
      <c r="J141" s="79"/>
      <c r="K141" s="79"/>
      <c r="L141" s="79"/>
      <c r="M141" s="79"/>
      <c r="N141" s="81"/>
      <c r="O141" s="82"/>
      <c r="P141" s="82"/>
      <c r="Q141" s="82"/>
      <c r="R141" s="82"/>
      <c r="S141" s="82"/>
      <c r="T141" s="82"/>
      <c r="U141" s="82"/>
    </row>
    <row r="142" spans="1:21" s="79" customFormat="1" ht="12.75" customHeight="1" x14ac:dyDescent="0.2">
      <c r="A142" s="386" t="s">
        <v>62</v>
      </c>
      <c r="B142" s="386"/>
      <c r="C142" s="386"/>
      <c r="D142" s="386"/>
      <c r="E142" s="386"/>
      <c r="F142" s="386"/>
      <c r="G142" s="386"/>
      <c r="H142" s="386"/>
      <c r="I142" s="386"/>
      <c r="N142" s="81"/>
    </row>
    <row r="143" spans="1:21" s="79" customFormat="1" ht="12.75" customHeight="1" x14ac:dyDescent="0.2">
      <c r="A143" s="387" t="s">
        <v>355</v>
      </c>
      <c r="B143" s="386"/>
      <c r="C143" s="386"/>
      <c r="D143" s="386"/>
      <c r="E143" s="386"/>
      <c r="F143" s="386"/>
      <c r="G143" s="386"/>
      <c r="H143" s="386"/>
      <c r="I143" s="386"/>
      <c r="N143" s="81"/>
    </row>
    <row r="144" spans="1:21" s="79" customFormat="1" ht="12.75" customHeight="1" x14ac:dyDescent="0.2">
      <c r="A144" s="387" t="s">
        <v>357</v>
      </c>
      <c r="B144" s="386"/>
      <c r="C144" s="386"/>
      <c r="D144" s="386"/>
      <c r="E144" s="386"/>
      <c r="F144" s="386"/>
      <c r="G144" s="386"/>
      <c r="H144" s="386"/>
      <c r="I144" s="386"/>
      <c r="N144" s="81"/>
    </row>
    <row r="145" spans="1:14" s="79" customFormat="1" ht="12.75" customHeight="1" x14ac:dyDescent="0.2">
      <c r="A145" s="391" t="s">
        <v>314</v>
      </c>
      <c r="B145" s="386"/>
      <c r="C145" s="386"/>
      <c r="D145" s="386"/>
      <c r="E145" s="386"/>
      <c r="F145" s="386"/>
      <c r="G145" s="386"/>
      <c r="H145" s="386"/>
      <c r="I145" s="386"/>
      <c r="N145" s="81"/>
    </row>
    <row r="146" spans="1:14" s="79" customFormat="1" ht="12.75" customHeight="1" x14ac:dyDescent="0.2">
      <c r="A146" s="387" t="s">
        <v>406</v>
      </c>
      <c r="B146" s="386"/>
      <c r="C146" s="386"/>
      <c r="D146" s="386"/>
      <c r="E146" s="386"/>
      <c r="F146" s="386"/>
      <c r="G146" s="386"/>
      <c r="H146" s="386"/>
      <c r="I146" s="386"/>
      <c r="K146" s="386"/>
      <c r="N146" s="81"/>
    </row>
    <row r="147" spans="1:14" s="79" customFormat="1" ht="12.75" customHeight="1" x14ac:dyDescent="0.2">
      <c r="A147" s="391" t="s">
        <v>407</v>
      </c>
      <c r="B147" s="386"/>
      <c r="C147" s="386"/>
      <c r="D147" s="386"/>
      <c r="E147" s="386"/>
      <c r="F147" s="386"/>
      <c r="G147" s="386"/>
      <c r="H147" s="386"/>
      <c r="I147" s="386"/>
      <c r="N147" s="81"/>
    </row>
    <row r="148" spans="1:14" s="79" customFormat="1" ht="12.75" customHeight="1" x14ac:dyDescent="0.2">
      <c r="A148" s="387" t="s">
        <v>315</v>
      </c>
      <c r="B148" s="386"/>
      <c r="C148" s="386"/>
      <c r="D148" s="386"/>
      <c r="E148" s="386"/>
      <c r="F148" s="386"/>
      <c r="G148" s="386"/>
      <c r="H148" s="386"/>
      <c r="I148" s="386"/>
      <c r="N148" s="81"/>
    </row>
    <row r="149" spans="1:14" s="79" customFormat="1" ht="12.75" customHeight="1" x14ac:dyDescent="0.2">
      <c r="A149" s="391" t="s">
        <v>316</v>
      </c>
      <c r="B149" s="386"/>
      <c r="C149" s="386"/>
      <c r="D149" s="386"/>
      <c r="E149" s="386"/>
      <c r="F149" s="386"/>
      <c r="G149" s="386"/>
      <c r="H149" s="386"/>
      <c r="I149" s="386"/>
      <c r="N149" s="81"/>
    </row>
    <row r="150" spans="1:14" s="79" customFormat="1" ht="12.75" customHeight="1" x14ac:dyDescent="0.2">
      <c r="A150" s="387" t="s">
        <v>317</v>
      </c>
      <c r="B150" s="386"/>
      <c r="C150" s="386"/>
      <c r="D150" s="386"/>
      <c r="E150" s="386"/>
      <c r="F150" s="386"/>
      <c r="G150" s="386"/>
      <c r="H150" s="386"/>
      <c r="I150" s="386"/>
      <c r="N150" s="81"/>
    </row>
    <row r="151" spans="1:14" s="79" customFormat="1" ht="12.75" customHeight="1" x14ac:dyDescent="0.2">
      <c r="A151" s="387" t="s">
        <v>346</v>
      </c>
      <c r="B151" s="386"/>
      <c r="C151" s="386"/>
      <c r="D151" s="386"/>
      <c r="E151" s="386"/>
      <c r="F151" s="386"/>
      <c r="G151" s="386"/>
      <c r="H151" s="386"/>
      <c r="I151" s="386"/>
      <c r="N151" s="81"/>
    </row>
    <row r="152" spans="1:14" s="79" customFormat="1" ht="12.75" customHeight="1" x14ac:dyDescent="0.2">
      <c r="A152" s="392" t="s">
        <v>318</v>
      </c>
      <c r="B152" s="386"/>
      <c r="C152" s="386"/>
      <c r="D152" s="386"/>
      <c r="E152" s="386"/>
      <c r="F152" s="386"/>
      <c r="G152" s="386"/>
      <c r="H152" s="386"/>
      <c r="I152" s="386"/>
      <c r="N152" s="81"/>
    </row>
    <row r="153" spans="1:14" s="79" customFormat="1" ht="12.75" customHeight="1" x14ac:dyDescent="0.2">
      <c r="A153" s="392" t="s">
        <v>319</v>
      </c>
      <c r="B153" s="386"/>
      <c r="C153" s="386"/>
      <c r="D153" s="386"/>
      <c r="E153" s="386"/>
      <c r="F153" s="386"/>
      <c r="G153" s="386"/>
      <c r="H153" s="386"/>
      <c r="I153" s="386"/>
      <c r="N153" s="81"/>
    </row>
    <row r="154" spans="1:14" s="79" customFormat="1" ht="12.75" customHeight="1" x14ac:dyDescent="0.2">
      <c r="A154" s="387" t="s">
        <v>347</v>
      </c>
      <c r="B154" s="386"/>
      <c r="C154" s="386"/>
      <c r="D154" s="386"/>
      <c r="E154" s="386"/>
      <c r="F154" s="386"/>
      <c r="G154" s="386"/>
      <c r="H154" s="386"/>
      <c r="I154" s="386"/>
      <c r="N154" s="81"/>
    </row>
    <row r="155" spans="1:14" s="79" customFormat="1" ht="12.75" customHeight="1" x14ac:dyDescent="0.2">
      <c r="A155" s="387" t="s">
        <v>348</v>
      </c>
      <c r="B155" s="386"/>
      <c r="C155" s="386"/>
      <c r="D155" s="386"/>
      <c r="E155" s="386"/>
      <c r="F155" s="386"/>
      <c r="G155" s="386"/>
      <c r="H155" s="386"/>
      <c r="I155" s="386"/>
      <c r="N155" s="81"/>
    </row>
    <row r="156" spans="1:14" s="79" customFormat="1" ht="12.75" customHeight="1" x14ac:dyDescent="0.2">
      <c r="A156" s="392" t="s">
        <v>320</v>
      </c>
      <c r="B156" s="386"/>
      <c r="C156" s="386"/>
      <c r="D156" s="386"/>
      <c r="E156" s="386"/>
      <c r="F156" s="386"/>
      <c r="G156" s="386"/>
      <c r="H156" s="386"/>
      <c r="I156" s="386"/>
      <c r="N156" s="81"/>
    </row>
    <row r="157" spans="1:14" s="79" customFormat="1" ht="12.75" customHeight="1" x14ac:dyDescent="0.2">
      <c r="A157" s="387"/>
      <c r="B157" s="386"/>
      <c r="C157" s="386"/>
      <c r="D157" s="386"/>
      <c r="E157" s="386"/>
      <c r="F157" s="386"/>
      <c r="G157" s="386"/>
      <c r="H157" s="386"/>
      <c r="I157" s="386"/>
      <c r="N157" s="81"/>
    </row>
    <row r="158" spans="1:14" s="79" customFormat="1" ht="12.75" customHeight="1" x14ac:dyDescent="0.2">
      <c r="A158" s="395" t="s">
        <v>92</v>
      </c>
      <c r="B158" s="386"/>
      <c r="C158" s="386"/>
      <c r="D158" s="386"/>
      <c r="E158" s="386"/>
      <c r="F158" s="386"/>
      <c r="G158" s="386"/>
      <c r="H158" s="386"/>
      <c r="I158" s="386"/>
      <c r="N158" s="81"/>
    </row>
    <row r="159" spans="1:14" s="79" customFormat="1" ht="12.75" customHeight="1" x14ac:dyDescent="0.2">
      <c r="A159" s="388" t="s">
        <v>321</v>
      </c>
      <c r="B159" s="389"/>
      <c r="C159" s="389"/>
      <c r="D159" s="389"/>
      <c r="E159" s="389"/>
      <c r="F159" s="389"/>
      <c r="G159" s="389"/>
      <c r="H159" s="389"/>
      <c r="I159" s="389"/>
      <c r="N159" s="81"/>
    </row>
    <row r="160" spans="1:14" s="79" customFormat="1" ht="12.75" customHeight="1" x14ac:dyDescent="0.2">
      <c r="A160" s="393" t="s">
        <v>358</v>
      </c>
      <c r="B160" s="396"/>
      <c r="C160" s="396"/>
      <c r="D160" s="396"/>
      <c r="E160" s="396"/>
      <c r="F160" s="396"/>
      <c r="G160" s="396"/>
      <c r="H160" s="396"/>
      <c r="I160" s="396"/>
      <c r="N160" s="81"/>
    </row>
    <row r="161" spans="1:21" s="79" customFormat="1" ht="12.75" customHeight="1" x14ac:dyDescent="0.2">
      <c r="A161" s="393" t="s">
        <v>359</v>
      </c>
      <c r="B161" s="396"/>
      <c r="C161" s="396"/>
      <c r="D161" s="396"/>
      <c r="E161" s="396"/>
      <c r="F161" s="396"/>
      <c r="G161" s="396"/>
      <c r="H161" s="396"/>
      <c r="I161" s="396"/>
      <c r="N161" s="81"/>
    </row>
    <row r="162" spans="1:21" s="79" customFormat="1" ht="12.75" customHeight="1" x14ac:dyDescent="0.2">
      <c r="A162" s="388"/>
      <c r="B162" s="396"/>
      <c r="C162" s="396"/>
      <c r="D162" s="396"/>
      <c r="E162" s="396"/>
      <c r="F162" s="396"/>
      <c r="G162" s="396"/>
      <c r="H162" s="396"/>
      <c r="I162" s="396"/>
      <c r="N162" s="81"/>
    </row>
    <row r="163" spans="1:21" s="79" customFormat="1" ht="12.75" customHeight="1" x14ac:dyDescent="0.25">
      <c r="A163" s="388" t="s">
        <v>360</v>
      </c>
      <c r="B163" s="389"/>
      <c r="C163" s="389"/>
      <c r="D163" s="389"/>
      <c r="E163" s="389"/>
      <c r="F163" s="389"/>
      <c r="G163" s="389"/>
      <c r="H163" s="389"/>
      <c r="I163" s="389"/>
      <c r="J163" s="3"/>
      <c r="K163" s="3"/>
      <c r="L163" s="3"/>
      <c r="M163" s="3"/>
      <c r="N163" s="81"/>
    </row>
    <row r="164" spans="1:21" s="79" customFormat="1" ht="12.75" customHeight="1" x14ac:dyDescent="0.25">
      <c r="A164" s="393" t="s">
        <v>358</v>
      </c>
      <c r="B164" s="389"/>
      <c r="C164" s="389"/>
      <c r="D164" s="389"/>
      <c r="E164" s="389"/>
      <c r="F164" s="389"/>
      <c r="G164" s="389"/>
      <c r="H164" s="389"/>
      <c r="I164" s="389"/>
      <c r="J164" s="3"/>
      <c r="K164" s="3"/>
      <c r="L164" s="3"/>
      <c r="M164" s="3"/>
      <c r="N164" s="81"/>
    </row>
    <row r="165" spans="1:21" s="79" customFormat="1" ht="12.75" customHeight="1" x14ac:dyDescent="0.25">
      <c r="A165" s="393" t="s">
        <v>361</v>
      </c>
      <c r="B165" s="389"/>
      <c r="C165" s="389"/>
      <c r="D165" s="389"/>
      <c r="E165" s="389"/>
      <c r="F165" s="389"/>
      <c r="G165" s="389"/>
      <c r="H165" s="389"/>
      <c r="I165" s="389"/>
      <c r="J165" s="3"/>
      <c r="K165" s="3"/>
      <c r="L165" s="3"/>
      <c r="M165" s="3"/>
      <c r="N165" s="81"/>
    </row>
    <row r="166" spans="1:21" s="79" customFormat="1" ht="12.75" customHeight="1" x14ac:dyDescent="0.25">
      <c r="A166" s="389"/>
      <c r="B166" s="389"/>
      <c r="C166" s="389"/>
      <c r="D166" s="389"/>
      <c r="E166" s="389"/>
      <c r="F166" s="389"/>
      <c r="G166" s="389"/>
      <c r="H166" s="389"/>
      <c r="I166" s="389"/>
      <c r="J166" s="3"/>
      <c r="K166" s="3"/>
      <c r="L166" s="3"/>
      <c r="M166" s="3"/>
      <c r="N166" s="81"/>
    </row>
    <row r="167" spans="1:21" s="79" customFormat="1" ht="12.75" customHeight="1" x14ac:dyDescent="0.25">
      <c r="A167" s="395" t="s">
        <v>93</v>
      </c>
      <c r="B167" s="395"/>
      <c r="C167" s="395"/>
      <c r="D167" s="395"/>
      <c r="E167" s="395"/>
      <c r="F167" s="395"/>
      <c r="G167" s="395"/>
      <c r="H167" s="395"/>
      <c r="I167" s="395"/>
      <c r="N167" s="77"/>
      <c r="O167" s="3"/>
      <c r="P167" s="3"/>
      <c r="Q167" s="3"/>
      <c r="R167" s="3"/>
      <c r="S167" s="3"/>
      <c r="T167" s="3"/>
      <c r="U167" s="3"/>
    </row>
    <row r="168" spans="1:21" ht="12.75" customHeight="1" x14ac:dyDescent="0.25">
      <c r="A168" s="388" t="s">
        <v>322</v>
      </c>
      <c r="B168" s="389"/>
      <c r="C168" s="389"/>
      <c r="D168" s="389"/>
      <c r="E168" s="389"/>
      <c r="F168" s="389"/>
      <c r="G168" s="389"/>
      <c r="H168" s="389"/>
      <c r="I168" s="389"/>
      <c r="J168" s="79"/>
      <c r="K168" s="79"/>
      <c r="L168" s="79"/>
      <c r="M168" s="79"/>
      <c r="N168" s="81"/>
      <c r="O168" s="79"/>
      <c r="P168" s="79"/>
      <c r="Q168" s="79"/>
      <c r="R168" s="79"/>
      <c r="S168" s="79"/>
      <c r="T168" s="79"/>
      <c r="U168" s="79"/>
    </row>
    <row r="169" spans="1:21" ht="12.75" customHeight="1" x14ac:dyDescent="0.25">
      <c r="A169" s="393" t="s">
        <v>323</v>
      </c>
      <c r="B169" s="396"/>
      <c r="C169" s="396"/>
      <c r="D169" s="396"/>
      <c r="E169" s="396"/>
      <c r="F169" s="396"/>
      <c r="G169" s="396"/>
      <c r="H169" s="396"/>
      <c r="I169" s="396"/>
      <c r="J169" s="79"/>
      <c r="K169" s="79"/>
      <c r="L169" s="79"/>
      <c r="M169" s="79"/>
      <c r="N169" s="81"/>
      <c r="O169" s="79"/>
      <c r="P169" s="79"/>
      <c r="Q169" s="79"/>
      <c r="R169" s="79"/>
      <c r="S169" s="79"/>
      <c r="T169" s="79"/>
      <c r="U169" s="79"/>
    </row>
    <row r="170" spans="1:21" s="79" customFormat="1" ht="12.75" customHeight="1" x14ac:dyDescent="0.2">
      <c r="A170" s="389" t="s">
        <v>12</v>
      </c>
      <c r="B170" s="389"/>
      <c r="C170" s="389"/>
      <c r="D170" s="389"/>
      <c r="E170" s="389"/>
      <c r="F170" s="389"/>
      <c r="G170" s="389"/>
      <c r="H170" s="389"/>
      <c r="I170" s="389"/>
      <c r="N170" s="81"/>
    </row>
    <row r="171" spans="1:21" s="79" customFormat="1" ht="15.75" customHeight="1" x14ac:dyDescent="0.25">
      <c r="A171" s="328"/>
      <c r="B171" s="328"/>
      <c r="C171" s="328"/>
      <c r="D171" s="328"/>
      <c r="E171" s="328"/>
      <c r="F171" s="328"/>
      <c r="G171" s="328"/>
      <c r="H171" s="328"/>
      <c r="I171" s="328"/>
      <c r="J171" s="3"/>
      <c r="K171" s="3"/>
      <c r="L171" s="3"/>
      <c r="M171" s="3"/>
      <c r="N171" s="81"/>
    </row>
    <row r="172" spans="1:21" s="79" customFormat="1" ht="15.75" customHeight="1" x14ac:dyDescent="0.25">
      <c r="A172" s="77"/>
      <c r="B172" s="3"/>
      <c r="C172" s="3"/>
      <c r="D172" s="3"/>
      <c r="E172" s="3"/>
      <c r="F172" s="3"/>
      <c r="G172" s="3"/>
      <c r="H172" s="3"/>
      <c r="I172" s="3"/>
      <c r="J172" s="3"/>
      <c r="K172" s="3"/>
      <c r="L172" s="3"/>
      <c r="M172" s="3"/>
      <c r="N172" s="77"/>
      <c r="O172" s="3"/>
      <c r="P172" s="3"/>
      <c r="Q172" s="3"/>
      <c r="R172" s="3"/>
      <c r="S172" s="3"/>
      <c r="T172" s="3"/>
      <c r="U172" s="3"/>
    </row>
    <row r="173" spans="1:21" ht="15.75" customHeight="1" x14ac:dyDescent="0.25">
      <c r="A173" s="77"/>
      <c r="N173" s="77"/>
    </row>
    <row r="174" spans="1:21" ht="15.75" customHeight="1" x14ac:dyDescent="0.25">
      <c r="A174" s="77"/>
      <c r="N174" s="77"/>
    </row>
    <row r="175" spans="1:21" ht="15.75" customHeight="1" x14ac:dyDescent="0.25">
      <c r="A175" s="77"/>
      <c r="B175" s="157"/>
      <c r="C175" s="157"/>
      <c r="D175" s="157"/>
      <c r="E175" s="157"/>
      <c r="F175" s="157"/>
      <c r="G175" s="157"/>
      <c r="H175" s="157"/>
      <c r="I175" s="157"/>
      <c r="N175" s="77"/>
    </row>
    <row r="176" spans="1:21" ht="15.75" customHeight="1" x14ac:dyDescent="0.25">
      <c r="A176" s="77"/>
      <c r="N176" s="77"/>
    </row>
    <row r="177" spans="1:14" ht="15.75" customHeight="1" x14ac:dyDescent="0.25">
      <c r="A177" s="77"/>
      <c r="N177" s="77"/>
    </row>
    <row r="178" spans="1:14" ht="15.75" customHeight="1" x14ac:dyDescent="0.25">
      <c r="A178" s="77"/>
      <c r="N178" s="77"/>
    </row>
    <row r="179" spans="1:14" ht="15.75" customHeight="1" x14ac:dyDescent="0.25">
      <c r="A179" s="77"/>
      <c r="N179" s="77"/>
    </row>
    <row r="180" spans="1:14" ht="15.75" customHeight="1" x14ac:dyDescent="0.25">
      <c r="A180" s="77"/>
      <c r="N180" s="77"/>
    </row>
    <row r="181" spans="1:14" ht="15.75" customHeight="1" x14ac:dyDescent="0.25">
      <c r="A181" s="77"/>
      <c r="N181" s="77"/>
    </row>
    <row r="182" spans="1:14" ht="15.75" customHeight="1" x14ac:dyDescent="0.25">
      <c r="A182" s="77"/>
      <c r="N182" s="77"/>
    </row>
    <row r="183" spans="1:14" ht="15.75" customHeight="1" x14ac:dyDescent="0.25">
      <c r="A183" s="77"/>
      <c r="N183" s="77"/>
    </row>
    <row r="184" spans="1:14" ht="15.75" customHeight="1" x14ac:dyDescent="0.25">
      <c r="A184" s="77"/>
      <c r="N184" s="77"/>
    </row>
    <row r="185" spans="1:14" ht="15.75" customHeight="1" x14ac:dyDescent="0.25">
      <c r="A185" s="77"/>
      <c r="N185" s="77"/>
    </row>
    <row r="186" spans="1:14" ht="15.75" customHeight="1" x14ac:dyDescent="0.25">
      <c r="A186" s="77"/>
      <c r="N186" s="77"/>
    </row>
    <row r="187" spans="1:14" ht="15.75" customHeight="1" x14ac:dyDescent="0.25">
      <c r="A187" s="77"/>
      <c r="N187" s="77"/>
    </row>
    <row r="188" spans="1:14" ht="15.75" customHeight="1" x14ac:dyDescent="0.25">
      <c r="A188" s="77"/>
      <c r="N188" s="77"/>
    </row>
    <row r="189" spans="1:14" ht="15.75" customHeight="1" x14ac:dyDescent="0.25">
      <c r="A189" s="77"/>
      <c r="N189" s="77"/>
    </row>
    <row r="190" spans="1:14" x14ac:dyDescent="0.25">
      <c r="A190" s="77"/>
      <c r="N190" s="77"/>
    </row>
    <row r="191" spans="1:14" x14ac:dyDescent="0.25">
      <c r="A191" s="77"/>
      <c r="N191" s="77"/>
    </row>
    <row r="192" spans="1:14" x14ac:dyDescent="0.25">
      <c r="A192" s="77"/>
      <c r="N192" s="77"/>
    </row>
    <row r="193" spans="1:14" x14ac:dyDescent="0.25">
      <c r="A193" s="77"/>
      <c r="N193" s="77"/>
    </row>
    <row r="194" spans="1:14" x14ac:dyDescent="0.25">
      <c r="A194" s="77"/>
      <c r="N194" s="77"/>
    </row>
    <row r="195" spans="1:14" x14ac:dyDescent="0.25">
      <c r="A195" s="77"/>
      <c r="N195" s="77"/>
    </row>
    <row r="196" spans="1:14" x14ac:dyDescent="0.25">
      <c r="A196" s="77"/>
      <c r="N196" s="77"/>
    </row>
    <row r="197" spans="1:14" x14ac:dyDescent="0.25">
      <c r="A197" s="77"/>
      <c r="N197" s="77"/>
    </row>
    <row r="198" spans="1:14" x14ac:dyDescent="0.25">
      <c r="A198" s="77"/>
      <c r="N198" s="77"/>
    </row>
    <row r="199" spans="1:14" x14ac:dyDescent="0.25">
      <c r="A199" s="77"/>
      <c r="N199" s="77"/>
    </row>
    <row r="200" spans="1:14" x14ac:dyDescent="0.25">
      <c r="A200" s="77"/>
      <c r="N200" s="77"/>
    </row>
    <row r="201" spans="1:14" x14ac:dyDescent="0.25">
      <c r="A201" s="77"/>
      <c r="N201" s="77"/>
    </row>
    <row r="202" spans="1:14" x14ac:dyDescent="0.25">
      <c r="A202" s="77"/>
      <c r="N202" s="77"/>
    </row>
    <row r="203" spans="1:14" x14ac:dyDescent="0.25">
      <c r="A203" s="77"/>
      <c r="N203" s="77"/>
    </row>
    <row r="204" spans="1:14" x14ac:dyDescent="0.25">
      <c r="A204" s="77"/>
      <c r="N204" s="77"/>
    </row>
    <row r="205" spans="1:14" x14ac:dyDescent="0.25">
      <c r="A205" s="77"/>
      <c r="N205" s="77"/>
    </row>
    <row r="206" spans="1:14" x14ac:dyDescent="0.25">
      <c r="A206" s="77"/>
      <c r="N206" s="77"/>
    </row>
    <row r="207" spans="1:14" x14ac:dyDescent="0.25">
      <c r="A207" s="77"/>
      <c r="N207" s="77"/>
    </row>
    <row r="208" spans="1:14" x14ac:dyDescent="0.25">
      <c r="A208" s="77"/>
      <c r="N208" s="77"/>
    </row>
    <row r="209" spans="1:14" x14ac:dyDescent="0.25">
      <c r="A209" s="77"/>
      <c r="N209" s="77"/>
    </row>
    <row r="210" spans="1:14" x14ac:dyDescent="0.25">
      <c r="A210" s="77"/>
      <c r="N210" s="77"/>
    </row>
    <row r="211" spans="1:14" x14ac:dyDescent="0.25">
      <c r="A211" s="77"/>
      <c r="N211" s="77"/>
    </row>
    <row r="212" spans="1:14" x14ac:dyDescent="0.25">
      <c r="A212" s="77"/>
      <c r="N212" s="77"/>
    </row>
    <row r="213" spans="1:14" x14ac:dyDescent="0.25">
      <c r="A213" s="77"/>
    </row>
    <row r="214" spans="1:14" x14ac:dyDescent="0.25">
      <c r="A214" s="77"/>
    </row>
    <row r="215" spans="1:14" x14ac:dyDescent="0.25">
      <c r="A215" s="77"/>
    </row>
    <row r="216" spans="1:14" x14ac:dyDescent="0.25">
      <c r="A216" s="77"/>
    </row>
    <row r="217" spans="1:14" x14ac:dyDescent="0.25">
      <c r="A217" s="77"/>
    </row>
    <row r="218" spans="1:14" x14ac:dyDescent="0.25">
      <c r="A218" s="77"/>
    </row>
    <row r="219" spans="1:14" x14ac:dyDescent="0.25">
      <c r="A219" s="77"/>
    </row>
    <row r="220" spans="1:14" x14ac:dyDescent="0.25">
      <c r="A220" s="77"/>
    </row>
    <row r="221" spans="1:14" x14ac:dyDescent="0.25">
      <c r="A221" s="77"/>
    </row>
    <row r="222" spans="1:14" x14ac:dyDescent="0.25">
      <c r="A222" s="77"/>
    </row>
    <row r="223" spans="1:14" x14ac:dyDescent="0.25">
      <c r="A223" s="77"/>
    </row>
    <row r="224" spans="1:14" x14ac:dyDescent="0.25">
      <c r="A224" s="77"/>
    </row>
    <row r="225" spans="1:1" x14ac:dyDescent="0.25">
      <c r="A225" s="77"/>
    </row>
    <row r="226" spans="1:1" x14ac:dyDescent="0.25">
      <c r="A226" s="77"/>
    </row>
    <row r="227" spans="1:1" x14ac:dyDescent="0.25">
      <c r="A227" s="77"/>
    </row>
    <row r="228" spans="1:1" x14ac:dyDescent="0.25">
      <c r="A228" s="77"/>
    </row>
    <row r="229" spans="1:1" x14ac:dyDescent="0.25">
      <c r="A229" s="77"/>
    </row>
    <row r="230" spans="1:1" x14ac:dyDescent="0.25">
      <c r="A230" s="77"/>
    </row>
    <row r="231" spans="1:1" x14ac:dyDescent="0.25">
      <c r="A231" s="77"/>
    </row>
  </sheetData>
  <mergeCells count="265">
    <mergeCell ref="A115:H115"/>
    <mergeCell ref="A120:G120"/>
    <mergeCell ref="A119:G119"/>
    <mergeCell ref="F112:H112"/>
    <mergeCell ref="F113:H113"/>
    <mergeCell ref="A39:B39"/>
    <mergeCell ref="A40:B40"/>
    <mergeCell ref="A112:C112"/>
    <mergeCell ref="A110:B110"/>
    <mergeCell ref="A109:B109"/>
    <mergeCell ref="A108:B108"/>
    <mergeCell ref="A79:C79"/>
    <mergeCell ref="A94:I94"/>
    <mergeCell ref="A61:I61"/>
    <mergeCell ref="F107:G107"/>
    <mergeCell ref="A70:C70"/>
    <mergeCell ref="A64:I64"/>
    <mergeCell ref="A71:C71"/>
    <mergeCell ref="C93:D93"/>
    <mergeCell ref="A78:C78"/>
    <mergeCell ref="A106:B106"/>
    <mergeCell ref="F96:I96"/>
    <mergeCell ref="F106:G106"/>
    <mergeCell ref="A60:I60"/>
    <mergeCell ref="A113:C113"/>
    <mergeCell ref="A22:B22"/>
    <mergeCell ref="F23:G23"/>
    <mergeCell ref="F26:G26"/>
    <mergeCell ref="F27:G27"/>
    <mergeCell ref="F28:G28"/>
    <mergeCell ref="A24:B24"/>
    <mergeCell ref="A25:B25"/>
    <mergeCell ref="A37:B37"/>
    <mergeCell ref="F109:G109"/>
    <mergeCell ref="A72:C72"/>
    <mergeCell ref="C92:D92"/>
    <mergeCell ref="A80:C80"/>
    <mergeCell ref="F73:H73"/>
    <mergeCell ref="A65:B65"/>
    <mergeCell ref="C91:D91"/>
    <mergeCell ref="F33:H36"/>
    <mergeCell ref="A36:B36"/>
    <mergeCell ref="F108:G108"/>
    <mergeCell ref="A69:C69"/>
    <mergeCell ref="A107:B107"/>
    <mergeCell ref="F59:H59"/>
    <mergeCell ref="A59:B59"/>
    <mergeCell ref="A50:B58"/>
    <mergeCell ref="A4:B4"/>
    <mergeCell ref="C4:E4"/>
    <mergeCell ref="F10:G10"/>
    <mergeCell ref="A14:B14"/>
    <mergeCell ref="F14:G14"/>
    <mergeCell ref="F11:G11"/>
    <mergeCell ref="F12:G12"/>
    <mergeCell ref="A12:B12"/>
    <mergeCell ref="A28:B28"/>
    <mergeCell ref="A26:B26"/>
    <mergeCell ref="A27:B27"/>
    <mergeCell ref="F13:G13"/>
    <mergeCell ref="A19:B19"/>
    <mergeCell ref="A18:B18"/>
    <mergeCell ref="A13:B13"/>
    <mergeCell ref="A15:B15"/>
    <mergeCell ref="F18:G18"/>
    <mergeCell ref="A17:B17"/>
    <mergeCell ref="A103:C103"/>
    <mergeCell ref="F103:I103"/>
    <mergeCell ref="A99:B99"/>
    <mergeCell ref="A100:B100"/>
    <mergeCell ref="F29:G29"/>
    <mergeCell ref="A62:B62"/>
    <mergeCell ref="A68:C68"/>
    <mergeCell ref="A85:C85"/>
    <mergeCell ref="F24:G24"/>
    <mergeCell ref="F25:G25"/>
    <mergeCell ref="A41:B41"/>
    <mergeCell ref="A87:I87"/>
    <mergeCell ref="A77:C77"/>
    <mergeCell ref="C90:D90"/>
    <mergeCell ref="O1:U1"/>
    <mergeCell ref="N2:U2"/>
    <mergeCell ref="N3:U3"/>
    <mergeCell ref="N4:O4"/>
    <mergeCell ref="P4:Q4"/>
    <mergeCell ref="A42:B42"/>
    <mergeCell ref="N7:U7"/>
    <mergeCell ref="A38:B38"/>
    <mergeCell ref="A29:B29"/>
    <mergeCell ref="A23:B23"/>
    <mergeCell ref="A21:B21"/>
    <mergeCell ref="F21:G21"/>
    <mergeCell ref="F22:G22"/>
    <mergeCell ref="A16:B16"/>
    <mergeCell ref="F15:G15"/>
    <mergeCell ref="F17:G17"/>
    <mergeCell ref="F16:G16"/>
    <mergeCell ref="F19:G19"/>
    <mergeCell ref="F20:G20"/>
    <mergeCell ref="A20:B20"/>
    <mergeCell ref="B1:I1"/>
    <mergeCell ref="A7:I7"/>
    <mergeCell ref="N8:O8"/>
    <mergeCell ref="P8:Q8"/>
    <mergeCell ref="R8:S8"/>
    <mergeCell ref="T8:U8"/>
    <mergeCell ref="R10:S10"/>
    <mergeCell ref="N11:O11"/>
    <mergeCell ref="P11:Q11"/>
    <mergeCell ref="R11:S11"/>
    <mergeCell ref="A76:C76"/>
    <mergeCell ref="N14:O14"/>
    <mergeCell ref="P14:Q14"/>
    <mergeCell ref="R14:S14"/>
    <mergeCell ref="N15:O15"/>
    <mergeCell ref="P15:Q15"/>
    <mergeCell ref="R15:S15"/>
    <mergeCell ref="N12:O12"/>
    <mergeCell ref="P12:Q12"/>
    <mergeCell ref="R12:S12"/>
    <mergeCell ref="N13:O13"/>
    <mergeCell ref="P13:Q13"/>
    <mergeCell ref="R13:S13"/>
    <mergeCell ref="N18:O18"/>
    <mergeCell ref="P18:Q18"/>
    <mergeCell ref="R18:S18"/>
    <mergeCell ref="N19:O19"/>
    <mergeCell ref="P19:Q19"/>
    <mergeCell ref="R19:S19"/>
    <mergeCell ref="N16:O16"/>
    <mergeCell ref="P16:Q16"/>
    <mergeCell ref="R16:S16"/>
    <mergeCell ref="N17:O17"/>
    <mergeCell ref="P17:Q17"/>
    <mergeCell ref="R17:S17"/>
    <mergeCell ref="N22:O22"/>
    <mergeCell ref="P22:Q22"/>
    <mergeCell ref="R22:S22"/>
    <mergeCell ref="N23:O23"/>
    <mergeCell ref="P23:Q23"/>
    <mergeCell ref="R23:S23"/>
    <mergeCell ref="N20:O20"/>
    <mergeCell ref="P20:Q20"/>
    <mergeCell ref="R20:S20"/>
    <mergeCell ref="N21:O21"/>
    <mergeCell ref="P21:Q21"/>
    <mergeCell ref="R21:S21"/>
    <mergeCell ref="N26:O26"/>
    <mergeCell ref="P26:Q26"/>
    <mergeCell ref="R26:S26"/>
    <mergeCell ref="N27:O27"/>
    <mergeCell ref="P27:Q27"/>
    <mergeCell ref="R27:S27"/>
    <mergeCell ref="N24:O24"/>
    <mergeCell ref="P24:Q24"/>
    <mergeCell ref="R24:S24"/>
    <mergeCell ref="N25:O25"/>
    <mergeCell ref="P25:Q25"/>
    <mergeCell ref="R25:S25"/>
    <mergeCell ref="N34:T34"/>
    <mergeCell ref="N36:O36"/>
    <mergeCell ref="P36:T36"/>
    <mergeCell ref="N37:O37"/>
    <mergeCell ref="P37:T37"/>
    <mergeCell ref="N38:O38"/>
    <mergeCell ref="P38:T38"/>
    <mergeCell ref="N28:O28"/>
    <mergeCell ref="P28:Q28"/>
    <mergeCell ref="R28:S28"/>
    <mergeCell ref="N29:O29"/>
    <mergeCell ref="P29:Q29"/>
    <mergeCell ref="R29:S29"/>
    <mergeCell ref="N42:O42"/>
    <mergeCell ref="P42:T42"/>
    <mergeCell ref="N43:Q43"/>
    <mergeCell ref="S43:T43"/>
    <mergeCell ref="N45:Q45"/>
    <mergeCell ref="S45:T45"/>
    <mergeCell ref="N39:O39"/>
    <mergeCell ref="P39:T39"/>
    <mergeCell ref="N40:O40"/>
    <mergeCell ref="P40:T40"/>
    <mergeCell ref="N41:O41"/>
    <mergeCell ref="P41:T41"/>
    <mergeCell ref="N49:O49"/>
    <mergeCell ref="P49:Q49"/>
    <mergeCell ref="N50:O58"/>
    <mergeCell ref="P50:Q50"/>
    <mergeCell ref="P51:Q51"/>
    <mergeCell ref="P52:Q52"/>
    <mergeCell ref="P53:Q53"/>
    <mergeCell ref="P54:Q54"/>
    <mergeCell ref="P55:Q55"/>
    <mergeCell ref="P56:Q56"/>
    <mergeCell ref="P57:Q57"/>
    <mergeCell ref="P58:Q58"/>
    <mergeCell ref="N63:S63"/>
    <mergeCell ref="T63:U63"/>
    <mergeCell ref="N64:U64"/>
    <mergeCell ref="N65:O65"/>
    <mergeCell ref="T65:U65"/>
    <mergeCell ref="N59:O59"/>
    <mergeCell ref="P59:Q59"/>
    <mergeCell ref="R59:T59"/>
    <mergeCell ref="N60:U60"/>
    <mergeCell ref="N61:U61"/>
    <mergeCell ref="N62:O62"/>
    <mergeCell ref="Q62:S62"/>
    <mergeCell ref="T62:U62"/>
    <mergeCell ref="N80:P80"/>
    <mergeCell ref="N85:P85"/>
    <mergeCell ref="N76:P76"/>
    <mergeCell ref="N77:P77"/>
    <mergeCell ref="N87:U87"/>
    <mergeCell ref="N89:O89"/>
    <mergeCell ref="P89:Q89"/>
    <mergeCell ref="R89:U89"/>
    <mergeCell ref="Q65:S65"/>
    <mergeCell ref="N72:P72"/>
    <mergeCell ref="N73:T73"/>
    <mergeCell ref="N74:T74"/>
    <mergeCell ref="N78:P78"/>
    <mergeCell ref="N79:P79"/>
    <mergeCell ref="N66:S66"/>
    <mergeCell ref="T66:U66"/>
    <mergeCell ref="N68:P68"/>
    <mergeCell ref="N69:P69"/>
    <mergeCell ref="N71:P71"/>
    <mergeCell ref="N100:O100"/>
    <mergeCell ref="P100:R100"/>
    <mergeCell ref="N103:U103"/>
    <mergeCell ref="N106:O106"/>
    <mergeCell ref="P106:Q106"/>
    <mergeCell ref="R106:S106"/>
    <mergeCell ref="P90:Q90"/>
    <mergeCell ref="P91:Q91"/>
    <mergeCell ref="P92:Q92"/>
    <mergeCell ref="P93:T93"/>
    <mergeCell ref="N94:U94"/>
    <mergeCell ref="N96:P96"/>
    <mergeCell ref="Q96:T96"/>
    <mergeCell ref="N120:U120"/>
    <mergeCell ref="N139:U139"/>
    <mergeCell ref="D62:G62"/>
    <mergeCell ref="D65:G65"/>
    <mergeCell ref="C88:D88"/>
    <mergeCell ref="C89:D89"/>
    <mergeCell ref="F105:G105"/>
    <mergeCell ref="C104:E104"/>
    <mergeCell ref="N113:P113"/>
    <mergeCell ref="N114:T114"/>
    <mergeCell ref="N119:U119"/>
    <mergeCell ref="N109:O109"/>
    <mergeCell ref="P109:Q109"/>
    <mergeCell ref="R109:S109"/>
    <mergeCell ref="N110:O110"/>
    <mergeCell ref="N112:P112"/>
    <mergeCell ref="N107:O107"/>
    <mergeCell ref="P107:Q107"/>
    <mergeCell ref="R107:S107"/>
    <mergeCell ref="N108:O108"/>
    <mergeCell ref="P108:Q108"/>
    <mergeCell ref="R108:S108"/>
    <mergeCell ref="N99:O99"/>
    <mergeCell ref="P99:R99"/>
  </mergeCells>
  <phoneticPr fontId="2" type="noConversion"/>
  <printOptions horizontalCentered="1" headings="1"/>
  <pageMargins left="0.1" right="0.1" top="0.5" bottom="0.5" header="0" footer="0.1"/>
  <pageSetup scale="76" fitToHeight="2" orientation="portrait" r:id="rId1"/>
  <headerFooter alignWithMargins="0">
    <oddFooter>&amp;R&amp;P of &amp;N</oddFooter>
  </headerFooter>
  <rowBreaks count="1" manualBreakCount="1">
    <brk id="138" max="16383" man="1"/>
  </rowBreaks>
  <colBreaks count="1" manualBreakCount="1">
    <brk id="9" max="1048575" man="1"/>
  </colBreaks>
  <legacyDrawing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9">
    <tabColor rgb="FFCCFFCC"/>
  </sheetPr>
  <dimension ref="A1:U206"/>
  <sheetViews>
    <sheetView showGridLines="0" zoomScaleNormal="100" workbookViewId="0">
      <pane ySplit="1" topLeftCell="A11" activePane="bottomLeft" state="frozen"/>
      <selection activeCell="I9" sqref="I9"/>
      <selection pane="bottomLeft" activeCell="D50" sqref="D50:D58"/>
    </sheetView>
  </sheetViews>
  <sheetFormatPr defaultRowHeight="15.75" x14ac:dyDescent="0.25"/>
  <cols>
    <col min="1" max="1" width="10.28515625" style="72"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72"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5">
        <v>50</v>
      </c>
      <c r="B1" s="441" t="s">
        <v>17</v>
      </c>
      <c r="C1" s="442"/>
      <c r="D1" s="442"/>
      <c r="E1" s="442"/>
      <c r="F1" s="442"/>
      <c r="G1" s="442"/>
      <c r="H1" s="442"/>
      <c r="I1" s="442"/>
      <c r="J1" s="157"/>
      <c r="K1" s="157"/>
      <c r="L1" s="157"/>
      <c r="N1" s="85">
        <f>A1</f>
        <v>50</v>
      </c>
      <c r="O1" s="527" t="s">
        <v>17</v>
      </c>
      <c r="P1" s="528"/>
      <c r="Q1" s="528"/>
      <c r="R1" s="528"/>
      <c r="S1" s="528"/>
      <c r="T1" s="528"/>
      <c r="U1" s="528"/>
    </row>
    <row r="2" spans="1:21" ht="21" x14ac:dyDescent="0.35">
      <c r="A2" s="1" t="s">
        <v>179</v>
      </c>
      <c r="B2" s="2"/>
      <c r="C2" s="2"/>
      <c r="D2" s="2"/>
      <c r="E2" s="2"/>
      <c r="F2" s="2"/>
      <c r="G2" s="2"/>
      <c r="H2" s="2"/>
      <c r="I2" s="2"/>
      <c r="N2" s="529" t="s">
        <v>23</v>
      </c>
      <c r="O2" s="529"/>
      <c r="P2" s="529"/>
      <c r="Q2" s="529"/>
      <c r="R2" s="529"/>
      <c r="S2" s="529"/>
      <c r="T2" s="529"/>
      <c r="U2" s="529"/>
    </row>
    <row r="3" spans="1:21" x14ac:dyDescent="0.25">
      <c r="A3" s="84" t="str">
        <f>'0664'!A3</f>
        <v>Based on the FLDOE 2022-23 FEFP Third Calculation</v>
      </c>
      <c r="N3" s="485" t="str">
        <f>A3</f>
        <v>Based on the FLDOE 2022-23 FEFP Third Calculation</v>
      </c>
      <c r="O3" s="485"/>
      <c r="P3" s="485"/>
      <c r="Q3" s="485"/>
      <c r="R3" s="485"/>
      <c r="S3" s="485"/>
      <c r="T3" s="485"/>
      <c r="U3" s="485"/>
    </row>
    <row r="4" spans="1:21" x14ac:dyDescent="0.25">
      <c r="A4" s="443" t="s">
        <v>0</v>
      </c>
      <c r="B4" s="443"/>
      <c r="C4" s="444" t="s">
        <v>9</v>
      </c>
      <c r="D4" s="444"/>
      <c r="E4" s="444"/>
      <c r="F4" s="4" t="str">
        <f>'0664'!F4</f>
        <v>Apr 2023</v>
      </c>
      <c r="G4" s="4"/>
      <c r="H4" s="4"/>
      <c r="I4" s="4"/>
      <c r="N4" s="530" t="s">
        <v>0</v>
      </c>
      <c r="O4" s="530"/>
      <c r="P4" s="531" t="str">
        <f>C4</f>
        <v>Palm Beach</v>
      </c>
      <c r="Q4" s="531"/>
      <c r="R4" s="5"/>
      <c r="S4" s="5"/>
      <c r="T4" s="5"/>
      <c r="U4" s="5"/>
    </row>
    <row r="5" spans="1:21" ht="12" customHeight="1" thickBot="1" x14ac:dyDescent="0.3">
      <c r="A5" s="262"/>
      <c r="B5" s="262"/>
      <c r="C5" s="253"/>
      <c r="D5" s="253"/>
      <c r="E5" s="253"/>
      <c r="F5" s="254"/>
      <c r="G5" s="254"/>
      <c r="H5" s="254"/>
      <c r="I5" s="254"/>
      <c r="N5" s="86"/>
      <c r="O5" s="86"/>
      <c r="P5" s="6"/>
      <c r="Q5" s="6"/>
      <c r="R5" s="5"/>
      <c r="S5" s="5"/>
      <c r="T5" s="5"/>
      <c r="U5" s="5"/>
    </row>
    <row r="6" spans="1:21" ht="12" customHeight="1" x14ac:dyDescent="0.25">
      <c r="A6" s="150"/>
      <c r="B6" s="150"/>
      <c r="C6" s="261"/>
      <c r="D6" s="261"/>
      <c r="E6" s="261"/>
      <c r="F6" s="4"/>
      <c r="G6" s="4"/>
      <c r="H6" s="4"/>
      <c r="I6" s="4"/>
      <c r="N6" s="86"/>
      <c r="O6" s="86"/>
      <c r="P6" s="6"/>
      <c r="Q6" s="6"/>
      <c r="R6" s="5"/>
      <c r="S6" s="5"/>
      <c r="T6" s="5"/>
      <c r="U6" s="5"/>
    </row>
    <row r="7" spans="1:21" x14ac:dyDescent="0.25">
      <c r="A7" s="445" t="str">
        <f>'0664'!A7:I7</f>
        <v>1.   2022-23 FEFP State and Local Funding</v>
      </c>
      <c r="B7" s="533"/>
      <c r="C7" s="533"/>
      <c r="D7" s="533"/>
      <c r="E7" s="533"/>
      <c r="F7" s="533"/>
      <c r="G7" s="533"/>
      <c r="H7" s="533"/>
      <c r="I7" s="533"/>
      <c r="N7" s="530" t="s">
        <v>86</v>
      </c>
      <c r="O7" s="530"/>
      <c r="P7" s="530"/>
      <c r="Q7" s="530"/>
      <c r="R7" s="530"/>
      <c r="S7" s="530"/>
      <c r="T7" s="530"/>
      <c r="U7" s="530"/>
    </row>
    <row r="8" spans="1:21" x14ac:dyDescent="0.25">
      <c r="A8" s="87"/>
      <c r="B8" s="88" t="s">
        <v>123</v>
      </c>
      <c r="C8" s="334">
        <f>'0664'!C8</f>
        <v>4587.3999999999996</v>
      </c>
      <c r="D8" s="89"/>
      <c r="E8" s="90"/>
      <c r="F8" s="87"/>
      <c r="G8" s="88" t="s">
        <v>122</v>
      </c>
      <c r="H8" s="320">
        <f>'0664'!H8</f>
        <v>1.0438000000000001</v>
      </c>
      <c r="I8" s="78"/>
      <c r="N8" s="534" t="s">
        <v>10</v>
      </c>
      <c r="O8" s="534"/>
      <c r="P8" s="535">
        <v>4154.45</v>
      </c>
      <c r="Q8" s="535"/>
      <c r="R8" s="518" t="s">
        <v>11</v>
      </c>
      <c r="S8" s="518"/>
      <c r="T8" s="519">
        <f>H8</f>
        <v>1.0438000000000001</v>
      </c>
      <c r="U8" s="519"/>
    </row>
    <row r="9" spans="1:21" x14ac:dyDescent="0.25">
      <c r="A9" s="7"/>
      <c r="B9" s="44" t="s">
        <v>370</v>
      </c>
      <c r="C9" s="41" t="s">
        <v>370</v>
      </c>
      <c r="D9" s="91" t="s">
        <v>370</v>
      </c>
      <c r="E9" s="8"/>
      <c r="F9" s="9"/>
      <c r="G9" s="9"/>
      <c r="H9" s="10"/>
      <c r="I9" s="340" t="str">
        <f>'0664'!I9</f>
        <v>2022-23</v>
      </c>
      <c r="N9" s="12"/>
      <c r="O9" s="12"/>
      <c r="P9" s="13"/>
      <c r="Q9" s="13"/>
      <c r="R9" s="14"/>
      <c r="S9" s="14"/>
      <c r="T9" s="15"/>
      <c r="U9" s="405" t="s">
        <v>405</v>
      </c>
    </row>
    <row r="10" spans="1:21" x14ac:dyDescent="0.25">
      <c r="A10" s="7"/>
      <c r="B10" s="7"/>
      <c r="C10" s="91" t="s">
        <v>463</v>
      </c>
      <c r="D10" s="371" t="s">
        <v>464</v>
      </c>
      <c r="E10" s="92" t="s">
        <v>8</v>
      </c>
      <c r="F10" s="446" t="s">
        <v>1</v>
      </c>
      <c r="G10" s="446"/>
      <c r="H10" s="10" t="s">
        <v>73</v>
      </c>
      <c r="I10" s="11" t="s">
        <v>36</v>
      </c>
      <c r="N10" s="12"/>
      <c r="O10" s="12"/>
      <c r="P10" s="13"/>
      <c r="Q10" s="13"/>
      <c r="R10" s="520" t="s">
        <v>1</v>
      </c>
      <c r="S10" s="520"/>
      <c r="T10" s="15" t="s">
        <v>73</v>
      </c>
      <c r="U10" s="16" t="s">
        <v>36</v>
      </c>
    </row>
    <row r="11" spans="1:21" x14ac:dyDescent="0.25">
      <c r="A11" s="447" t="s">
        <v>1</v>
      </c>
      <c r="B11" s="447"/>
      <c r="C11" s="362" t="s">
        <v>2</v>
      </c>
      <c r="D11" s="362" t="s">
        <v>2</v>
      </c>
      <c r="E11" s="362" t="s">
        <v>2</v>
      </c>
      <c r="F11" s="448" t="s">
        <v>76</v>
      </c>
      <c r="G11" s="448"/>
      <c r="H11" s="17" t="s">
        <v>72</v>
      </c>
      <c r="I11" s="18" t="s">
        <v>75</v>
      </c>
      <c r="N11" s="510" t="s">
        <v>1</v>
      </c>
      <c r="O11" s="510"/>
      <c r="P11" s="521" t="s">
        <v>24</v>
      </c>
      <c r="Q11" s="521"/>
      <c r="R11" s="522" t="s">
        <v>76</v>
      </c>
      <c r="S11" s="522"/>
      <c r="T11" s="19" t="s">
        <v>72</v>
      </c>
      <c r="U11" s="20" t="s">
        <v>75</v>
      </c>
    </row>
    <row r="12" spans="1:21" x14ac:dyDescent="0.25">
      <c r="A12" s="449" t="s">
        <v>47</v>
      </c>
      <c r="B12" s="449"/>
      <c r="C12" s="94"/>
      <c r="D12" s="94"/>
      <c r="E12" s="95" t="s">
        <v>48</v>
      </c>
      <c r="F12" s="450" t="s">
        <v>49</v>
      </c>
      <c r="G12" s="450"/>
      <c r="H12" s="21" t="s">
        <v>50</v>
      </c>
      <c r="I12" s="22" t="s">
        <v>51</v>
      </c>
      <c r="N12" s="523" t="s">
        <v>47</v>
      </c>
      <c r="O12" s="523"/>
      <c r="P12" s="524" t="s">
        <v>48</v>
      </c>
      <c r="Q12" s="524"/>
      <c r="R12" s="525" t="s">
        <v>49</v>
      </c>
      <c r="S12" s="525"/>
      <c r="T12" s="23" t="s">
        <v>50</v>
      </c>
      <c r="U12" s="24" t="s">
        <v>51</v>
      </c>
    </row>
    <row r="13" spans="1:21" x14ac:dyDescent="0.25">
      <c r="A13" s="451" t="s">
        <v>29</v>
      </c>
      <c r="B13" s="451"/>
      <c r="C13" s="165">
        <v>150.74</v>
      </c>
      <c r="D13" s="163">
        <v>146.88999999999999</v>
      </c>
      <c r="E13" s="210">
        <f>IF(D$29=0,C13*2,C13+D13)</f>
        <v>297.63</v>
      </c>
      <c r="F13" s="537">
        <f>'0664'!F13:G13</f>
        <v>1.1259999999999999</v>
      </c>
      <c r="G13" s="537"/>
      <c r="H13" s="167">
        <f>ROUND(E13*F13,4)</f>
        <v>335.13139999999999</v>
      </c>
      <c r="I13" s="119">
        <f t="shared" ref="I13:I28" si="0">ROUND(ROUND(H13*$C$8,4)*($H$8),2)</f>
        <v>1604719.11</v>
      </c>
      <c r="N13" s="512" t="s">
        <v>29</v>
      </c>
      <c r="O13" s="512"/>
      <c r="P13" s="513">
        <f t="shared" ref="P13:P28" si="1">IF($H$120=1,E13,0)</f>
        <v>0</v>
      </c>
      <c r="Q13" s="513"/>
      <c r="R13" s="526">
        <v>1</v>
      </c>
      <c r="S13" s="526"/>
      <c r="T13" s="98">
        <f>ROUND(P13*R13,4)</f>
        <v>0</v>
      </c>
      <c r="U13" s="99">
        <f t="shared" ref="U13:U28" si="2">ROUND(ROUND(T13*$C$8,4)*($H$8),0)</f>
        <v>0</v>
      </c>
    </row>
    <row r="14" spans="1:21" x14ac:dyDescent="0.25">
      <c r="A14" s="453" t="s">
        <v>30</v>
      </c>
      <c r="B14" s="453"/>
      <c r="C14" s="165">
        <v>8</v>
      </c>
      <c r="D14" s="165">
        <v>7.97</v>
      </c>
      <c r="E14" s="125">
        <f t="shared" ref="E14:E28" si="3">IF(D$29=0,C14*2,C14+D14)</f>
        <v>15.969999999999999</v>
      </c>
      <c r="F14" s="532">
        <f>'0664'!F14:G14</f>
        <v>1.1259999999999999</v>
      </c>
      <c r="G14" s="532"/>
      <c r="H14" s="83">
        <f t="shared" ref="H14:H28" si="4">ROUND(E14*F14,4)</f>
        <v>17.982199999999999</v>
      </c>
      <c r="I14" s="104">
        <f t="shared" si="0"/>
        <v>86104.67</v>
      </c>
      <c r="J14" s="68" t="str">
        <f>IF(ROUND(E14,2)=ROUND(SUM(E50:E52),2)," ","CHECK PK-3 LINES BELOW")</f>
        <v xml:space="preserve"> </v>
      </c>
      <c r="N14" s="479" t="s">
        <v>30</v>
      </c>
      <c r="O14" s="479"/>
      <c r="P14" s="513">
        <f t="shared" si="1"/>
        <v>0</v>
      </c>
      <c r="Q14" s="513"/>
      <c r="R14" s="517">
        <v>1</v>
      </c>
      <c r="S14" s="517"/>
      <c r="T14" s="98">
        <f t="shared" ref="T14:T28" si="5">ROUND(P14*R14,4)</f>
        <v>0</v>
      </c>
      <c r="U14" s="99">
        <f t="shared" si="2"/>
        <v>0</v>
      </c>
    </row>
    <row r="15" spans="1:21" x14ac:dyDescent="0.25">
      <c r="A15" s="453" t="s">
        <v>31</v>
      </c>
      <c r="B15" s="453"/>
      <c r="C15" s="165">
        <v>193.55</v>
      </c>
      <c r="D15" s="165">
        <v>189.08</v>
      </c>
      <c r="E15" s="125">
        <f t="shared" si="3"/>
        <v>382.63</v>
      </c>
      <c r="F15" s="532">
        <f>'0664'!F15:G15</f>
        <v>1</v>
      </c>
      <c r="G15" s="532"/>
      <c r="H15" s="83">
        <f t="shared" si="4"/>
        <v>382.63</v>
      </c>
      <c r="I15" s="104">
        <f t="shared" si="0"/>
        <v>1832157.99</v>
      </c>
      <c r="N15" s="479" t="s">
        <v>31</v>
      </c>
      <c r="O15" s="479"/>
      <c r="P15" s="513">
        <f t="shared" si="1"/>
        <v>0</v>
      </c>
      <c r="Q15" s="513"/>
      <c r="R15" s="517">
        <v>1</v>
      </c>
      <c r="S15" s="517"/>
      <c r="T15" s="98">
        <f t="shared" si="5"/>
        <v>0</v>
      </c>
      <c r="U15" s="99">
        <f t="shared" si="2"/>
        <v>0</v>
      </c>
    </row>
    <row r="16" spans="1:21" x14ac:dyDescent="0.25">
      <c r="A16" s="453" t="s">
        <v>32</v>
      </c>
      <c r="B16" s="453"/>
      <c r="C16" s="165">
        <v>23.5</v>
      </c>
      <c r="D16" s="165">
        <v>20.94</v>
      </c>
      <c r="E16" s="125">
        <f t="shared" si="3"/>
        <v>44.44</v>
      </c>
      <c r="F16" s="532">
        <f>'0664'!F16:G16</f>
        <v>1</v>
      </c>
      <c r="G16" s="532"/>
      <c r="H16" s="83">
        <f t="shared" si="4"/>
        <v>44.44</v>
      </c>
      <c r="I16" s="104">
        <f t="shared" si="0"/>
        <v>212793.3</v>
      </c>
      <c r="J16" s="68" t="str">
        <f>IF(ROUND(E16,2)=ROUND(SUM(E53:E55),2)," ","CHECK 4-8 LINES BELOW")</f>
        <v xml:space="preserve"> </v>
      </c>
      <c r="N16" s="479" t="s">
        <v>32</v>
      </c>
      <c r="O16" s="479"/>
      <c r="P16" s="513">
        <f t="shared" si="1"/>
        <v>0</v>
      </c>
      <c r="Q16" s="513"/>
      <c r="R16" s="517">
        <v>1</v>
      </c>
      <c r="S16" s="517"/>
      <c r="T16" s="98">
        <f t="shared" si="5"/>
        <v>0</v>
      </c>
      <c r="U16" s="99">
        <f t="shared" si="2"/>
        <v>0</v>
      </c>
    </row>
    <row r="17" spans="1:21" x14ac:dyDescent="0.25">
      <c r="A17" s="453" t="s">
        <v>33</v>
      </c>
      <c r="B17" s="453"/>
      <c r="C17" s="165">
        <v>0</v>
      </c>
      <c r="D17" s="165">
        <v>0</v>
      </c>
      <c r="E17" s="125">
        <f t="shared" si="3"/>
        <v>0</v>
      </c>
      <c r="F17" s="532">
        <f>'0664'!F17:G17</f>
        <v>0.999</v>
      </c>
      <c r="G17" s="532"/>
      <c r="H17" s="83">
        <f t="shared" si="4"/>
        <v>0</v>
      </c>
      <c r="I17" s="104">
        <f t="shared" si="0"/>
        <v>0</v>
      </c>
      <c r="N17" s="479" t="s">
        <v>33</v>
      </c>
      <c r="O17" s="479"/>
      <c r="P17" s="513">
        <f t="shared" si="1"/>
        <v>0</v>
      </c>
      <c r="Q17" s="513"/>
      <c r="R17" s="517">
        <v>1</v>
      </c>
      <c r="S17" s="517"/>
      <c r="T17" s="98">
        <f t="shared" si="5"/>
        <v>0</v>
      </c>
      <c r="U17" s="99">
        <f t="shared" si="2"/>
        <v>0</v>
      </c>
    </row>
    <row r="18" spans="1:21" x14ac:dyDescent="0.25">
      <c r="A18" s="453" t="s">
        <v>34</v>
      </c>
      <c r="B18" s="453"/>
      <c r="C18" s="165">
        <v>0</v>
      </c>
      <c r="D18" s="165">
        <v>0</v>
      </c>
      <c r="E18" s="125">
        <f t="shared" si="3"/>
        <v>0</v>
      </c>
      <c r="F18" s="532">
        <f>'0664'!F18:G18</f>
        <v>0.999</v>
      </c>
      <c r="G18" s="532"/>
      <c r="H18" s="83">
        <f t="shared" si="4"/>
        <v>0</v>
      </c>
      <c r="I18" s="104">
        <f t="shared" si="0"/>
        <v>0</v>
      </c>
      <c r="J18" s="68" t="str">
        <f>IF(ROUND(E18,2)=ROUND(SUM(E56:E58),2)," ","CHECK 4-8 LINES BELOW")</f>
        <v xml:space="preserve"> </v>
      </c>
      <c r="N18" s="479" t="s">
        <v>34</v>
      </c>
      <c r="O18" s="479"/>
      <c r="P18" s="513">
        <f t="shared" si="1"/>
        <v>0</v>
      </c>
      <c r="Q18" s="513"/>
      <c r="R18" s="517">
        <v>1</v>
      </c>
      <c r="S18" s="517"/>
      <c r="T18" s="98">
        <f t="shared" si="5"/>
        <v>0</v>
      </c>
      <c r="U18" s="101">
        <f t="shared" si="2"/>
        <v>0</v>
      </c>
    </row>
    <row r="19" spans="1:21" x14ac:dyDescent="0.25">
      <c r="A19" s="453" t="s">
        <v>108</v>
      </c>
      <c r="B19" s="453"/>
      <c r="C19" s="165">
        <v>0</v>
      </c>
      <c r="D19" s="165">
        <v>0</v>
      </c>
      <c r="E19" s="125">
        <f t="shared" si="3"/>
        <v>0</v>
      </c>
      <c r="F19" s="532">
        <f>'0664'!F19:G19</f>
        <v>3.6739999999999999</v>
      </c>
      <c r="G19" s="532"/>
      <c r="H19" s="83">
        <f t="shared" si="4"/>
        <v>0</v>
      </c>
      <c r="I19" s="104">
        <f t="shared" si="0"/>
        <v>0</v>
      </c>
      <c r="N19" s="479" t="s">
        <v>108</v>
      </c>
      <c r="O19" s="479"/>
      <c r="P19" s="513">
        <f t="shared" si="1"/>
        <v>0</v>
      </c>
      <c r="Q19" s="513"/>
      <c r="R19" s="517">
        <v>1</v>
      </c>
      <c r="S19" s="517"/>
      <c r="T19" s="98">
        <f t="shared" si="5"/>
        <v>0</v>
      </c>
      <c r="U19" s="99">
        <f t="shared" si="2"/>
        <v>0</v>
      </c>
    </row>
    <row r="20" spans="1:21" x14ac:dyDescent="0.25">
      <c r="A20" s="453" t="s">
        <v>109</v>
      </c>
      <c r="B20" s="453"/>
      <c r="C20" s="165">
        <v>0</v>
      </c>
      <c r="D20" s="165">
        <v>0</v>
      </c>
      <c r="E20" s="125">
        <f t="shared" si="3"/>
        <v>0</v>
      </c>
      <c r="F20" s="532">
        <f>'0664'!F20:G20</f>
        <v>3.6739999999999999</v>
      </c>
      <c r="G20" s="532"/>
      <c r="H20" s="83">
        <f t="shared" si="4"/>
        <v>0</v>
      </c>
      <c r="I20" s="104">
        <f t="shared" si="0"/>
        <v>0</v>
      </c>
      <c r="N20" s="479" t="s">
        <v>109</v>
      </c>
      <c r="O20" s="479"/>
      <c r="P20" s="513">
        <f t="shared" si="1"/>
        <v>0</v>
      </c>
      <c r="Q20" s="513"/>
      <c r="R20" s="517">
        <v>1</v>
      </c>
      <c r="S20" s="517"/>
      <c r="T20" s="98">
        <f t="shared" si="5"/>
        <v>0</v>
      </c>
      <c r="U20" s="99">
        <f t="shared" si="2"/>
        <v>0</v>
      </c>
    </row>
    <row r="21" spans="1:21" x14ac:dyDescent="0.25">
      <c r="A21" s="453" t="s">
        <v>110</v>
      </c>
      <c r="B21" s="453"/>
      <c r="C21" s="165">
        <v>0</v>
      </c>
      <c r="D21" s="165">
        <v>0</v>
      </c>
      <c r="E21" s="125">
        <f t="shared" si="3"/>
        <v>0</v>
      </c>
      <c r="F21" s="532">
        <f>'0664'!F21:G21</f>
        <v>3.6739999999999999</v>
      </c>
      <c r="G21" s="532"/>
      <c r="H21" s="83">
        <f t="shared" si="4"/>
        <v>0</v>
      </c>
      <c r="I21" s="104">
        <f t="shared" si="0"/>
        <v>0</v>
      </c>
      <c r="N21" s="479" t="s">
        <v>110</v>
      </c>
      <c r="O21" s="479"/>
      <c r="P21" s="513">
        <f t="shared" si="1"/>
        <v>0</v>
      </c>
      <c r="Q21" s="513"/>
      <c r="R21" s="517">
        <v>1</v>
      </c>
      <c r="S21" s="517"/>
      <c r="T21" s="98">
        <f t="shared" si="5"/>
        <v>0</v>
      </c>
      <c r="U21" s="99">
        <f t="shared" si="2"/>
        <v>0</v>
      </c>
    </row>
    <row r="22" spans="1:21" x14ac:dyDescent="0.25">
      <c r="A22" s="453" t="s">
        <v>111</v>
      </c>
      <c r="B22" s="453"/>
      <c r="C22" s="165">
        <v>0</v>
      </c>
      <c r="D22" s="165">
        <v>0</v>
      </c>
      <c r="E22" s="125">
        <f t="shared" si="3"/>
        <v>0</v>
      </c>
      <c r="F22" s="532">
        <f>'0664'!F22:G22</f>
        <v>5.4009999999999998</v>
      </c>
      <c r="G22" s="532"/>
      <c r="H22" s="83">
        <f t="shared" si="4"/>
        <v>0</v>
      </c>
      <c r="I22" s="104">
        <f t="shared" si="0"/>
        <v>0</v>
      </c>
      <c r="N22" s="479" t="s">
        <v>111</v>
      </c>
      <c r="O22" s="479"/>
      <c r="P22" s="513">
        <f t="shared" si="1"/>
        <v>0</v>
      </c>
      <c r="Q22" s="513"/>
      <c r="R22" s="517">
        <v>1</v>
      </c>
      <c r="S22" s="517"/>
      <c r="T22" s="98">
        <f t="shared" si="5"/>
        <v>0</v>
      </c>
      <c r="U22" s="99">
        <f t="shared" si="2"/>
        <v>0</v>
      </c>
    </row>
    <row r="23" spans="1:21" x14ac:dyDescent="0.25">
      <c r="A23" s="453" t="s">
        <v>112</v>
      </c>
      <c r="B23" s="453"/>
      <c r="C23" s="165">
        <v>0</v>
      </c>
      <c r="D23" s="165">
        <v>0</v>
      </c>
      <c r="E23" s="125">
        <f t="shared" si="3"/>
        <v>0</v>
      </c>
      <c r="F23" s="532">
        <f>'0664'!F23:G23</f>
        <v>5.4009999999999998</v>
      </c>
      <c r="G23" s="532"/>
      <c r="H23" s="83">
        <f t="shared" si="4"/>
        <v>0</v>
      </c>
      <c r="I23" s="104">
        <f t="shared" si="0"/>
        <v>0</v>
      </c>
      <c r="N23" s="479" t="s">
        <v>112</v>
      </c>
      <c r="O23" s="479"/>
      <c r="P23" s="513">
        <f t="shared" si="1"/>
        <v>0</v>
      </c>
      <c r="Q23" s="513"/>
      <c r="R23" s="517">
        <v>1</v>
      </c>
      <c r="S23" s="517"/>
      <c r="T23" s="98">
        <f t="shared" si="5"/>
        <v>0</v>
      </c>
      <c r="U23" s="99">
        <f t="shared" si="2"/>
        <v>0</v>
      </c>
    </row>
    <row r="24" spans="1:21" x14ac:dyDescent="0.25">
      <c r="A24" s="453" t="s">
        <v>113</v>
      </c>
      <c r="B24" s="453"/>
      <c r="C24" s="165">
        <v>0</v>
      </c>
      <c r="D24" s="165">
        <v>0</v>
      </c>
      <c r="E24" s="125">
        <f t="shared" si="3"/>
        <v>0</v>
      </c>
      <c r="F24" s="532">
        <f>'0664'!F24:G24</f>
        <v>5.4009999999999998</v>
      </c>
      <c r="G24" s="532"/>
      <c r="H24" s="83">
        <f t="shared" si="4"/>
        <v>0</v>
      </c>
      <c r="I24" s="104">
        <f t="shared" si="0"/>
        <v>0</v>
      </c>
      <c r="N24" s="479" t="s">
        <v>113</v>
      </c>
      <c r="O24" s="479"/>
      <c r="P24" s="513">
        <f t="shared" si="1"/>
        <v>0</v>
      </c>
      <c r="Q24" s="513"/>
      <c r="R24" s="517">
        <v>1</v>
      </c>
      <c r="S24" s="517"/>
      <c r="T24" s="98">
        <f t="shared" si="5"/>
        <v>0</v>
      </c>
      <c r="U24" s="99">
        <f t="shared" si="2"/>
        <v>0</v>
      </c>
    </row>
    <row r="25" spans="1:21" x14ac:dyDescent="0.25">
      <c r="A25" s="453" t="s">
        <v>114</v>
      </c>
      <c r="B25" s="453"/>
      <c r="C25" s="165">
        <v>21.28</v>
      </c>
      <c r="D25" s="165">
        <v>19.68</v>
      </c>
      <c r="E25" s="125">
        <f t="shared" si="3"/>
        <v>40.96</v>
      </c>
      <c r="F25" s="532">
        <f>'0664'!F25:G25</f>
        <v>1.206</v>
      </c>
      <c r="G25" s="532"/>
      <c r="H25" s="83">
        <f t="shared" si="4"/>
        <v>49.397799999999997</v>
      </c>
      <c r="I25" s="104">
        <f t="shared" si="0"/>
        <v>236532.87</v>
      </c>
      <c r="N25" s="479" t="s">
        <v>114</v>
      </c>
      <c r="O25" s="479"/>
      <c r="P25" s="513">
        <f t="shared" si="1"/>
        <v>0</v>
      </c>
      <c r="Q25" s="513"/>
      <c r="R25" s="517">
        <v>1</v>
      </c>
      <c r="S25" s="517"/>
      <c r="T25" s="98">
        <f t="shared" si="5"/>
        <v>0</v>
      </c>
      <c r="U25" s="99">
        <f t="shared" si="2"/>
        <v>0</v>
      </c>
    </row>
    <row r="26" spans="1:21" x14ac:dyDescent="0.25">
      <c r="A26" s="453" t="s">
        <v>115</v>
      </c>
      <c r="B26" s="453"/>
      <c r="C26" s="165">
        <v>10.56</v>
      </c>
      <c r="D26" s="165">
        <v>13.52</v>
      </c>
      <c r="E26" s="125">
        <f t="shared" si="3"/>
        <v>24.08</v>
      </c>
      <c r="F26" s="532">
        <f>'0664'!F26:G26</f>
        <v>1.206</v>
      </c>
      <c r="G26" s="532"/>
      <c r="H26" s="83">
        <f t="shared" si="4"/>
        <v>29.040500000000002</v>
      </c>
      <c r="I26" s="104">
        <f t="shared" si="0"/>
        <v>139055.44</v>
      </c>
      <c r="N26" s="479" t="s">
        <v>115</v>
      </c>
      <c r="O26" s="479"/>
      <c r="P26" s="513">
        <f t="shared" si="1"/>
        <v>0</v>
      </c>
      <c r="Q26" s="513"/>
      <c r="R26" s="517">
        <v>1</v>
      </c>
      <c r="S26" s="517"/>
      <c r="T26" s="98">
        <f t="shared" si="5"/>
        <v>0</v>
      </c>
      <c r="U26" s="99">
        <f t="shared" si="2"/>
        <v>0</v>
      </c>
    </row>
    <row r="27" spans="1:21" x14ac:dyDescent="0.25">
      <c r="A27" s="453" t="s">
        <v>116</v>
      </c>
      <c r="B27" s="453"/>
      <c r="C27" s="165">
        <v>0</v>
      </c>
      <c r="D27" s="165">
        <v>0</v>
      </c>
      <c r="E27" s="125">
        <f t="shared" si="3"/>
        <v>0</v>
      </c>
      <c r="F27" s="532">
        <f>'0664'!F27:G27</f>
        <v>1.206</v>
      </c>
      <c r="G27" s="532"/>
      <c r="H27" s="83">
        <f t="shared" si="4"/>
        <v>0</v>
      </c>
      <c r="I27" s="104">
        <f t="shared" si="0"/>
        <v>0</v>
      </c>
      <c r="N27" s="479" t="s">
        <v>116</v>
      </c>
      <c r="O27" s="479"/>
      <c r="P27" s="513">
        <f t="shared" si="1"/>
        <v>0</v>
      </c>
      <c r="Q27" s="513"/>
      <c r="R27" s="517">
        <v>1</v>
      </c>
      <c r="S27" s="517"/>
      <c r="T27" s="98">
        <f t="shared" si="5"/>
        <v>0</v>
      </c>
      <c r="U27" s="99">
        <f t="shared" si="2"/>
        <v>0</v>
      </c>
    </row>
    <row r="28" spans="1:21" x14ac:dyDescent="0.25">
      <c r="A28" s="453" t="s">
        <v>117</v>
      </c>
      <c r="B28" s="453"/>
      <c r="C28" s="116">
        <v>0</v>
      </c>
      <c r="D28" s="116">
        <v>0</v>
      </c>
      <c r="E28" s="177">
        <f t="shared" si="3"/>
        <v>0</v>
      </c>
      <c r="F28" s="532">
        <f>'0664'!F28:G28</f>
        <v>0.999</v>
      </c>
      <c r="G28" s="532"/>
      <c r="H28" s="96">
        <f t="shared" si="4"/>
        <v>0</v>
      </c>
      <c r="I28" s="97">
        <f t="shared" si="0"/>
        <v>0</v>
      </c>
      <c r="N28" s="482" t="s">
        <v>117</v>
      </c>
      <c r="O28" s="482"/>
      <c r="P28" s="513">
        <f t="shared" si="1"/>
        <v>0</v>
      </c>
      <c r="Q28" s="513"/>
      <c r="R28" s="514">
        <v>1</v>
      </c>
      <c r="S28" s="514"/>
      <c r="T28" s="98">
        <f t="shared" si="5"/>
        <v>0</v>
      </c>
      <c r="U28" s="99">
        <f t="shared" si="2"/>
        <v>0</v>
      </c>
    </row>
    <row r="29" spans="1:21" x14ac:dyDescent="0.25">
      <c r="A29" s="461" t="s">
        <v>5</v>
      </c>
      <c r="B29" s="461"/>
      <c r="C29" s="97">
        <f>SUM(C13:C28)</f>
        <v>407.63000000000005</v>
      </c>
      <c r="D29" s="97">
        <f>SUM(D13:D28)</f>
        <v>398.08</v>
      </c>
      <c r="E29" s="97">
        <f>SUM(E13:E28)</f>
        <v>805.71000000000015</v>
      </c>
      <c r="F29" s="457"/>
      <c r="G29" s="457"/>
      <c r="H29" s="102">
        <f>SUM(H13:H28)</f>
        <v>858.62189999999998</v>
      </c>
      <c r="I29" s="97">
        <f>SUM(I13:I28)</f>
        <v>4111363.38</v>
      </c>
      <c r="N29" s="515" t="s">
        <v>5</v>
      </c>
      <c r="O29" s="515"/>
      <c r="P29" s="516">
        <f>SUM(P13:P28)</f>
        <v>0</v>
      </c>
      <c r="Q29" s="516"/>
      <c r="R29" s="508"/>
      <c r="S29" s="508"/>
      <c r="T29" s="103">
        <f>SUM(T13:T28)</f>
        <v>0</v>
      </c>
      <c r="U29" s="99">
        <f>SUM(U13:U28)</f>
        <v>0</v>
      </c>
    </row>
    <row r="30" spans="1:21" x14ac:dyDescent="0.25">
      <c r="A30" s="27"/>
      <c r="B30" s="27"/>
      <c r="C30" s="104"/>
      <c r="D30" s="104"/>
      <c r="E30" s="104"/>
      <c r="F30" s="28"/>
      <c r="G30" s="28"/>
      <c r="H30" s="83"/>
      <c r="I30" s="104"/>
      <c r="N30" s="29"/>
      <c r="O30" s="29"/>
      <c r="P30" s="30"/>
      <c r="Q30" s="30"/>
      <c r="R30" s="31"/>
      <c r="S30" s="31"/>
      <c r="T30" s="105"/>
      <c r="U30" s="106"/>
    </row>
    <row r="31" spans="1:21" x14ac:dyDescent="0.25">
      <c r="A31" s="168" t="s">
        <v>97</v>
      </c>
      <c r="B31" s="27"/>
      <c r="C31" s="104"/>
      <c r="D31" s="104"/>
      <c r="E31" s="104"/>
      <c r="F31" s="28"/>
      <c r="G31" s="28"/>
      <c r="H31" s="83"/>
      <c r="I31" s="104"/>
      <c r="N31" s="29"/>
      <c r="O31" s="29"/>
      <c r="P31" s="30"/>
      <c r="Q31" s="30"/>
      <c r="R31" s="31"/>
      <c r="S31" s="31"/>
      <c r="T31" s="105"/>
      <c r="U31" s="106"/>
    </row>
    <row r="32" spans="1:21" hidden="1" x14ac:dyDescent="0.25">
      <c r="A32" s="168"/>
      <c r="B32" s="27"/>
      <c r="C32" s="104"/>
      <c r="D32" s="104"/>
      <c r="E32" s="104"/>
      <c r="F32" s="28"/>
      <c r="G32" s="28"/>
      <c r="H32" s="83"/>
      <c r="I32" s="104"/>
      <c r="N32" s="29"/>
      <c r="O32" s="29"/>
      <c r="P32" s="30"/>
      <c r="Q32" s="30"/>
      <c r="R32" s="31"/>
      <c r="S32" s="31"/>
      <c r="T32" s="105"/>
      <c r="U32" s="106"/>
    </row>
    <row r="33" spans="1:21" hidden="1" x14ac:dyDescent="0.25">
      <c r="A33" s="168"/>
      <c r="B33" s="27"/>
      <c r="C33" s="104"/>
      <c r="D33" s="104"/>
      <c r="E33" s="104"/>
      <c r="F33" s="541" t="s">
        <v>282</v>
      </c>
      <c r="G33" s="541"/>
      <c r="H33" s="541"/>
      <c r="I33" s="104"/>
      <c r="N33" s="29"/>
      <c r="O33" s="29"/>
      <c r="P33" s="30"/>
      <c r="Q33" s="30"/>
      <c r="R33" s="31"/>
      <c r="S33" s="31"/>
      <c r="T33" s="105"/>
      <c r="U33" s="106"/>
    </row>
    <row r="34" spans="1:21" hidden="1" x14ac:dyDescent="0.25">
      <c r="A34" s="3"/>
      <c r="B34" s="72"/>
      <c r="C34" s="72"/>
      <c r="D34" s="72"/>
      <c r="E34" s="72"/>
      <c r="F34" s="541"/>
      <c r="G34" s="541"/>
      <c r="H34" s="541"/>
      <c r="I34" s="25" t="s">
        <v>74</v>
      </c>
      <c r="N34" s="485" t="s">
        <v>35</v>
      </c>
      <c r="O34" s="485"/>
      <c r="P34" s="485"/>
      <c r="Q34" s="485"/>
      <c r="R34" s="485"/>
      <c r="S34" s="485"/>
      <c r="T34" s="485"/>
      <c r="U34" s="26" t="s">
        <v>74</v>
      </c>
    </row>
    <row r="35" spans="1:21" hidden="1" x14ac:dyDescent="0.25">
      <c r="A35" s="27"/>
      <c r="B35" s="27"/>
      <c r="C35" s="91" t="s">
        <v>124</v>
      </c>
      <c r="D35" s="91" t="s">
        <v>125</v>
      </c>
      <c r="E35" s="92" t="s">
        <v>8</v>
      </c>
      <c r="F35" s="541"/>
      <c r="G35" s="541"/>
      <c r="H35" s="541"/>
      <c r="I35" s="25" t="s">
        <v>36</v>
      </c>
      <c r="N35" s="29"/>
      <c r="O35" s="29"/>
      <c r="P35" s="30"/>
      <c r="Q35" s="30"/>
      <c r="R35" s="31"/>
      <c r="S35" s="31"/>
      <c r="T35" s="105"/>
      <c r="U35" s="26" t="s">
        <v>36</v>
      </c>
    </row>
    <row r="36" spans="1:21" hidden="1" x14ac:dyDescent="0.25">
      <c r="A36" s="447" t="s">
        <v>63</v>
      </c>
      <c r="B36" s="447"/>
      <c r="C36" s="93" t="s">
        <v>2</v>
      </c>
      <c r="D36" s="93" t="s">
        <v>2</v>
      </c>
      <c r="E36" s="93" t="s">
        <v>2</v>
      </c>
      <c r="F36" s="542"/>
      <c r="G36" s="542"/>
      <c r="H36" s="542"/>
      <c r="I36" s="32" t="s">
        <v>75</v>
      </c>
      <c r="N36" s="510" t="s">
        <v>63</v>
      </c>
      <c r="O36" s="510"/>
      <c r="P36" s="511" t="s">
        <v>24</v>
      </c>
      <c r="Q36" s="511"/>
      <c r="R36" s="511"/>
      <c r="S36" s="511"/>
      <c r="T36" s="511"/>
      <c r="U36" s="20" t="s">
        <v>75</v>
      </c>
    </row>
    <row r="37" spans="1:21" hidden="1" x14ac:dyDescent="0.25">
      <c r="A37" s="451" t="s">
        <v>56</v>
      </c>
      <c r="B37" s="451"/>
      <c r="C37" s="169">
        <v>0</v>
      </c>
      <c r="D37" s="169">
        <v>0</v>
      </c>
      <c r="E37" s="210">
        <f t="shared" ref="E37:E42" si="6">IF(D$43=0,C37*2,C37+D37)</f>
        <v>0</v>
      </c>
      <c r="F37" s="170"/>
      <c r="G37" s="170"/>
      <c r="H37" s="170"/>
      <c r="I37" s="119">
        <f t="shared" ref="I37:I42" si="7">ROUND(ROUND(E37*$C$8,4)*($H$8),2)</f>
        <v>0</v>
      </c>
      <c r="N37" s="512" t="s">
        <v>56</v>
      </c>
      <c r="O37" s="512"/>
      <c r="P37" s="483">
        <f t="shared" ref="P37:P42" si="8">IF($H$120=1,E37,0)</f>
        <v>0</v>
      </c>
      <c r="Q37" s="483"/>
      <c r="R37" s="483"/>
      <c r="S37" s="483"/>
      <c r="T37" s="483"/>
      <c r="U37" s="101">
        <f t="shared" ref="U37:U42" si="9">ROUND(ROUND(P37*$C$8,4)*($H$8),0)</f>
        <v>0</v>
      </c>
    </row>
    <row r="38" spans="1:21" hidden="1" x14ac:dyDescent="0.25">
      <c r="A38" s="453" t="s">
        <v>57</v>
      </c>
      <c r="B38" s="453"/>
      <c r="C38" s="172">
        <v>0</v>
      </c>
      <c r="D38" s="172">
        <v>0</v>
      </c>
      <c r="E38" s="125">
        <f t="shared" si="6"/>
        <v>0</v>
      </c>
      <c r="F38" s="173"/>
      <c r="G38" s="173"/>
      <c r="H38" s="173"/>
      <c r="I38" s="104">
        <f t="shared" si="7"/>
        <v>0</v>
      </c>
      <c r="N38" s="479" t="s">
        <v>57</v>
      </c>
      <c r="O38" s="479"/>
      <c r="P38" s="483">
        <f t="shared" si="8"/>
        <v>0</v>
      </c>
      <c r="Q38" s="483"/>
      <c r="R38" s="483"/>
      <c r="S38" s="483"/>
      <c r="T38" s="483"/>
      <c r="U38" s="101">
        <f t="shared" si="9"/>
        <v>0</v>
      </c>
    </row>
    <row r="39" spans="1:21" hidden="1" x14ac:dyDescent="0.25">
      <c r="A39" s="458" t="s">
        <v>58</v>
      </c>
      <c r="B39" s="458"/>
      <c r="C39" s="172">
        <v>0</v>
      </c>
      <c r="D39" s="172">
        <v>0</v>
      </c>
      <c r="E39" s="125">
        <f t="shared" si="6"/>
        <v>0</v>
      </c>
      <c r="F39" s="173"/>
      <c r="G39" s="173"/>
      <c r="H39" s="173"/>
      <c r="I39" s="104">
        <f t="shared" si="7"/>
        <v>0</v>
      </c>
      <c r="N39" s="509" t="s">
        <v>58</v>
      </c>
      <c r="O39" s="509"/>
      <c r="P39" s="483">
        <f t="shared" si="8"/>
        <v>0</v>
      </c>
      <c r="Q39" s="483"/>
      <c r="R39" s="483"/>
      <c r="S39" s="483"/>
      <c r="T39" s="483"/>
      <c r="U39" s="101">
        <f t="shared" si="9"/>
        <v>0</v>
      </c>
    </row>
    <row r="40" spans="1:21" hidden="1" x14ac:dyDescent="0.25">
      <c r="A40" s="453" t="s">
        <v>59</v>
      </c>
      <c r="B40" s="453"/>
      <c r="C40" s="172">
        <v>0</v>
      </c>
      <c r="D40" s="172">
        <v>0</v>
      </c>
      <c r="E40" s="125">
        <f t="shared" si="6"/>
        <v>0</v>
      </c>
      <c r="F40" s="173"/>
      <c r="G40" s="173"/>
      <c r="H40" s="173"/>
      <c r="I40" s="104">
        <f t="shared" si="7"/>
        <v>0</v>
      </c>
      <c r="N40" s="479" t="s">
        <v>59</v>
      </c>
      <c r="O40" s="479"/>
      <c r="P40" s="483">
        <f t="shared" si="8"/>
        <v>0</v>
      </c>
      <c r="Q40" s="483"/>
      <c r="R40" s="483"/>
      <c r="S40" s="483"/>
      <c r="T40" s="483"/>
      <c r="U40" s="101">
        <f t="shared" si="9"/>
        <v>0</v>
      </c>
    </row>
    <row r="41" spans="1:21" hidden="1" x14ac:dyDescent="0.25">
      <c r="A41" s="453" t="s">
        <v>60</v>
      </c>
      <c r="B41" s="453"/>
      <c r="C41" s="172">
        <v>0</v>
      </c>
      <c r="D41" s="172">
        <v>0</v>
      </c>
      <c r="E41" s="125">
        <f t="shared" si="6"/>
        <v>0</v>
      </c>
      <c r="F41" s="173"/>
      <c r="G41" s="173"/>
      <c r="H41" s="173"/>
      <c r="I41" s="104">
        <f t="shared" si="7"/>
        <v>0</v>
      </c>
      <c r="N41" s="479" t="s">
        <v>60</v>
      </c>
      <c r="O41" s="479"/>
      <c r="P41" s="483">
        <f t="shared" si="8"/>
        <v>0</v>
      </c>
      <c r="Q41" s="483"/>
      <c r="R41" s="483"/>
      <c r="S41" s="483"/>
      <c r="T41" s="483"/>
      <c r="U41" s="101">
        <f t="shared" si="9"/>
        <v>0</v>
      </c>
    </row>
    <row r="42" spans="1:21" hidden="1" x14ac:dyDescent="0.25">
      <c r="A42" s="453" t="s">
        <v>52</v>
      </c>
      <c r="B42" s="453"/>
      <c r="C42" s="171">
        <v>0</v>
      </c>
      <c r="D42" s="171">
        <v>0</v>
      </c>
      <c r="E42" s="177">
        <f t="shared" si="6"/>
        <v>0</v>
      </c>
      <c r="F42" s="173"/>
      <c r="G42" s="173"/>
      <c r="H42" s="173"/>
      <c r="I42" s="97">
        <f t="shared" si="7"/>
        <v>0</v>
      </c>
      <c r="N42" s="482" t="s">
        <v>52</v>
      </c>
      <c r="O42" s="482"/>
      <c r="P42" s="483">
        <f t="shared" si="8"/>
        <v>0</v>
      </c>
      <c r="Q42" s="483"/>
      <c r="R42" s="483"/>
      <c r="S42" s="483"/>
      <c r="T42" s="483"/>
      <c r="U42" s="101">
        <f t="shared" si="9"/>
        <v>0</v>
      </c>
    </row>
    <row r="43" spans="1:21" hidden="1" x14ac:dyDescent="0.25">
      <c r="A43" s="3"/>
      <c r="B43" s="55" t="s">
        <v>126</v>
      </c>
      <c r="C43" s="100">
        <f>SUM(C37:C42)</f>
        <v>0</v>
      </c>
      <c r="D43" s="100">
        <f>SUM(D37:D42)</f>
        <v>0</v>
      </c>
      <c r="E43" s="100">
        <f>SUM(E37:E42)</f>
        <v>0</v>
      </c>
      <c r="F43" s="33"/>
      <c r="G43" s="109"/>
      <c r="H43" s="110" t="s">
        <v>128</v>
      </c>
      <c r="I43" s="100">
        <f>SUM(I37:I42)</f>
        <v>0</v>
      </c>
      <c r="N43" s="480" t="s">
        <v>54</v>
      </c>
      <c r="O43" s="480"/>
      <c r="P43" s="480"/>
      <c r="Q43" s="480"/>
      <c r="R43" s="34">
        <f>SUM(P37:R42)</f>
        <v>0</v>
      </c>
      <c r="S43" s="508" t="s">
        <v>64</v>
      </c>
      <c r="T43" s="508"/>
      <c r="U43" s="106">
        <f>SUM(U37:U42)</f>
        <v>0</v>
      </c>
    </row>
    <row r="44" spans="1:21" ht="16.5" hidden="1" thickBot="1" x14ac:dyDescent="0.3">
      <c r="A44" s="3"/>
      <c r="B44" s="55"/>
      <c r="C44" s="104"/>
      <c r="D44" s="104"/>
      <c r="E44" s="119"/>
      <c r="F44" s="33"/>
      <c r="G44" s="109"/>
      <c r="H44" s="110"/>
      <c r="I44" s="104"/>
      <c r="N44" s="29"/>
      <c r="O44" s="29"/>
      <c r="P44" s="29"/>
      <c r="Q44" s="29"/>
      <c r="R44" s="34"/>
      <c r="S44" s="31"/>
      <c r="T44" s="31"/>
      <c r="U44" s="106"/>
    </row>
    <row r="45" spans="1:21" ht="16.5" hidden="1" thickBot="1" x14ac:dyDescent="0.3">
      <c r="A45" s="3"/>
      <c r="B45" s="55" t="s">
        <v>127</v>
      </c>
      <c r="E45" s="174">
        <f>H29+E43</f>
        <v>858.62189999999998</v>
      </c>
      <c r="F45" s="35"/>
      <c r="G45" s="109"/>
      <c r="H45" s="110" t="s">
        <v>129</v>
      </c>
      <c r="I45" s="97">
        <f>SUM(I43,I29)</f>
        <v>4111363.38</v>
      </c>
      <c r="N45" s="480" t="s">
        <v>55</v>
      </c>
      <c r="O45" s="480"/>
      <c r="P45" s="480"/>
      <c r="Q45" s="480"/>
      <c r="R45" s="36">
        <f>R43+T29</f>
        <v>0</v>
      </c>
      <c r="S45" s="508" t="s">
        <v>53</v>
      </c>
      <c r="T45" s="508"/>
      <c r="U45" s="111">
        <f>SUM(U43,U29)</f>
        <v>0</v>
      </c>
    </row>
    <row r="46" spans="1:21" hidden="1" x14ac:dyDescent="0.25">
      <c r="A46" s="27"/>
      <c r="B46" s="27"/>
      <c r="C46" s="27"/>
      <c r="D46" s="27"/>
      <c r="E46" s="27"/>
      <c r="F46" s="35"/>
      <c r="G46" s="28"/>
      <c r="H46" s="28"/>
      <c r="I46" s="104"/>
      <c r="N46" s="29"/>
      <c r="O46" s="29"/>
      <c r="P46" s="29"/>
      <c r="Q46" s="29"/>
      <c r="R46" s="36"/>
      <c r="S46" s="31"/>
      <c r="T46" s="31"/>
      <c r="U46" s="106"/>
    </row>
    <row r="47" spans="1:21" x14ac:dyDescent="0.25">
      <c r="A47" s="27"/>
      <c r="B47" s="55" t="s">
        <v>370</v>
      </c>
      <c r="C47" s="41" t="s">
        <v>370</v>
      </c>
      <c r="D47" s="91" t="s">
        <v>370</v>
      </c>
      <c r="E47" s="27"/>
      <c r="F47" s="35"/>
      <c r="G47" s="28"/>
      <c r="H47" s="28"/>
      <c r="I47" s="104"/>
      <c r="N47" s="29"/>
      <c r="O47" s="29"/>
      <c r="P47" s="29"/>
      <c r="Q47" s="29"/>
      <c r="R47" s="36"/>
      <c r="S47" s="31"/>
      <c r="T47" s="31"/>
      <c r="U47" s="106"/>
    </row>
    <row r="48" spans="1:21" x14ac:dyDescent="0.25">
      <c r="A48" s="27"/>
      <c r="B48" s="27"/>
      <c r="C48" s="91" t="s">
        <v>463</v>
      </c>
      <c r="D48" s="371" t="s">
        <v>464</v>
      </c>
      <c r="E48" s="92" t="s">
        <v>8</v>
      </c>
      <c r="F48" s="49" t="s">
        <v>130</v>
      </c>
      <c r="G48" s="112" t="s">
        <v>132</v>
      </c>
      <c r="H48" s="113" t="s">
        <v>133</v>
      </c>
      <c r="I48" s="104"/>
      <c r="N48" s="29"/>
      <c r="O48" s="29"/>
      <c r="P48" s="29"/>
      <c r="Q48" s="29"/>
      <c r="R48" s="36"/>
      <c r="S48" s="31"/>
      <c r="T48" s="31"/>
      <c r="U48" s="106"/>
    </row>
    <row r="49" spans="1:21" x14ac:dyDescent="0.25">
      <c r="A49" s="37" t="s">
        <v>87</v>
      </c>
      <c r="B49" s="37"/>
      <c r="C49" s="362" t="s">
        <v>2</v>
      </c>
      <c r="D49" s="362" t="s">
        <v>2</v>
      </c>
      <c r="E49" s="362" t="s">
        <v>2</v>
      </c>
      <c r="F49" s="95" t="s">
        <v>131</v>
      </c>
      <c r="G49" s="62" t="s">
        <v>131</v>
      </c>
      <c r="H49" s="114" t="s">
        <v>134</v>
      </c>
      <c r="I49" s="37"/>
      <c r="N49" s="482" t="s">
        <v>87</v>
      </c>
      <c r="O49" s="482"/>
      <c r="P49" s="503" t="s">
        <v>2</v>
      </c>
      <c r="Q49" s="503"/>
      <c r="R49" s="38" t="s">
        <v>25</v>
      </c>
      <c r="S49" s="63" t="s">
        <v>26</v>
      </c>
      <c r="T49" s="115" t="s">
        <v>27</v>
      </c>
      <c r="U49" s="38"/>
    </row>
    <row r="50" spans="1:21" x14ac:dyDescent="0.25">
      <c r="A50" s="459" t="s">
        <v>98</v>
      </c>
      <c r="B50" s="459"/>
      <c r="C50" s="165">
        <v>6</v>
      </c>
      <c r="D50" s="165">
        <v>5.9700000000000006</v>
      </c>
      <c r="E50" s="125">
        <f>IF(D$59=0,C50*2,C50+D50)</f>
        <v>11.97</v>
      </c>
      <c r="F50" s="39" t="s">
        <v>21</v>
      </c>
      <c r="G50" s="39">
        <v>251</v>
      </c>
      <c r="H50" s="321">
        <f>'0664'!H50</f>
        <v>1047</v>
      </c>
      <c r="I50" s="104">
        <f>ROUND(E50*H50,2)</f>
        <v>12532.59</v>
      </c>
      <c r="N50" s="504" t="s">
        <v>28</v>
      </c>
      <c r="O50" s="504"/>
      <c r="P50" s="505"/>
      <c r="Q50" s="505"/>
      <c r="R50" s="40" t="s">
        <v>21</v>
      </c>
      <c r="S50" s="40">
        <v>251</v>
      </c>
      <c r="T50" s="117">
        <f>H50</f>
        <v>1047</v>
      </c>
      <c r="U50" s="118">
        <f>ROUND(P50*T50,0)</f>
        <v>0</v>
      </c>
    </row>
    <row r="51" spans="1:21" x14ac:dyDescent="0.25">
      <c r="A51" s="460"/>
      <c r="B51" s="460"/>
      <c r="C51" s="165">
        <v>1</v>
      </c>
      <c r="D51" s="165">
        <v>1</v>
      </c>
      <c r="E51" s="125">
        <f t="shared" ref="E51:E58" si="10">IF(D$59=0,C51*2,C51+D51)</f>
        <v>2</v>
      </c>
      <c r="F51" s="39" t="s">
        <v>21</v>
      </c>
      <c r="G51" s="39">
        <v>252</v>
      </c>
      <c r="H51" s="321">
        <f>'0664'!H51</f>
        <v>3380</v>
      </c>
      <c r="I51" s="104">
        <f t="shared" ref="I51:I58" si="11">ROUND(E51*H51,2)</f>
        <v>6760</v>
      </c>
      <c r="N51" s="504"/>
      <c r="O51" s="504"/>
      <c r="P51" s="506"/>
      <c r="Q51" s="506"/>
      <c r="R51" s="40" t="s">
        <v>21</v>
      </c>
      <c r="S51" s="40">
        <v>252</v>
      </c>
      <c r="T51" s="117">
        <f t="shared" ref="T51:T58" si="12">H51</f>
        <v>3380</v>
      </c>
      <c r="U51" s="118">
        <f t="shared" ref="U51:U58" si="13">ROUND(P51*T51,0)</f>
        <v>0</v>
      </c>
    </row>
    <row r="52" spans="1:21" x14ac:dyDescent="0.25">
      <c r="A52" s="460"/>
      <c r="B52" s="460"/>
      <c r="C52" s="165">
        <v>1</v>
      </c>
      <c r="D52" s="165">
        <v>1</v>
      </c>
      <c r="E52" s="125">
        <f t="shared" si="10"/>
        <v>2</v>
      </c>
      <c r="F52" s="39" t="s">
        <v>21</v>
      </c>
      <c r="G52" s="39">
        <v>253</v>
      </c>
      <c r="H52" s="321">
        <f>'0664'!H52</f>
        <v>6896</v>
      </c>
      <c r="I52" s="104">
        <f t="shared" si="11"/>
        <v>13792</v>
      </c>
      <c r="N52" s="504"/>
      <c r="O52" s="504"/>
      <c r="P52" s="506"/>
      <c r="Q52" s="506"/>
      <c r="R52" s="40" t="s">
        <v>21</v>
      </c>
      <c r="S52" s="40">
        <v>253</v>
      </c>
      <c r="T52" s="117">
        <f t="shared" si="12"/>
        <v>6896</v>
      </c>
      <c r="U52" s="118">
        <f t="shared" si="13"/>
        <v>0</v>
      </c>
    </row>
    <row r="53" spans="1:21" x14ac:dyDescent="0.25">
      <c r="A53" s="460"/>
      <c r="B53" s="460"/>
      <c r="C53" s="165">
        <v>23.5</v>
      </c>
      <c r="D53" s="165">
        <v>20.94</v>
      </c>
      <c r="E53" s="125">
        <f t="shared" si="10"/>
        <v>44.44</v>
      </c>
      <c r="F53" s="41" t="s">
        <v>14</v>
      </c>
      <c r="G53" s="39">
        <v>251</v>
      </c>
      <c r="H53" s="321">
        <f>'0664'!H53</f>
        <v>1173</v>
      </c>
      <c r="I53" s="104">
        <f t="shared" si="11"/>
        <v>52128.12</v>
      </c>
      <c r="N53" s="504"/>
      <c r="O53" s="504"/>
      <c r="P53" s="506"/>
      <c r="Q53" s="506"/>
      <c r="R53" s="42" t="s">
        <v>14</v>
      </c>
      <c r="S53" s="40">
        <v>251</v>
      </c>
      <c r="T53" s="117">
        <f t="shared" si="12"/>
        <v>1173</v>
      </c>
      <c r="U53" s="118">
        <f t="shared" si="13"/>
        <v>0</v>
      </c>
    </row>
    <row r="54" spans="1:21" x14ac:dyDescent="0.25">
      <c r="A54" s="460"/>
      <c r="B54" s="460"/>
      <c r="C54" s="165">
        <v>0</v>
      </c>
      <c r="D54" s="165">
        <v>0</v>
      </c>
      <c r="E54" s="125">
        <f t="shared" si="10"/>
        <v>0</v>
      </c>
      <c r="F54" s="41" t="s">
        <v>14</v>
      </c>
      <c r="G54" s="39">
        <v>252</v>
      </c>
      <c r="H54" s="321">
        <f>'0664'!H54</f>
        <v>3506</v>
      </c>
      <c r="I54" s="104">
        <f t="shared" si="11"/>
        <v>0</v>
      </c>
      <c r="N54" s="504"/>
      <c r="O54" s="504"/>
      <c r="P54" s="506"/>
      <c r="Q54" s="506"/>
      <c r="R54" s="42" t="s">
        <v>14</v>
      </c>
      <c r="S54" s="40">
        <v>252</v>
      </c>
      <c r="T54" s="117">
        <f t="shared" si="12"/>
        <v>3506</v>
      </c>
      <c r="U54" s="118">
        <f t="shared" si="13"/>
        <v>0</v>
      </c>
    </row>
    <row r="55" spans="1:21" x14ac:dyDescent="0.25">
      <c r="A55" s="460"/>
      <c r="B55" s="460"/>
      <c r="C55" s="165">
        <v>0</v>
      </c>
      <c r="D55" s="165">
        <v>0</v>
      </c>
      <c r="E55" s="125">
        <f t="shared" si="10"/>
        <v>0</v>
      </c>
      <c r="F55" s="41" t="s">
        <v>14</v>
      </c>
      <c r="G55" s="39">
        <v>253</v>
      </c>
      <c r="H55" s="321">
        <f>'0664'!H55</f>
        <v>7023</v>
      </c>
      <c r="I55" s="104">
        <f t="shared" si="11"/>
        <v>0</v>
      </c>
      <c r="N55" s="504"/>
      <c r="O55" s="504"/>
      <c r="P55" s="506"/>
      <c r="Q55" s="506"/>
      <c r="R55" s="42" t="s">
        <v>14</v>
      </c>
      <c r="S55" s="40">
        <v>253</v>
      </c>
      <c r="T55" s="117">
        <f t="shared" si="12"/>
        <v>7023</v>
      </c>
      <c r="U55" s="118">
        <f t="shared" si="13"/>
        <v>0</v>
      </c>
    </row>
    <row r="56" spans="1:21" x14ac:dyDescent="0.25">
      <c r="A56" s="460"/>
      <c r="B56" s="460"/>
      <c r="C56" s="165">
        <v>0</v>
      </c>
      <c r="D56" s="165">
        <v>0</v>
      </c>
      <c r="E56" s="125">
        <f t="shared" si="10"/>
        <v>0</v>
      </c>
      <c r="F56" s="41" t="s">
        <v>15</v>
      </c>
      <c r="G56" s="39">
        <v>251</v>
      </c>
      <c r="H56" s="321">
        <f>'0664'!H56</f>
        <v>835</v>
      </c>
      <c r="I56" s="104">
        <f t="shared" si="11"/>
        <v>0</v>
      </c>
      <c r="N56" s="504"/>
      <c r="O56" s="504"/>
      <c r="P56" s="506"/>
      <c r="Q56" s="506"/>
      <c r="R56" s="42" t="s">
        <v>15</v>
      </c>
      <c r="S56" s="40">
        <v>251</v>
      </c>
      <c r="T56" s="117">
        <f t="shared" si="12"/>
        <v>835</v>
      </c>
      <c r="U56" s="118">
        <f t="shared" si="13"/>
        <v>0</v>
      </c>
    </row>
    <row r="57" spans="1:21" x14ac:dyDescent="0.25">
      <c r="A57" s="460"/>
      <c r="B57" s="460"/>
      <c r="C57" s="165">
        <v>0</v>
      </c>
      <c r="D57" s="165">
        <v>0</v>
      </c>
      <c r="E57" s="125">
        <f t="shared" si="10"/>
        <v>0</v>
      </c>
      <c r="F57" s="41" t="s">
        <v>15</v>
      </c>
      <c r="G57" s="39">
        <v>252</v>
      </c>
      <c r="H57" s="321">
        <f>'0664'!H57</f>
        <v>3168</v>
      </c>
      <c r="I57" s="104">
        <f t="shared" si="11"/>
        <v>0</v>
      </c>
      <c r="N57" s="504"/>
      <c r="O57" s="504"/>
      <c r="P57" s="506"/>
      <c r="Q57" s="506"/>
      <c r="R57" s="42" t="s">
        <v>15</v>
      </c>
      <c r="S57" s="40">
        <v>252</v>
      </c>
      <c r="T57" s="117">
        <f t="shared" si="12"/>
        <v>3168</v>
      </c>
      <c r="U57" s="118">
        <f t="shared" si="13"/>
        <v>0</v>
      </c>
    </row>
    <row r="58" spans="1:21" ht="16.5" thickBot="1" x14ac:dyDescent="0.3">
      <c r="A58" s="460"/>
      <c r="B58" s="460"/>
      <c r="C58" s="165">
        <v>0</v>
      </c>
      <c r="D58" s="165">
        <v>0</v>
      </c>
      <c r="E58" s="125">
        <f t="shared" si="10"/>
        <v>0</v>
      </c>
      <c r="F58" s="41" t="s">
        <v>15</v>
      </c>
      <c r="G58" s="39">
        <v>253</v>
      </c>
      <c r="H58" s="321">
        <f>'0664'!H58</f>
        <v>6685</v>
      </c>
      <c r="I58" s="104">
        <f t="shared" si="11"/>
        <v>0</v>
      </c>
      <c r="N58" s="504"/>
      <c r="O58" s="504"/>
      <c r="P58" s="507"/>
      <c r="Q58" s="507"/>
      <c r="R58" s="42" t="s">
        <v>15</v>
      </c>
      <c r="S58" s="40">
        <v>253</v>
      </c>
      <c r="T58" s="117">
        <f t="shared" si="12"/>
        <v>6685</v>
      </c>
      <c r="U58" s="120">
        <f t="shared" si="13"/>
        <v>0</v>
      </c>
    </row>
    <row r="59" spans="1:21" ht="16.5" thickBot="1" x14ac:dyDescent="0.3">
      <c r="A59" s="461" t="s">
        <v>16</v>
      </c>
      <c r="B59" s="461"/>
      <c r="C59" s="100">
        <f>SUM(C50:C58)</f>
        <v>31.5</v>
      </c>
      <c r="D59" s="100">
        <f>SUM(D50:D58)</f>
        <v>28.910000000000004</v>
      </c>
      <c r="E59" s="100">
        <f>SUM(E50:E58)</f>
        <v>60.41</v>
      </c>
      <c r="F59" s="461" t="s">
        <v>77</v>
      </c>
      <c r="G59" s="461"/>
      <c r="H59" s="461"/>
      <c r="I59" s="100">
        <f>SUM(I50:I58)</f>
        <v>85212.709999999992</v>
      </c>
      <c r="N59" s="480" t="s">
        <v>16</v>
      </c>
      <c r="O59" s="480"/>
      <c r="P59" s="502">
        <f>SUM(P50:P58)</f>
        <v>0</v>
      </c>
      <c r="Q59" s="502"/>
      <c r="R59" s="480" t="s">
        <v>77</v>
      </c>
      <c r="S59" s="480"/>
      <c r="T59" s="480"/>
      <c r="U59" s="111">
        <f>SUM(U50:U58)</f>
        <v>0</v>
      </c>
    </row>
    <row r="60" spans="1:21" x14ac:dyDescent="0.25">
      <c r="A60" s="462"/>
      <c r="B60" s="462"/>
      <c r="C60" s="462"/>
      <c r="D60" s="462"/>
      <c r="E60" s="462"/>
      <c r="F60" s="462"/>
      <c r="G60" s="462"/>
      <c r="H60" s="462"/>
      <c r="I60" s="462"/>
      <c r="N60" s="484"/>
      <c r="O60" s="484"/>
      <c r="P60" s="484"/>
      <c r="Q60" s="484"/>
      <c r="R60" s="484"/>
      <c r="S60" s="484"/>
      <c r="T60" s="484"/>
      <c r="U60" s="484"/>
    </row>
    <row r="61" spans="1:21" x14ac:dyDescent="0.25">
      <c r="A61" s="463" t="s">
        <v>136</v>
      </c>
      <c r="B61" s="453"/>
      <c r="C61" s="453"/>
      <c r="D61" s="453"/>
      <c r="E61" s="453"/>
      <c r="F61" s="453"/>
      <c r="G61" s="453"/>
      <c r="H61" s="453"/>
      <c r="I61" s="453"/>
      <c r="N61" s="479" t="s">
        <v>88</v>
      </c>
      <c r="O61" s="479"/>
      <c r="P61" s="479"/>
      <c r="Q61" s="479"/>
      <c r="R61" s="479"/>
      <c r="S61" s="479"/>
      <c r="T61" s="479"/>
      <c r="U61" s="479"/>
    </row>
    <row r="62" spans="1:21" x14ac:dyDescent="0.25">
      <c r="A62" s="463" t="s">
        <v>138</v>
      </c>
      <c r="B62" s="453"/>
      <c r="C62" s="121">
        <f>E29</f>
        <v>805.71000000000015</v>
      </c>
      <c r="D62" s="464" t="s">
        <v>135</v>
      </c>
      <c r="E62" s="464"/>
      <c r="F62" s="464"/>
      <c r="G62" s="464"/>
      <c r="H62" s="335">
        <f>'0664'!H62</f>
        <v>193340.76</v>
      </c>
      <c r="I62" s="122"/>
      <c r="N62" s="478" t="s">
        <v>312</v>
      </c>
      <c r="O62" s="479"/>
      <c r="P62" s="43">
        <f>P29</f>
        <v>0</v>
      </c>
      <c r="Q62" s="498" t="s">
        <v>78</v>
      </c>
      <c r="R62" s="498"/>
      <c r="S62" s="498"/>
      <c r="T62" s="497">
        <f>H62</f>
        <v>193340.76</v>
      </c>
      <c r="U62" s="497"/>
    </row>
    <row r="63" spans="1:21" x14ac:dyDescent="0.25">
      <c r="B63" s="72"/>
      <c r="G63" s="44" t="s">
        <v>13</v>
      </c>
      <c r="H63" s="123">
        <f>ROUND(C62/H62,6)</f>
        <v>4.1669999999999997E-3</v>
      </c>
      <c r="I63" s="124"/>
      <c r="N63" s="479" t="s">
        <v>19</v>
      </c>
      <c r="O63" s="479"/>
      <c r="P63" s="479"/>
      <c r="Q63" s="479"/>
      <c r="R63" s="479"/>
      <c r="S63" s="479"/>
      <c r="T63" s="501">
        <f>ROUND(P62/T62,6)</f>
        <v>0</v>
      </c>
      <c r="U63" s="501"/>
    </row>
    <row r="64" spans="1:21" x14ac:dyDescent="0.25">
      <c r="A64" s="463" t="s">
        <v>137</v>
      </c>
      <c r="B64" s="453"/>
      <c r="C64" s="453"/>
      <c r="D64" s="453"/>
      <c r="E64" s="453"/>
      <c r="F64" s="453"/>
      <c r="G64" s="453"/>
      <c r="H64" s="453"/>
      <c r="I64" s="453"/>
      <c r="N64" s="479" t="s">
        <v>89</v>
      </c>
      <c r="O64" s="479"/>
      <c r="P64" s="479"/>
      <c r="Q64" s="479"/>
      <c r="R64" s="479"/>
      <c r="S64" s="479"/>
      <c r="T64" s="479"/>
      <c r="U64" s="479"/>
    </row>
    <row r="65" spans="1:21" x14ac:dyDescent="0.25">
      <c r="A65" s="463" t="s">
        <v>139</v>
      </c>
      <c r="B65" s="453"/>
      <c r="C65" s="121">
        <f>E45</f>
        <v>858.62189999999998</v>
      </c>
      <c r="D65" s="464" t="s">
        <v>140</v>
      </c>
      <c r="E65" s="464"/>
      <c r="F65" s="464"/>
      <c r="G65" s="464"/>
      <c r="H65" s="336">
        <f>'0664'!H65</f>
        <v>216845.88</v>
      </c>
      <c r="I65" s="125"/>
      <c r="N65" s="479" t="s">
        <v>80</v>
      </c>
      <c r="O65" s="479"/>
      <c r="P65" s="43">
        <f>R45</f>
        <v>0</v>
      </c>
      <c r="Q65" s="498" t="s">
        <v>79</v>
      </c>
      <c r="R65" s="498"/>
      <c r="S65" s="498"/>
      <c r="T65" s="497">
        <f>H65</f>
        <v>216845.88</v>
      </c>
      <c r="U65" s="497"/>
    </row>
    <row r="66" spans="1:21" s="37" customFormat="1" x14ac:dyDescent="0.25">
      <c r="A66" s="126"/>
      <c r="G66" s="45" t="s">
        <v>13</v>
      </c>
      <c r="H66" s="127">
        <f>ROUND(C65/H65,6)</f>
        <v>3.96E-3</v>
      </c>
      <c r="I66" s="127"/>
      <c r="N66" s="482" t="s">
        <v>20</v>
      </c>
      <c r="O66" s="482"/>
      <c r="P66" s="482"/>
      <c r="Q66" s="482"/>
      <c r="R66" s="482"/>
      <c r="S66" s="482"/>
      <c r="T66" s="500">
        <f>ROUND(P65/T65,6)</f>
        <v>0</v>
      </c>
      <c r="U66" s="500"/>
    </row>
    <row r="67" spans="1:21" x14ac:dyDescent="0.25">
      <c r="G67" s="44"/>
      <c r="H67" s="123"/>
      <c r="I67" s="123"/>
      <c r="N67" s="48"/>
      <c r="O67" s="48"/>
      <c r="P67" s="48"/>
      <c r="Q67" s="48"/>
      <c r="R67" s="128"/>
      <c r="S67" s="48"/>
      <c r="T67" s="129"/>
      <c r="U67" s="130"/>
    </row>
    <row r="68" spans="1:21" x14ac:dyDescent="0.25">
      <c r="A68" s="453" t="s">
        <v>85</v>
      </c>
      <c r="B68" s="453"/>
      <c r="C68" s="453"/>
      <c r="D68" s="72"/>
      <c r="E68" s="46" t="s">
        <v>3</v>
      </c>
      <c r="F68" s="337">
        <f>'0664'!F68</f>
        <v>42465042</v>
      </c>
      <c r="G68" s="39" t="s">
        <v>6</v>
      </c>
      <c r="H68" s="131">
        <f>H63</f>
        <v>4.1669999999999997E-3</v>
      </c>
      <c r="I68" s="104">
        <f>ROUND(F68*H68,2)</f>
        <v>176951.83</v>
      </c>
      <c r="N68" s="479" t="s">
        <v>85</v>
      </c>
      <c r="O68" s="479"/>
      <c r="P68" s="479"/>
      <c r="Q68" s="47"/>
      <c r="R68" s="132">
        <f>F68</f>
        <v>42465042</v>
      </c>
      <c r="S68" s="40" t="s">
        <v>6</v>
      </c>
      <c r="T68" s="133">
        <f>T63</f>
        <v>0</v>
      </c>
      <c r="U68" s="99">
        <f>ROUND(R68*T68,0)</f>
        <v>0</v>
      </c>
    </row>
    <row r="69" spans="1:21" x14ac:dyDescent="0.25">
      <c r="A69" s="458" t="s">
        <v>96</v>
      </c>
      <c r="B69" s="453"/>
      <c r="C69" s="453"/>
      <c r="D69" s="72"/>
      <c r="E69" s="46"/>
      <c r="F69" s="136"/>
      <c r="G69" s="39"/>
      <c r="H69" s="131"/>
      <c r="I69" s="104"/>
      <c r="N69" s="479" t="s">
        <v>84</v>
      </c>
      <c r="O69" s="479"/>
      <c r="P69" s="479"/>
      <c r="Q69" s="54"/>
      <c r="R69" s="54"/>
      <c r="S69" s="54"/>
      <c r="T69" s="54"/>
      <c r="U69" s="54"/>
    </row>
    <row r="70" spans="1:21" x14ac:dyDescent="0.25">
      <c r="A70" s="465" t="s">
        <v>141</v>
      </c>
      <c r="B70" s="453"/>
      <c r="C70" s="453"/>
      <c r="D70" s="72"/>
      <c r="E70" s="46" t="s">
        <v>3</v>
      </c>
      <c r="F70" s="337">
        <f>'0664'!F70</f>
        <v>0</v>
      </c>
      <c r="G70" s="39" t="s">
        <v>6</v>
      </c>
      <c r="H70" s="131">
        <f>H63</f>
        <v>4.1669999999999997E-3</v>
      </c>
      <c r="I70" s="104">
        <f>ROUND(F70*H70,2)</f>
        <v>0</v>
      </c>
      <c r="N70" s="48"/>
      <c r="O70" s="48"/>
      <c r="P70" s="48"/>
      <c r="Q70" s="47"/>
      <c r="R70" s="132">
        <f>F70</f>
        <v>0</v>
      </c>
      <c r="S70" s="40" t="s">
        <v>6</v>
      </c>
      <c r="T70" s="133">
        <f>T63</f>
        <v>0</v>
      </c>
      <c r="U70" s="99">
        <f>ROUND(R70*T70,0)</f>
        <v>0</v>
      </c>
    </row>
    <row r="71" spans="1:21" x14ac:dyDescent="0.25">
      <c r="A71" s="463" t="s">
        <v>433</v>
      </c>
      <c r="B71" s="453"/>
      <c r="C71" s="453"/>
      <c r="D71" s="72"/>
      <c r="E71" s="46" t="s">
        <v>3</v>
      </c>
      <c r="F71" s="337">
        <f>'0664'!F71</f>
        <v>13414654</v>
      </c>
      <c r="G71" s="39" t="s">
        <v>6</v>
      </c>
      <c r="H71" s="131">
        <f>H63</f>
        <v>4.1669999999999997E-3</v>
      </c>
      <c r="I71" s="104">
        <f>ROUND(F71*H71,2)</f>
        <v>55898.86</v>
      </c>
      <c r="N71" s="479" t="s">
        <v>83</v>
      </c>
      <c r="O71" s="479"/>
      <c r="P71" s="479"/>
      <c r="Q71" s="47"/>
      <c r="R71" s="132">
        <f>F71</f>
        <v>13414654</v>
      </c>
      <c r="S71" s="40" t="s">
        <v>6</v>
      </c>
      <c r="T71" s="133">
        <f>T63</f>
        <v>0</v>
      </c>
      <c r="U71" s="99">
        <f>ROUND(R71*T71,0)</f>
        <v>0</v>
      </c>
    </row>
    <row r="72" spans="1:21" x14ac:dyDescent="0.25">
      <c r="A72" s="463" t="s">
        <v>434</v>
      </c>
      <c r="B72" s="453"/>
      <c r="C72" s="453"/>
      <c r="D72" s="72"/>
      <c r="E72" s="46" t="s">
        <v>3</v>
      </c>
      <c r="F72" s="337">
        <f>'0664'!F72</f>
        <v>14708421</v>
      </c>
      <c r="G72" s="39" t="s">
        <v>6</v>
      </c>
      <c r="H72" s="131">
        <f>H63</f>
        <v>4.1669999999999997E-3</v>
      </c>
      <c r="I72" s="104">
        <f>ROUND(F72*H72,2)</f>
        <v>61289.99</v>
      </c>
      <c r="N72" s="479" t="s">
        <v>82</v>
      </c>
      <c r="O72" s="479"/>
      <c r="P72" s="479"/>
      <c r="Q72" s="47"/>
      <c r="R72" s="134">
        <f>F72</f>
        <v>14708421</v>
      </c>
      <c r="S72" s="40" t="s">
        <v>6</v>
      </c>
      <c r="T72" s="133">
        <f>T63</f>
        <v>0</v>
      </c>
      <c r="U72" s="99">
        <f>ROUND(R72*T72,0)</f>
        <v>0</v>
      </c>
    </row>
    <row r="73" spans="1:21" x14ac:dyDescent="0.25">
      <c r="A73" s="263" t="s">
        <v>99</v>
      </c>
      <c r="D73" s="72"/>
      <c r="E73" s="41" t="s">
        <v>353</v>
      </c>
      <c r="F73" s="466"/>
      <c r="G73" s="466"/>
      <c r="H73" s="466"/>
      <c r="I73" s="104">
        <v>0</v>
      </c>
      <c r="N73" s="499" t="s">
        <v>118</v>
      </c>
      <c r="O73" s="499"/>
      <c r="P73" s="499"/>
      <c r="Q73" s="499"/>
      <c r="R73" s="499"/>
      <c r="S73" s="499"/>
      <c r="T73" s="499"/>
      <c r="U73" s="99">
        <f>IF($H$120=1,I73,0)</f>
        <v>0</v>
      </c>
    </row>
    <row r="74" spans="1:21" x14ac:dyDescent="0.25">
      <c r="A74" s="264" t="s">
        <v>142</v>
      </c>
      <c r="I74" s="104"/>
      <c r="N74" s="499" t="s">
        <v>43</v>
      </c>
      <c r="O74" s="499"/>
      <c r="P74" s="499"/>
      <c r="Q74" s="499"/>
      <c r="R74" s="499"/>
      <c r="S74" s="499"/>
      <c r="T74" s="499"/>
      <c r="U74" s="99">
        <f>IF($H$120=1,I74,0)</f>
        <v>0</v>
      </c>
    </row>
    <row r="75" spans="1:21" x14ac:dyDescent="0.25">
      <c r="A75" s="324" t="s">
        <v>101</v>
      </c>
      <c r="B75" s="72"/>
      <c r="C75" s="72"/>
      <c r="D75" s="72"/>
      <c r="E75" s="72"/>
      <c r="F75" s="72"/>
      <c r="G75" s="72"/>
      <c r="H75" s="72"/>
      <c r="I75" s="135"/>
      <c r="N75" s="382" t="s">
        <v>44</v>
      </c>
      <c r="O75" s="48"/>
      <c r="P75" s="48"/>
      <c r="Q75" s="48"/>
      <c r="R75" s="48"/>
      <c r="S75" s="48"/>
      <c r="T75" s="48"/>
      <c r="U75" s="106"/>
    </row>
    <row r="76" spans="1:21" x14ac:dyDescent="0.25">
      <c r="A76" s="463" t="s">
        <v>435</v>
      </c>
      <c r="B76" s="453"/>
      <c r="C76" s="453"/>
      <c r="D76" s="72"/>
      <c r="E76" s="46" t="s">
        <v>3</v>
      </c>
      <c r="F76" s="337">
        <f>'0664'!F76</f>
        <v>8720092</v>
      </c>
      <c r="G76" s="39" t="s">
        <v>6</v>
      </c>
      <c r="H76" s="131">
        <f>H63</f>
        <v>4.1669999999999997E-3</v>
      </c>
      <c r="I76" s="104">
        <f t="shared" ref="I76:I85" si="14">ROUND(F76*H76,2)</f>
        <v>36336.620000000003</v>
      </c>
      <c r="N76" s="478" t="s">
        <v>366</v>
      </c>
      <c r="O76" s="479"/>
      <c r="P76" s="479"/>
      <c r="Q76" s="47"/>
      <c r="R76" s="134">
        <f t="shared" ref="R76:R85" si="15">F76</f>
        <v>8720092</v>
      </c>
      <c r="S76" s="40" t="s">
        <v>6</v>
      </c>
      <c r="T76" s="133">
        <f>T63</f>
        <v>0</v>
      </c>
      <c r="U76" s="99">
        <f t="shared" ref="U76:U85" si="16">ROUND(R76*T76,0)</f>
        <v>0</v>
      </c>
    </row>
    <row r="77" spans="1:21" x14ac:dyDescent="0.25">
      <c r="A77" s="463" t="s">
        <v>436</v>
      </c>
      <c r="B77" s="453"/>
      <c r="C77" s="453"/>
      <c r="D77" s="72"/>
      <c r="E77" s="46" t="s">
        <v>3</v>
      </c>
      <c r="F77" s="337">
        <f>'0664'!F77</f>
        <v>0</v>
      </c>
      <c r="G77" s="39" t="s">
        <v>6</v>
      </c>
      <c r="H77" s="131">
        <f>H63</f>
        <v>4.1669999999999997E-3</v>
      </c>
      <c r="I77" s="104">
        <f t="shared" si="14"/>
        <v>0</v>
      </c>
      <c r="N77" s="479" t="s">
        <v>367</v>
      </c>
      <c r="O77" s="479"/>
      <c r="P77" s="479"/>
      <c r="Q77" s="47"/>
      <c r="R77" s="134">
        <f t="shared" si="15"/>
        <v>0</v>
      </c>
      <c r="S77" s="40" t="s">
        <v>6</v>
      </c>
      <c r="T77" s="133">
        <f>T63</f>
        <v>0</v>
      </c>
      <c r="U77" s="99">
        <f t="shared" si="16"/>
        <v>0</v>
      </c>
    </row>
    <row r="78" spans="1:21" x14ac:dyDescent="0.25">
      <c r="A78" s="463" t="s">
        <v>437</v>
      </c>
      <c r="B78" s="453"/>
      <c r="C78" s="453"/>
      <c r="D78" s="72"/>
      <c r="E78" s="46" t="s">
        <v>4</v>
      </c>
      <c r="F78" s="337">
        <f>'0664'!F78</f>
        <v>0</v>
      </c>
      <c r="G78" s="39" t="s">
        <v>6</v>
      </c>
      <c r="H78" s="131">
        <f>H66</f>
        <v>3.96E-3</v>
      </c>
      <c r="I78" s="104">
        <f t="shared" si="14"/>
        <v>0</v>
      </c>
      <c r="N78" s="478" t="s">
        <v>392</v>
      </c>
      <c r="O78" s="479"/>
      <c r="P78" s="479"/>
      <c r="Q78" s="47"/>
      <c r="R78" s="134">
        <f t="shared" si="15"/>
        <v>0</v>
      </c>
      <c r="S78" s="40" t="s">
        <v>6</v>
      </c>
      <c r="T78" s="133">
        <f>T66</f>
        <v>0</v>
      </c>
      <c r="U78" s="99">
        <f t="shared" si="16"/>
        <v>0</v>
      </c>
    </row>
    <row r="79" spans="1:21" x14ac:dyDescent="0.25">
      <c r="A79" s="463" t="s">
        <v>438</v>
      </c>
      <c r="B79" s="453"/>
      <c r="C79" s="453"/>
      <c r="D79" s="72"/>
      <c r="E79" s="46" t="s">
        <v>4</v>
      </c>
      <c r="F79" s="337">
        <f>'0664'!F79</f>
        <v>11278687</v>
      </c>
      <c r="G79" s="39" t="s">
        <v>6</v>
      </c>
      <c r="H79" s="131">
        <f>H66</f>
        <v>3.96E-3</v>
      </c>
      <c r="I79" s="104">
        <f t="shared" si="14"/>
        <v>44663.6</v>
      </c>
      <c r="N79" s="478" t="s">
        <v>393</v>
      </c>
      <c r="O79" s="479"/>
      <c r="P79" s="479"/>
      <c r="Q79" s="47"/>
      <c r="R79" s="134">
        <f t="shared" si="15"/>
        <v>11278687</v>
      </c>
      <c r="S79" s="40" t="s">
        <v>6</v>
      </c>
      <c r="T79" s="133">
        <f>T66</f>
        <v>0</v>
      </c>
      <c r="U79" s="99">
        <f t="shared" si="16"/>
        <v>0</v>
      </c>
    </row>
    <row r="80" spans="1:21" x14ac:dyDescent="0.25">
      <c r="A80" s="463" t="s">
        <v>439</v>
      </c>
      <c r="B80" s="453"/>
      <c r="C80" s="453"/>
      <c r="D80" s="72"/>
      <c r="E80" s="46" t="s">
        <v>4</v>
      </c>
      <c r="F80" s="337">
        <f>'0664'!F80</f>
        <v>206284749</v>
      </c>
      <c r="G80" s="39" t="s">
        <v>6</v>
      </c>
      <c r="H80" s="131">
        <f>H66</f>
        <v>3.96E-3</v>
      </c>
      <c r="I80" s="104">
        <f t="shared" si="14"/>
        <v>816887.61</v>
      </c>
      <c r="N80" s="478" t="s">
        <v>397</v>
      </c>
      <c r="O80" s="479"/>
      <c r="P80" s="479"/>
      <c r="Q80" s="47"/>
      <c r="R80" s="134">
        <f t="shared" si="15"/>
        <v>206284749</v>
      </c>
      <c r="S80" s="40" t="s">
        <v>6</v>
      </c>
      <c r="T80" s="133">
        <f>T66</f>
        <v>0</v>
      </c>
      <c r="U80" s="99">
        <f t="shared" si="16"/>
        <v>0</v>
      </c>
    </row>
    <row r="81" spans="1:21" x14ac:dyDescent="0.25">
      <c r="A81" s="84" t="s">
        <v>440</v>
      </c>
      <c r="B81" s="72"/>
      <c r="C81" s="72"/>
      <c r="D81" s="72"/>
      <c r="E81" s="46"/>
      <c r="F81" s="337"/>
      <c r="G81" s="39"/>
      <c r="H81" s="131"/>
      <c r="I81" s="104"/>
      <c r="N81" s="419" t="s">
        <v>440</v>
      </c>
      <c r="O81" s="48"/>
      <c r="P81" s="48"/>
      <c r="Q81" s="47"/>
      <c r="R81" s="423"/>
      <c r="S81" s="40"/>
      <c r="T81" s="133"/>
      <c r="U81" s="120"/>
    </row>
    <row r="82" spans="1:21" x14ac:dyDescent="0.25">
      <c r="A82" s="264" t="s">
        <v>441</v>
      </c>
      <c r="B82" s="72"/>
      <c r="C82" s="72"/>
      <c r="D82" s="72"/>
      <c r="E82" s="46" t="s">
        <v>442</v>
      </c>
      <c r="F82" s="337">
        <f>'0664'!F82</f>
        <v>0</v>
      </c>
      <c r="G82" s="39" t="s">
        <v>6</v>
      </c>
      <c r="H82" s="131">
        <f>H66</f>
        <v>3.96E-3</v>
      </c>
      <c r="I82" s="104">
        <v>139364.09</v>
      </c>
      <c r="N82" s="422" t="s">
        <v>441</v>
      </c>
      <c r="O82" s="48"/>
      <c r="P82" s="48"/>
      <c r="Q82" s="47"/>
      <c r="R82" s="134">
        <f t="shared" si="15"/>
        <v>0</v>
      </c>
      <c r="S82" s="40"/>
      <c r="T82" s="133"/>
      <c r="U82" s="99">
        <f t="shared" si="16"/>
        <v>0</v>
      </c>
    </row>
    <row r="83" spans="1:21" x14ac:dyDescent="0.25">
      <c r="A83" s="264" t="s">
        <v>443</v>
      </c>
      <c r="B83" s="72"/>
      <c r="C83" s="72"/>
      <c r="D83" s="72"/>
      <c r="E83" s="46" t="s">
        <v>442</v>
      </c>
      <c r="F83" s="337">
        <f>'0664'!F83</f>
        <v>0</v>
      </c>
      <c r="G83" s="39" t="s">
        <v>6</v>
      </c>
      <c r="H83" s="131">
        <f>H66</f>
        <v>3.96E-3</v>
      </c>
      <c r="I83" s="104">
        <v>63347.31</v>
      </c>
      <c r="N83" s="422" t="s">
        <v>443</v>
      </c>
      <c r="O83" s="48"/>
      <c r="P83" s="48"/>
      <c r="Q83" s="47"/>
      <c r="R83" s="134">
        <f t="shared" si="15"/>
        <v>0</v>
      </c>
      <c r="S83" s="40"/>
      <c r="T83" s="133"/>
      <c r="U83" s="99">
        <f t="shared" si="16"/>
        <v>0</v>
      </c>
    </row>
    <row r="84" spans="1:21" x14ac:dyDescent="0.25">
      <c r="A84" s="420" t="s">
        <v>444</v>
      </c>
      <c r="B84" s="72"/>
      <c r="C84" s="72"/>
      <c r="D84" s="72"/>
      <c r="E84" s="46"/>
      <c r="F84" s="337"/>
      <c r="G84" s="39"/>
      <c r="H84" s="131"/>
      <c r="I84" s="104">
        <f>I82+I83</f>
        <v>202711.4</v>
      </c>
      <c r="N84" s="421" t="s">
        <v>444</v>
      </c>
      <c r="O84" s="48"/>
      <c r="P84" s="48"/>
      <c r="Q84" s="47"/>
      <c r="R84" s="423"/>
      <c r="S84" s="40"/>
      <c r="T84" s="133"/>
      <c r="U84" s="99">
        <f>U82+U83</f>
        <v>0</v>
      </c>
    </row>
    <row r="85" spans="1:21" x14ac:dyDescent="0.25">
      <c r="A85" s="463" t="s">
        <v>398</v>
      </c>
      <c r="B85" s="453"/>
      <c r="C85" s="453"/>
      <c r="D85" s="72"/>
      <c r="E85" s="46" t="s">
        <v>4</v>
      </c>
      <c r="F85" s="337">
        <f>'0664'!F85</f>
        <v>0</v>
      </c>
      <c r="G85" s="39" t="s">
        <v>6</v>
      </c>
      <c r="H85" s="131">
        <f>H66</f>
        <v>3.96E-3</v>
      </c>
      <c r="I85" s="104">
        <f t="shared" si="14"/>
        <v>0</v>
      </c>
      <c r="N85" s="478" t="s">
        <v>398</v>
      </c>
      <c r="O85" s="479"/>
      <c r="P85" s="479"/>
      <c r="Q85" s="47"/>
      <c r="R85" s="132">
        <f t="shared" si="15"/>
        <v>0</v>
      </c>
      <c r="S85" s="40" t="s">
        <v>6</v>
      </c>
      <c r="T85" s="133">
        <f>T66</f>
        <v>0</v>
      </c>
      <c r="U85" s="99">
        <f t="shared" si="16"/>
        <v>0</v>
      </c>
    </row>
    <row r="86" spans="1:21" x14ac:dyDescent="0.25">
      <c r="B86" s="72"/>
      <c r="C86" s="72"/>
      <c r="D86" s="72"/>
      <c r="E86" s="46"/>
      <c r="F86" s="136"/>
      <c r="G86" s="39"/>
      <c r="H86" s="131"/>
      <c r="I86" s="104"/>
      <c r="N86" s="48"/>
      <c r="O86" s="48"/>
      <c r="P86" s="48"/>
      <c r="Q86" s="47"/>
      <c r="R86" s="137"/>
      <c r="S86" s="40"/>
      <c r="T86" s="133"/>
      <c r="U86" s="106"/>
    </row>
    <row r="87" spans="1:21" x14ac:dyDescent="0.25">
      <c r="A87" s="463" t="s">
        <v>445</v>
      </c>
      <c r="B87" s="453"/>
      <c r="C87" s="453"/>
      <c r="D87" s="453"/>
      <c r="E87" s="453"/>
      <c r="F87" s="453"/>
      <c r="G87" s="453"/>
      <c r="H87" s="453"/>
      <c r="I87" s="453"/>
      <c r="N87" s="478" t="s">
        <v>429</v>
      </c>
      <c r="O87" s="479"/>
      <c r="P87" s="479"/>
      <c r="Q87" s="479"/>
      <c r="R87" s="479"/>
      <c r="S87" s="479"/>
      <c r="T87" s="479"/>
      <c r="U87" s="479"/>
    </row>
    <row r="88" spans="1:21" x14ac:dyDescent="0.25">
      <c r="B88" s="72"/>
      <c r="C88" s="466" t="s">
        <v>73</v>
      </c>
      <c r="D88" s="466"/>
      <c r="E88" s="72"/>
      <c r="F88" s="41" t="s">
        <v>37</v>
      </c>
      <c r="G88" s="72"/>
      <c r="H88" s="72"/>
      <c r="I88" s="72"/>
      <c r="N88" s="48"/>
      <c r="O88" s="48"/>
      <c r="P88" s="48"/>
      <c r="Q88" s="48"/>
      <c r="R88" s="48"/>
      <c r="S88" s="48"/>
      <c r="T88" s="48"/>
      <c r="U88" s="48"/>
    </row>
    <row r="89" spans="1:21" x14ac:dyDescent="0.25">
      <c r="A89" s="3"/>
      <c r="B89" s="138"/>
      <c r="C89" s="462" t="s">
        <v>144</v>
      </c>
      <c r="D89" s="462"/>
      <c r="E89" s="139" t="s">
        <v>150</v>
      </c>
      <c r="F89" s="140" t="s">
        <v>149</v>
      </c>
      <c r="G89" s="141"/>
      <c r="H89" s="141"/>
      <c r="I89" s="141"/>
      <c r="N89" s="495" t="s">
        <v>46</v>
      </c>
      <c r="O89" s="495"/>
      <c r="P89" s="496" t="s">
        <v>119</v>
      </c>
      <c r="Q89" s="496"/>
      <c r="R89" s="497" t="s">
        <v>40</v>
      </c>
      <c r="S89" s="497"/>
      <c r="T89" s="497"/>
      <c r="U89" s="497"/>
    </row>
    <row r="90" spans="1:21" x14ac:dyDescent="0.25">
      <c r="A90" s="27"/>
      <c r="B90" s="55" t="s">
        <v>148</v>
      </c>
      <c r="C90" s="467">
        <f>H13+H14+H19+H22+H25</f>
        <v>402.51139999999998</v>
      </c>
      <c r="D90" s="467"/>
      <c r="E90" s="49">
        <f>H8</f>
        <v>1.0438000000000001</v>
      </c>
      <c r="F90" s="338">
        <f>'0664'!F90</f>
        <v>957.94</v>
      </c>
      <c r="G90" s="41" t="s">
        <v>13</v>
      </c>
      <c r="H90" s="104">
        <f>ROUND(C90*E90*F90,2)</f>
        <v>402470.25</v>
      </c>
      <c r="I90" s="107"/>
      <c r="N90" s="29" t="s">
        <v>22</v>
      </c>
      <c r="O90" s="50">
        <f>T13+T14+T19+T22+T25</f>
        <v>0</v>
      </c>
      <c r="P90" s="490">
        <f>T8</f>
        <v>1.0438000000000001</v>
      </c>
      <c r="Q90" s="490"/>
      <c r="R90" s="51">
        <f>F90</f>
        <v>957.94</v>
      </c>
      <c r="S90" s="42" t="s">
        <v>13</v>
      </c>
      <c r="T90" s="134">
        <f>ROUND(O90*P90*R90,0)</f>
        <v>0</v>
      </c>
      <c r="U90" s="105"/>
    </row>
    <row r="91" spans="1:21" x14ac:dyDescent="0.25">
      <c r="A91" s="52"/>
      <c r="B91" s="52" t="s">
        <v>147</v>
      </c>
      <c r="C91" s="467">
        <f>H15+H16+H20+H23+H26</f>
        <v>456.1105</v>
      </c>
      <c r="D91" s="467"/>
      <c r="E91" s="49">
        <f>H8</f>
        <v>1.0438000000000001</v>
      </c>
      <c r="F91" s="338">
        <f>'0664'!F91</f>
        <v>914.63</v>
      </c>
      <c r="G91" s="41" t="s">
        <v>13</v>
      </c>
      <c r="H91" s="104">
        <f>ROUND(C91*E91*F91,2)</f>
        <v>435444.5</v>
      </c>
      <c r="N91" s="53" t="s">
        <v>14</v>
      </c>
      <c r="O91" s="50">
        <f>T15+T16+T20+T23+T26</f>
        <v>0</v>
      </c>
      <c r="P91" s="490">
        <f>T8</f>
        <v>1.0438000000000001</v>
      </c>
      <c r="Q91" s="490"/>
      <c r="R91" s="51">
        <f>F91</f>
        <v>914.63</v>
      </c>
      <c r="S91" s="42" t="s">
        <v>13</v>
      </c>
      <c r="T91" s="134">
        <f>ROUND(O91*P91*R91,0)</f>
        <v>0</v>
      </c>
      <c r="U91" s="54"/>
    </row>
    <row r="92" spans="1:21" ht="16.5" thickBot="1" x14ac:dyDescent="0.3">
      <c r="A92" s="55"/>
      <c r="B92" s="55" t="s">
        <v>146</v>
      </c>
      <c r="C92" s="467">
        <f>H17+H18+H21+H24+H27+H28</f>
        <v>0</v>
      </c>
      <c r="D92" s="467"/>
      <c r="E92" s="49">
        <f>H8</f>
        <v>1.0438000000000001</v>
      </c>
      <c r="F92" s="338">
        <f>'0664'!F92</f>
        <v>916.84</v>
      </c>
      <c r="G92" s="41" t="s">
        <v>13</v>
      </c>
      <c r="H92" s="97">
        <f>ROUND(C92*E92*F92,2)</f>
        <v>0</v>
      </c>
      <c r="N92" s="56" t="s">
        <v>15</v>
      </c>
      <c r="O92" s="57">
        <f>T17+T18+T21+T24+T27+T28</f>
        <v>0</v>
      </c>
      <c r="P92" s="490">
        <f>T8</f>
        <v>1.0438000000000001</v>
      </c>
      <c r="Q92" s="490"/>
      <c r="R92" s="51">
        <f>F92</f>
        <v>916.84</v>
      </c>
      <c r="S92" s="42" t="s">
        <v>13</v>
      </c>
      <c r="T92" s="134">
        <f>ROUND(O92*P92*R92,0)</f>
        <v>0</v>
      </c>
      <c r="U92" s="54"/>
    </row>
    <row r="93" spans="1:21" ht="16.5" thickBot="1" x14ac:dyDescent="0.3">
      <c r="A93" s="58"/>
      <c r="B93" s="142" t="s">
        <v>145</v>
      </c>
      <c r="C93" s="469">
        <f>SUM(C90:C92)</f>
        <v>858.62189999999998</v>
      </c>
      <c r="D93" s="469"/>
      <c r="E93" s="143"/>
      <c r="F93" s="143"/>
      <c r="G93" s="143"/>
      <c r="H93" s="144" t="s">
        <v>143</v>
      </c>
      <c r="I93" s="104">
        <f>IF(A1=75,0,H92+H91+H90)</f>
        <v>837914.75</v>
      </c>
      <c r="N93" s="59" t="s">
        <v>120</v>
      </c>
      <c r="O93" s="60">
        <f>SUM(O90:O92)</f>
        <v>0</v>
      </c>
      <c r="P93" s="491" t="s">
        <v>18</v>
      </c>
      <c r="Q93" s="492"/>
      <c r="R93" s="492"/>
      <c r="S93" s="492"/>
      <c r="T93" s="492"/>
      <c r="U93" s="99">
        <f>IF(N1=75,0,T92+T91+T90)</f>
        <v>0</v>
      </c>
    </row>
    <row r="94" spans="1:21" ht="16.5" thickTop="1" x14ac:dyDescent="0.25">
      <c r="A94" s="540" t="s">
        <v>90</v>
      </c>
      <c r="B94" s="540"/>
      <c r="C94" s="540"/>
      <c r="D94" s="540"/>
      <c r="E94" s="540"/>
      <c r="F94" s="540"/>
      <c r="G94" s="540"/>
      <c r="H94" s="540"/>
      <c r="I94" s="540"/>
      <c r="N94" s="493" t="s">
        <v>90</v>
      </c>
      <c r="O94" s="493"/>
      <c r="P94" s="493"/>
      <c r="Q94" s="493"/>
      <c r="R94" s="493"/>
      <c r="S94" s="493"/>
      <c r="T94" s="493"/>
      <c r="U94" s="493"/>
    </row>
    <row r="95" spans="1:21" x14ac:dyDescent="0.25">
      <c r="A95" s="145"/>
      <c r="B95" s="145"/>
      <c r="C95" s="145"/>
      <c r="D95" s="145"/>
      <c r="E95" s="145"/>
      <c r="F95" s="145"/>
      <c r="G95" s="145"/>
      <c r="H95" s="145"/>
      <c r="I95" s="145"/>
      <c r="N95" s="146"/>
      <c r="O95" s="146"/>
      <c r="P95" s="146"/>
      <c r="Q95" s="146"/>
      <c r="R95" s="146"/>
      <c r="S95" s="146"/>
      <c r="T95" s="146"/>
      <c r="U95" s="146"/>
    </row>
    <row r="96" spans="1:21" x14ac:dyDescent="0.25">
      <c r="A96" s="84" t="s">
        <v>446</v>
      </c>
      <c r="C96" s="46"/>
      <c r="D96" s="72"/>
      <c r="E96" s="46" t="s">
        <v>100</v>
      </c>
      <c r="F96" s="471"/>
      <c r="G96" s="471"/>
      <c r="H96" s="471"/>
      <c r="I96" s="471"/>
      <c r="N96" s="478" t="s">
        <v>426</v>
      </c>
      <c r="O96" s="479"/>
      <c r="P96" s="479"/>
      <c r="Q96" s="494"/>
      <c r="R96" s="494"/>
      <c r="S96" s="494"/>
      <c r="T96" s="494"/>
      <c r="U96" s="106"/>
    </row>
    <row r="97" spans="1:21" x14ac:dyDescent="0.25">
      <c r="B97" s="72"/>
      <c r="C97" s="91" t="s">
        <v>409</v>
      </c>
      <c r="D97" s="371" t="s">
        <v>410</v>
      </c>
      <c r="E97" s="92" t="s">
        <v>151</v>
      </c>
      <c r="F97" s="46"/>
      <c r="G97" s="46"/>
      <c r="H97" s="46"/>
      <c r="I97" s="46"/>
      <c r="N97" s="48"/>
      <c r="O97" s="48"/>
      <c r="P97" s="48"/>
      <c r="Q97" s="147"/>
      <c r="R97" s="147"/>
      <c r="S97" s="147"/>
      <c r="T97" s="147"/>
      <c r="U97" s="106"/>
    </row>
    <row r="98" spans="1:21" x14ac:dyDescent="0.25">
      <c r="B98" s="72"/>
      <c r="C98" s="362" t="s">
        <v>2</v>
      </c>
      <c r="D98" s="362" t="s">
        <v>2</v>
      </c>
      <c r="E98" s="362" t="s">
        <v>2</v>
      </c>
      <c r="F98" s="46"/>
      <c r="G98" s="46"/>
      <c r="H98" s="46"/>
      <c r="I98" s="46"/>
      <c r="N98" s="48"/>
      <c r="O98" s="48"/>
      <c r="P98" s="48"/>
      <c r="Q98" s="147"/>
      <c r="R98" s="147"/>
      <c r="S98" s="147"/>
      <c r="T98" s="147"/>
      <c r="U98" s="106"/>
    </row>
    <row r="99" spans="1:21" x14ac:dyDescent="0.25">
      <c r="A99" s="536" t="s">
        <v>470</v>
      </c>
      <c r="B99" s="461"/>
      <c r="C99" s="165">
        <v>5</v>
      </c>
      <c r="D99" s="165">
        <v>0</v>
      </c>
      <c r="E99" s="125">
        <f>C99</f>
        <v>5</v>
      </c>
      <c r="F99" s="148" t="s">
        <v>39</v>
      </c>
      <c r="G99" s="339">
        <f>'0664'!G99</f>
        <v>558</v>
      </c>
      <c r="I99" s="104">
        <f>ROUND(G99*E99,2)</f>
        <v>2790</v>
      </c>
      <c r="N99" s="488" t="s">
        <v>65</v>
      </c>
      <c r="O99" s="488"/>
      <c r="P99" s="489">
        <f>IF(H120=1,E99,0)</f>
        <v>0</v>
      </c>
      <c r="Q99" s="489"/>
      <c r="R99" s="489"/>
      <c r="S99" s="86" t="s">
        <v>39</v>
      </c>
      <c r="T99" s="61">
        <f>G99</f>
        <v>558</v>
      </c>
      <c r="U99" s="99">
        <f>ROUND(T99*P99,0)</f>
        <v>0</v>
      </c>
    </row>
    <row r="100" spans="1:21" x14ac:dyDescent="0.25">
      <c r="A100" s="536" t="s">
        <v>471</v>
      </c>
      <c r="B100" s="461"/>
      <c r="C100" s="165">
        <v>1</v>
      </c>
      <c r="D100" s="165">
        <v>0</v>
      </c>
      <c r="E100" s="125">
        <f>C100</f>
        <v>1</v>
      </c>
      <c r="F100" s="148" t="s">
        <v>39</v>
      </c>
      <c r="G100" s="339">
        <f>'0664'!G100</f>
        <v>1707</v>
      </c>
      <c r="I100" s="104">
        <f>ROUND(G100*E100,2)</f>
        <v>1707</v>
      </c>
      <c r="N100" s="488" t="s">
        <v>81</v>
      </c>
      <c r="O100" s="488"/>
      <c r="P100" s="483"/>
      <c r="Q100" s="483"/>
      <c r="R100" s="483"/>
      <c r="S100" s="86" t="s">
        <v>39</v>
      </c>
      <c r="T100" s="61">
        <f>G100</f>
        <v>1707</v>
      </c>
      <c r="U100" s="99">
        <f>ROUND(T100*P100,0)</f>
        <v>0</v>
      </c>
    </row>
    <row r="101" spans="1:21" x14ac:dyDescent="0.25">
      <c r="A101" s="149"/>
      <c r="B101" s="149"/>
      <c r="C101" s="68"/>
      <c r="D101" s="68"/>
      <c r="E101" s="68"/>
      <c r="F101" s="68"/>
      <c r="G101" s="150"/>
      <c r="H101" s="151"/>
      <c r="I101" s="104"/>
      <c r="N101" s="152"/>
      <c r="O101" s="152"/>
      <c r="P101" s="153"/>
      <c r="Q101" s="153"/>
      <c r="R101" s="153"/>
      <c r="S101" s="86"/>
      <c r="T101" s="61"/>
      <c r="U101" s="106"/>
    </row>
    <row r="102" spans="1:21" x14ac:dyDescent="0.25">
      <c r="A102" s="149"/>
      <c r="B102" s="149"/>
      <c r="C102" s="68"/>
      <c r="D102" s="68"/>
      <c r="E102" s="68"/>
      <c r="F102" s="68"/>
      <c r="G102" s="150"/>
      <c r="H102" s="151"/>
      <c r="I102" s="104"/>
      <c r="N102" s="152"/>
      <c r="O102" s="152"/>
      <c r="P102" s="153"/>
      <c r="Q102" s="153"/>
      <c r="R102" s="153"/>
      <c r="S102" s="86"/>
      <c r="T102" s="61"/>
      <c r="U102" s="106"/>
    </row>
    <row r="103" spans="1:21" hidden="1" x14ac:dyDescent="0.25">
      <c r="A103" s="463" t="s">
        <v>447</v>
      </c>
      <c r="B103" s="453"/>
      <c r="C103" s="453"/>
      <c r="D103" s="72"/>
      <c r="E103" s="41" t="s">
        <v>41</v>
      </c>
      <c r="F103" s="466"/>
      <c r="G103" s="466"/>
      <c r="H103" s="466"/>
      <c r="I103" s="466"/>
      <c r="N103" s="478" t="s">
        <v>362</v>
      </c>
      <c r="O103" s="479"/>
      <c r="P103" s="479"/>
      <c r="Q103" s="479"/>
      <c r="R103" s="479"/>
      <c r="S103" s="479"/>
      <c r="T103" s="479"/>
      <c r="U103" s="479"/>
    </row>
    <row r="104" spans="1:21" hidden="1" x14ac:dyDescent="0.25">
      <c r="B104" s="72"/>
      <c r="C104" s="462" t="s">
        <v>91</v>
      </c>
      <c r="D104" s="462"/>
      <c r="E104" s="462"/>
      <c r="F104" s="39"/>
      <c r="G104" s="39"/>
      <c r="H104" s="41" t="s">
        <v>152</v>
      </c>
      <c r="I104" s="39"/>
      <c r="N104" s="48"/>
      <c r="O104" s="48"/>
      <c r="P104" s="48"/>
      <c r="Q104" s="48"/>
      <c r="R104" s="48"/>
      <c r="S104" s="48"/>
      <c r="T104" s="48"/>
      <c r="U104" s="48"/>
    </row>
    <row r="105" spans="1:21" hidden="1" x14ac:dyDescent="0.25">
      <c r="B105" s="72"/>
      <c r="C105" s="91" t="s">
        <v>371</v>
      </c>
      <c r="D105" s="91" t="s">
        <v>351</v>
      </c>
      <c r="E105" s="159" t="s">
        <v>8</v>
      </c>
      <c r="F105" s="464" t="s">
        <v>153</v>
      </c>
      <c r="G105" s="466"/>
      <c r="H105" s="39" t="s">
        <v>38</v>
      </c>
      <c r="I105" s="39"/>
      <c r="N105" s="48"/>
      <c r="O105" s="48"/>
      <c r="P105" s="48"/>
      <c r="Q105" s="48"/>
      <c r="R105" s="48"/>
      <c r="S105" s="48"/>
      <c r="T105" s="48"/>
      <c r="U105" s="48"/>
    </row>
    <row r="106" spans="1:21" hidden="1" x14ac:dyDescent="0.25">
      <c r="A106" s="462" t="s">
        <v>94</v>
      </c>
      <c r="B106" s="462"/>
      <c r="C106" s="93" t="s">
        <v>2</v>
      </c>
      <c r="D106" s="93" t="s">
        <v>2</v>
      </c>
      <c r="E106" s="62" t="s">
        <v>2</v>
      </c>
      <c r="F106" s="462" t="s">
        <v>37</v>
      </c>
      <c r="G106" s="462"/>
      <c r="H106" s="62" t="s">
        <v>37</v>
      </c>
      <c r="I106" s="62" t="s">
        <v>8</v>
      </c>
      <c r="N106" s="484" t="s">
        <v>66</v>
      </c>
      <c r="O106" s="484"/>
      <c r="P106" s="489" t="s">
        <v>91</v>
      </c>
      <c r="Q106" s="489"/>
      <c r="R106" s="484" t="s">
        <v>67</v>
      </c>
      <c r="S106" s="484"/>
      <c r="T106" s="63" t="s">
        <v>68</v>
      </c>
      <c r="U106" s="63" t="s">
        <v>8</v>
      </c>
    </row>
    <row r="107" spans="1:21" hidden="1" x14ac:dyDescent="0.25">
      <c r="A107" s="473" t="s">
        <v>69</v>
      </c>
      <c r="B107" s="473"/>
      <c r="C107" s="163">
        <v>0</v>
      </c>
      <c r="D107" s="163">
        <v>0</v>
      </c>
      <c r="E107" s="210">
        <f>IF(D$59=0,C107*2,C107+D107)</f>
        <v>0</v>
      </c>
      <c r="F107" s="474">
        <v>0</v>
      </c>
      <c r="G107" s="474"/>
      <c r="H107" s="250">
        <f>IF(C107=0,0,125)</f>
        <v>0</v>
      </c>
      <c r="I107" s="104">
        <f>ROUND((H107+F107)*E107,2)</f>
        <v>0</v>
      </c>
      <c r="N107" s="479" t="s">
        <v>69</v>
      </c>
      <c r="O107" s="479"/>
      <c r="P107" s="483">
        <f>IF(H$120=1,C107,0)</f>
        <v>0</v>
      </c>
      <c r="Q107" s="483"/>
      <c r="R107" s="486">
        <f>F107</f>
        <v>0</v>
      </c>
      <c r="S107" s="486"/>
      <c r="T107" s="65">
        <f>H107</f>
        <v>0</v>
      </c>
      <c r="U107" s="99">
        <f>ROUND((T107+R107)*P107,0)</f>
        <v>0</v>
      </c>
    </row>
    <row r="108" spans="1:21" hidden="1" x14ac:dyDescent="0.25">
      <c r="A108" s="456" t="s">
        <v>70</v>
      </c>
      <c r="B108" s="456"/>
      <c r="C108" s="165">
        <v>0</v>
      </c>
      <c r="D108" s="165">
        <v>0</v>
      </c>
      <c r="E108" s="125">
        <f>IF(D$59=0,C108*2,C108+D108)</f>
        <v>0</v>
      </c>
      <c r="F108" s="468">
        <f>ROUND(F107/2,2)</f>
        <v>0</v>
      </c>
      <c r="G108" s="468"/>
      <c r="H108" s="250">
        <f>IF(C108=0,0,62.5)</f>
        <v>0</v>
      </c>
      <c r="I108" s="104">
        <f>ROUND((H108+F108)*E108,2)</f>
        <v>0</v>
      </c>
      <c r="N108" s="479" t="s">
        <v>70</v>
      </c>
      <c r="O108" s="479"/>
      <c r="P108" s="483">
        <f>IF(H$120=1,C108,0)</f>
        <v>0</v>
      </c>
      <c r="Q108" s="483"/>
      <c r="R108" s="487">
        <f>ROUND(R107/2,2)</f>
        <v>0</v>
      </c>
      <c r="S108" s="487"/>
      <c r="T108" s="65">
        <f>H108</f>
        <v>0</v>
      </c>
      <c r="U108" s="99">
        <f>ROUND((T108+R108)*P108,0)</f>
        <v>0</v>
      </c>
    </row>
    <row r="109" spans="1:21" ht="16.5" hidden="1" thickBot="1" x14ac:dyDescent="0.3">
      <c r="A109" s="456" t="s">
        <v>71</v>
      </c>
      <c r="B109" s="456"/>
      <c r="C109" s="165">
        <v>0</v>
      </c>
      <c r="D109" s="165">
        <v>0</v>
      </c>
      <c r="E109" s="125">
        <f>IF(D$59=0,C109*2,C109+D109)</f>
        <v>0</v>
      </c>
      <c r="F109" s="475"/>
      <c r="G109" s="475"/>
      <c r="H109" s="251">
        <f>IF(H107&gt;0,436,0)</f>
        <v>0</v>
      </c>
      <c r="I109" s="104">
        <f>ROUND(H109*E109,2)</f>
        <v>0</v>
      </c>
      <c r="N109" s="482" t="s">
        <v>71</v>
      </c>
      <c r="O109" s="482"/>
      <c r="P109" s="483">
        <f>IF(H$120=1,C109,0)</f>
        <v>0</v>
      </c>
      <c r="Q109" s="483"/>
      <c r="R109" s="484"/>
      <c r="S109" s="484"/>
      <c r="T109" s="67">
        <f>H109</f>
        <v>0</v>
      </c>
      <c r="U109" s="106">
        <f>ROUND(T109*P109,0)</f>
        <v>0</v>
      </c>
    </row>
    <row r="110" spans="1:21" ht="16.5" hidden="1" thickBot="1" x14ac:dyDescent="0.3">
      <c r="A110" s="466" t="s">
        <v>8</v>
      </c>
      <c r="B110" s="466"/>
      <c r="C110" s="68"/>
      <c r="D110" s="68"/>
      <c r="E110" s="68"/>
      <c r="F110" s="68"/>
      <c r="G110" s="68"/>
      <c r="H110" s="68"/>
      <c r="I110" s="100">
        <f>SUM(I107:I109)</f>
        <v>0</v>
      </c>
      <c r="N110" s="485" t="s">
        <v>8</v>
      </c>
      <c r="O110" s="485"/>
      <c r="P110" s="69"/>
      <c r="Q110" s="69"/>
      <c r="R110" s="69"/>
      <c r="S110" s="69"/>
      <c r="T110" s="69"/>
      <c r="U110" s="70">
        <f>SUM(U107:U109)</f>
        <v>0</v>
      </c>
    </row>
    <row r="111" spans="1:21" hidden="1" x14ac:dyDescent="0.25">
      <c r="A111" s="39"/>
      <c r="B111" s="39"/>
      <c r="C111" s="68"/>
      <c r="D111" s="68"/>
      <c r="E111" s="68"/>
      <c r="F111" s="68"/>
      <c r="G111" s="68"/>
      <c r="H111" s="68"/>
      <c r="I111" s="104"/>
      <c r="N111" s="40"/>
      <c r="O111" s="40"/>
      <c r="P111" s="69"/>
      <c r="Q111" s="69"/>
      <c r="R111" s="69"/>
      <c r="S111" s="69"/>
      <c r="T111" s="69"/>
      <c r="U111" s="160"/>
    </row>
    <row r="112" spans="1:21" x14ac:dyDescent="0.25">
      <c r="A112" s="463" t="s">
        <v>448</v>
      </c>
      <c r="B112" s="453"/>
      <c r="C112" s="453"/>
      <c r="D112" s="72"/>
      <c r="E112" s="71" t="s">
        <v>354</v>
      </c>
      <c r="F112" s="472"/>
      <c r="G112" s="472"/>
      <c r="H112" s="472"/>
      <c r="I112" s="125">
        <v>0</v>
      </c>
      <c r="N112" s="478" t="s">
        <v>427</v>
      </c>
      <c r="O112" s="479"/>
      <c r="P112" s="479"/>
      <c r="Q112" s="341"/>
      <c r="R112" s="341"/>
      <c r="S112" s="341"/>
      <c r="T112" s="341"/>
      <c r="U112" s="99">
        <f>IF($H$120=1,I112,0)</f>
        <v>0</v>
      </c>
    </row>
    <row r="113" spans="1:21" x14ac:dyDescent="0.25">
      <c r="A113" s="463" t="s">
        <v>449</v>
      </c>
      <c r="B113" s="453"/>
      <c r="C113" s="453"/>
      <c r="D113" s="72"/>
      <c r="E113" s="71" t="s">
        <v>45</v>
      </c>
      <c r="F113" s="472"/>
      <c r="G113" s="472"/>
      <c r="H113" s="472"/>
      <c r="I113" s="177">
        <v>0</v>
      </c>
      <c r="N113" s="478" t="s">
        <v>428</v>
      </c>
      <c r="O113" s="479"/>
      <c r="P113" s="479"/>
      <c r="Q113" s="341"/>
      <c r="R113" s="341"/>
      <c r="S113" s="341"/>
      <c r="T113" s="341"/>
      <c r="U113" s="99">
        <f>IF($H$120=1,I113,0)</f>
        <v>0</v>
      </c>
    </row>
    <row r="114" spans="1:21" ht="16.5" thickBot="1" x14ac:dyDescent="0.3">
      <c r="B114" s="72"/>
      <c r="C114" s="72"/>
      <c r="D114" s="72"/>
      <c r="E114" s="71"/>
      <c r="F114" s="71"/>
      <c r="G114" s="71"/>
      <c r="H114" s="71"/>
      <c r="I114" s="125"/>
      <c r="N114" s="480" t="s">
        <v>42</v>
      </c>
      <c r="O114" s="480"/>
      <c r="P114" s="480"/>
      <c r="Q114" s="480"/>
      <c r="R114" s="480"/>
      <c r="S114" s="480"/>
      <c r="T114" s="480"/>
      <c r="U114" s="154">
        <f>SUM(U112,U110,U100,U99,U93,U77,U76,U74,U73,U72,U71,U70,U68,U59,U45,U78,U79,U80,U85,U113)</f>
        <v>0</v>
      </c>
    </row>
    <row r="115" spans="1:21" ht="16.5" thickTop="1" x14ac:dyDescent="0.25">
      <c r="A115" s="461" t="s">
        <v>8</v>
      </c>
      <c r="B115" s="461"/>
      <c r="C115" s="461"/>
      <c r="D115" s="461"/>
      <c r="E115" s="461"/>
      <c r="F115" s="461"/>
      <c r="G115" s="461"/>
      <c r="H115" s="461"/>
      <c r="I115" s="97">
        <f>SUM(I113,I112,I110,I100,I99,I93,I85,I84,I80,I79,I78,I77,I76,I74,I73,I72,I71,I70,I68,I59,I45)</f>
        <v>6433727.75</v>
      </c>
      <c r="N115" s="29"/>
      <c r="O115" s="29"/>
      <c r="P115" s="29"/>
      <c r="Q115" s="29"/>
      <c r="R115" s="29"/>
      <c r="S115" s="29"/>
      <c r="T115" s="29"/>
      <c r="U115" s="160"/>
    </row>
    <row r="116" spans="1:21" x14ac:dyDescent="0.25">
      <c r="A116" s="27"/>
      <c r="B116" s="27"/>
      <c r="C116" s="27"/>
      <c r="D116" s="27"/>
      <c r="E116" s="27"/>
      <c r="F116" s="27"/>
      <c r="G116" s="27"/>
      <c r="H116" s="27"/>
      <c r="I116" s="104"/>
      <c r="N116" s="29"/>
      <c r="O116" s="29"/>
      <c r="P116" s="29"/>
      <c r="Q116" s="29"/>
      <c r="R116" s="29"/>
      <c r="S116" s="29"/>
      <c r="T116" s="29"/>
      <c r="U116" s="160"/>
    </row>
    <row r="117" spans="1:21" x14ac:dyDescent="0.25">
      <c r="A117" s="432" t="s">
        <v>467</v>
      </c>
      <c r="B117" s="27"/>
      <c r="C117" s="27"/>
      <c r="D117" s="27"/>
      <c r="E117" s="27"/>
      <c r="F117" s="27"/>
      <c r="G117" s="27"/>
      <c r="H117" s="27"/>
      <c r="I117" s="104">
        <f>I115-I84</f>
        <v>6231016.3499999996</v>
      </c>
      <c r="N117" s="29"/>
      <c r="O117" s="29"/>
      <c r="P117" s="29"/>
      <c r="Q117" s="29"/>
      <c r="R117" s="29"/>
      <c r="S117" s="29"/>
      <c r="T117" s="29"/>
      <c r="U117" s="160"/>
    </row>
    <row r="118" spans="1:21" x14ac:dyDescent="0.25">
      <c r="A118" s="27"/>
      <c r="B118" s="27"/>
      <c r="C118" s="27"/>
      <c r="D118" s="27"/>
      <c r="E118" s="27"/>
      <c r="F118" s="27"/>
      <c r="G118" s="27"/>
      <c r="H118" s="27"/>
      <c r="I118" s="104"/>
      <c r="N118" s="29"/>
      <c r="O118" s="29"/>
      <c r="P118" s="29"/>
      <c r="Q118" s="29"/>
      <c r="R118" s="29"/>
      <c r="S118" s="29"/>
      <c r="T118" s="29"/>
      <c r="U118" s="160"/>
    </row>
    <row r="119" spans="1:21" x14ac:dyDescent="0.25">
      <c r="A119" s="463" t="s">
        <v>468</v>
      </c>
      <c r="B119" s="453"/>
      <c r="C119" s="453"/>
      <c r="D119" s="453"/>
      <c r="E119" s="453"/>
      <c r="F119" s="453"/>
      <c r="G119" s="453"/>
      <c r="H119" s="84" t="s">
        <v>394</v>
      </c>
      <c r="I119" s="156"/>
      <c r="N119" s="481"/>
      <c r="O119" s="481"/>
      <c r="P119" s="481"/>
      <c r="Q119" s="481"/>
      <c r="R119" s="481"/>
      <c r="S119" s="481"/>
      <c r="T119" s="481"/>
      <c r="U119" s="481"/>
    </row>
    <row r="120" spans="1:21" x14ac:dyDescent="0.25">
      <c r="A120" s="453" t="s">
        <v>95</v>
      </c>
      <c r="B120" s="453"/>
      <c r="C120" s="453"/>
      <c r="D120" s="453"/>
      <c r="E120" s="453"/>
      <c r="F120" s="453"/>
      <c r="G120" s="453"/>
      <c r="H120" s="73" t="str">
        <f>IF(E29=0,"",IF((E14+E16+SUM(E18:E24))/E29&gt;0.75,1,""))</f>
        <v/>
      </c>
      <c r="I120" s="125">
        <f>U114</f>
        <v>0</v>
      </c>
      <c r="N120" s="476" t="s">
        <v>7</v>
      </c>
      <c r="O120" s="476"/>
      <c r="P120" s="476"/>
      <c r="Q120" s="476"/>
      <c r="R120" s="476"/>
      <c r="S120" s="476"/>
      <c r="T120" s="476"/>
      <c r="U120" s="476"/>
    </row>
    <row r="121" spans="1:21" x14ac:dyDescent="0.25">
      <c r="B121" s="72"/>
      <c r="C121" s="72"/>
      <c r="D121" s="72"/>
      <c r="E121" s="72"/>
      <c r="F121" s="72"/>
      <c r="G121" s="72"/>
      <c r="H121" s="68"/>
      <c r="I121" s="104"/>
      <c r="N121" s="74" t="s">
        <v>106</v>
      </c>
      <c r="O121" s="74"/>
      <c r="P121" s="74"/>
      <c r="Q121" s="74"/>
      <c r="R121" s="74"/>
      <c r="S121" s="74"/>
      <c r="T121" s="74"/>
      <c r="U121" s="74"/>
    </row>
    <row r="122" spans="1:21" x14ac:dyDescent="0.25">
      <c r="A122" s="3" t="s">
        <v>102</v>
      </c>
      <c r="B122" s="72"/>
      <c r="C122" s="72"/>
      <c r="D122" s="72"/>
      <c r="E122" s="72"/>
      <c r="F122" s="72"/>
      <c r="G122" s="286"/>
      <c r="H122" s="161">
        <f>IF(H120=1,I120,I117)</f>
        <v>6231016.3499999996</v>
      </c>
      <c r="I122" s="97">
        <f>ROUND(IF(E29=0,0,IF(E29&gt;250,-(((250/E29)*H122)*IF(G122="H",0.02,0.05)),IF(G122="H",-0.02*H122,-0.05*H122))),2)</f>
        <v>-96669.65</v>
      </c>
      <c r="N122" s="75" t="s">
        <v>107</v>
      </c>
      <c r="O122" s="74"/>
      <c r="P122" s="74"/>
      <c r="Q122" s="74"/>
      <c r="R122" s="74"/>
      <c r="S122" s="74"/>
      <c r="T122" s="74"/>
      <c r="U122" s="74"/>
    </row>
    <row r="123" spans="1:21" x14ac:dyDescent="0.25">
      <c r="B123" s="72"/>
      <c r="C123" s="72"/>
      <c r="D123" s="72"/>
      <c r="E123" s="72"/>
      <c r="F123" s="72"/>
      <c r="G123" s="72"/>
      <c r="H123" s="68"/>
      <c r="I123" s="104"/>
      <c r="N123" s="76"/>
      <c r="O123" s="76"/>
      <c r="P123" s="76"/>
      <c r="Q123" s="76"/>
      <c r="R123" s="76"/>
      <c r="S123" s="76"/>
      <c r="T123" s="76"/>
      <c r="U123" s="76"/>
    </row>
    <row r="124" spans="1:21" x14ac:dyDescent="0.25">
      <c r="A124" s="345" t="s">
        <v>103</v>
      </c>
      <c r="B124" s="346"/>
      <c r="C124" s="346"/>
      <c r="D124" s="346"/>
      <c r="E124" s="346"/>
      <c r="F124" s="346"/>
      <c r="G124" s="346"/>
      <c r="H124" s="347"/>
      <c r="I124" s="348">
        <f>I115+I122</f>
        <v>6337058.0999999996</v>
      </c>
      <c r="N124" s="76"/>
      <c r="O124" s="76"/>
      <c r="P124" s="76"/>
      <c r="Q124" s="76"/>
      <c r="R124" s="76"/>
      <c r="S124" s="76"/>
      <c r="T124" s="76"/>
      <c r="U124" s="76"/>
    </row>
    <row r="125" spans="1:21" x14ac:dyDescent="0.25">
      <c r="B125" s="72"/>
      <c r="C125" s="72"/>
      <c r="D125" s="72"/>
      <c r="E125" s="72"/>
      <c r="F125" s="72"/>
      <c r="G125" s="72"/>
      <c r="H125" s="68"/>
      <c r="I125" s="104"/>
      <c r="N125" s="76"/>
      <c r="O125" s="76"/>
      <c r="P125" s="76"/>
      <c r="Q125" s="76"/>
      <c r="R125" s="76"/>
      <c r="S125" s="76"/>
      <c r="T125" s="76"/>
      <c r="U125" s="76"/>
    </row>
    <row r="126" spans="1:21" x14ac:dyDescent="0.25">
      <c r="A126" s="3" t="s">
        <v>104</v>
      </c>
      <c r="B126" s="72"/>
      <c r="C126" s="162"/>
      <c r="D126" s="72"/>
      <c r="F126" s="72"/>
      <c r="G126" s="72"/>
      <c r="H126" s="68"/>
      <c r="I126" s="302">
        <v>-4654988.67</v>
      </c>
      <c r="N126" s="76"/>
      <c r="O126" s="76"/>
      <c r="P126" s="76"/>
      <c r="Q126" s="76"/>
      <c r="R126" s="76"/>
      <c r="S126" s="76"/>
      <c r="T126" s="76"/>
      <c r="U126" s="76"/>
    </row>
    <row r="127" spans="1:21" x14ac:dyDescent="0.25">
      <c r="B127" s="72"/>
      <c r="C127" s="72"/>
      <c r="D127" s="72"/>
      <c r="E127" s="72"/>
      <c r="F127" s="72"/>
      <c r="G127" s="72"/>
      <c r="H127" s="68"/>
      <c r="I127" s="104"/>
      <c r="N127" s="76"/>
      <c r="O127" s="76"/>
      <c r="P127" s="76"/>
      <c r="Q127" s="76"/>
      <c r="R127" s="76"/>
      <c r="S127" s="76"/>
      <c r="T127" s="76"/>
      <c r="U127" s="76"/>
    </row>
    <row r="128" spans="1:21" x14ac:dyDescent="0.25">
      <c r="A128" s="84" t="s">
        <v>297</v>
      </c>
      <c r="B128" s="72"/>
      <c r="C128" s="72"/>
      <c r="D128" s="72"/>
      <c r="E128" s="72"/>
      <c r="F128" s="72"/>
      <c r="G128" s="72"/>
      <c r="H128" s="68"/>
      <c r="I128" s="104">
        <f>I124+I126</f>
        <v>1682069.4299999997</v>
      </c>
      <c r="N128" s="76"/>
      <c r="O128" s="76"/>
      <c r="P128" s="76"/>
      <c r="Q128" s="76"/>
      <c r="R128" s="76"/>
      <c r="S128" s="76"/>
      <c r="T128" s="76"/>
      <c r="U128" s="76"/>
    </row>
    <row r="129" spans="1:21" x14ac:dyDescent="0.25">
      <c r="A129" s="84"/>
      <c r="B129" s="72"/>
      <c r="C129" s="72"/>
      <c r="D129" s="72"/>
      <c r="E129" s="72"/>
      <c r="F129" s="72"/>
      <c r="G129" s="72"/>
      <c r="H129" s="68"/>
      <c r="I129" s="104"/>
      <c r="N129" s="76"/>
      <c r="O129" s="76"/>
      <c r="P129" s="76"/>
      <c r="Q129" s="76"/>
      <c r="R129" s="76"/>
      <c r="S129" s="76"/>
      <c r="T129" s="76"/>
      <c r="U129" s="76"/>
    </row>
    <row r="130" spans="1:21" x14ac:dyDescent="0.25">
      <c r="A130" s="84" t="s">
        <v>298</v>
      </c>
      <c r="B130" s="72"/>
      <c r="C130" s="72"/>
      <c r="D130" s="72"/>
      <c r="E130" s="72"/>
      <c r="F130" s="72"/>
      <c r="G130" s="72"/>
      <c r="H130" s="68"/>
      <c r="I130" s="303">
        <f>'0664'!I130</f>
        <v>3</v>
      </c>
      <c r="N130" s="76"/>
      <c r="O130" s="76"/>
      <c r="P130" s="76"/>
      <c r="Q130" s="76"/>
      <c r="R130" s="76"/>
      <c r="S130" s="76"/>
      <c r="T130" s="76"/>
      <c r="U130" s="76"/>
    </row>
    <row r="131" spans="1:21" x14ac:dyDescent="0.25">
      <c r="B131" s="72"/>
      <c r="C131" s="72"/>
      <c r="D131" s="72"/>
      <c r="E131" s="72"/>
      <c r="F131" s="72"/>
      <c r="G131" s="72"/>
      <c r="H131" s="68"/>
      <c r="I131" s="104"/>
      <c r="N131" s="76"/>
      <c r="O131" s="76"/>
      <c r="P131" s="76"/>
      <c r="Q131" s="76"/>
      <c r="R131" s="76"/>
      <c r="S131" s="76"/>
      <c r="T131" s="76"/>
      <c r="U131" s="76"/>
    </row>
    <row r="132" spans="1:21" ht="16.5" thickBot="1" x14ac:dyDescent="0.3">
      <c r="A132" s="3" t="s">
        <v>105</v>
      </c>
      <c r="B132" s="72"/>
      <c r="C132" s="72"/>
      <c r="D132" s="72"/>
      <c r="E132" s="72"/>
      <c r="F132" s="72"/>
      <c r="G132" s="72"/>
      <c r="H132" s="68"/>
      <c r="I132" s="178">
        <f>ROUND(I128/I130,2)</f>
        <v>560689.81000000006</v>
      </c>
      <c r="N132" s="76"/>
      <c r="O132" s="76"/>
      <c r="P132" s="76"/>
      <c r="Q132" s="76"/>
      <c r="R132" s="76"/>
      <c r="S132" s="76"/>
      <c r="T132" s="76"/>
      <c r="U132" s="76"/>
    </row>
    <row r="133" spans="1:21" ht="16.5" thickTop="1" x14ac:dyDescent="0.25">
      <c r="B133" s="72"/>
      <c r="C133" s="72"/>
      <c r="D133" s="72"/>
      <c r="E133" s="72"/>
      <c r="F133" s="72"/>
      <c r="G133" s="72"/>
      <c r="H133" s="68"/>
      <c r="I133" s="104"/>
      <c r="N133" s="76"/>
      <c r="O133" s="76"/>
      <c r="P133" s="76"/>
      <c r="Q133" s="76"/>
      <c r="R133" s="76"/>
      <c r="S133" s="76"/>
      <c r="T133" s="76"/>
      <c r="U133" s="76"/>
    </row>
    <row r="134" spans="1:21" ht="16.5" thickBot="1" x14ac:dyDescent="0.3">
      <c r="A134" s="3" t="s">
        <v>121</v>
      </c>
      <c r="B134" s="72"/>
      <c r="C134" s="72"/>
      <c r="D134" s="72"/>
      <c r="E134" s="72"/>
      <c r="F134" s="72"/>
      <c r="G134" s="72"/>
      <c r="H134" s="68"/>
      <c r="I134" s="155">
        <f>ROUND(IF(G122="H",(H122*0.02)+I122,(H122*0.05)+I122),2)</f>
        <v>214881.17</v>
      </c>
      <c r="N134" s="76"/>
      <c r="O134" s="76"/>
      <c r="P134" s="76"/>
      <c r="Q134" s="76"/>
      <c r="R134" s="76"/>
      <c r="S134" s="76"/>
      <c r="T134" s="76"/>
      <c r="U134" s="76"/>
    </row>
    <row r="135" spans="1:21" ht="16.5" thickTop="1" x14ac:dyDescent="0.25">
      <c r="B135" s="72"/>
      <c r="C135" s="72"/>
      <c r="D135" s="72"/>
      <c r="E135" s="72"/>
      <c r="F135" s="72"/>
      <c r="G135" s="72"/>
      <c r="H135" s="68"/>
      <c r="I135" s="156"/>
      <c r="N135" s="76"/>
      <c r="O135" s="76"/>
      <c r="P135" s="76"/>
      <c r="Q135" s="76"/>
      <c r="R135" s="76"/>
      <c r="S135" s="76"/>
      <c r="T135" s="76"/>
      <c r="U135" s="76"/>
    </row>
    <row r="136" spans="1:21" x14ac:dyDescent="0.25">
      <c r="B136" s="72"/>
      <c r="C136" s="72"/>
      <c r="D136" s="72"/>
      <c r="E136" s="72"/>
      <c r="F136" s="72"/>
      <c r="G136" s="72"/>
      <c r="H136" s="68"/>
      <c r="I136" s="104"/>
      <c r="N136" s="76"/>
      <c r="O136" s="76"/>
      <c r="P136" s="76"/>
      <c r="Q136" s="76"/>
      <c r="R136" s="76"/>
      <c r="S136" s="76"/>
      <c r="T136" s="76"/>
      <c r="U136" s="76"/>
    </row>
    <row r="137" spans="1:21" x14ac:dyDescent="0.25">
      <c r="B137" s="72"/>
      <c r="C137" s="72"/>
      <c r="D137" s="72"/>
      <c r="E137" s="72"/>
      <c r="F137" s="72"/>
      <c r="G137" s="72"/>
      <c r="H137" s="68"/>
      <c r="I137" s="156"/>
      <c r="N137" s="76"/>
      <c r="O137" s="76"/>
      <c r="P137" s="76"/>
      <c r="Q137" s="76"/>
      <c r="R137" s="76"/>
      <c r="S137" s="76"/>
      <c r="T137" s="76"/>
      <c r="U137" s="76"/>
    </row>
    <row r="138" spans="1:21" x14ac:dyDescent="0.25">
      <c r="A138" s="281" t="s">
        <v>7</v>
      </c>
      <c r="B138" s="281"/>
      <c r="C138" s="281"/>
      <c r="D138" s="281"/>
      <c r="E138" s="281"/>
      <c r="F138" s="281"/>
      <c r="G138" s="281"/>
      <c r="H138" s="281"/>
      <c r="I138" s="281"/>
      <c r="J138" s="156"/>
      <c r="N138" s="76"/>
      <c r="O138" s="76"/>
      <c r="P138" s="76"/>
      <c r="Q138" s="76"/>
      <c r="R138" s="76"/>
      <c r="S138" s="76"/>
      <c r="T138" s="76"/>
      <c r="U138" s="76"/>
    </row>
    <row r="139" spans="1:21" ht="15.75" customHeight="1" x14ac:dyDescent="0.25">
      <c r="A139" s="356" t="str">
        <f>'0664'!A139</f>
        <v>(a) Additional FTE includes FTE earned through Advanced Placement, International Baccalaureate, Advanced International Certificate of Education, Industry Certified Career</v>
      </c>
      <c r="B139" s="357"/>
      <c r="C139" s="357"/>
      <c r="D139" s="357"/>
      <c r="E139" s="357"/>
      <c r="F139" s="357"/>
      <c r="G139" s="357"/>
      <c r="H139" s="357"/>
      <c r="I139" s="357"/>
      <c r="J139" s="80"/>
      <c r="K139" s="79"/>
      <c r="L139" s="79"/>
      <c r="M139" s="79"/>
      <c r="N139" s="477"/>
      <c r="O139" s="477"/>
      <c r="P139" s="477"/>
      <c r="Q139" s="477"/>
      <c r="R139" s="477"/>
      <c r="S139" s="477"/>
      <c r="T139" s="477"/>
      <c r="U139" s="477"/>
    </row>
    <row r="140" spans="1:21" ht="15.75" customHeight="1" x14ac:dyDescent="0.25">
      <c r="A140" s="390" t="str">
        <f>'0664'!A140</f>
        <v xml:space="preserve">Education (CAPE), Early High School Graduation and the small district ESE Supplement, pursuant to s. 1011.62(1)(l-p), F.S. </v>
      </c>
      <c r="B140" s="357"/>
      <c r="C140" s="357"/>
      <c r="D140" s="357"/>
      <c r="E140" s="357"/>
      <c r="F140" s="357"/>
      <c r="G140" s="357"/>
      <c r="H140" s="357"/>
      <c r="I140" s="357"/>
      <c r="J140" s="80"/>
      <c r="K140" s="79"/>
      <c r="L140" s="79"/>
      <c r="M140" s="79"/>
      <c r="N140" s="76"/>
      <c r="O140" s="76"/>
      <c r="P140" s="76"/>
      <c r="Q140" s="76"/>
      <c r="R140" s="76"/>
      <c r="S140" s="76"/>
      <c r="T140" s="76"/>
      <c r="U140" s="76"/>
    </row>
    <row r="141" spans="1:21" x14ac:dyDescent="0.25">
      <c r="A141" s="356" t="str">
        <f>'0664'!A141</f>
        <v>(b) District allocations multiplied by percentage from item 3A.</v>
      </c>
      <c r="B141" s="281"/>
      <c r="C141" s="281"/>
      <c r="D141" s="281"/>
      <c r="E141" s="281"/>
      <c r="F141" s="281"/>
      <c r="G141" s="281"/>
      <c r="H141" s="281"/>
      <c r="I141" s="281"/>
      <c r="J141" s="79"/>
      <c r="K141" s="79"/>
      <c r="L141" s="79"/>
      <c r="M141" s="79"/>
      <c r="N141" s="81"/>
      <c r="O141" s="82"/>
      <c r="P141" s="82"/>
      <c r="Q141" s="82"/>
      <c r="R141" s="82"/>
      <c r="S141" s="82"/>
      <c r="T141" s="82"/>
      <c r="U141" s="82"/>
    </row>
    <row r="142" spans="1:21" s="79" customFormat="1" x14ac:dyDescent="0.2">
      <c r="A142" s="356" t="str">
        <f>'0664'!A142</f>
        <v>(c) District allocations multiplied by percentage from item 3B.</v>
      </c>
      <c r="B142" s="281"/>
      <c r="C142" s="281"/>
      <c r="D142" s="281"/>
      <c r="E142" s="281"/>
      <c r="F142" s="281"/>
      <c r="G142" s="281"/>
      <c r="H142" s="281"/>
      <c r="I142" s="281"/>
      <c r="N142" s="81"/>
    </row>
    <row r="143" spans="1:21" s="79" customFormat="1" ht="15.75" customHeight="1" x14ac:dyDescent="0.2">
      <c r="A143" s="356" t="str">
        <f>'0664'!A143</f>
        <v>(d) The Digital Classroom Allocation is provided pursuant to s. 1011.62(12), F.S.</v>
      </c>
      <c r="B143" s="281"/>
      <c r="C143" s="281"/>
      <c r="D143" s="281"/>
      <c r="E143" s="281"/>
      <c r="F143" s="281"/>
      <c r="G143" s="281"/>
      <c r="H143" s="281"/>
      <c r="I143" s="281"/>
      <c r="N143" s="81"/>
    </row>
    <row r="144" spans="1:21" s="79" customFormat="1" ht="15.75" customHeight="1" x14ac:dyDescent="0.2">
      <c r="A144" s="356" t="str">
        <f>'0664'!A144</f>
        <v>(e) School districts are required to pay for instructional materials used for the instruction of public high school students who are earning credit toward high school</v>
      </c>
      <c r="B144" s="281"/>
      <c r="C144" s="281"/>
      <c r="D144" s="281"/>
      <c r="E144" s="281"/>
      <c r="F144" s="281"/>
      <c r="G144" s="281"/>
      <c r="H144" s="281"/>
      <c r="I144" s="281"/>
      <c r="N144" s="81"/>
    </row>
    <row r="145" spans="1:14" s="79" customFormat="1" ht="15.75" customHeight="1" x14ac:dyDescent="0.2">
      <c r="A145" s="390" t="str">
        <f>'0664'!A145</f>
        <v xml:space="preserve">graduation under the dual enrollment program as provided in s. 1011.62(l)(i), F.S.  </v>
      </c>
      <c r="B145" s="281"/>
      <c r="C145" s="281"/>
      <c r="D145" s="281"/>
      <c r="E145" s="281"/>
      <c r="F145" s="281"/>
      <c r="G145" s="281"/>
      <c r="H145" s="281"/>
      <c r="I145" s="281"/>
      <c r="N145" s="81"/>
    </row>
    <row r="146" spans="1:14" s="79" customFormat="1" x14ac:dyDescent="0.2">
      <c r="A146" s="356" t="str">
        <f>'0664'!A146</f>
        <v>(f) This allocation will be frozen as of the 2021-22 FEFP Second Calculation and will not be recalculated throughout the year. Charter school allocations should be</v>
      </c>
      <c r="B146" s="281"/>
      <c r="C146" s="281"/>
      <c r="D146" s="281"/>
      <c r="E146" s="281"/>
      <c r="F146" s="281"/>
      <c r="G146" s="281"/>
      <c r="H146" s="281"/>
      <c r="I146" s="281"/>
      <c r="N146" s="81"/>
    </row>
    <row r="147" spans="1:14" s="79" customFormat="1" x14ac:dyDescent="0.2">
      <c r="A147" s="358" t="str">
        <f>'0664'!A147</f>
        <v xml:space="preserve">distributed on weighted FTE (or base funding as is done in the FEFP) and should not be recalculated with fluctuations in student enrollment later in the year. </v>
      </c>
      <c r="B147" s="281"/>
      <c r="C147" s="281"/>
      <c r="D147" s="281"/>
      <c r="E147" s="281"/>
      <c r="F147" s="281"/>
      <c r="G147" s="281"/>
      <c r="H147" s="281"/>
      <c r="I147" s="281"/>
      <c r="N147" s="81"/>
    </row>
    <row r="148" spans="1:14" s="79" customFormat="1" x14ac:dyDescent="0.2">
      <c r="A148" s="356" t="str">
        <f>'0664'!A148</f>
        <v>(g) Numbers entered here will be multiplied by the district level transportation funding per rider. "All Adjusted Fundable Riders" should include both basic and ESE Riders.</v>
      </c>
      <c r="B148" s="281"/>
      <c r="C148" s="281"/>
      <c r="D148" s="281"/>
      <c r="E148" s="281"/>
      <c r="F148" s="281"/>
      <c r="G148" s="281"/>
      <c r="H148" s="281"/>
      <c r="I148" s="281"/>
      <c r="N148" s="81"/>
    </row>
    <row r="149" spans="1:14" s="79" customFormat="1" x14ac:dyDescent="0.2">
      <c r="A149" s="390" t="str">
        <f>'0664'!A149</f>
        <v>"All Adjusted ESE Riders" should include only ESE Riders.</v>
      </c>
      <c r="B149" s="281"/>
      <c r="C149" s="281"/>
      <c r="D149" s="281"/>
      <c r="E149" s="281"/>
      <c r="F149" s="281"/>
      <c r="G149" s="281"/>
      <c r="H149" s="281"/>
      <c r="I149" s="281"/>
      <c r="N149" s="81"/>
    </row>
    <row r="150" spans="1:14" s="79" customFormat="1" x14ac:dyDescent="0.2">
      <c r="A150" s="356" t="str">
        <f>'0664'!A150</f>
        <v xml:space="preserve">(h) The Federally Connected Student Supplement provides additional funding for students on federal lands that receive Section 8003 impact aide pursuant to s. 1011.62(13), F.S. </v>
      </c>
      <c r="B150" s="281"/>
      <c r="C150" s="281"/>
      <c r="D150" s="281"/>
      <c r="E150" s="281"/>
      <c r="F150" s="281"/>
      <c r="G150" s="281"/>
      <c r="H150" s="281"/>
      <c r="I150" s="281"/>
      <c r="N150" s="81"/>
    </row>
    <row r="151" spans="1:14" s="79" customFormat="1" x14ac:dyDescent="0.2">
      <c r="A151" s="356" t="str">
        <f>'0664'!A151</f>
        <v>(i) Teacher Classroom Supply Assistance Program allocation pursuant to s. 1012.71, F.S., for certified teachers employed by a public school district or public charter school</v>
      </c>
      <c r="B151" s="281"/>
      <c r="C151" s="281"/>
      <c r="D151" s="281"/>
      <c r="E151" s="281"/>
      <c r="F151" s="281"/>
      <c r="G151" s="281"/>
      <c r="H151" s="281"/>
      <c r="I151" s="281"/>
      <c r="N151" s="81"/>
    </row>
    <row r="152" spans="1:14" s="79" customFormat="1" x14ac:dyDescent="0.2">
      <c r="A152" s="358" t="str">
        <f>'0664'!A152</f>
        <v xml:space="preserve">before September 1 of each year whose full-time or job-share responsibility is the classroom instruction of students in prekindergarten through grade 12, including </v>
      </c>
      <c r="B152" s="281"/>
      <c r="C152" s="281"/>
      <c r="D152" s="281"/>
      <c r="E152" s="281"/>
      <c r="F152" s="281"/>
      <c r="G152" s="281"/>
      <c r="H152" s="281"/>
      <c r="I152" s="281"/>
      <c r="N152" s="81"/>
    </row>
    <row r="153" spans="1:14" s="79" customFormat="1" ht="15.75" customHeight="1" x14ac:dyDescent="0.2">
      <c r="A153" s="358" t="str">
        <f>'0664'!A153</f>
        <v>full-time media specialists and certified school counselors serving students in prekindergarten through grade 12, who are funded through the FEFP.</v>
      </c>
      <c r="B153" s="281"/>
      <c r="C153" s="281"/>
      <c r="D153" s="281"/>
      <c r="E153" s="281"/>
      <c r="F153" s="281"/>
      <c r="G153" s="281"/>
      <c r="H153" s="281"/>
      <c r="I153" s="281"/>
      <c r="N153" s="81"/>
    </row>
    <row r="154" spans="1:14" s="79" customFormat="1" ht="15.75" customHeight="1" x14ac:dyDescent="0.2">
      <c r="A154" s="356" t="str">
        <f>'0664'!A154</f>
        <v xml:space="preserve">(j) Funding based on student eligibility and meals provided, if participating in the National School Lunch Program. </v>
      </c>
      <c r="B154" s="328"/>
      <c r="C154" s="328"/>
      <c r="D154" s="328"/>
      <c r="E154" s="328"/>
      <c r="F154" s="328"/>
      <c r="G154" s="328"/>
      <c r="H154" s="328"/>
      <c r="I154" s="328"/>
      <c r="N154" s="81"/>
    </row>
    <row r="155" spans="1:14" s="79" customFormat="1" ht="15.75" customHeight="1" x14ac:dyDescent="0.2">
      <c r="A155" s="356" t="str">
        <f>'0664'!A155</f>
        <v>(k) Consistent with s. 1002.33(20)(a), F.S., for charter schools with a population of 75% or more ESE students, the administrative fee shall be calculated based on</v>
      </c>
      <c r="B155" s="381"/>
      <c r="C155" s="381"/>
      <c r="D155" s="381"/>
      <c r="E155" s="381"/>
      <c r="F155" s="381"/>
      <c r="G155" s="381"/>
      <c r="H155" s="381"/>
      <c r="I155" s="381"/>
      <c r="N155" s="81"/>
    </row>
    <row r="156" spans="1:14" s="79" customFormat="1" ht="15.75" customHeight="1" x14ac:dyDescent="0.2">
      <c r="A156" s="390" t="str">
        <f>'0664'!A156</f>
        <v xml:space="preserve">unweighted full-time equivalent students. </v>
      </c>
      <c r="B156" s="381"/>
      <c r="C156" s="381"/>
      <c r="D156" s="381"/>
      <c r="E156" s="381"/>
      <c r="F156" s="381"/>
      <c r="G156" s="381"/>
      <c r="H156" s="381"/>
      <c r="I156" s="381"/>
      <c r="N156" s="81"/>
    </row>
    <row r="157" spans="1:14" s="79" customFormat="1" ht="15.75" customHeight="1" x14ac:dyDescent="0.2">
      <c r="A157" s="356"/>
      <c r="B157" s="381"/>
      <c r="C157" s="381"/>
      <c r="D157" s="381"/>
      <c r="E157" s="381"/>
      <c r="F157" s="381"/>
      <c r="G157" s="381"/>
      <c r="H157" s="381"/>
      <c r="I157" s="381"/>
      <c r="N157" s="81"/>
    </row>
    <row r="158" spans="1:14" s="79" customFormat="1" ht="15.75" customHeight="1" x14ac:dyDescent="0.25">
      <c r="A158" s="398" t="str">
        <f>'0664'!A158</f>
        <v>Administrative fees:</v>
      </c>
      <c r="B158" s="328"/>
      <c r="C158" s="328"/>
      <c r="D158" s="328"/>
      <c r="E158" s="328"/>
      <c r="F158" s="328"/>
      <c r="G158" s="328"/>
      <c r="H158" s="328"/>
      <c r="I158" s="328"/>
      <c r="J158" s="3"/>
      <c r="K158" s="3"/>
      <c r="L158" s="3"/>
      <c r="M158" s="3"/>
      <c r="N158" s="81"/>
    </row>
    <row r="159" spans="1:14" s="79" customFormat="1" ht="15.75" customHeight="1" x14ac:dyDescent="0.25">
      <c r="A159" s="399" t="str">
        <f>'0664'!A159</f>
        <v xml:space="preserve">Administrative fees charged by the school district pursuant to s. 1002.33(20)(a), F.S., shall be calculated based upon 5% of available funds from the FEFP and categorical </v>
      </c>
      <c r="B159" s="328"/>
      <c r="C159" s="328"/>
      <c r="D159" s="328"/>
      <c r="E159" s="328"/>
      <c r="F159" s="328"/>
      <c r="G159" s="328"/>
      <c r="H159" s="328"/>
      <c r="I159" s="328"/>
      <c r="J159" s="3"/>
      <c r="K159" s="3"/>
      <c r="L159" s="3"/>
      <c r="M159" s="3"/>
      <c r="N159" s="81"/>
    </row>
    <row r="160" spans="1:14" s="79" customFormat="1" ht="15.75" customHeight="1" x14ac:dyDescent="0.25">
      <c r="A160" s="400" t="str">
        <f>'0664'!A160</f>
        <v>funding for which charter students may be eligible.  To calculate the administrative fee to be withheld for schools with more than 250 students, divide the school</v>
      </c>
      <c r="B160" s="328"/>
      <c r="C160" s="328"/>
      <c r="D160" s="328"/>
      <c r="E160" s="328"/>
      <c r="F160" s="328"/>
      <c r="G160" s="328"/>
      <c r="H160" s="328"/>
      <c r="I160" s="328"/>
      <c r="J160" s="3"/>
      <c r="K160" s="3"/>
      <c r="L160" s="3"/>
      <c r="M160" s="3"/>
      <c r="N160" s="81"/>
    </row>
    <row r="161" spans="1:21" s="79" customFormat="1" ht="15.75" customHeight="1" x14ac:dyDescent="0.25">
      <c r="A161" s="400" t="str">
        <f>'0664'!A161</f>
        <v xml:space="preserve">population into 250. Multiply that fraction times the funds available, then times 5%.  </v>
      </c>
      <c r="B161" s="328"/>
      <c r="C161" s="328"/>
      <c r="D161" s="328"/>
      <c r="E161" s="328"/>
      <c r="F161" s="328"/>
      <c r="G161" s="328"/>
      <c r="H161" s="328"/>
      <c r="I161" s="328"/>
      <c r="J161" s="3"/>
      <c r="K161" s="3"/>
      <c r="L161" s="3"/>
      <c r="M161" s="3"/>
      <c r="N161" s="81"/>
    </row>
    <row r="162" spans="1:21" s="79" customFormat="1" ht="15.75" customHeight="1" x14ac:dyDescent="0.25">
      <c r="A162" s="399"/>
      <c r="B162" s="394"/>
      <c r="C162" s="394"/>
      <c r="D162" s="394"/>
      <c r="E162" s="394"/>
      <c r="F162" s="394"/>
      <c r="G162" s="394"/>
      <c r="H162" s="394"/>
      <c r="I162" s="394"/>
      <c r="N162" s="77"/>
      <c r="O162" s="3"/>
      <c r="P162" s="3"/>
      <c r="Q162" s="3"/>
      <c r="R162" s="3"/>
      <c r="S162" s="3"/>
      <c r="T162" s="3"/>
      <c r="U162" s="3"/>
    </row>
    <row r="163" spans="1:21" ht="15.75" customHeight="1" x14ac:dyDescent="0.25">
      <c r="A163" s="399" t="str">
        <f>'0664'!A163</f>
        <v xml:space="preserve">For high performing charter schools, administrative fees charged by the school district shall be calculated based upon 2% of available funds from the FEFP and categorical </v>
      </c>
      <c r="B163" s="328"/>
      <c r="C163" s="328"/>
      <c r="D163" s="328"/>
      <c r="E163" s="328"/>
      <c r="F163" s="328"/>
      <c r="G163" s="328"/>
      <c r="H163" s="328"/>
      <c r="I163" s="328"/>
      <c r="J163" s="79"/>
      <c r="K163" s="79"/>
      <c r="L163" s="79"/>
      <c r="M163" s="79"/>
      <c r="N163" s="81"/>
      <c r="O163" s="79"/>
      <c r="P163" s="79"/>
      <c r="Q163" s="79"/>
      <c r="R163" s="79"/>
      <c r="S163" s="79"/>
      <c r="T163" s="79"/>
      <c r="U163" s="79"/>
    </row>
    <row r="164" spans="1:21" ht="15.75" customHeight="1" x14ac:dyDescent="0.25">
      <c r="A164" s="400" t="str">
        <f>'0664'!A164</f>
        <v>funding for which charter students may be eligible.  To calculate the administrative fee to be withheld for schools with more than 250 students, divide the school</v>
      </c>
      <c r="B164" s="381"/>
      <c r="C164" s="381"/>
      <c r="D164" s="381"/>
      <c r="E164" s="381"/>
      <c r="F164" s="381"/>
      <c r="G164" s="381"/>
      <c r="H164" s="381"/>
      <c r="I164" s="381"/>
      <c r="J164" s="79"/>
      <c r="K164" s="79"/>
      <c r="L164" s="79"/>
      <c r="M164" s="79"/>
      <c r="N164" s="81"/>
      <c r="O164" s="79"/>
      <c r="P164" s="79"/>
      <c r="Q164" s="79"/>
      <c r="R164" s="79"/>
      <c r="S164" s="79"/>
      <c r="T164" s="79"/>
      <c r="U164" s="79"/>
    </row>
    <row r="165" spans="1:21" s="79" customFormat="1" ht="15.75" customHeight="1" x14ac:dyDescent="0.2">
      <c r="A165" s="400" t="str">
        <f>'0664'!A165</f>
        <v xml:space="preserve">population into 250. Multiply that fraction times the funds available, then times 2%.  </v>
      </c>
      <c r="B165" s="328"/>
      <c r="C165" s="328"/>
      <c r="D165" s="328"/>
      <c r="E165" s="328"/>
      <c r="F165" s="328"/>
      <c r="G165" s="328"/>
      <c r="H165" s="328"/>
      <c r="I165" s="328"/>
      <c r="N165" s="81"/>
    </row>
    <row r="166" spans="1:21" x14ac:dyDescent="0.25">
      <c r="A166" s="356"/>
      <c r="N166" s="77"/>
    </row>
    <row r="167" spans="1:21" x14ac:dyDescent="0.25">
      <c r="A167" s="398" t="str">
        <f>'0664'!A167</f>
        <v>Other:</v>
      </c>
      <c r="N167" s="77"/>
    </row>
    <row r="168" spans="1:21" x14ac:dyDescent="0.25">
      <c r="A168" s="399" t="str">
        <f>'0664'!A168</f>
        <v>FEFP and categorical funding are recalculated during the year to reflect the revised number of full-time equivalent students reported during the survey periods designated</v>
      </c>
      <c r="N168" s="77"/>
    </row>
    <row r="169" spans="1:21" x14ac:dyDescent="0.25">
      <c r="A169" s="402" t="str">
        <f>'0664'!A169</f>
        <v>by the Commissioner of Education.</v>
      </c>
      <c r="N169" s="77"/>
    </row>
    <row r="170" spans="1:21" x14ac:dyDescent="0.25">
      <c r="A170" s="399" t="str">
        <f>'0664'!A170</f>
        <v>Revenues flow to districts from state sources and from county tax collectors on various distribution schedules.</v>
      </c>
      <c r="N170" s="77"/>
    </row>
    <row r="171" spans="1:21" x14ac:dyDescent="0.25">
      <c r="A171" s="77"/>
      <c r="N171" s="77"/>
    </row>
    <row r="172" spans="1:21" x14ac:dyDescent="0.25">
      <c r="A172" s="77"/>
      <c r="N172" s="77"/>
    </row>
    <row r="173" spans="1:21" x14ac:dyDescent="0.25">
      <c r="A173" s="77"/>
      <c r="N173" s="77"/>
    </row>
    <row r="174" spans="1:21" x14ac:dyDescent="0.25">
      <c r="A174" s="77"/>
      <c r="N174" s="77"/>
    </row>
    <row r="175" spans="1:21" x14ac:dyDescent="0.25">
      <c r="A175" s="77"/>
      <c r="N175" s="77"/>
    </row>
    <row r="176" spans="1:21" x14ac:dyDescent="0.25">
      <c r="A176" s="77"/>
      <c r="N176" s="77"/>
    </row>
    <row r="177" spans="1:14" x14ac:dyDescent="0.25">
      <c r="A177" s="77"/>
      <c r="N177" s="77"/>
    </row>
    <row r="178" spans="1:14" x14ac:dyDescent="0.25">
      <c r="A178" s="77"/>
      <c r="N178" s="77"/>
    </row>
    <row r="179" spans="1:14" x14ac:dyDescent="0.25">
      <c r="A179" s="77"/>
      <c r="N179" s="77"/>
    </row>
    <row r="180" spans="1:14" x14ac:dyDescent="0.25">
      <c r="A180" s="77"/>
      <c r="N180" s="77"/>
    </row>
    <row r="181" spans="1:14" x14ac:dyDescent="0.25">
      <c r="A181" s="77"/>
      <c r="N181" s="77"/>
    </row>
    <row r="182" spans="1:14" x14ac:dyDescent="0.25">
      <c r="A182" s="77"/>
      <c r="N182" s="77"/>
    </row>
    <row r="183" spans="1:14" x14ac:dyDescent="0.25">
      <c r="A183" s="77"/>
      <c r="N183" s="77"/>
    </row>
    <row r="184" spans="1:14" x14ac:dyDescent="0.25">
      <c r="A184" s="77"/>
      <c r="N184" s="77"/>
    </row>
    <row r="185" spans="1:14" x14ac:dyDescent="0.25">
      <c r="A185" s="77"/>
      <c r="N185" s="77"/>
    </row>
    <row r="186" spans="1:14" x14ac:dyDescent="0.25">
      <c r="A186" s="77"/>
      <c r="N186" s="77"/>
    </row>
    <row r="187" spans="1:14" x14ac:dyDescent="0.25">
      <c r="A187" s="77"/>
      <c r="N187" s="77"/>
    </row>
    <row r="188" spans="1:14" x14ac:dyDescent="0.25">
      <c r="A188" s="77"/>
    </row>
    <row r="189" spans="1:14" x14ac:dyDescent="0.25">
      <c r="A189" s="77"/>
    </row>
    <row r="190" spans="1:14" x14ac:dyDescent="0.25">
      <c r="A190" s="77"/>
    </row>
    <row r="191" spans="1:14" x14ac:dyDescent="0.25">
      <c r="A191" s="77"/>
    </row>
    <row r="192" spans="1:14" x14ac:dyDescent="0.25">
      <c r="A192" s="77"/>
    </row>
    <row r="193" spans="1:1" x14ac:dyDescent="0.25">
      <c r="A193" s="77"/>
    </row>
    <row r="194" spans="1:1" x14ac:dyDescent="0.25">
      <c r="A194" s="77"/>
    </row>
    <row r="195" spans="1:1" x14ac:dyDescent="0.25">
      <c r="A195" s="77"/>
    </row>
    <row r="196" spans="1:1" x14ac:dyDescent="0.25">
      <c r="A196" s="77"/>
    </row>
    <row r="197" spans="1:1" x14ac:dyDescent="0.25">
      <c r="A197" s="77"/>
    </row>
    <row r="198" spans="1:1" x14ac:dyDescent="0.25">
      <c r="A198" s="77"/>
    </row>
    <row r="199" spans="1:1" x14ac:dyDescent="0.25">
      <c r="A199" s="77"/>
    </row>
    <row r="200" spans="1:1" x14ac:dyDescent="0.25">
      <c r="A200" s="77"/>
    </row>
    <row r="201" spans="1:1" x14ac:dyDescent="0.25">
      <c r="A201" s="77"/>
    </row>
    <row r="202" spans="1:1" x14ac:dyDescent="0.25">
      <c r="A202" s="77"/>
    </row>
    <row r="203" spans="1:1" x14ac:dyDescent="0.25">
      <c r="A203" s="77"/>
    </row>
    <row r="204" spans="1:1" x14ac:dyDescent="0.25">
      <c r="A204" s="77"/>
    </row>
    <row r="205" spans="1:1" x14ac:dyDescent="0.25">
      <c r="A205" s="77"/>
    </row>
    <row r="206" spans="1:1" x14ac:dyDescent="0.25">
      <c r="A206" s="77"/>
    </row>
  </sheetData>
  <mergeCells count="266">
    <mergeCell ref="A112:C112"/>
    <mergeCell ref="F112:H112"/>
    <mergeCell ref="N112:P112"/>
    <mergeCell ref="A109:B109"/>
    <mergeCell ref="F109:G109"/>
    <mergeCell ref="N109:O109"/>
    <mergeCell ref="P109:Q109"/>
    <mergeCell ref="N139:U139"/>
    <mergeCell ref="N119:U119"/>
    <mergeCell ref="N113:P113"/>
    <mergeCell ref="A113:C113"/>
    <mergeCell ref="F113:H113"/>
    <mergeCell ref="N114:T114"/>
    <mergeCell ref="A115:H115"/>
    <mergeCell ref="A119:G119"/>
    <mergeCell ref="N120:U120"/>
    <mergeCell ref="A120:G120"/>
    <mergeCell ref="R109:S109"/>
    <mergeCell ref="A110:B110"/>
    <mergeCell ref="N110:O110"/>
    <mergeCell ref="A107:B107"/>
    <mergeCell ref="F107:G107"/>
    <mergeCell ref="N107:O107"/>
    <mergeCell ref="P107:Q107"/>
    <mergeCell ref="R107:S107"/>
    <mergeCell ref="A108:B108"/>
    <mergeCell ref="F108:G108"/>
    <mergeCell ref="N108:O108"/>
    <mergeCell ref="P108:Q108"/>
    <mergeCell ref="R108:S108"/>
    <mergeCell ref="A103:C103"/>
    <mergeCell ref="F103:I103"/>
    <mergeCell ref="N103:U103"/>
    <mergeCell ref="C104:E104"/>
    <mergeCell ref="F105:G105"/>
    <mergeCell ref="A106:B106"/>
    <mergeCell ref="F106:G106"/>
    <mergeCell ref="N106:O106"/>
    <mergeCell ref="P106:Q106"/>
    <mergeCell ref="R106:S106"/>
    <mergeCell ref="A99:B99"/>
    <mergeCell ref="N99:O99"/>
    <mergeCell ref="P99:R99"/>
    <mergeCell ref="A100:B100"/>
    <mergeCell ref="N100:O100"/>
    <mergeCell ref="P100:R100"/>
    <mergeCell ref="C91:D91"/>
    <mergeCell ref="P91:Q91"/>
    <mergeCell ref="C92:D92"/>
    <mergeCell ref="P92:Q92"/>
    <mergeCell ref="C93:D93"/>
    <mergeCell ref="P93:T93"/>
    <mergeCell ref="A94:I94"/>
    <mergeCell ref="N94:U94"/>
    <mergeCell ref="F96:I96"/>
    <mergeCell ref="N96:P96"/>
    <mergeCell ref="Q96:T96"/>
    <mergeCell ref="A87:I87"/>
    <mergeCell ref="N87:U87"/>
    <mergeCell ref="C88:D88"/>
    <mergeCell ref="C89:D89"/>
    <mergeCell ref="N89:O89"/>
    <mergeCell ref="P89:Q89"/>
    <mergeCell ref="R89:U89"/>
    <mergeCell ref="C90:D90"/>
    <mergeCell ref="P90:Q90"/>
    <mergeCell ref="A80:C80"/>
    <mergeCell ref="N80:P80"/>
    <mergeCell ref="A85:C85"/>
    <mergeCell ref="N85:P85"/>
    <mergeCell ref="F73:H73"/>
    <mergeCell ref="N73:T73"/>
    <mergeCell ref="N74:T74"/>
    <mergeCell ref="A78:C78"/>
    <mergeCell ref="N78:P78"/>
    <mergeCell ref="A79:C79"/>
    <mergeCell ref="A69:C69"/>
    <mergeCell ref="N69:P69"/>
    <mergeCell ref="N79:P79"/>
    <mergeCell ref="A76:C76"/>
    <mergeCell ref="N76:P76"/>
    <mergeCell ref="A77:C77"/>
    <mergeCell ref="A70:C70"/>
    <mergeCell ref="A71:C71"/>
    <mergeCell ref="N71:P71"/>
    <mergeCell ref="A72:C72"/>
    <mergeCell ref="N77:P77"/>
    <mergeCell ref="N72:P72"/>
    <mergeCell ref="A65:B65"/>
    <mergeCell ref="D65:G65"/>
    <mergeCell ref="N65:O65"/>
    <mergeCell ref="Q65:S65"/>
    <mergeCell ref="T65:U65"/>
    <mergeCell ref="N66:S66"/>
    <mergeCell ref="T66:U66"/>
    <mergeCell ref="A68:C68"/>
    <mergeCell ref="N68:P68"/>
    <mergeCell ref="A62:B62"/>
    <mergeCell ref="D62:G62"/>
    <mergeCell ref="N62:O62"/>
    <mergeCell ref="Q62:S62"/>
    <mergeCell ref="T62:U62"/>
    <mergeCell ref="N63:S63"/>
    <mergeCell ref="T63:U63"/>
    <mergeCell ref="A64:I64"/>
    <mergeCell ref="N64:U64"/>
    <mergeCell ref="A59:B59"/>
    <mergeCell ref="F59:H59"/>
    <mergeCell ref="N59:O59"/>
    <mergeCell ref="P59:Q59"/>
    <mergeCell ref="R59:T59"/>
    <mergeCell ref="A60:I60"/>
    <mergeCell ref="N60:U60"/>
    <mergeCell ref="A61:I61"/>
    <mergeCell ref="N61:U61"/>
    <mergeCell ref="A50:B58"/>
    <mergeCell ref="N50:O58"/>
    <mergeCell ref="P50:Q50"/>
    <mergeCell ref="P51:Q51"/>
    <mergeCell ref="P52:Q52"/>
    <mergeCell ref="P53:Q53"/>
    <mergeCell ref="P54:Q54"/>
    <mergeCell ref="P55:Q55"/>
    <mergeCell ref="P56:Q56"/>
    <mergeCell ref="P57:Q57"/>
    <mergeCell ref="P58:Q58"/>
    <mergeCell ref="A42:B42"/>
    <mergeCell ref="N42:O42"/>
    <mergeCell ref="P42:T42"/>
    <mergeCell ref="N43:Q43"/>
    <mergeCell ref="S43:T43"/>
    <mergeCell ref="N45:Q45"/>
    <mergeCell ref="S45:T45"/>
    <mergeCell ref="N49:O49"/>
    <mergeCell ref="P49:Q49"/>
    <mergeCell ref="A39:B39"/>
    <mergeCell ref="N39:O39"/>
    <mergeCell ref="P39:T39"/>
    <mergeCell ref="A40:B40"/>
    <mergeCell ref="N40:O40"/>
    <mergeCell ref="P40:T40"/>
    <mergeCell ref="A41:B41"/>
    <mergeCell ref="N41:O41"/>
    <mergeCell ref="P41:T41"/>
    <mergeCell ref="N34:T34"/>
    <mergeCell ref="A36:B36"/>
    <mergeCell ref="N36:O36"/>
    <mergeCell ref="P36:T36"/>
    <mergeCell ref="A37:B37"/>
    <mergeCell ref="N37:O37"/>
    <mergeCell ref="P37:T37"/>
    <mergeCell ref="F33:H36"/>
    <mergeCell ref="A38:B38"/>
    <mergeCell ref="N38:O38"/>
    <mergeCell ref="P38:T38"/>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5:B25"/>
    <mergeCell ref="A27:B27"/>
    <mergeCell ref="F27:G27"/>
    <mergeCell ref="N27:O27"/>
    <mergeCell ref="P27:Q27"/>
    <mergeCell ref="R27:S27"/>
    <mergeCell ref="A24:B24"/>
    <mergeCell ref="F24:G24"/>
    <mergeCell ref="N24:O24"/>
    <mergeCell ref="P24:Q24"/>
    <mergeCell ref="R24:S24"/>
    <mergeCell ref="A23:B23"/>
    <mergeCell ref="F23:G23"/>
    <mergeCell ref="F25:G25"/>
    <mergeCell ref="N25:O25"/>
    <mergeCell ref="P25:Q25"/>
    <mergeCell ref="R25:S25"/>
    <mergeCell ref="A22:B22"/>
    <mergeCell ref="F22:G22"/>
    <mergeCell ref="N22:O22"/>
    <mergeCell ref="P22:Q22"/>
    <mergeCell ref="R22:S22"/>
    <mergeCell ref="A21:B21"/>
    <mergeCell ref="F21:G21"/>
    <mergeCell ref="N23:O23"/>
    <mergeCell ref="P23:Q23"/>
    <mergeCell ref="R23:S23"/>
    <mergeCell ref="A20:B20"/>
    <mergeCell ref="F20:G20"/>
    <mergeCell ref="N20:O20"/>
    <mergeCell ref="P20:Q20"/>
    <mergeCell ref="R20:S20"/>
    <mergeCell ref="A19:B19"/>
    <mergeCell ref="F19:G19"/>
    <mergeCell ref="N21:O21"/>
    <mergeCell ref="P21:Q21"/>
    <mergeCell ref="R21:S21"/>
    <mergeCell ref="A18:B18"/>
    <mergeCell ref="F18:G18"/>
    <mergeCell ref="N18:O18"/>
    <mergeCell ref="P18:Q18"/>
    <mergeCell ref="R18:S18"/>
    <mergeCell ref="A17:B17"/>
    <mergeCell ref="F17:G17"/>
    <mergeCell ref="N19:O19"/>
    <mergeCell ref="P19:Q19"/>
    <mergeCell ref="R19:S19"/>
    <mergeCell ref="A16:B16"/>
    <mergeCell ref="F16:G16"/>
    <mergeCell ref="N16:O16"/>
    <mergeCell ref="P16:Q16"/>
    <mergeCell ref="R16:S16"/>
    <mergeCell ref="A15:B15"/>
    <mergeCell ref="F15:G15"/>
    <mergeCell ref="N17:O17"/>
    <mergeCell ref="P17:Q17"/>
    <mergeCell ref="R17:S17"/>
    <mergeCell ref="A14:B14"/>
    <mergeCell ref="F14:G14"/>
    <mergeCell ref="N14:O14"/>
    <mergeCell ref="P14:Q14"/>
    <mergeCell ref="R14:S14"/>
    <mergeCell ref="A13:B13"/>
    <mergeCell ref="F13:G13"/>
    <mergeCell ref="N15:O15"/>
    <mergeCell ref="P15:Q15"/>
    <mergeCell ref="R15:S15"/>
    <mergeCell ref="A12:B12"/>
    <mergeCell ref="F12:G12"/>
    <mergeCell ref="N12:O12"/>
    <mergeCell ref="P12:Q12"/>
    <mergeCell ref="R12:S12"/>
    <mergeCell ref="A11:B11"/>
    <mergeCell ref="F11:G11"/>
    <mergeCell ref="N13:O13"/>
    <mergeCell ref="P13:Q13"/>
    <mergeCell ref="R13:S13"/>
    <mergeCell ref="N8:O8"/>
    <mergeCell ref="P8:Q8"/>
    <mergeCell ref="R8:S8"/>
    <mergeCell ref="T8:U8"/>
    <mergeCell ref="F10:G10"/>
    <mergeCell ref="R10:S10"/>
    <mergeCell ref="A7:I7"/>
    <mergeCell ref="N11:O11"/>
    <mergeCell ref="P11:Q11"/>
    <mergeCell ref="R11:S11"/>
    <mergeCell ref="O1:U1"/>
    <mergeCell ref="N2:U2"/>
    <mergeCell ref="N3:U3"/>
    <mergeCell ref="A4:B4"/>
    <mergeCell ref="C4:E4"/>
    <mergeCell ref="N4:O4"/>
    <mergeCell ref="P4:Q4"/>
    <mergeCell ref="B1:I1"/>
    <mergeCell ref="N7:U7"/>
  </mergeCells>
  <pageMargins left="0.1" right="0.1" top="0.5" bottom="0.5" header="0" footer="0.1"/>
  <pageSetup scale="70" fitToHeight="3" orientation="portrait" r:id="rId1"/>
  <headerFooter alignWithMargins="0">
    <oddFooter>&amp;R&amp;P of &amp;N</oddFooter>
  </headerFooter>
  <rowBreaks count="1" manualBreakCount="1">
    <brk id="138" max="16383" man="1"/>
  </rowBreaks>
  <colBreaks count="1" manualBreakCount="1">
    <brk id="9" max="1048575" man="1"/>
  </colBreaks>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0">
    <tabColor rgb="FFCCFFCC"/>
  </sheetPr>
  <dimension ref="A1:U206"/>
  <sheetViews>
    <sheetView showGridLines="0" zoomScaleNormal="100" workbookViewId="0">
      <pane ySplit="1" topLeftCell="A11" activePane="bottomLeft" state="frozen"/>
      <selection activeCell="I9" sqref="I9"/>
      <selection pane="bottomLeft" activeCell="H57" sqref="H57"/>
    </sheetView>
  </sheetViews>
  <sheetFormatPr defaultRowHeight="15.75" x14ac:dyDescent="0.25"/>
  <cols>
    <col min="1" max="1" width="10.28515625" style="72"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72"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5">
        <v>50</v>
      </c>
      <c r="B1" s="441" t="s">
        <v>17</v>
      </c>
      <c r="C1" s="442"/>
      <c r="D1" s="442"/>
      <c r="E1" s="442"/>
      <c r="F1" s="442"/>
      <c r="G1" s="442"/>
      <c r="H1" s="442"/>
      <c r="I1" s="442"/>
      <c r="J1" s="157"/>
      <c r="K1" s="157"/>
      <c r="L1" s="157"/>
      <c r="N1" s="85">
        <f>A1</f>
        <v>50</v>
      </c>
      <c r="O1" s="527" t="s">
        <v>17</v>
      </c>
      <c r="P1" s="528"/>
      <c r="Q1" s="528"/>
      <c r="R1" s="528"/>
      <c r="S1" s="528"/>
      <c r="T1" s="528"/>
      <c r="U1" s="528"/>
    </row>
    <row r="2" spans="1:21" ht="21" x14ac:dyDescent="0.35">
      <c r="A2" s="1" t="s">
        <v>180</v>
      </c>
      <c r="B2" s="2"/>
      <c r="C2" s="2"/>
      <c r="D2" s="2"/>
      <c r="E2" s="2"/>
      <c r="F2" s="2"/>
      <c r="G2" s="2"/>
      <c r="H2" s="2"/>
      <c r="I2" s="2"/>
      <c r="N2" s="529" t="s">
        <v>23</v>
      </c>
      <c r="O2" s="529"/>
      <c r="P2" s="529"/>
      <c r="Q2" s="529"/>
      <c r="R2" s="529"/>
      <c r="S2" s="529"/>
      <c r="T2" s="529"/>
      <c r="U2" s="529"/>
    </row>
    <row r="3" spans="1:21" x14ac:dyDescent="0.25">
      <c r="A3" s="84" t="str">
        <f>'0664'!A3</f>
        <v>Based on the FLDOE 2022-23 FEFP Third Calculation</v>
      </c>
      <c r="N3" s="485" t="str">
        <f>A3</f>
        <v>Based on the FLDOE 2022-23 FEFP Third Calculation</v>
      </c>
      <c r="O3" s="485"/>
      <c r="P3" s="485"/>
      <c r="Q3" s="485"/>
      <c r="R3" s="485"/>
      <c r="S3" s="485"/>
      <c r="T3" s="485"/>
      <c r="U3" s="485"/>
    </row>
    <row r="4" spans="1:21" x14ac:dyDescent="0.25">
      <c r="A4" s="443" t="s">
        <v>0</v>
      </c>
      <c r="B4" s="443"/>
      <c r="C4" s="444" t="s">
        <v>9</v>
      </c>
      <c r="D4" s="444"/>
      <c r="E4" s="444"/>
      <c r="F4" s="4" t="str">
        <f>'0664'!F4</f>
        <v>Apr 2023</v>
      </c>
      <c r="G4" s="4"/>
      <c r="H4" s="4"/>
      <c r="I4" s="4"/>
      <c r="N4" s="530" t="s">
        <v>0</v>
      </c>
      <c r="O4" s="530"/>
      <c r="P4" s="531" t="str">
        <f>C4</f>
        <v>Palm Beach</v>
      </c>
      <c r="Q4" s="531"/>
      <c r="R4" s="5"/>
      <c r="S4" s="5"/>
      <c r="T4" s="5"/>
      <c r="U4" s="5"/>
    </row>
    <row r="5" spans="1:21" ht="12" customHeight="1" thickBot="1" x14ac:dyDescent="0.3">
      <c r="A5" s="262"/>
      <c r="B5" s="262"/>
      <c r="C5" s="253"/>
      <c r="D5" s="253"/>
      <c r="E5" s="253"/>
      <c r="F5" s="254"/>
      <c r="G5" s="254"/>
      <c r="H5" s="254"/>
      <c r="I5" s="254"/>
      <c r="N5" s="86"/>
      <c r="O5" s="86"/>
      <c r="P5" s="6"/>
      <c r="Q5" s="6"/>
      <c r="R5" s="5"/>
      <c r="S5" s="5"/>
      <c r="T5" s="5"/>
      <c r="U5" s="5"/>
    </row>
    <row r="6" spans="1:21" ht="12" customHeight="1" x14ac:dyDescent="0.25">
      <c r="A6" s="150"/>
      <c r="B6" s="150"/>
      <c r="C6" s="261"/>
      <c r="D6" s="261"/>
      <c r="E6" s="261"/>
      <c r="F6" s="4"/>
      <c r="G6" s="4"/>
      <c r="H6" s="4"/>
      <c r="I6" s="4"/>
      <c r="N6" s="86"/>
      <c r="O6" s="86"/>
      <c r="P6" s="6"/>
      <c r="Q6" s="6"/>
      <c r="R6" s="5"/>
      <c r="S6" s="5"/>
      <c r="T6" s="5"/>
      <c r="U6" s="5"/>
    </row>
    <row r="7" spans="1:21" x14ac:dyDescent="0.25">
      <c r="A7" s="445" t="str">
        <f>'0664'!A7:I7</f>
        <v>1.   2022-23 FEFP State and Local Funding</v>
      </c>
      <c r="B7" s="533"/>
      <c r="C7" s="533"/>
      <c r="D7" s="533"/>
      <c r="E7" s="533"/>
      <c r="F7" s="533"/>
      <c r="G7" s="533"/>
      <c r="H7" s="533"/>
      <c r="I7" s="533"/>
      <c r="N7" s="530" t="s">
        <v>86</v>
      </c>
      <c r="O7" s="530"/>
      <c r="P7" s="530"/>
      <c r="Q7" s="530"/>
      <c r="R7" s="530"/>
      <c r="S7" s="530"/>
      <c r="T7" s="530"/>
      <c r="U7" s="530"/>
    </row>
    <row r="8" spans="1:21" x14ac:dyDescent="0.25">
      <c r="A8" s="87"/>
      <c r="B8" s="88" t="s">
        <v>123</v>
      </c>
      <c r="C8" s="334">
        <f>'0664'!C8</f>
        <v>4587.3999999999996</v>
      </c>
      <c r="D8" s="89"/>
      <c r="E8" s="90"/>
      <c r="F8" s="87"/>
      <c r="G8" s="88" t="s">
        <v>122</v>
      </c>
      <c r="H8" s="320">
        <f>'0664'!H8</f>
        <v>1.0438000000000001</v>
      </c>
      <c r="I8" s="78"/>
      <c r="N8" s="534" t="s">
        <v>10</v>
      </c>
      <c r="O8" s="534"/>
      <c r="P8" s="535">
        <v>4154.45</v>
      </c>
      <c r="Q8" s="535"/>
      <c r="R8" s="518" t="s">
        <v>11</v>
      </c>
      <c r="S8" s="518"/>
      <c r="T8" s="519">
        <f>H8</f>
        <v>1.0438000000000001</v>
      </c>
      <c r="U8" s="519"/>
    </row>
    <row r="9" spans="1:21" x14ac:dyDescent="0.25">
      <c r="A9" s="7"/>
      <c r="B9" s="44" t="s">
        <v>370</v>
      </c>
      <c r="C9" s="41" t="s">
        <v>370</v>
      </c>
      <c r="D9" s="91" t="s">
        <v>370</v>
      </c>
      <c r="E9" s="8"/>
      <c r="F9" s="9"/>
      <c r="G9" s="9"/>
      <c r="H9" s="10"/>
      <c r="I9" s="340" t="str">
        <f>'0664'!I9</f>
        <v>2022-23</v>
      </c>
      <c r="N9" s="12"/>
      <c r="O9" s="12"/>
      <c r="P9" s="13"/>
      <c r="Q9" s="13"/>
      <c r="R9" s="14"/>
      <c r="S9" s="14"/>
      <c r="T9" s="15"/>
      <c r="U9" s="405" t="s">
        <v>405</v>
      </c>
    </row>
    <row r="10" spans="1:21" x14ac:dyDescent="0.25">
      <c r="A10" s="7"/>
      <c r="B10" s="7"/>
      <c r="C10" s="91" t="s">
        <v>463</v>
      </c>
      <c r="D10" s="371" t="s">
        <v>464</v>
      </c>
      <c r="E10" s="92" t="s">
        <v>8</v>
      </c>
      <c r="F10" s="446" t="s">
        <v>1</v>
      </c>
      <c r="G10" s="446"/>
      <c r="H10" s="10" t="s">
        <v>73</v>
      </c>
      <c r="I10" s="11" t="s">
        <v>36</v>
      </c>
      <c r="N10" s="12"/>
      <c r="O10" s="12"/>
      <c r="P10" s="13"/>
      <c r="Q10" s="13"/>
      <c r="R10" s="520" t="s">
        <v>1</v>
      </c>
      <c r="S10" s="520"/>
      <c r="T10" s="15" t="s">
        <v>73</v>
      </c>
      <c r="U10" s="16" t="s">
        <v>36</v>
      </c>
    </row>
    <row r="11" spans="1:21" x14ac:dyDescent="0.25">
      <c r="A11" s="447" t="s">
        <v>1</v>
      </c>
      <c r="B11" s="447"/>
      <c r="C11" s="362" t="s">
        <v>2</v>
      </c>
      <c r="D11" s="362" t="s">
        <v>2</v>
      </c>
      <c r="E11" s="362" t="s">
        <v>2</v>
      </c>
      <c r="F11" s="448" t="s">
        <v>76</v>
      </c>
      <c r="G11" s="448"/>
      <c r="H11" s="17" t="s">
        <v>72</v>
      </c>
      <c r="I11" s="18" t="s">
        <v>75</v>
      </c>
      <c r="N11" s="510" t="s">
        <v>1</v>
      </c>
      <c r="O11" s="510"/>
      <c r="P11" s="521" t="s">
        <v>24</v>
      </c>
      <c r="Q11" s="521"/>
      <c r="R11" s="522" t="s">
        <v>76</v>
      </c>
      <c r="S11" s="522"/>
      <c r="T11" s="19" t="s">
        <v>72</v>
      </c>
      <c r="U11" s="20" t="s">
        <v>75</v>
      </c>
    </row>
    <row r="12" spans="1:21" x14ac:dyDescent="0.25">
      <c r="A12" s="449" t="s">
        <v>47</v>
      </c>
      <c r="B12" s="449"/>
      <c r="C12" s="94"/>
      <c r="D12" s="94"/>
      <c r="E12" s="95" t="s">
        <v>48</v>
      </c>
      <c r="F12" s="450" t="s">
        <v>49</v>
      </c>
      <c r="G12" s="450"/>
      <c r="H12" s="21" t="s">
        <v>50</v>
      </c>
      <c r="I12" s="22" t="s">
        <v>51</v>
      </c>
      <c r="N12" s="523" t="s">
        <v>47</v>
      </c>
      <c r="O12" s="523"/>
      <c r="P12" s="524" t="s">
        <v>48</v>
      </c>
      <c r="Q12" s="524"/>
      <c r="R12" s="525" t="s">
        <v>49</v>
      </c>
      <c r="S12" s="525"/>
      <c r="T12" s="23" t="s">
        <v>50</v>
      </c>
      <c r="U12" s="24" t="s">
        <v>51</v>
      </c>
    </row>
    <row r="13" spans="1:21" x14ac:dyDescent="0.25">
      <c r="A13" s="451" t="s">
        <v>29</v>
      </c>
      <c r="B13" s="451"/>
      <c r="C13" s="165">
        <v>150.04</v>
      </c>
      <c r="D13" s="163">
        <v>143.28</v>
      </c>
      <c r="E13" s="210">
        <f>IF(D$29=0,C13*2,C13+D13)</f>
        <v>293.32</v>
      </c>
      <c r="F13" s="537">
        <f>'0664'!F13:G13</f>
        <v>1.1259999999999999</v>
      </c>
      <c r="G13" s="537"/>
      <c r="H13" s="167">
        <f>ROUND(E13*F13,4)</f>
        <v>330.2783</v>
      </c>
      <c r="I13" s="119">
        <f t="shared" ref="I13:I28" si="0">ROUND(ROUND(H13*$C$8,4)*($H$8),2)</f>
        <v>1581480.87</v>
      </c>
      <c r="N13" s="512" t="s">
        <v>29</v>
      </c>
      <c r="O13" s="512"/>
      <c r="P13" s="513">
        <f t="shared" ref="P13:P28" si="1">IF($H$120=1,E13,0)</f>
        <v>0</v>
      </c>
      <c r="Q13" s="513"/>
      <c r="R13" s="526">
        <v>1</v>
      </c>
      <c r="S13" s="526"/>
      <c r="T13" s="98">
        <f>ROUND(P13*R13,4)</f>
        <v>0</v>
      </c>
      <c r="U13" s="99">
        <f t="shared" ref="U13:U28" si="2">ROUND(ROUND(T13*$C$8,4)*($H$8),0)</f>
        <v>0</v>
      </c>
    </row>
    <row r="14" spans="1:21" x14ac:dyDescent="0.25">
      <c r="A14" s="453" t="s">
        <v>30</v>
      </c>
      <c r="B14" s="453"/>
      <c r="C14" s="165">
        <v>18</v>
      </c>
      <c r="D14" s="165">
        <v>19.149999999999999</v>
      </c>
      <c r="E14" s="125">
        <f t="shared" ref="E14:E28" si="3">IF(D$29=0,C14*2,C14+D14)</f>
        <v>37.15</v>
      </c>
      <c r="F14" s="532">
        <f>'0664'!F14:G14</f>
        <v>1.1259999999999999</v>
      </c>
      <c r="G14" s="532"/>
      <c r="H14" s="83">
        <f t="shared" ref="H14:H28" si="4">ROUND(E14*F14,4)</f>
        <v>41.8309</v>
      </c>
      <c r="I14" s="104">
        <f t="shared" si="0"/>
        <v>200300.07</v>
      </c>
      <c r="J14" s="68" t="str">
        <f>IF(ROUND(E14,2)=ROUND(SUM(E50:E52),2)," ","CHECK PK-3 LINES BELOW")</f>
        <v xml:space="preserve"> </v>
      </c>
      <c r="N14" s="479" t="s">
        <v>30</v>
      </c>
      <c r="O14" s="479"/>
      <c r="P14" s="513">
        <f t="shared" si="1"/>
        <v>0</v>
      </c>
      <c r="Q14" s="513"/>
      <c r="R14" s="517">
        <v>1</v>
      </c>
      <c r="S14" s="517"/>
      <c r="T14" s="98">
        <f t="shared" ref="T14:T28" si="5">ROUND(P14*R14,4)</f>
        <v>0</v>
      </c>
      <c r="U14" s="99">
        <f t="shared" si="2"/>
        <v>0</v>
      </c>
    </row>
    <row r="15" spans="1:21" x14ac:dyDescent="0.25">
      <c r="A15" s="453" t="s">
        <v>31</v>
      </c>
      <c r="B15" s="453"/>
      <c r="C15" s="165">
        <v>174.36</v>
      </c>
      <c r="D15" s="165">
        <v>172.79</v>
      </c>
      <c r="E15" s="125">
        <f t="shared" si="3"/>
        <v>347.15</v>
      </c>
      <c r="F15" s="532">
        <f>'0664'!F15:G15</f>
        <v>1</v>
      </c>
      <c r="G15" s="532"/>
      <c r="H15" s="83">
        <f t="shared" si="4"/>
        <v>347.15</v>
      </c>
      <c r="I15" s="104">
        <f t="shared" si="0"/>
        <v>1662268.11</v>
      </c>
      <c r="N15" s="479" t="s">
        <v>31</v>
      </c>
      <c r="O15" s="479"/>
      <c r="P15" s="513">
        <f t="shared" si="1"/>
        <v>0</v>
      </c>
      <c r="Q15" s="513"/>
      <c r="R15" s="517">
        <v>1</v>
      </c>
      <c r="S15" s="517"/>
      <c r="T15" s="98">
        <f t="shared" si="5"/>
        <v>0</v>
      </c>
      <c r="U15" s="99">
        <f t="shared" si="2"/>
        <v>0</v>
      </c>
    </row>
    <row r="16" spans="1:21" x14ac:dyDescent="0.25">
      <c r="A16" s="453" t="s">
        <v>32</v>
      </c>
      <c r="B16" s="453"/>
      <c r="C16" s="165">
        <v>26</v>
      </c>
      <c r="D16" s="165">
        <v>26.76</v>
      </c>
      <c r="E16" s="125">
        <f t="shared" si="3"/>
        <v>52.760000000000005</v>
      </c>
      <c r="F16" s="532">
        <f>'0664'!F16:G16</f>
        <v>1</v>
      </c>
      <c r="G16" s="532"/>
      <c r="H16" s="83">
        <f t="shared" si="4"/>
        <v>52.76</v>
      </c>
      <c r="I16" s="104">
        <f t="shared" si="0"/>
        <v>252632.19</v>
      </c>
      <c r="J16" s="68" t="str">
        <f>IF(ROUND(E16,2)=ROUND(SUM(E53:E55),2)," ","CHECK 4-8 LINES BELOW")</f>
        <v xml:space="preserve"> </v>
      </c>
      <c r="N16" s="479" t="s">
        <v>32</v>
      </c>
      <c r="O16" s="479"/>
      <c r="P16" s="513">
        <f t="shared" si="1"/>
        <v>0</v>
      </c>
      <c r="Q16" s="513"/>
      <c r="R16" s="517">
        <v>1</v>
      </c>
      <c r="S16" s="517"/>
      <c r="T16" s="98">
        <f t="shared" si="5"/>
        <v>0</v>
      </c>
      <c r="U16" s="99">
        <f t="shared" si="2"/>
        <v>0</v>
      </c>
    </row>
    <row r="17" spans="1:21" x14ac:dyDescent="0.25">
      <c r="A17" s="453" t="s">
        <v>33</v>
      </c>
      <c r="B17" s="453"/>
      <c r="C17" s="165">
        <v>0</v>
      </c>
      <c r="D17" s="165">
        <v>0</v>
      </c>
      <c r="E17" s="125">
        <f t="shared" si="3"/>
        <v>0</v>
      </c>
      <c r="F17" s="532">
        <f>'0664'!F17:G17</f>
        <v>0.999</v>
      </c>
      <c r="G17" s="532"/>
      <c r="H17" s="83">
        <f t="shared" si="4"/>
        <v>0</v>
      </c>
      <c r="I17" s="104">
        <f t="shared" si="0"/>
        <v>0</v>
      </c>
      <c r="N17" s="479" t="s">
        <v>33</v>
      </c>
      <c r="O17" s="479"/>
      <c r="P17" s="513">
        <f t="shared" si="1"/>
        <v>0</v>
      </c>
      <c r="Q17" s="513"/>
      <c r="R17" s="517">
        <v>1</v>
      </c>
      <c r="S17" s="517"/>
      <c r="T17" s="98">
        <f t="shared" si="5"/>
        <v>0</v>
      </c>
      <c r="U17" s="99">
        <f t="shared" si="2"/>
        <v>0</v>
      </c>
    </row>
    <row r="18" spans="1:21" x14ac:dyDescent="0.25">
      <c r="A18" s="453" t="s">
        <v>34</v>
      </c>
      <c r="B18" s="453"/>
      <c r="C18" s="165">
        <v>0</v>
      </c>
      <c r="D18" s="165">
        <v>0</v>
      </c>
      <c r="E18" s="125">
        <f t="shared" si="3"/>
        <v>0</v>
      </c>
      <c r="F18" s="532">
        <f>'0664'!F18:G18</f>
        <v>0.999</v>
      </c>
      <c r="G18" s="532"/>
      <c r="H18" s="83">
        <f t="shared" si="4"/>
        <v>0</v>
      </c>
      <c r="I18" s="104">
        <f t="shared" si="0"/>
        <v>0</v>
      </c>
      <c r="J18" s="68" t="str">
        <f>IF(ROUND(E18,2)=ROUND(SUM(E56:E58),2)," ","CHECK 4-8 LINES BELOW")</f>
        <v xml:space="preserve"> </v>
      </c>
      <c r="N18" s="479" t="s">
        <v>34</v>
      </c>
      <c r="O18" s="479"/>
      <c r="P18" s="513">
        <f t="shared" si="1"/>
        <v>0</v>
      </c>
      <c r="Q18" s="513"/>
      <c r="R18" s="517">
        <v>1</v>
      </c>
      <c r="S18" s="517"/>
      <c r="T18" s="98">
        <f t="shared" si="5"/>
        <v>0</v>
      </c>
      <c r="U18" s="101">
        <f t="shared" si="2"/>
        <v>0</v>
      </c>
    </row>
    <row r="19" spans="1:21" x14ac:dyDescent="0.25">
      <c r="A19" s="453" t="s">
        <v>108</v>
      </c>
      <c r="B19" s="453"/>
      <c r="C19" s="165">
        <v>0</v>
      </c>
      <c r="D19" s="165">
        <v>0</v>
      </c>
      <c r="E19" s="125">
        <f t="shared" si="3"/>
        <v>0</v>
      </c>
      <c r="F19" s="532">
        <f>'0664'!F19:G19</f>
        <v>3.6739999999999999</v>
      </c>
      <c r="G19" s="532"/>
      <c r="H19" s="83">
        <f t="shared" si="4"/>
        <v>0</v>
      </c>
      <c r="I19" s="104">
        <f t="shared" si="0"/>
        <v>0</v>
      </c>
      <c r="N19" s="479" t="s">
        <v>108</v>
      </c>
      <c r="O19" s="479"/>
      <c r="P19" s="513">
        <f t="shared" si="1"/>
        <v>0</v>
      </c>
      <c r="Q19" s="513"/>
      <c r="R19" s="517">
        <v>1</v>
      </c>
      <c r="S19" s="517"/>
      <c r="T19" s="98">
        <f t="shared" si="5"/>
        <v>0</v>
      </c>
      <c r="U19" s="99">
        <f t="shared" si="2"/>
        <v>0</v>
      </c>
    </row>
    <row r="20" spans="1:21" x14ac:dyDescent="0.25">
      <c r="A20" s="453" t="s">
        <v>109</v>
      </c>
      <c r="B20" s="453"/>
      <c r="C20" s="165">
        <v>0</v>
      </c>
      <c r="D20" s="165">
        <v>0</v>
      </c>
      <c r="E20" s="125">
        <f t="shared" si="3"/>
        <v>0</v>
      </c>
      <c r="F20" s="532">
        <f>'0664'!F20:G20</f>
        <v>3.6739999999999999</v>
      </c>
      <c r="G20" s="532"/>
      <c r="H20" s="83">
        <f t="shared" si="4"/>
        <v>0</v>
      </c>
      <c r="I20" s="104">
        <f t="shared" si="0"/>
        <v>0</v>
      </c>
      <c r="N20" s="479" t="s">
        <v>109</v>
      </c>
      <c r="O20" s="479"/>
      <c r="P20" s="513">
        <f t="shared" si="1"/>
        <v>0</v>
      </c>
      <c r="Q20" s="513"/>
      <c r="R20" s="517">
        <v>1</v>
      </c>
      <c r="S20" s="517"/>
      <c r="T20" s="98">
        <f t="shared" si="5"/>
        <v>0</v>
      </c>
      <c r="U20" s="99">
        <f t="shared" si="2"/>
        <v>0</v>
      </c>
    </row>
    <row r="21" spans="1:21" x14ac:dyDescent="0.25">
      <c r="A21" s="453" t="s">
        <v>110</v>
      </c>
      <c r="B21" s="453"/>
      <c r="C21" s="165">
        <v>0</v>
      </c>
      <c r="D21" s="165">
        <v>0</v>
      </c>
      <c r="E21" s="125">
        <f t="shared" si="3"/>
        <v>0</v>
      </c>
      <c r="F21" s="532">
        <f>'0664'!F21:G21</f>
        <v>3.6739999999999999</v>
      </c>
      <c r="G21" s="532"/>
      <c r="H21" s="83">
        <f t="shared" si="4"/>
        <v>0</v>
      </c>
      <c r="I21" s="104">
        <f t="shared" si="0"/>
        <v>0</v>
      </c>
      <c r="N21" s="479" t="s">
        <v>110</v>
      </c>
      <c r="O21" s="479"/>
      <c r="P21" s="513">
        <f t="shared" si="1"/>
        <v>0</v>
      </c>
      <c r="Q21" s="513"/>
      <c r="R21" s="517">
        <v>1</v>
      </c>
      <c r="S21" s="517"/>
      <c r="T21" s="98">
        <f t="shared" si="5"/>
        <v>0</v>
      </c>
      <c r="U21" s="99">
        <f t="shared" si="2"/>
        <v>0</v>
      </c>
    </row>
    <row r="22" spans="1:21" x14ac:dyDescent="0.25">
      <c r="A22" s="453" t="s">
        <v>111</v>
      </c>
      <c r="B22" s="453"/>
      <c r="C22" s="165">
        <v>0</v>
      </c>
      <c r="D22" s="165">
        <v>0</v>
      </c>
      <c r="E22" s="125">
        <f t="shared" si="3"/>
        <v>0</v>
      </c>
      <c r="F22" s="532">
        <f>'0664'!F22:G22</f>
        <v>5.4009999999999998</v>
      </c>
      <c r="G22" s="532"/>
      <c r="H22" s="83">
        <f t="shared" si="4"/>
        <v>0</v>
      </c>
      <c r="I22" s="104">
        <f t="shared" si="0"/>
        <v>0</v>
      </c>
      <c r="N22" s="479" t="s">
        <v>111</v>
      </c>
      <c r="O22" s="479"/>
      <c r="P22" s="513">
        <f t="shared" si="1"/>
        <v>0</v>
      </c>
      <c r="Q22" s="513"/>
      <c r="R22" s="517">
        <v>1</v>
      </c>
      <c r="S22" s="517"/>
      <c r="T22" s="98">
        <f t="shared" si="5"/>
        <v>0</v>
      </c>
      <c r="U22" s="99">
        <f t="shared" si="2"/>
        <v>0</v>
      </c>
    </row>
    <row r="23" spans="1:21" x14ac:dyDescent="0.25">
      <c r="A23" s="453" t="s">
        <v>112</v>
      </c>
      <c r="B23" s="453"/>
      <c r="C23" s="165">
        <v>0</v>
      </c>
      <c r="D23" s="165">
        <v>0</v>
      </c>
      <c r="E23" s="125">
        <f t="shared" si="3"/>
        <v>0</v>
      </c>
      <c r="F23" s="532">
        <f>'0664'!F23:G23</f>
        <v>5.4009999999999998</v>
      </c>
      <c r="G23" s="532"/>
      <c r="H23" s="83">
        <f t="shared" si="4"/>
        <v>0</v>
      </c>
      <c r="I23" s="104">
        <f t="shared" si="0"/>
        <v>0</v>
      </c>
      <c r="N23" s="479" t="s">
        <v>112</v>
      </c>
      <c r="O23" s="479"/>
      <c r="P23" s="513">
        <f t="shared" si="1"/>
        <v>0</v>
      </c>
      <c r="Q23" s="513"/>
      <c r="R23" s="517">
        <v>1</v>
      </c>
      <c r="S23" s="517"/>
      <c r="T23" s="98">
        <f t="shared" si="5"/>
        <v>0</v>
      </c>
      <c r="U23" s="99">
        <f t="shared" si="2"/>
        <v>0</v>
      </c>
    </row>
    <row r="24" spans="1:21" x14ac:dyDescent="0.25">
      <c r="A24" s="453" t="s">
        <v>113</v>
      </c>
      <c r="B24" s="453"/>
      <c r="C24" s="165">
        <v>0</v>
      </c>
      <c r="D24" s="165">
        <v>0</v>
      </c>
      <c r="E24" s="125">
        <f t="shared" si="3"/>
        <v>0</v>
      </c>
      <c r="F24" s="532">
        <f>'0664'!F24:G24</f>
        <v>5.4009999999999998</v>
      </c>
      <c r="G24" s="532"/>
      <c r="H24" s="83">
        <f t="shared" si="4"/>
        <v>0</v>
      </c>
      <c r="I24" s="104">
        <f t="shared" si="0"/>
        <v>0</v>
      </c>
      <c r="N24" s="479" t="s">
        <v>113</v>
      </c>
      <c r="O24" s="479"/>
      <c r="P24" s="513">
        <f t="shared" si="1"/>
        <v>0</v>
      </c>
      <c r="Q24" s="513"/>
      <c r="R24" s="517">
        <v>1</v>
      </c>
      <c r="S24" s="517"/>
      <c r="T24" s="98">
        <f t="shared" si="5"/>
        <v>0</v>
      </c>
      <c r="U24" s="99">
        <f t="shared" si="2"/>
        <v>0</v>
      </c>
    </row>
    <row r="25" spans="1:21" x14ac:dyDescent="0.25">
      <c r="A25" s="453" t="s">
        <v>114</v>
      </c>
      <c r="B25" s="453"/>
      <c r="C25" s="165">
        <v>22.78</v>
      </c>
      <c r="D25" s="165">
        <v>25.83</v>
      </c>
      <c r="E25" s="125">
        <f t="shared" si="3"/>
        <v>48.61</v>
      </c>
      <c r="F25" s="532">
        <f>'0664'!F25:G25</f>
        <v>1.206</v>
      </c>
      <c r="G25" s="532"/>
      <c r="H25" s="83">
        <f t="shared" si="4"/>
        <v>58.623699999999999</v>
      </c>
      <c r="I25" s="104">
        <f t="shared" si="0"/>
        <v>280709.51</v>
      </c>
      <c r="N25" s="479" t="s">
        <v>114</v>
      </c>
      <c r="O25" s="479"/>
      <c r="P25" s="513">
        <f t="shared" si="1"/>
        <v>0</v>
      </c>
      <c r="Q25" s="513"/>
      <c r="R25" s="517">
        <v>1</v>
      </c>
      <c r="S25" s="517"/>
      <c r="T25" s="98">
        <f t="shared" si="5"/>
        <v>0</v>
      </c>
      <c r="U25" s="99">
        <f t="shared" si="2"/>
        <v>0</v>
      </c>
    </row>
    <row r="26" spans="1:21" x14ac:dyDescent="0.25">
      <c r="A26" s="453" t="s">
        <v>115</v>
      </c>
      <c r="B26" s="453"/>
      <c r="C26" s="165">
        <v>24.09</v>
      </c>
      <c r="D26" s="165">
        <v>29.18</v>
      </c>
      <c r="E26" s="125">
        <f t="shared" si="3"/>
        <v>53.269999999999996</v>
      </c>
      <c r="F26" s="532">
        <f>'0664'!F26:G26</f>
        <v>1.206</v>
      </c>
      <c r="G26" s="532"/>
      <c r="H26" s="83">
        <f t="shared" si="4"/>
        <v>64.243600000000001</v>
      </c>
      <c r="I26" s="104">
        <f t="shared" si="0"/>
        <v>307619.44</v>
      </c>
      <c r="N26" s="479" t="s">
        <v>115</v>
      </c>
      <c r="O26" s="479"/>
      <c r="P26" s="513">
        <f t="shared" si="1"/>
        <v>0</v>
      </c>
      <c r="Q26" s="513"/>
      <c r="R26" s="517">
        <v>1</v>
      </c>
      <c r="S26" s="517"/>
      <c r="T26" s="98">
        <f t="shared" si="5"/>
        <v>0</v>
      </c>
      <c r="U26" s="99">
        <f t="shared" si="2"/>
        <v>0</v>
      </c>
    </row>
    <row r="27" spans="1:21" x14ac:dyDescent="0.25">
      <c r="A27" s="453" t="s">
        <v>116</v>
      </c>
      <c r="B27" s="453"/>
      <c r="C27" s="165">
        <v>0</v>
      </c>
      <c r="D27" s="165">
        <v>0</v>
      </c>
      <c r="E27" s="125">
        <f t="shared" si="3"/>
        <v>0</v>
      </c>
      <c r="F27" s="532">
        <f>'0664'!F27:G27</f>
        <v>1.206</v>
      </c>
      <c r="G27" s="532"/>
      <c r="H27" s="83">
        <f t="shared" si="4"/>
        <v>0</v>
      </c>
      <c r="I27" s="104">
        <f t="shared" si="0"/>
        <v>0</v>
      </c>
      <c r="N27" s="479" t="s">
        <v>116</v>
      </c>
      <c r="O27" s="479"/>
      <c r="P27" s="513">
        <f t="shared" si="1"/>
        <v>0</v>
      </c>
      <c r="Q27" s="513"/>
      <c r="R27" s="517">
        <v>1</v>
      </c>
      <c r="S27" s="517"/>
      <c r="T27" s="98">
        <f t="shared" si="5"/>
        <v>0</v>
      </c>
      <c r="U27" s="99">
        <f t="shared" si="2"/>
        <v>0</v>
      </c>
    </row>
    <row r="28" spans="1:21" x14ac:dyDescent="0.25">
      <c r="A28" s="453" t="s">
        <v>117</v>
      </c>
      <c r="B28" s="453"/>
      <c r="C28" s="116">
        <v>0</v>
      </c>
      <c r="D28" s="116">
        <v>0</v>
      </c>
      <c r="E28" s="177">
        <f t="shared" si="3"/>
        <v>0</v>
      </c>
      <c r="F28" s="532">
        <f>'0664'!F28:G28</f>
        <v>0.999</v>
      </c>
      <c r="G28" s="532"/>
      <c r="H28" s="96">
        <f t="shared" si="4"/>
        <v>0</v>
      </c>
      <c r="I28" s="97">
        <f t="shared" si="0"/>
        <v>0</v>
      </c>
      <c r="N28" s="482" t="s">
        <v>117</v>
      </c>
      <c r="O28" s="482"/>
      <c r="P28" s="513">
        <f t="shared" si="1"/>
        <v>0</v>
      </c>
      <c r="Q28" s="513"/>
      <c r="R28" s="514">
        <v>1</v>
      </c>
      <c r="S28" s="514"/>
      <c r="T28" s="98">
        <f t="shared" si="5"/>
        <v>0</v>
      </c>
      <c r="U28" s="99">
        <f t="shared" si="2"/>
        <v>0</v>
      </c>
    </row>
    <row r="29" spans="1:21" x14ac:dyDescent="0.25">
      <c r="A29" s="461" t="s">
        <v>5</v>
      </c>
      <c r="B29" s="461"/>
      <c r="C29" s="97">
        <f>SUM(C13:C28)</f>
        <v>415.26999999999992</v>
      </c>
      <c r="D29" s="97">
        <f>SUM(D13:D28)</f>
        <v>416.99</v>
      </c>
      <c r="E29" s="97">
        <f>SUM(E13:E28)</f>
        <v>832.25999999999988</v>
      </c>
      <c r="F29" s="457"/>
      <c r="G29" s="457"/>
      <c r="H29" s="102">
        <f>SUM(H13:H28)</f>
        <v>894.88649999999996</v>
      </c>
      <c r="I29" s="97">
        <f>SUM(I13:I28)</f>
        <v>4285010.1900000004</v>
      </c>
      <c r="N29" s="515" t="s">
        <v>5</v>
      </c>
      <c r="O29" s="515"/>
      <c r="P29" s="516">
        <f>SUM(P13:P28)</f>
        <v>0</v>
      </c>
      <c r="Q29" s="516"/>
      <c r="R29" s="508"/>
      <c r="S29" s="508"/>
      <c r="T29" s="103">
        <f>SUM(T13:T28)</f>
        <v>0</v>
      </c>
      <c r="U29" s="99">
        <f>SUM(U13:U28)</f>
        <v>0</v>
      </c>
    </row>
    <row r="30" spans="1:21" x14ac:dyDescent="0.25">
      <c r="A30" s="27"/>
      <c r="B30" s="27"/>
      <c r="C30" s="104"/>
      <c r="D30" s="104"/>
      <c r="E30" s="104"/>
      <c r="F30" s="28"/>
      <c r="G30" s="28"/>
      <c r="H30" s="83"/>
      <c r="I30" s="104"/>
      <c r="N30" s="29"/>
      <c r="O30" s="29"/>
      <c r="P30" s="30"/>
      <c r="Q30" s="30"/>
      <c r="R30" s="31"/>
      <c r="S30" s="31"/>
      <c r="T30" s="105"/>
      <c r="U30" s="106"/>
    </row>
    <row r="31" spans="1:21" x14ac:dyDescent="0.25">
      <c r="A31" s="168" t="s">
        <v>97</v>
      </c>
      <c r="B31" s="27"/>
      <c r="C31" s="104"/>
      <c r="D31" s="104"/>
      <c r="E31" s="104"/>
      <c r="F31" s="28"/>
      <c r="G31" s="28"/>
      <c r="H31" s="83"/>
      <c r="I31" s="104"/>
      <c r="N31" s="29"/>
      <c r="O31" s="29"/>
      <c r="P31" s="30"/>
      <c r="Q31" s="30"/>
      <c r="R31" s="31"/>
      <c r="S31" s="31"/>
      <c r="T31" s="105"/>
      <c r="U31" s="106"/>
    </row>
    <row r="32" spans="1:21" hidden="1" x14ac:dyDescent="0.25">
      <c r="A32" s="168"/>
      <c r="B32" s="27"/>
      <c r="C32" s="104"/>
      <c r="D32" s="104"/>
      <c r="E32" s="104"/>
      <c r="F32" s="28"/>
      <c r="G32" s="28"/>
      <c r="H32" s="83"/>
      <c r="I32" s="104"/>
      <c r="N32" s="29"/>
      <c r="O32" s="29"/>
      <c r="P32" s="30"/>
      <c r="Q32" s="30"/>
      <c r="R32" s="31"/>
      <c r="S32" s="31"/>
      <c r="T32" s="105"/>
      <c r="U32" s="106"/>
    </row>
    <row r="33" spans="1:21" hidden="1" x14ac:dyDescent="0.25">
      <c r="A33" s="168"/>
      <c r="B33" s="27"/>
      <c r="C33" s="104"/>
      <c r="D33" s="104"/>
      <c r="E33" s="104"/>
      <c r="F33" s="541" t="s">
        <v>282</v>
      </c>
      <c r="G33" s="541"/>
      <c r="H33" s="541"/>
      <c r="I33" s="104"/>
      <c r="N33" s="29"/>
      <c r="O33" s="29"/>
      <c r="P33" s="30"/>
      <c r="Q33" s="30"/>
      <c r="R33" s="31"/>
      <c r="S33" s="31"/>
      <c r="T33" s="105"/>
      <c r="U33" s="106"/>
    </row>
    <row r="34" spans="1:21" hidden="1" x14ac:dyDescent="0.25">
      <c r="A34" s="3"/>
      <c r="B34" s="72"/>
      <c r="C34" s="72"/>
      <c r="D34" s="72"/>
      <c r="E34" s="72"/>
      <c r="F34" s="541"/>
      <c r="G34" s="541"/>
      <c r="H34" s="541"/>
      <c r="I34" s="25" t="s">
        <v>74</v>
      </c>
      <c r="N34" s="485" t="s">
        <v>35</v>
      </c>
      <c r="O34" s="485"/>
      <c r="P34" s="485"/>
      <c r="Q34" s="485"/>
      <c r="R34" s="485"/>
      <c r="S34" s="485"/>
      <c r="T34" s="485"/>
      <c r="U34" s="26" t="s">
        <v>74</v>
      </c>
    </row>
    <row r="35" spans="1:21" hidden="1" x14ac:dyDescent="0.25">
      <c r="A35" s="27"/>
      <c r="B35" s="27"/>
      <c r="C35" s="91" t="s">
        <v>124</v>
      </c>
      <c r="D35" s="91" t="s">
        <v>125</v>
      </c>
      <c r="E35" s="92" t="s">
        <v>8</v>
      </c>
      <c r="F35" s="541"/>
      <c r="G35" s="541"/>
      <c r="H35" s="541"/>
      <c r="I35" s="25" t="s">
        <v>36</v>
      </c>
      <c r="N35" s="29"/>
      <c r="O35" s="29"/>
      <c r="P35" s="30"/>
      <c r="Q35" s="30"/>
      <c r="R35" s="31"/>
      <c r="S35" s="31"/>
      <c r="T35" s="105"/>
      <c r="U35" s="26" t="s">
        <v>36</v>
      </c>
    </row>
    <row r="36" spans="1:21" hidden="1" x14ac:dyDescent="0.25">
      <c r="A36" s="447" t="s">
        <v>63</v>
      </c>
      <c r="B36" s="447"/>
      <c r="C36" s="93" t="s">
        <v>2</v>
      </c>
      <c r="D36" s="93" t="s">
        <v>2</v>
      </c>
      <c r="E36" s="93" t="s">
        <v>2</v>
      </c>
      <c r="F36" s="542"/>
      <c r="G36" s="542"/>
      <c r="H36" s="542"/>
      <c r="I36" s="32" t="s">
        <v>75</v>
      </c>
      <c r="N36" s="510" t="s">
        <v>63</v>
      </c>
      <c r="O36" s="510"/>
      <c r="P36" s="511" t="s">
        <v>24</v>
      </c>
      <c r="Q36" s="511"/>
      <c r="R36" s="511"/>
      <c r="S36" s="511"/>
      <c r="T36" s="511"/>
      <c r="U36" s="20" t="s">
        <v>75</v>
      </c>
    </row>
    <row r="37" spans="1:21" hidden="1" x14ac:dyDescent="0.25">
      <c r="A37" s="451" t="s">
        <v>56</v>
      </c>
      <c r="B37" s="451"/>
      <c r="C37" s="169">
        <v>0</v>
      </c>
      <c r="D37" s="169">
        <v>0</v>
      </c>
      <c r="E37" s="210">
        <f t="shared" ref="E37:E42" si="6">IF(D$43=0,C37*2,C37+D37)</f>
        <v>0</v>
      </c>
      <c r="F37" s="170"/>
      <c r="G37" s="170"/>
      <c r="H37" s="170"/>
      <c r="I37" s="119">
        <f t="shared" ref="I37:I42" si="7">ROUND(ROUND(E37*$C$8,4)*($H$8),2)</f>
        <v>0</v>
      </c>
      <c r="N37" s="512" t="s">
        <v>56</v>
      </c>
      <c r="O37" s="512"/>
      <c r="P37" s="483">
        <f t="shared" ref="P37:P42" si="8">IF($H$120=1,E37,0)</f>
        <v>0</v>
      </c>
      <c r="Q37" s="483"/>
      <c r="R37" s="483"/>
      <c r="S37" s="483"/>
      <c r="T37" s="483"/>
      <c r="U37" s="101">
        <f t="shared" ref="U37:U42" si="9">ROUND(ROUND(P37*$C$8,4)*($H$8),0)</f>
        <v>0</v>
      </c>
    </row>
    <row r="38" spans="1:21" hidden="1" x14ac:dyDescent="0.25">
      <c r="A38" s="453" t="s">
        <v>57</v>
      </c>
      <c r="B38" s="453"/>
      <c r="C38" s="172">
        <v>0</v>
      </c>
      <c r="D38" s="172">
        <v>0</v>
      </c>
      <c r="E38" s="125">
        <f t="shared" si="6"/>
        <v>0</v>
      </c>
      <c r="F38" s="173"/>
      <c r="G38" s="173"/>
      <c r="H38" s="173"/>
      <c r="I38" s="104">
        <f t="shared" si="7"/>
        <v>0</v>
      </c>
      <c r="N38" s="479" t="s">
        <v>57</v>
      </c>
      <c r="O38" s="479"/>
      <c r="P38" s="483">
        <f t="shared" si="8"/>
        <v>0</v>
      </c>
      <c r="Q38" s="483"/>
      <c r="R38" s="483"/>
      <c r="S38" s="483"/>
      <c r="T38" s="483"/>
      <c r="U38" s="101">
        <f t="shared" si="9"/>
        <v>0</v>
      </c>
    </row>
    <row r="39" spans="1:21" hidden="1" x14ac:dyDescent="0.25">
      <c r="A39" s="458" t="s">
        <v>58</v>
      </c>
      <c r="B39" s="458"/>
      <c r="C39" s="172">
        <v>0</v>
      </c>
      <c r="D39" s="172">
        <v>0</v>
      </c>
      <c r="E39" s="125">
        <f t="shared" si="6"/>
        <v>0</v>
      </c>
      <c r="F39" s="173"/>
      <c r="G39" s="173"/>
      <c r="H39" s="173"/>
      <c r="I39" s="104">
        <f t="shared" si="7"/>
        <v>0</v>
      </c>
      <c r="N39" s="509" t="s">
        <v>58</v>
      </c>
      <c r="O39" s="509"/>
      <c r="P39" s="483">
        <f t="shared" si="8"/>
        <v>0</v>
      </c>
      <c r="Q39" s="483"/>
      <c r="R39" s="483"/>
      <c r="S39" s="483"/>
      <c r="T39" s="483"/>
      <c r="U39" s="101">
        <f t="shared" si="9"/>
        <v>0</v>
      </c>
    </row>
    <row r="40" spans="1:21" hidden="1" x14ac:dyDescent="0.25">
      <c r="A40" s="453" t="s">
        <v>59</v>
      </c>
      <c r="B40" s="453"/>
      <c r="C40" s="172">
        <v>0</v>
      </c>
      <c r="D40" s="172">
        <v>0</v>
      </c>
      <c r="E40" s="125">
        <f t="shared" si="6"/>
        <v>0</v>
      </c>
      <c r="F40" s="173"/>
      <c r="G40" s="173"/>
      <c r="H40" s="173"/>
      <c r="I40" s="104">
        <f t="shared" si="7"/>
        <v>0</v>
      </c>
      <c r="N40" s="479" t="s">
        <v>59</v>
      </c>
      <c r="O40" s="479"/>
      <c r="P40" s="483">
        <f t="shared" si="8"/>
        <v>0</v>
      </c>
      <c r="Q40" s="483"/>
      <c r="R40" s="483"/>
      <c r="S40" s="483"/>
      <c r="T40" s="483"/>
      <c r="U40" s="101">
        <f t="shared" si="9"/>
        <v>0</v>
      </c>
    </row>
    <row r="41" spans="1:21" hidden="1" x14ac:dyDescent="0.25">
      <c r="A41" s="453" t="s">
        <v>60</v>
      </c>
      <c r="B41" s="453"/>
      <c r="C41" s="172">
        <v>0</v>
      </c>
      <c r="D41" s="172">
        <v>0</v>
      </c>
      <c r="E41" s="125">
        <f t="shared" si="6"/>
        <v>0</v>
      </c>
      <c r="F41" s="173"/>
      <c r="G41" s="173"/>
      <c r="H41" s="173"/>
      <c r="I41" s="104">
        <f t="shared" si="7"/>
        <v>0</v>
      </c>
      <c r="N41" s="479" t="s">
        <v>60</v>
      </c>
      <c r="O41" s="479"/>
      <c r="P41" s="483">
        <f t="shared" si="8"/>
        <v>0</v>
      </c>
      <c r="Q41" s="483"/>
      <c r="R41" s="483"/>
      <c r="S41" s="483"/>
      <c r="T41" s="483"/>
      <c r="U41" s="101">
        <f t="shared" si="9"/>
        <v>0</v>
      </c>
    </row>
    <row r="42" spans="1:21" hidden="1" x14ac:dyDescent="0.25">
      <c r="A42" s="453" t="s">
        <v>52</v>
      </c>
      <c r="B42" s="453"/>
      <c r="C42" s="171">
        <v>0</v>
      </c>
      <c r="D42" s="171">
        <v>0</v>
      </c>
      <c r="E42" s="177">
        <f t="shared" si="6"/>
        <v>0</v>
      </c>
      <c r="F42" s="173"/>
      <c r="G42" s="173"/>
      <c r="H42" s="173"/>
      <c r="I42" s="97">
        <f t="shared" si="7"/>
        <v>0</v>
      </c>
      <c r="N42" s="482" t="s">
        <v>52</v>
      </c>
      <c r="O42" s="482"/>
      <c r="P42" s="483">
        <f t="shared" si="8"/>
        <v>0</v>
      </c>
      <c r="Q42" s="483"/>
      <c r="R42" s="483"/>
      <c r="S42" s="483"/>
      <c r="T42" s="483"/>
      <c r="U42" s="101">
        <f t="shared" si="9"/>
        <v>0</v>
      </c>
    </row>
    <row r="43" spans="1:21" hidden="1" x14ac:dyDescent="0.25">
      <c r="A43" s="3"/>
      <c r="B43" s="55" t="s">
        <v>126</v>
      </c>
      <c r="C43" s="100">
        <f>SUM(C37:C42)</f>
        <v>0</v>
      </c>
      <c r="D43" s="100">
        <f>SUM(D37:D42)</f>
        <v>0</v>
      </c>
      <c r="E43" s="100">
        <f>SUM(E37:E42)</f>
        <v>0</v>
      </c>
      <c r="F43" s="33"/>
      <c r="G43" s="109"/>
      <c r="H43" s="110" t="s">
        <v>128</v>
      </c>
      <c r="I43" s="100">
        <f>SUM(I37:I42)</f>
        <v>0</v>
      </c>
      <c r="N43" s="480" t="s">
        <v>54</v>
      </c>
      <c r="O43" s="480"/>
      <c r="P43" s="480"/>
      <c r="Q43" s="480"/>
      <c r="R43" s="34">
        <f>SUM(P37:R42)</f>
        <v>0</v>
      </c>
      <c r="S43" s="508" t="s">
        <v>64</v>
      </c>
      <c r="T43" s="508"/>
      <c r="U43" s="106">
        <f>SUM(U37:U42)</f>
        <v>0</v>
      </c>
    </row>
    <row r="44" spans="1:21" ht="16.5" hidden="1" thickBot="1" x14ac:dyDescent="0.3">
      <c r="A44" s="3"/>
      <c r="B44" s="55"/>
      <c r="C44" s="104"/>
      <c r="D44" s="104"/>
      <c r="E44" s="119"/>
      <c r="F44" s="33"/>
      <c r="G44" s="109"/>
      <c r="H44" s="110"/>
      <c r="I44" s="104"/>
      <c r="N44" s="29"/>
      <c r="O44" s="29"/>
      <c r="P44" s="29"/>
      <c r="Q44" s="29"/>
      <c r="R44" s="34"/>
      <c r="S44" s="31"/>
      <c r="T44" s="31"/>
      <c r="U44" s="106"/>
    </row>
    <row r="45" spans="1:21" ht="16.5" hidden="1" thickBot="1" x14ac:dyDescent="0.3">
      <c r="A45" s="3"/>
      <c r="B45" s="55" t="s">
        <v>127</v>
      </c>
      <c r="E45" s="174">
        <f>H29+E43</f>
        <v>894.88649999999996</v>
      </c>
      <c r="F45" s="35"/>
      <c r="G45" s="109"/>
      <c r="H45" s="110" t="s">
        <v>129</v>
      </c>
      <c r="I45" s="97">
        <f>SUM(I43,I29)</f>
        <v>4285010.1900000004</v>
      </c>
      <c r="N45" s="480" t="s">
        <v>55</v>
      </c>
      <c r="O45" s="480"/>
      <c r="P45" s="480"/>
      <c r="Q45" s="480"/>
      <c r="R45" s="36">
        <f>R43+T29</f>
        <v>0</v>
      </c>
      <c r="S45" s="508" t="s">
        <v>53</v>
      </c>
      <c r="T45" s="508"/>
      <c r="U45" s="111">
        <f>SUM(U43,U29)</f>
        <v>0</v>
      </c>
    </row>
    <row r="46" spans="1:21" hidden="1" x14ac:dyDescent="0.25">
      <c r="A46" s="27"/>
      <c r="B46" s="27"/>
      <c r="C46" s="27"/>
      <c r="D46" s="27"/>
      <c r="E46" s="27"/>
      <c r="F46" s="35"/>
      <c r="G46" s="28"/>
      <c r="H46" s="28"/>
      <c r="I46" s="104"/>
      <c r="N46" s="29"/>
      <c r="O46" s="29"/>
      <c r="P46" s="29"/>
      <c r="Q46" s="29"/>
      <c r="R46" s="36"/>
      <c r="S46" s="31"/>
      <c r="T46" s="31"/>
      <c r="U46" s="106"/>
    </row>
    <row r="47" spans="1:21" x14ac:dyDescent="0.25">
      <c r="A47" s="27"/>
      <c r="B47" s="55" t="s">
        <v>370</v>
      </c>
      <c r="C47" s="41" t="s">
        <v>370</v>
      </c>
      <c r="D47" s="91" t="s">
        <v>370</v>
      </c>
      <c r="E47" s="27"/>
      <c r="F47" s="35"/>
      <c r="G47" s="28"/>
      <c r="H47" s="28"/>
      <c r="I47" s="104"/>
      <c r="N47" s="29"/>
      <c r="O47" s="29"/>
      <c r="P47" s="29"/>
      <c r="Q47" s="29"/>
      <c r="R47" s="36"/>
      <c r="S47" s="31"/>
      <c r="T47" s="31"/>
      <c r="U47" s="106"/>
    </row>
    <row r="48" spans="1:21" x14ac:dyDescent="0.25">
      <c r="A48" s="27"/>
      <c r="B48" s="27"/>
      <c r="C48" s="91" t="s">
        <v>463</v>
      </c>
      <c r="D48" s="371" t="s">
        <v>464</v>
      </c>
      <c r="E48" s="92" t="s">
        <v>8</v>
      </c>
      <c r="F48" s="49" t="s">
        <v>130</v>
      </c>
      <c r="G48" s="112" t="s">
        <v>132</v>
      </c>
      <c r="H48" s="113" t="s">
        <v>133</v>
      </c>
      <c r="I48" s="104"/>
      <c r="N48" s="29"/>
      <c r="O48" s="29"/>
      <c r="P48" s="29"/>
      <c r="Q48" s="29"/>
      <c r="R48" s="36"/>
      <c r="S48" s="31"/>
      <c r="T48" s="31"/>
      <c r="U48" s="106"/>
    </row>
    <row r="49" spans="1:21" x14ac:dyDescent="0.25">
      <c r="A49" s="37" t="s">
        <v>87</v>
      </c>
      <c r="B49" s="37"/>
      <c r="C49" s="362" t="s">
        <v>2</v>
      </c>
      <c r="D49" s="362" t="s">
        <v>2</v>
      </c>
      <c r="E49" s="362" t="s">
        <v>2</v>
      </c>
      <c r="F49" s="95" t="s">
        <v>131</v>
      </c>
      <c r="G49" s="62" t="s">
        <v>131</v>
      </c>
      <c r="H49" s="114" t="s">
        <v>134</v>
      </c>
      <c r="I49" s="37"/>
      <c r="N49" s="482" t="s">
        <v>87</v>
      </c>
      <c r="O49" s="482"/>
      <c r="P49" s="503" t="s">
        <v>2</v>
      </c>
      <c r="Q49" s="503"/>
      <c r="R49" s="38" t="s">
        <v>25</v>
      </c>
      <c r="S49" s="63" t="s">
        <v>26</v>
      </c>
      <c r="T49" s="115" t="s">
        <v>27</v>
      </c>
      <c r="U49" s="38"/>
    </row>
    <row r="50" spans="1:21" x14ac:dyDescent="0.25">
      <c r="A50" s="459" t="s">
        <v>98</v>
      </c>
      <c r="B50" s="459"/>
      <c r="C50" s="165">
        <v>17</v>
      </c>
      <c r="D50" s="165">
        <v>18.09</v>
      </c>
      <c r="E50" s="125">
        <f>IF(D$59=0,C50*2,C50+D50)</f>
        <v>35.090000000000003</v>
      </c>
      <c r="F50" s="39" t="s">
        <v>21</v>
      </c>
      <c r="G50" s="39">
        <v>251</v>
      </c>
      <c r="H50" s="321">
        <f>'0664'!H50</f>
        <v>1047</v>
      </c>
      <c r="I50" s="104">
        <f>ROUND(E50*H50,2)</f>
        <v>36739.230000000003</v>
      </c>
      <c r="N50" s="504" t="s">
        <v>28</v>
      </c>
      <c r="O50" s="504"/>
      <c r="P50" s="505"/>
      <c r="Q50" s="505"/>
      <c r="R50" s="40" t="s">
        <v>21</v>
      </c>
      <c r="S50" s="40">
        <v>251</v>
      </c>
      <c r="T50" s="117">
        <f>H50</f>
        <v>1047</v>
      </c>
      <c r="U50" s="118">
        <f>ROUND(P50*T50,0)</f>
        <v>0</v>
      </c>
    </row>
    <row r="51" spans="1:21" x14ac:dyDescent="0.25">
      <c r="A51" s="460"/>
      <c r="B51" s="460"/>
      <c r="C51" s="165">
        <v>1</v>
      </c>
      <c r="D51" s="165">
        <v>1.06</v>
      </c>
      <c r="E51" s="125">
        <f t="shared" ref="E51:E58" si="10">IF(D$59=0,C51*2,C51+D51)</f>
        <v>2.06</v>
      </c>
      <c r="F51" s="39" t="s">
        <v>21</v>
      </c>
      <c r="G51" s="39">
        <v>252</v>
      </c>
      <c r="H51" s="321">
        <f>'0664'!H51</f>
        <v>3380</v>
      </c>
      <c r="I51" s="104">
        <f t="shared" ref="I51:I58" si="11">ROUND(E51*H51,2)</f>
        <v>6962.8</v>
      </c>
      <c r="N51" s="504"/>
      <c r="O51" s="504"/>
      <c r="P51" s="506"/>
      <c r="Q51" s="506"/>
      <c r="R51" s="40" t="s">
        <v>21</v>
      </c>
      <c r="S51" s="40">
        <v>252</v>
      </c>
      <c r="T51" s="117">
        <f t="shared" ref="T51:T58" si="12">H51</f>
        <v>3380</v>
      </c>
      <c r="U51" s="118">
        <f t="shared" ref="U51:U58" si="13">ROUND(P51*T51,0)</f>
        <v>0</v>
      </c>
    </row>
    <row r="52" spans="1:21" x14ac:dyDescent="0.25">
      <c r="A52" s="460"/>
      <c r="B52" s="460"/>
      <c r="C52" s="165">
        <v>0</v>
      </c>
      <c r="D52" s="165">
        <v>0</v>
      </c>
      <c r="E52" s="125">
        <f t="shared" si="10"/>
        <v>0</v>
      </c>
      <c r="F52" s="39" t="s">
        <v>21</v>
      </c>
      <c r="G52" s="39">
        <v>253</v>
      </c>
      <c r="H52" s="321">
        <f>'0664'!H52</f>
        <v>6896</v>
      </c>
      <c r="I52" s="104">
        <f t="shared" si="11"/>
        <v>0</v>
      </c>
      <c r="N52" s="504"/>
      <c r="O52" s="504"/>
      <c r="P52" s="506"/>
      <c r="Q52" s="506"/>
      <c r="R52" s="40" t="s">
        <v>21</v>
      </c>
      <c r="S52" s="40">
        <v>253</v>
      </c>
      <c r="T52" s="117">
        <f t="shared" si="12"/>
        <v>6896</v>
      </c>
      <c r="U52" s="118">
        <f t="shared" si="13"/>
        <v>0</v>
      </c>
    </row>
    <row r="53" spans="1:21" x14ac:dyDescent="0.25">
      <c r="A53" s="460"/>
      <c r="B53" s="460"/>
      <c r="C53" s="165">
        <v>24.5</v>
      </c>
      <c r="D53" s="165">
        <v>25.22</v>
      </c>
      <c r="E53" s="125">
        <f t="shared" si="10"/>
        <v>49.72</v>
      </c>
      <c r="F53" s="41" t="s">
        <v>14</v>
      </c>
      <c r="G53" s="39">
        <v>251</v>
      </c>
      <c r="H53" s="321">
        <f>'0664'!H53</f>
        <v>1173</v>
      </c>
      <c r="I53" s="104">
        <f t="shared" si="11"/>
        <v>58321.56</v>
      </c>
      <c r="N53" s="504"/>
      <c r="O53" s="504"/>
      <c r="P53" s="506"/>
      <c r="Q53" s="506"/>
      <c r="R53" s="42" t="s">
        <v>14</v>
      </c>
      <c r="S53" s="40">
        <v>251</v>
      </c>
      <c r="T53" s="117">
        <f t="shared" si="12"/>
        <v>1173</v>
      </c>
      <c r="U53" s="118">
        <f t="shared" si="13"/>
        <v>0</v>
      </c>
    </row>
    <row r="54" spans="1:21" x14ac:dyDescent="0.25">
      <c r="A54" s="460"/>
      <c r="B54" s="460"/>
      <c r="C54" s="165">
        <v>1.5</v>
      </c>
      <c r="D54" s="165">
        <v>1.54</v>
      </c>
      <c r="E54" s="125">
        <f t="shared" si="10"/>
        <v>3.04</v>
      </c>
      <c r="F54" s="41" t="s">
        <v>14</v>
      </c>
      <c r="G54" s="39">
        <v>252</v>
      </c>
      <c r="H54" s="321">
        <f>'0664'!H54</f>
        <v>3506</v>
      </c>
      <c r="I54" s="104">
        <f t="shared" si="11"/>
        <v>10658.24</v>
      </c>
      <c r="N54" s="504"/>
      <c r="O54" s="504"/>
      <c r="P54" s="506"/>
      <c r="Q54" s="506"/>
      <c r="R54" s="42" t="s">
        <v>14</v>
      </c>
      <c r="S54" s="40">
        <v>252</v>
      </c>
      <c r="T54" s="117">
        <f t="shared" si="12"/>
        <v>3506</v>
      </c>
      <c r="U54" s="118">
        <f t="shared" si="13"/>
        <v>0</v>
      </c>
    </row>
    <row r="55" spans="1:21" x14ac:dyDescent="0.25">
      <c r="A55" s="460"/>
      <c r="B55" s="460"/>
      <c r="C55" s="165">
        <v>0</v>
      </c>
      <c r="D55" s="165">
        <v>0</v>
      </c>
      <c r="E55" s="125">
        <f t="shared" si="10"/>
        <v>0</v>
      </c>
      <c r="F55" s="41" t="s">
        <v>14</v>
      </c>
      <c r="G55" s="39">
        <v>253</v>
      </c>
      <c r="H55" s="321">
        <f>'0664'!H55</f>
        <v>7023</v>
      </c>
      <c r="I55" s="104">
        <f t="shared" si="11"/>
        <v>0</v>
      </c>
      <c r="N55" s="504"/>
      <c r="O55" s="504"/>
      <c r="P55" s="506"/>
      <c r="Q55" s="506"/>
      <c r="R55" s="42" t="s">
        <v>14</v>
      </c>
      <c r="S55" s="40">
        <v>253</v>
      </c>
      <c r="T55" s="117">
        <f t="shared" si="12"/>
        <v>7023</v>
      </c>
      <c r="U55" s="118">
        <f t="shared" si="13"/>
        <v>0</v>
      </c>
    </row>
    <row r="56" spans="1:21" x14ac:dyDescent="0.25">
      <c r="A56" s="460"/>
      <c r="B56" s="460"/>
      <c r="C56" s="165">
        <v>0</v>
      </c>
      <c r="D56" s="165">
        <v>0</v>
      </c>
      <c r="E56" s="125">
        <f t="shared" si="10"/>
        <v>0</v>
      </c>
      <c r="F56" s="41" t="s">
        <v>15</v>
      </c>
      <c r="G56" s="39">
        <v>251</v>
      </c>
      <c r="H56" s="321">
        <f>'0664'!H56</f>
        <v>835</v>
      </c>
      <c r="I56" s="104">
        <f t="shared" si="11"/>
        <v>0</v>
      </c>
      <c r="N56" s="504"/>
      <c r="O56" s="504"/>
      <c r="P56" s="506"/>
      <c r="Q56" s="506"/>
      <c r="R56" s="42" t="s">
        <v>15</v>
      </c>
      <c r="S56" s="40">
        <v>251</v>
      </c>
      <c r="T56" s="117">
        <f t="shared" si="12"/>
        <v>835</v>
      </c>
      <c r="U56" s="118">
        <f t="shared" si="13"/>
        <v>0</v>
      </c>
    </row>
    <row r="57" spans="1:21" x14ac:dyDescent="0.25">
      <c r="A57" s="460"/>
      <c r="B57" s="460"/>
      <c r="C57" s="165">
        <v>0</v>
      </c>
      <c r="D57" s="165">
        <v>0</v>
      </c>
      <c r="E57" s="125">
        <f t="shared" si="10"/>
        <v>0</v>
      </c>
      <c r="F57" s="41" t="s">
        <v>15</v>
      </c>
      <c r="G57" s="39">
        <v>252</v>
      </c>
      <c r="H57" s="321">
        <f>'0664'!H57</f>
        <v>3168</v>
      </c>
      <c r="I57" s="104">
        <f t="shared" si="11"/>
        <v>0</v>
      </c>
      <c r="N57" s="504"/>
      <c r="O57" s="504"/>
      <c r="P57" s="506"/>
      <c r="Q57" s="506"/>
      <c r="R57" s="42" t="s">
        <v>15</v>
      </c>
      <c r="S57" s="40">
        <v>252</v>
      </c>
      <c r="T57" s="117">
        <f t="shared" si="12"/>
        <v>3168</v>
      </c>
      <c r="U57" s="118">
        <f t="shared" si="13"/>
        <v>0</v>
      </c>
    </row>
    <row r="58" spans="1:21" ht="16.5" thickBot="1" x14ac:dyDescent="0.3">
      <c r="A58" s="460"/>
      <c r="B58" s="460"/>
      <c r="C58" s="165">
        <v>0</v>
      </c>
      <c r="D58" s="165">
        <v>0</v>
      </c>
      <c r="E58" s="125">
        <f t="shared" si="10"/>
        <v>0</v>
      </c>
      <c r="F58" s="41" t="s">
        <v>15</v>
      </c>
      <c r="G58" s="39">
        <v>253</v>
      </c>
      <c r="H58" s="321">
        <f>'0664'!H58</f>
        <v>6685</v>
      </c>
      <c r="I58" s="104">
        <f t="shared" si="11"/>
        <v>0</v>
      </c>
      <c r="N58" s="504"/>
      <c r="O58" s="504"/>
      <c r="P58" s="507"/>
      <c r="Q58" s="507"/>
      <c r="R58" s="42" t="s">
        <v>15</v>
      </c>
      <c r="S58" s="40">
        <v>253</v>
      </c>
      <c r="T58" s="117">
        <f t="shared" si="12"/>
        <v>6685</v>
      </c>
      <c r="U58" s="120">
        <f t="shared" si="13"/>
        <v>0</v>
      </c>
    </row>
    <row r="59" spans="1:21" ht="16.5" thickBot="1" x14ac:dyDescent="0.3">
      <c r="A59" s="461" t="s">
        <v>16</v>
      </c>
      <c r="B59" s="461"/>
      <c r="C59" s="100">
        <f>SUM(C50:C58)</f>
        <v>44</v>
      </c>
      <c r="D59" s="100">
        <f>SUM(D50:D58)</f>
        <v>45.91</v>
      </c>
      <c r="E59" s="100">
        <f>SUM(E50:E58)</f>
        <v>89.910000000000011</v>
      </c>
      <c r="F59" s="461" t="s">
        <v>77</v>
      </c>
      <c r="G59" s="461"/>
      <c r="H59" s="461"/>
      <c r="I59" s="100">
        <f>SUM(I50:I58)</f>
        <v>112681.83</v>
      </c>
      <c r="N59" s="480" t="s">
        <v>16</v>
      </c>
      <c r="O59" s="480"/>
      <c r="P59" s="502">
        <f>SUM(P50:P58)</f>
        <v>0</v>
      </c>
      <c r="Q59" s="502"/>
      <c r="R59" s="480" t="s">
        <v>77</v>
      </c>
      <c r="S59" s="480"/>
      <c r="T59" s="480"/>
      <c r="U59" s="111">
        <f>SUM(U50:U58)</f>
        <v>0</v>
      </c>
    </row>
    <row r="60" spans="1:21" x14ac:dyDescent="0.25">
      <c r="A60" s="462"/>
      <c r="B60" s="462"/>
      <c r="C60" s="462"/>
      <c r="D60" s="462"/>
      <c r="E60" s="462"/>
      <c r="F60" s="462"/>
      <c r="G60" s="462"/>
      <c r="H60" s="462"/>
      <c r="I60" s="462"/>
      <c r="N60" s="484"/>
      <c r="O60" s="484"/>
      <c r="P60" s="484"/>
      <c r="Q60" s="484"/>
      <c r="R60" s="484"/>
      <c r="S60" s="484"/>
      <c r="T60" s="484"/>
      <c r="U60" s="484"/>
    </row>
    <row r="61" spans="1:21" x14ac:dyDescent="0.25">
      <c r="A61" s="463" t="s">
        <v>136</v>
      </c>
      <c r="B61" s="453"/>
      <c r="C61" s="453"/>
      <c r="D61" s="453"/>
      <c r="E61" s="453"/>
      <c r="F61" s="453"/>
      <c r="G61" s="453"/>
      <c r="H61" s="453"/>
      <c r="I61" s="453"/>
      <c r="N61" s="479" t="s">
        <v>88</v>
      </c>
      <c r="O61" s="479"/>
      <c r="P61" s="479"/>
      <c r="Q61" s="479"/>
      <c r="R61" s="479"/>
      <c r="S61" s="479"/>
      <c r="T61" s="479"/>
      <c r="U61" s="479"/>
    </row>
    <row r="62" spans="1:21" x14ac:dyDescent="0.25">
      <c r="A62" s="463" t="s">
        <v>138</v>
      </c>
      <c r="B62" s="453"/>
      <c r="C62" s="121">
        <f>E29</f>
        <v>832.25999999999988</v>
      </c>
      <c r="D62" s="464" t="s">
        <v>135</v>
      </c>
      <c r="E62" s="464"/>
      <c r="F62" s="464"/>
      <c r="G62" s="464"/>
      <c r="H62" s="335">
        <f>'0664'!H62</f>
        <v>193340.76</v>
      </c>
      <c r="I62" s="122"/>
      <c r="N62" s="478" t="s">
        <v>312</v>
      </c>
      <c r="O62" s="479"/>
      <c r="P62" s="43">
        <f>P29</f>
        <v>0</v>
      </c>
      <c r="Q62" s="498" t="s">
        <v>78</v>
      </c>
      <c r="R62" s="498"/>
      <c r="S62" s="498"/>
      <c r="T62" s="497">
        <f>H62</f>
        <v>193340.76</v>
      </c>
      <c r="U62" s="497"/>
    </row>
    <row r="63" spans="1:21" x14ac:dyDescent="0.25">
      <c r="B63" s="72"/>
      <c r="G63" s="44" t="s">
        <v>13</v>
      </c>
      <c r="H63" s="123">
        <f>ROUND(C62/H62,6)</f>
        <v>4.3049999999999998E-3</v>
      </c>
      <c r="I63" s="124"/>
      <c r="N63" s="479" t="s">
        <v>19</v>
      </c>
      <c r="O63" s="479"/>
      <c r="P63" s="479"/>
      <c r="Q63" s="479"/>
      <c r="R63" s="479"/>
      <c r="S63" s="479"/>
      <c r="T63" s="501">
        <f>ROUND(P62/T62,6)</f>
        <v>0</v>
      </c>
      <c r="U63" s="501"/>
    </row>
    <row r="64" spans="1:21" x14ac:dyDescent="0.25">
      <c r="A64" s="463" t="s">
        <v>137</v>
      </c>
      <c r="B64" s="453"/>
      <c r="C64" s="453"/>
      <c r="D64" s="453"/>
      <c r="E64" s="453"/>
      <c r="F64" s="453"/>
      <c r="G64" s="453"/>
      <c r="H64" s="453"/>
      <c r="I64" s="453"/>
      <c r="N64" s="479" t="s">
        <v>89</v>
      </c>
      <c r="O64" s="479"/>
      <c r="P64" s="479"/>
      <c r="Q64" s="479"/>
      <c r="R64" s="479"/>
      <c r="S64" s="479"/>
      <c r="T64" s="479"/>
      <c r="U64" s="479"/>
    </row>
    <row r="65" spans="1:21" x14ac:dyDescent="0.25">
      <c r="A65" s="463" t="s">
        <v>139</v>
      </c>
      <c r="B65" s="453"/>
      <c r="C65" s="121">
        <f>E45</f>
        <v>894.88649999999996</v>
      </c>
      <c r="D65" s="464" t="s">
        <v>140</v>
      </c>
      <c r="E65" s="464"/>
      <c r="F65" s="464"/>
      <c r="G65" s="464"/>
      <c r="H65" s="336">
        <f>'0664'!H65</f>
        <v>216845.88</v>
      </c>
      <c r="I65" s="125"/>
      <c r="N65" s="479" t="s">
        <v>80</v>
      </c>
      <c r="O65" s="479"/>
      <c r="P65" s="43">
        <f>R45</f>
        <v>0</v>
      </c>
      <c r="Q65" s="498" t="s">
        <v>79</v>
      </c>
      <c r="R65" s="498"/>
      <c r="S65" s="498"/>
      <c r="T65" s="497">
        <f>H65</f>
        <v>216845.88</v>
      </c>
      <c r="U65" s="497"/>
    </row>
    <row r="66" spans="1:21" s="37" customFormat="1" x14ac:dyDescent="0.25">
      <c r="A66" s="126"/>
      <c r="G66" s="45" t="s">
        <v>13</v>
      </c>
      <c r="H66" s="127">
        <f>ROUND(C65/H65,6)</f>
        <v>4.1269999999999996E-3</v>
      </c>
      <c r="I66" s="127"/>
      <c r="N66" s="482" t="s">
        <v>20</v>
      </c>
      <c r="O66" s="482"/>
      <c r="P66" s="482"/>
      <c r="Q66" s="482"/>
      <c r="R66" s="482"/>
      <c r="S66" s="482"/>
      <c r="T66" s="500">
        <f>ROUND(P65/T65,6)</f>
        <v>0</v>
      </c>
      <c r="U66" s="500"/>
    </row>
    <row r="67" spans="1:21" x14ac:dyDescent="0.25">
      <c r="G67" s="44"/>
      <c r="H67" s="123"/>
      <c r="I67" s="123"/>
      <c r="N67" s="48"/>
      <c r="O67" s="48"/>
      <c r="P67" s="48"/>
      <c r="Q67" s="48"/>
      <c r="R67" s="128"/>
      <c r="S67" s="48"/>
      <c r="T67" s="129"/>
      <c r="U67" s="130"/>
    </row>
    <row r="68" spans="1:21" x14ac:dyDescent="0.25">
      <c r="A68" s="453" t="s">
        <v>85</v>
      </c>
      <c r="B68" s="453"/>
      <c r="C68" s="453"/>
      <c r="D68" s="72"/>
      <c r="E68" s="46" t="s">
        <v>3</v>
      </c>
      <c r="F68" s="337">
        <f>'0664'!F68</f>
        <v>42465042</v>
      </c>
      <c r="G68" s="39" t="s">
        <v>6</v>
      </c>
      <c r="H68" s="131">
        <f>H63</f>
        <v>4.3049999999999998E-3</v>
      </c>
      <c r="I68" s="104">
        <f>ROUND(F68*H68,2)</f>
        <v>182812.01</v>
      </c>
      <c r="N68" s="479" t="s">
        <v>85</v>
      </c>
      <c r="O68" s="479"/>
      <c r="P68" s="479"/>
      <c r="Q68" s="47"/>
      <c r="R68" s="132">
        <f>F68</f>
        <v>42465042</v>
      </c>
      <c r="S68" s="40" t="s">
        <v>6</v>
      </c>
      <c r="T68" s="133">
        <f>T63</f>
        <v>0</v>
      </c>
      <c r="U68" s="99">
        <f>ROUND(R68*T68,0)</f>
        <v>0</v>
      </c>
    </row>
    <row r="69" spans="1:21" x14ac:dyDescent="0.25">
      <c r="A69" s="458" t="s">
        <v>96</v>
      </c>
      <c r="B69" s="453"/>
      <c r="C69" s="453"/>
      <c r="D69" s="72"/>
      <c r="E69" s="46"/>
      <c r="F69" s="136"/>
      <c r="G69" s="39"/>
      <c r="H69" s="131"/>
      <c r="I69" s="104"/>
      <c r="N69" s="479" t="s">
        <v>84</v>
      </c>
      <c r="O69" s="479"/>
      <c r="P69" s="479"/>
      <c r="Q69" s="54"/>
      <c r="R69" s="54"/>
      <c r="S69" s="54"/>
      <c r="T69" s="54"/>
      <c r="U69" s="54"/>
    </row>
    <row r="70" spans="1:21" x14ac:dyDescent="0.25">
      <c r="A70" s="465" t="s">
        <v>141</v>
      </c>
      <c r="B70" s="453"/>
      <c r="C70" s="453"/>
      <c r="D70" s="72"/>
      <c r="E70" s="46" t="s">
        <v>3</v>
      </c>
      <c r="F70" s="337">
        <f>'0664'!F70</f>
        <v>0</v>
      </c>
      <c r="G70" s="39" t="s">
        <v>6</v>
      </c>
      <c r="H70" s="131">
        <f>H63</f>
        <v>4.3049999999999998E-3</v>
      </c>
      <c r="I70" s="104">
        <f>ROUND(F70*H70,2)</f>
        <v>0</v>
      </c>
      <c r="N70" s="48"/>
      <c r="O70" s="48"/>
      <c r="P70" s="48"/>
      <c r="Q70" s="47"/>
      <c r="R70" s="132">
        <f>F70</f>
        <v>0</v>
      </c>
      <c r="S70" s="40" t="s">
        <v>6</v>
      </c>
      <c r="T70" s="133">
        <f>T63</f>
        <v>0</v>
      </c>
      <c r="U70" s="99">
        <f>ROUND(R70*T70,0)</f>
        <v>0</v>
      </c>
    </row>
    <row r="71" spans="1:21" x14ac:dyDescent="0.25">
      <c r="A71" s="463" t="s">
        <v>433</v>
      </c>
      <c r="B71" s="453"/>
      <c r="C71" s="453"/>
      <c r="D71" s="72"/>
      <c r="E71" s="46" t="s">
        <v>3</v>
      </c>
      <c r="F71" s="337">
        <f>'0664'!F71</f>
        <v>13414654</v>
      </c>
      <c r="G71" s="39" t="s">
        <v>6</v>
      </c>
      <c r="H71" s="131">
        <f>H63</f>
        <v>4.3049999999999998E-3</v>
      </c>
      <c r="I71" s="104">
        <f>ROUND(F71*H71,2)</f>
        <v>57750.09</v>
      </c>
      <c r="N71" s="479" t="s">
        <v>83</v>
      </c>
      <c r="O71" s="479"/>
      <c r="P71" s="479"/>
      <c r="Q71" s="47"/>
      <c r="R71" s="132">
        <f>F71</f>
        <v>13414654</v>
      </c>
      <c r="S71" s="40" t="s">
        <v>6</v>
      </c>
      <c r="T71" s="133">
        <f>T63</f>
        <v>0</v>
      </c>
      <c r="U71" s="99">
        <f>ROUND(R71*T71,0)</f>
        <v>0</v>
      </c>
    </row>
    <row r="72" spans="1:21" x14ac:dyDescent="0.25">
      <c r="A72" s="463" t="s">
        <v>434</v>
      </c>
      <c r="B72" s="453"/>
      <c r="C72" s="453"/>
      <c r="D72" s="72"/>
      <c r="E72" s="46" t="s">
        <v>3</v>
      </c>
      <c r="F72" s="337">
        <f>'0664'!F72</f>
        <v>14708421</v>
      </c>
      <c r="G72" s="39" t="s">
        <v>6</v>
      </c>
      <c r="H72" s="131">
        <f>H63</f>
        <v>4.3049999999999998E-3</v>
      </c>
      <c r="I72" s="104">
        <f>ROUND(F72*H72,2)</f>
        <v>63319.75</v>
      </c>
      <c r="N72" s="479" t="s">
        <v>82</v>
      </c>
      <c r="O72" s="479"/>
      <c r="P72" s="479"/>
      <c r="Q72" s="47"/>
      <c r="R72" s="134">
        <f>F72</f>
        <v>14708421</v>
      </c>
      <c r="S72" s="40" t="s">
        <v>6</v>
      </c>
      <c r="T72" s="133">
        <f>T63</f>
        <v>0</v>
      </c>
      <c r="U72" s="99">
        <f>ROUND(R72*T72,0)</f>
        <v>0</v>
      </c>
    </row>
    <row r="73" spans="1:21" x14ac:dyDescent="0.25">
      <c r="A73" s="263" t="s">
        <v>99</v>
      </c>
      <c r="D73" s="72"/>
      <c r="E73" s="41" t="s">
        <v>353</v>
      </c>
      <c r="F73" s="466"/>
      <c r="G73" s="466"/>
      <c r="H73" s="466"/>
      <c r="I73" s="104">
        <v>0</v>
      </c>
      <c r="N73" s="499" t="s">
        <v>118</v>
      </c>
      <c r="O73" s="499"/>
      <c r="P73" s="499"/>
      <c r="Q73" s="499"/>
      <c r="R73" s="499"/>
      <c r="S73" s="499"/>
      <c r="T73" s="499"/>
      <c r="U73" s="99">
        <f>IF($H$120=1,I73,0)</f>
        <v>0</v>
      </c>
    </row>
    <row r="74" spans="1:21" x14ac:dyDescent="0.25">
      <c r="A74" s="264" t="s">
        <v>142</v>
      </c>
      <c r="I74" s="104"/>
      <c r="N74" s="499" t="s">
        <v>43</v>
      </c>
      <c r="O74" s="499"/>
      <c r="P74" s="499"/>
      <c r="Q74" s="499"/>
      <c r="R74" s="499"/>
      <c r="S74" s="499"/>
      <c r="T74" s="499"/>
      <c r="U74" s="99">
        <f>IF($H$120=1,I74,0)</f>
        <v>0</v>
      </c>
    </row>
    <row r="75" spans="1:21" x14ac:dyDescent="0.25">
      <c r="A75" s="324" t="s">
        <v>101</v>
      </c>
      <c r="B75" s="72"/>
      <c r="C75" s="72"/>
      <c r="D75" s="72"/>
      <c r="E75" s="72"/>
      <c r="F75" s="72"/>
      <c r="G75" s="72"/>
      <c r="H75" s="72"/>
      <c r="I75" s="135"/>
      <c r="N75" s="382" t="s">
        <v>44</v>
      </c>
      <c r="O75" s="48"/>
      <c r="P75" s="48"/>
      <c r="Q75" s="48"/>
      <c r="R75" s="48"/>
      <c r="S75" s="48"/>
      <c r="T75" s="48"/>
      <c r="U75" s="106"/>
    </row>
    <row r="76" spans="1:21" x14ac:dyDescent="0.25">
      <c r="A76" s="463" t="s">
        <v>435</v>
      </c>
      <c r="B76" s="453"/>
      <c r="C76" s="453"/>
      <c r="D76" s="72"/>
      <c r="E76" s="46" t="s">
        <v>3</v>
      </c>
      <c r="F76" s="337">
        <f>'0664'!F76</f>
        <v>8720092</v>
      </c>
      <c r="G76" s="39" t="s">
        <v>6</v>
      </c>
      <c r="H76" s="131">
        <f>H63</f>
        <v>4.3049999999999998E-3</v>
      </c>
      <c r="I76" s="104">
        <f t="shared" ref="I76:I85" si="14">ROUND(F76*H76,2)</f>
        <v>37540</v>
      </c>
      <c r="N76" s="478" t="s">
        <v>366</v>
      </c>
      <c r="O76" s="479"/>
      <c r="P76" s="479"/>
      <c r="Q76" s="47"/>
      <c r="R76" s="134">
        <f t="shared" ref="R76:R85" si="15">F76</f>
        <v>8720092</v>
      </c>
      <c r="S76" s="40" t="s">
        <v>6</v>
      </c>
      <c r="T76" s="133">
        <f>T63</f>
        <v>0</v>
      </c>
      <c r="U76" s="99">
        <f t="shared" ref="U76:U85" si="16">ROUND(R76*T76,0)</f>
        <v>0</v>
      </c>
    </row>
    <row r="77" spans="1:21" x14ac:dyDescent="0.25">
      <c r="A77" s="463" t="s">
        <v>436</v>
      </c>
      <c r="B77" s="453"/>
      <c r="C77" s="453"/>
      <c r="D77" s="72"/>
      <c r="E77" s="46" t="s">
        <v>3</v>
      </c>
      <c r="F77" s="337">
        <f>'0664'!F77</f>
        <v>0</v>
      </c>
      <c r="G77" s="39" t="s">
        <v>6</v>
      </c>
      <c r="H77" s="131">
        <f>H63</f>
        <v>4.3049999999999998E-3</v>
      </c>
      <c r="I77" s="104">
        <f t="shared" si="14"/>
        <v>0</v>
      </c>
      <c r="N77" s="479" t="s">
        <v>367</v>
      </c>
      <c r="O77" s="479"/>
      <c r="P77" s="479"/>
      <c r="Q77" s="47"/>
      <c r="R77" s="134">
        <f t="shared" si="15"/>
        <v>0</v>
      </c>
      <c r="S77" s="40" t="s">
        <v>6</v>
      </c>
      <c r="T77" s="133">
        <f>T63</f>
        <v>0</v>
      </c>
      <c r="U77" s="99">
        <f t="shared" si="16"/>
        <v>0</v>
      </c>
    </row>
    <row r="78" spans="1:21" x14ac:dyDescent="0.25">
      <c r="A78" s="463" t="s">
        <v>437</v>
      </c>
      <c r="B78" s="453"/>
      <c r="C78" s="453"/>
      <c r="D78" s="72"/>
      <c r="E78" s="46" t="s">
        <v>4</v>
      </c>
      <c r="F78" s="337">
        <f>'0664'!F78</f>
        <v>0</v>
      </c>
      <c r="G78" s="39" t="s">
        <v>6</v>
      </c>
      <c r="H78" s="131">
        <f>H66</f>
        <v>4.1269999999999996E-3</v>
      </c>
      <c r="I78" s="104">
        <f t="shared" si="14"/>
        <v>0</v>
      </c>
      <c r="N78" s="478" t="s">
        <v>392</v>
      </c>
      <c r="O78" s="479"/>
      <c r="P78" s="479"/>
      <c r="Q78" s="47"/>
      <c r="R78" s="134">
        <f t="shared" si="15"/>
        <v>0</v>
      </c>
      <c r="S78" s="40" t="s">
        <v>6</v>
      </c>
      <c r="T78" s="133">
        <f>T66</f>
        <v>0</v>
      </c>
      <c r="U78" s="99">
        <f t="shared" si="16"/>
        <v>0</v>
      </c>
    </row>
    <row r="79" spans="1:21" x14ac:dyDescent="0.25">
      <c r="A79" s="463" t="s">
        <v>438</v>
      </c>
      <c r="B79" s="453"/>
      <c r="C79" s="453"/>
      <c r="D79" s="72"/>
      <c r="E79" s="46" t="s">
        <v>4</v>
      </c>
      <c r="F79" s="337">
        <f>'0664'!F79</f>
        <v>11278687</v>
      </c>
      <c r="G79" s="39" t="s">
        <v>6</v>
      </c>
      <c r="H79" s="131">
        <f>H66</f>
        <v>4.1269999999999996E-3</v>
      </c>
      <c r="I79" s="104">
        <f t="shared" si="14"/>
        <v>46547.14</v>
      </c>
      <c r="N79" s="478" t="s">
        <v>393</v>
      </c>
      <c r="O79" s="479"/>
      <c r="P79" s="479"/>
      <c r="Q79" s="47"/>
      <c r="R79" s="134">
        <f t="shared" si="15"/>
        <v>11278687</v>
      </c>
      <c r="S79" s="40" t="s">
        <v>6</v>
      </c>
      <c r="T79" s="133">
        <f>T66</f>
        <v>0</v>
      </c>
      <c r="U79" s="99">
        <f t="shared" si="16"/>
        <v>0</v>
      </c>
    </row>
    <row r="80" spans="1:21" x14ac:dyDescent="0.25">
      <c r="A80" s="463" t="s">
        <v>439</v>
      </c>
      <c r="B80" s="453"/>
      <c r="C80" s="453"/>
      <c r="D80" s="72"/>
      <c r="E80" s="46" t="s">
        <v>4</v>
      </c>
      <c r="F80" s="337">
        <f>'0664'!F80</f>
        <v>206284749</v>
      </c>
      <c r="G80" s="39" t="s">
        <v>6</v>
      </c>
      <c r="H80" s="131">
        <f>H66</f>
        <v>4.1269999999999996E-3</v>
      </c>
      <c r="I80" s="104">
        <f t="shared" si="14"/>
        <v>851337.16</v>
      </c>
      <c r="N80" s="478" t="s">
        <v>397</v>
      </c>
      <c r="O80" s="479"/>
      <c r="P80" s="479"/>
      <c r="Q80" s="47"/>
      <c r="R80" s="134">
        <f t="shared" si="15"/>
        <v>206284749</v>
      </c>
      <c r="S80" s="40" t="s">
        <v>6</v>
      </c>
      <c r="T80" s="133">
        <f>T66</f>
        <v>0</v>
      </c>
      <c r="U80" s="99">
        <f t="shared" si="16"/>
        <v>0</v>
      </c>
    </row>
    <row r="81" spans="1:21" x14ac:dyDescent="0.25">
      <c r="A81" s="84" t="s">
        <v>440</v>
      </c>
      <c r="B81" s="72"/>
      <c r="C81" s="72"/>
      <c r="D81" s="72"/>
      <c r="E81" s="46"/>
      <c r="F81" s="337"/>
      <c r="G81" s="39"/>
      <c r="H81" s="131"/>
      <c r="I81" s="104"/>
      <c r="N81" s="419" t="s">
        <v>440</v>
      </c>
      <c r="O81" s="48"/>
      <c r="P81" s="48"/>
      <c r="Q81" s="47"/>
      <c r="R81" s="423"/>
      <c r="S81" s="40"/>
      <c r="T81" s="133"/>
      <c r="U81" s="120"/>
    </row>
    <row r="82" spans="1:21" x14ac:dyDescent="0.25">
      <c r="A82" s="264" t="s">
        <v>441</v>
      </c>
      <c r="B82" s="72"/>
      <c r="C82" s="72"/>
      <c r="D82" s="72"/>
      <c r="E82" s="46" t="s">
        <v>442</v>
      </c>
      <c r="F82" s="337">
        <f>'0664'!F82</f>
        <v>0</v>
      </c>
      <c r="G82" s="39" t="s">
        <v>6</v>
      </c>
      <c r="H82" s="131">
        <f>H66</f>
        <v>4.1269999999999996E-3</v>
      </c>
      <c r="I82" s="104">
        <v>142267.26</v>
      </c>
      <c r="N82" s="422" t="s">
        <v>441</v>
      </c>
      <c r="O82" s="48"/>
      <c r="P82" s="48"/>
      <c r="Q82" s="47"/>
      <c r="R82" s="134">
        <f t="shared" si="15"/>
        <v>0</v>
      </c>
      <c r="S82" s="40"/>
      <c r="T82" s="133"/>
      <c r="U82" s="99">
        <f t="shared" si="16"/>
        <v>0</v>
      </c>
    </row>
    <row r="83" spans="1:21" x14ac:dyDescent="0.25">
      <c r="A83" s="264" t="s">
        <v>443</v>
      </c>
      <c r="B83" s="72"/>
      <c r="C83" s="72"/>
      <c r="D83" s="72"/>
      <c r="E83" s="46" t="s">
        <v>442</v>
      </c>
      <c r="F83" s="337">
        <f>'0664'!F83</f>
        <v>0</v>
      </c>
      <c r="G83" s="39" t="s">
        <v>6</v>
      </c>
      <c r="H83" s="131">
        <f>H66</f>
        <v>4.1269999999999996E-3</v>
      </c>
      <c r="I83" s="104">
        <v>64666.93</v>
      </c>
      <c r="N83" s="422" t="s">
        <v>443</v>
      </c>
      <c r="O83" s="48"/>
      <c r="P83" s="48"/>
      <c r="Q83" s="47"/>
      <c r="R83" s="134">
        <f t="shared" si="15"/>
        <v>0</v>
      </c>
      <c r="S83" s="40"/>
      <c r="T83" s="133"/>
      <c r="U83" s="99">
        <f t="shared" si="16"/>
        <v>0</v>
      </c>
    </row>
    <row r="84" spans="1:21" x14ac:dyDescent="0.25">
      <c r="A84" s="420" t="s">
        <v>444</v>
      </c>
      <c r="B84" s="72"/>
      <c r="C84" s="72"/>
      <c r="D84" s="72"/>
      <c r="E84" s="46"/>
      <c r="F84" s="337"/>
      <c r="G84" s="39"/>
      <c r="H84" s="131"/>
      <c r="I84" s="104">
        <f>I82+I83</f>
        <v>206934.19</v>
      </c>
      <c r="N84" s="421" t="s">
        <v>444</v>
      </c>
      <c r="O84" s="48"/>
      <c r="P84" s="48"/>
      <c r="Q84" s="47"/>
      <c r="R84" s="423"/>
      <c r="S84" s="40"/>
      <c r="T84" s="133"/>
      <c r="U84" s="99">
        <f>U82+U83</f>
        <v>0</v>
      </c>
    </row>
    <row r="85" spans="1:21" x14ac:dyDescent="0.25">
      <c r="A85" s="463" t="s">
        <v>398</v>
      </c>
      <c r="B85" s="453"/>
      <c r="C85" s="453"/>
      <c r="D85" s="72"/>
      <c r="E85" s="46" t="s">
        <v>4</v>
      </c>
      <c r="F85" s="337">
        <f>'0664'!F85</f>
        <v>0</v>
      </c>
      <c r="G85" s="39" t="s">
        <v>6</v>
      </c>
      <c r="H85" s="131">
        <f>H66</f>
        <v>4.1269999999999996E-3</v>
      </c>
      <c r="I85" s="104">
        <f t="shared" si="14"/>
        <v>0</v>
      </c>
      <c r="N85" s="478" t="s">
        <v>398</v>
      </c>
      <c r="O85" s="479"/>
      <c r="P85" s="479"/>
      <c r="Q85" s="47"/>
      <c r="R85" s="132">
        <f t="shared" si="15"/>
        <v>0</v>
      </c>
      <c r="S85" s="40" t="s">
        <v>6</v>
      </c>
      <c r="T85" s="133">
        <f>T66</f>
        <v>0</v>
      </c>
      <c r="U85" s="99">
        <f t="shared" si="16"/>
        <v>0</v>
      </c>
    </row>
    <row r="86" spans="1:21" x14ac:dyDescent="0.25">
      <c r="B86" s="72"/>
      <c r="C86" s="72"/>
      <c r="D86" s="72"/>
      <c r="E86" s="46"/>
      <c r="F86" s="136"/>
      <c r="G86" s="39"/>
      <c r="H86" s="131"/>
      <c r="I86" s="104"/>
      <c r="N86" s="48"/>
      <c r="O86" s="48"/>
      <c r="P86" s="48"/>
      <c r="Q86" s="47"/>
      <c r="R86" s="137"/>
      <c r="S86" s="40"/>
      <c r="T86" s="133"/>
      <c r="U86" s="106"/>
    </row>
    <row r="87" spans="1:21" x14ac:dyDescent="0.25">
      <c r="A87" s="463" t="s">
        <v>445</v>
      </c>
      <c r="B87" s="453"/>
      <c r="C87" s="453"/>
      <c r="D87" s="453"/>
      <c r="E87" s="453"/>
      <c r="F87" s="453"/>
      <c r="G87" s="453"/>
      <c r="H87" s="453"/>
      <c r="I87" s="453"/>
      <c r="N87" s="478" t="s">
        <v>429</v>
      </c>
      <c r="O87" s="479"/>
      <c r="P87" s="479"/>
      <c r="Q87" s="479"/>
      <c r="R87" s="479"/>
      <c r="S87" s="479"/>
      <c r="T87" s="479"/>
      <c r="U87" s="479"/>
    </row>
    <row r="88" spans="1:21" x14ac:dyDescent="0.25">
      <c r="B88" s="72"/>
      <c r="C88" s="466" t="s">
        <v>73</v>
      </c>
      <c r="D88" s="466"/>
      <c r="E88" s="72"/>
      <c r="F88" s="41" t="s">
        <v>37</v>
      </c>
      <c r="G88" s="72"/>
      <c r="H88" s="72"/>
      <c r="I88" s="72"/>
      <c r="N88" s="48"/>
      <c r="O88" s="48"/>
      <c r="P88" s="48"/>
      <c r="Q88" s="48"/>
      <c r="R88" s="48"/>
      <c r="S88" s="48"/>
      <c r="T88" s="48"/>
      <c r="U88" s="48"/>
    </row>
    <row r="89" spans="1:21" x14ac:dyDescent="0.25">
      <c r="A89" s="3"/>
      <c r="B89" s="138"/>
      <c r="C89" s="462" t="s">
        <v>144</v>
      </c>
      <c r="D89" s="462"/>
      <c r="E89" s="139" t="s">
        <v>150</v>
      </c>
      <c r="F89" s="140" t="s">
        <v>149</v>
      </c>
      <c r="G89" s="141"/>
      <c r="H89" s="141"/>
      <c r="I89" s="141"/>
      <c r="N89" s="495" t="s">
        <v>46</v>
      </c>
      <c r="O89" s="495"/>
      <c r="P89" s="496" t="s">
        <v>119</v>
      </c>
      <c r="Q89" s="496"/>
      <c r="R89" s="497" t="s">
        <v>40</v>
      </c>
      <c r="S89" s="497"/>
      <c r="T89" s="497"/>
      <c r="U89" s="497"/>
    </row>
    <row r="90" spans="1:21" x14ac:dyDescent="0.25">
      <c r="A90" s="27"/>
      <c r="B90" s="55" t="s">
        <v>148</v>
      </c>
      <c r="C90" s="467">
        <f>H13+H14+H19+H22+H25</f>
        <v>430.73289999999997</v>
      </c>
      <c r="D90" s="467"/>
      <c r="E90" s="49">
        <f>H8</f>
        <v>1.0438000000000001</v>
      </c>
      <c r="F90" s="338">
        <f>'0664'!F90</f>
        <v>957.94</v>
      </c>
      <c r="G90" s="41" t="s">
        <v>13</v>
      </c>
      <c r="H90" s="104">
        <f>ROUND(C90*E90*F90,2)</f>
        <v>430688.87</v>
      </c>
      <c r="I90" s="107"/>
      <c r="N90" s="29" t="s">
        <v>22</v>
      </c>
      <c r="O90" s="50">
        <f>T13+T14+T19+T22+T25</f>
        <v>0</v>
      </c>
      <c r="P90" s="490">
        <f>T8</f>
        <v>1.0438000000000001</v>
      </c>
      <c r="Q90" s="490"/>
      <c r="R90" s="51">
        <f>F90</f>
        <v>957.94</v>
      </c>
      <c r="S90" s="42" t="s">
        <v>13</v>
      </c>
      <c r="T90" s="134">
        <f>ROUND(O90*P90*R90,0)</f>
        <v>0</v>
      </c>
      <c r="U90" s="105"/>
    </row>
    <row r="91" spans="1:21" x14ac:dyDescent="0.25">
      <c r="A91" s="52"/>
      <c r="B91" s="52" t="s">
        <v>147</v>
      </c>
      <c r="C91" s="467">
        <f>H15+H16+H20+H23+H26</f>
        <v>464.15359999999998</v>
      </c>
      <c r="D91" s="467"/>
      <c r="E91" s="49">
        <f>H8</f>
        <v>1.0438000000000001</v>
      </c>
      <c r="F91" s="338">
        <f>'0664'!F91</f>
        <v>914.63</v>
      </c>
      <c r="G91" s="41" t="s">
        <v>13</v>
      </c>
      <c r="H91" s="104">
        <f>ROUND(C91*E91*F91,2)</f>
        <v>443123.17</v>
      </c>
      <c r="N91" s="53" t="s">
        <v>14</v>
      </c>
      <c r="O91" s="50">
        <f>T15+T16+T20+T23+T26</f>
        <v>0</v>
      </c>
      <c r="P91" s="490">
        <f>T8</f>
        <v>1.0438000000000001</v>
      </c>
      <c r="Q91" s="490"/>
      <c r="R91" s="51">
        <f>F91</f>
        <v>914.63</v>
      </c>
      <c r="S91" s="42" t="s">
        <v>13</v>
      </c>
      <c r="T91" s="134">
        <f>ROUND(O91*P91*R91,0)</f>
        <v>0</v>
      </c>
      <c r="U91" s="54"/>
    </row>
    <row r="92" spans="1:21" ht="16.5" thickBot="1" x14ac:dyDescent="0.3">
      <c r="A92" s="55"/>
      <c r="B92" s="55" t="s">
        <v>146</v>
      </c>
      <c r="C92" s="467">
        <f>H17+H18+H21+H24+H27+H28</f>
        <v>0</v>
      </c>
      <c r="D92" s="467"/>
      <c r="E92" s="49">
        <f>H8</f>
        <v>1.0438000000000001</v>
      </c>
      <c r="F92" s="338">
        <f>'0664'!F92</f>
        <v>916.84</v>
      </c>
      <c r="G92" s="41" t="s">
        <v>13</v>
      </c>
      <c r="H92" s="97">
        <f>ROUND(C92*E92*F92,2)</f>
        <v>0</v>
      </c>
      <c r="N92" s="56" t="s">
        <v>15</v>
      </c>
      <c r="O92" s="57">
        <f>T17+T18+T21+T24+T27+T28</f>
        <v>0</v>
      </c>
      <c r="P92" s="490">
        <f>T8</f>
        <v>1.0438000000000001</v>
      </c>
      <c r="Q92" s="490"/>
      <c r="R92" s="51">
        <f>F92</f>
        <v>916.84</v>
      </c>
      <c r="S92" s="42" t="s">
        <v>13</v>
      </c>
      <c r="T92" s="134">
        <f>ROUND(O92*P92*R92,0)</f>
        <v>0</v>
      </c>
      <c r="U92" s="54"/>
    </row>
    <row r="93" spans="1:21" ht="16.5" thickBot="1" x14ac:dyDescent="0.3">
      <c r="A93" s="58"/>
      <c r="B93" s="142" t="s">
        <v>145</v>
      </c>
      <c r="C93" s="469">
        <f>SUM(C90:C92)</f>
        <v>894.88649999999996</v>
      </c>
      <c r="D93" s="469"/>
      <c r="E93" s="143"/>
      <c r="F93" s="143"/>
      <c r="G93" s="143"/>
      <c r="H93" s="144" t="s">
        <v>143</v>
      </c>
      <c r="I93" s="104">
        <f>IF(A1=75,0,H92+H91+H90)</f>
        <v>873812.04</v>
      </c>
      <c r="N93" s="59" t="s">
        <v>120</v>
      </c>
      <c r="O93" s="60">
        <f>SUM(O90:O92)</f>
        <v>0</v>
      </c>
      <c r="P93" s="491" t="s">
        <v>18</v>
      </c>
      <c r="Q93" s="492"/>
      <c r="R93" s="492"/>
      <c r="S93" s="492"/>
      <c r="T93" s="492"/>
      <c r="U93" s="99">
        <f>IF(N1=75,0,T92+T91+T90)</f>
        <v>0</v>
      </c>
    </row>
    <row r="94" spans="1:21" ht="16.5" thickTop="1" x14ac:dyDescent="0.25">
      <c r="A94" s="540" t="s">
        <v>90</v>
      </c>
      <c r="B94" s="540"/>
      <c r="C94" s="540"/>
      <c r="D94" s="540"/>
      <c r="E94" s="540"/>
      <c r="F94" s="540"/>
      <c r="G94" s="540"/>
      <c r="H94" s="540"/>
      <c r="I94" s="540"/>
      <c r="N94" s="493" t="s">
        <v>90</v>
      </c>
      <c r="O94" s="493"/>
      <c r="P94" s="493"/>
      <c r="Q94" s="493"/>
      <c r="R94" s="493"/>
      <c r="S94" s="493"/>
      <c r="T94" s="493"/>
      <c r="U94" s="493"/>
    </row>
    <row r="95" spans="1:21" x14ac:dyDescent="0.25">
      <c r="A95" s="145"/>
      <c r="B95" s="145"/>
      <c r="C95" s="145"/>
      <c r="D95" s="145"/>
      <c r="E95" s="145"/>
      <c r="F95" s="145"/>
      <c r="G95" s="145"/>
      <c r="H95" s="145"/>
      <c r="I95" s="145"/>
      <c r="N95" s="146"/>
      <c r="O95" s="146"/>
      <c r="P95" s="146"/>
      <c r="Q95" s="146"/>
      <c r="R95" s="146"/>
      <c r="S95" s="146"/>
      <c r="T95" s="146"/>
      <c r="U95" s="146"/>
    </row>
    <row r="96" spans="1:21" x14ac:dyDescent="0.25">
      <c r="A96" s="84" t="s">
        <v>446</v>
      </c>
      <c r="C96" s="46"/>
      <c r="D96" s="72"/>
      <c r="E96" s="46" t="s">
        <v>100</v>
      </c>
      <c r="F96" s="471"/>
      <c r="G96" s="471"/>
      <c r="H96" s="471"/>
      <c r="I96" s="471"/>
      <c r="N96" s="478" t="s">
        <v>426</v>
      </c>
      <c r="O96" s="479"/>
      <c r="P96" s="479"/>
      <c r="Q96" s="494"/>
      <c r="R96" s="494"/>
      <c r="S96" s="494"/>
      <c r="T96" s="494"/>
      <c r="U96" s="106"/>
    </row>
    <row r="97" spans="1:21" x14ac:dyDescent="0.25">
      <c r="B97" s="72"/>
      <c r="C97" s="91" t="s">
        <v>409</v>
      </c>
      <c r="D97" s="371" t="s">
        <v>410</v>
      </c>
      <c r="E97" s="92" t="s">
        <v>151</v>
      </c>
      <c r="F97" s="46"/>
      <c r="G97" s="46"/>
      <c r="H97" s="46"/>
      <c r="I97" s="46"/>
      <c r="N97" s="48"/>
      <c r="O97" s="48"/>
      <c r="P97" s="48"/>
      <c r="Q97" s="147"/>
      <c r="R97" s="147"/>
      <c r="S97" s="147"/>
      <c r="T97" s="147"/>
      <c r="U97" s="106"/>
    </row>
    <row r="98" spans="1:21" x14ac:dyDescent="0.25">
      <c r="B98" s="72"/>
      <c r="C98" s="362" t="s">
        <v>2</v>
      </c>
      <c r="D98" s="362" t="s">
        <v>2</v>
      </c>
      <c r="E98" s="362" t="s">
        <v>2</v>
      </c>
      <c r="F98" s="46"/>
      <c r="G98" s="46"/>
      <c r="H98" s="46"/>
      <c r="I98" s="46"/>
      <c r="N98" s="48"/>
      <c r="O98" s="48"/>
      <c r="P98" s="48"/>
      <c r="Q98" s="147"/>
      <c r="R98" s="147"/>
      <c r="S98" s="147"/>
      <c r="T98" s="147"/>
      <c r="U98" s="106"/>
    </row>
    <row r="99" spans="1:21" x14ac:dyDescent="0.25">
      <c r="A99" s="536" t="s">
        <v>470</v>
      </c>
      <c r="B99" s="461"/>
      <c r="C99" s="165">
        <v>7</v>
      </c>
      <c r="D99" s="165">
        <v>0</v>
      </c>
      <c r="E99" s="125">
        <f>C99</f>
        <v>7</v>
      </c>
      <c r="F99" s="148" t="s">
        <v>39</v>
      </c>
      <c r="G99" s="339">
        <f>'0664'!G99</f>
        <v>558</v>
      </c>
      <c r="I99" s="104">
        <f>ROUND(G99*E99,2)</f>
        <v>3906</v>
      </c>
      <c r="N99" s="488" t="s">
        <v>65</v>
      </c>
      <c r="O99" s="488"/>
      <c r="P99" s="489">
        <f>IF(H120=1,E99,0)</f>
        <v>0</v>
      </c>
      <c r="Q99" s="489"/>
      <c r="R99" s="489"/>
      <c r="S99" s="86" t="s">
        <v>39</v>
      </c>
      <c r="T99" s="61">
        <f>G99</f>
        <v>558</v>
      </c>
      <c r="U99" s="99">
        <f>ROUND(T99*P99,0)</f>
        <v>0</v>
      </c>
    </row>
    <row r="100" spans="1:21" x14ac:dyDescent="0.25">
      <c r="A100" s="536" t="s">
        <v>471</v>
      </c>
      <c r="B100" s="461"/>
      <c r="C100" s="165">
        <v>2</v>
      </c>
      <c r="D100" s="165">
        <v>0</v>
      </c>
      <c r="E100" s="125">
        <f>C100</f>
        <v>2</v>
      </c>
      <c r="F100" s="148" t="s">
        <v>39</v>
      </c>
      <c r="G100" s="339">
        <f>'0664'!G100</f>
        <v>1707</v>
      </c>
      <c r="I100" s="104">
        <f>ROUND(G100*E100,2)</f>
        <v>3414</v>
      </c>
      <c r="N100" s="488" t="s">
        <v>81</v>
      </c>
      <c r="O100" s="488"/>
      <c r="P100" s="483"/>
      <c r="Q100" s="483"/>
      <c r="R100" s="483"/>
      <c r="S100" s="86" t="s">
        <v>39</v>
      </c>
      <c r="T100" s="61">
        <f>G100</f>
        <v>1707</v>
      </c>
      <c r="U100" s="99">
        <f>ROUND(T100*P100,0)</f>
        <v>0</v>
      </c>
    </row>
    <row r="101" spans="1:21" x14ac:dyDescent="0.25">
      <c r="A101" s="149"/>
      <c r="B101" s="149"/>
      <c r="C101" s="68"/>
      <c r="D101" s="68"/>
      <c r="E101" s="68"/>
      <c r="F101" s="68"/>
      <c r="G101" s="150"/>
      <c r="H101" s="151"/>
      <c r="I101" s="104"/>
      <c r="N101" s="152"/>
      <c r="O101" s="152"/>
      <c r="P101" s="153"/>
      <c r="Q101" s="153"/>
      <c r="R101" s="153"/>
      <c r="S101" s="86"/>
      <c r="T101" s="61"/>
      <c r="U101" s="106"/>
    </row>
    <row r="102" spans="1:21" x14ac:dyDescent="0.25">
      <c r="A102" s="149"/>
      <c r="B102" s="149"/>
      <c r="C102" s="68"/>
      <c r="D102" s="68"/>
      <c r="E102" s="68"/>
      <c r="F102" s="68"/>
      <c r="G102" s="150"/>
      <c r="H102" s="151"/>
      <c r="I102" s="104"/>
      <c r="N102" s="152"/>
      <c r="O102" s="152"/>
      <c r="P102" s="153"/>
      <c r="Q102" s="153"/>
      <c r="R102" s="153"/>
      <c r="S102" s="86"/>
      <c r="T102" s="61"/>
      <c r="U102" s="106"/>
    </row>
    <row r="103" spans="1:21" hidden="1" x14ac:dyDescent="0.25">
      <c r="A103" s="463" t="s">
        <v>447</v>
      </c>
      <c r="B103" s="453"/>
      <c r="C103" s="453"/>
      <c r="D103" s="72"/>
      <c r="E103" s="41" t="s">
        <v>41</v>
      </c>
      <c r="F103" s="466"/>
      <c r="G103" s="466"/>
      <c r="H103" s="466"/>
      <c r="I103" s="466"/>
      <c r="N103" s="478" t="s">
        <v>362</v>
      </c>
      <c r="O103" s="479"/>
      <c r="P103" s="479"/>
      <c r="Q103" s="479"/>
      <c r="R103" s="479"/>
      <c r="S103" s="479"/>
      <c r="T103" s="479"/>
      <c r="U103" s="479"/>
    </row>
    <row r="104" spans="1:21" hidden="1" x14ac:dyDescent="0.25">
      <c r="B104" s="72"/>
      <c r="C104" s="462" t="s">
        <v>91</v>
      </c>
      <c r="D104" s="462"/>
      <c r="E104" s="462"/>
      <c r="F104" s="39"/>
      <c r="G104" s="39"/>
      <c r="H104" s="41" t="s">
        <v>152</v>
      </c>
      <c r="I104" s="39"/>
      <c r="N104" s="48"/>
      <c r="O104" s="48"/>
      <c r="P104" s="48"/>
      <c r="Q104" s="48"/>
      <c r="R104" s="48"/>
      <c r="S104" s="48"/>
      <c r="T104" s="48"/>
      <c r="U104" s="48"/>
    </row>
    <row r="105" spans="1:21" hidden="1" x14ac:dyDescent="0.25">
      <c r="B105" s="72"/>
      <c r="C105" s="91" t="s">
        <v>371</v>
      </c>
      <c r="D105" s="91" t="s">
        <v>351</v>
      </c>
      <c r="E105" s="159" t="s">
        <v>8</v>
      </c>
      <c r="F105" s="464" t="s">
        <v>153</v>
      </c>
      <c r="G105" s="466"/>
      <c r="H105" s="39" t="s">
        <v>38</v>
      </c>
      <c r="I105" s="39"/>
      <c r="N105" s="48"/>
      <c r="O105" s="48"/>
      <c r="P105" s="48"/>
      <c r="Q105" s="48"/>
      <c r="R105" s="48"/>
      <c r="S105" s="48"/>
      <c r="T105" s="48"/>
      <c r="U105" s="48"/>
    </row>
    <row r="106" spans="1:21" hidden="1" x14ac:dyDescent="0.25">
      <c r="A106" s="462" t="s">
        <v>94</v>
      </c>
      <c r="B106" s="462"/>
      <c r="C106" s="93" t="s">
        <v>2</v>
      </c>
      <c r="D106" s="93" t="s">
        <v>2</v>
      </c>
      <c r="E106" s="62" t="s">
        <v>2</v>
      </c>
      <c r="F106" s="462" t="s">
        <v>37</v>
      </c>
      <c r="G106" s="462"/>
      <c r="H106" s="62" t="s">
        <v>37</v>
      </c>
      <c r="I106" s="62" t="s">
        <v>8</v>
      </c>
      <c r="N106" s="484" t="s">
        <v>66</v>
      </c>
      <c r="O106" s="484"/>
      <c r="P106" s="489" t="s">
        <v>91</v>
      </c>
      <c r="Q106" s="489"/>
      <c r="R106" s="484" t="s">
        <v>67</v>
      </c>
      <c r="S106" s="484"/>
      <c r="T106" s="63" t="s">
        <v>68</v>
      </c>
      <c r="U106" s="63" t="s">
        <v>8</v>
      </c>
    </row>
    <row r="107" spans="1:21" hidden="1" x14ac:dyDescent="0.25">
      <c r="A107" s="473" t="s">
        <v>69</v>
      </c>
      <c r="B107" s="473"/>
      <c r="C107" s="163">
        <v>0</v>
      </c>
      <c r="D107" s="163">
        <v>0</v>
      </c>
      <c r="E107" s="210">
        <f>IF(D$59=0,C107*2,C107+D107)</f>
        <v>0</v>
      </c>
      <c r="F107" s="474">
        <v>0</v>
      </c>
      <c r="G107" s="474"/>
      <c r="H107" s="250">
        <f>IF(C107=0,0,125)</f>
        <v>0</v>
      </c>
      <c r="I107" s="104">
        <f>ROUND((H107+F107)*E107,2)</f>
        <v>0</v>
      </c>
      <c r="N107" s="479" t="s">
        <v>69</v>
      </c>
      <c r="O107" s="479"/>
      <c r="P107" s="483">
        <f>IF(H$120=1,C107,0)</f>
        <v>0</v>
      </c>
      <c r="Q107" s="483"/>
      <c r="R107" s="486">
        <f>F107</f>
        <v>0</v>
      </c>
      <c r="S107" s="486"/>
      <c r="T107" s="65">
        <f>H107</f>
        <v>0</v>
      </c>
      <c r="U107" s="99">
        <f>ROUND((T107+R107)*P107,0)</f>
        <v>0</v>
      </c>
    </row>
    <row r="108" spans="1:21" hidden="1" x14ac:dyDescent="0.25">
      <c r="A108" s="456" t="s">
        <v>70</v>
      </c>
      <c r="B108" s="456"/>
      <c r="C108" s="165">
        <v>0</v>
      </c>
      <c r="D108" s="165">
        <v>0</v>
      </c>
      <c r="E108" s="125">
        <f>IF(D$59=0,C108*2,C108+D108)</f>
        <v>0</v>
      </c>
      <c r="F108" s="468">
        <f>ROUND(F107/2,2)</f>
        <v>0</v>
      </c>
      <c r="G108" s="468"/>
      <c r="H108" s="250">
        <f>IF(C108=0,0,62.5)</f>
        <v>0</v>
      </c>
      <c r="I108" s="104">
        <f>ROUND((H108+F108)*E108,2)</f>
        <v>0</v>
      </c>
      <c r="N108" s="479" t="s">
        <v>70</v>
      </c>
      <c r="O108" s="479"/>
      <c r="P108" s="483">
        <f>IF(H$120=1,C108,0)</f>
        <v>0</v>
      </c>
      <c r="Q108" s="483"/>
      <c r="R108" s="487">
        <f>ROUND(R107/2,2)</f>
        <v>0</v>
      </c>
      <c r="S108" s="487"/>
      <c r="T108" s="65">
        <f>H108</f>
        <v>0</v>
      </c>
      <c r="U108" s="99">
        <f>ROUND((T108+R108)*P108,0)</f>
        <v>0</v>
      </c>
    </row>
    <row r="109" spans="1:21" ht="16.5" hidden="1" thickBot="1" x14ac:dyDescent="0.3">
      <c r="A109" s="456" t="s">
        <v>71</v>
      </c>
      <c r="B109" s="456"/>
      <c r="C109" s="165">
        <v>0</v>
      </c>
      <c r="D109" s="165">
        <v>0</v>
      </c>
      <c r="E109" s="125">
        <f>IF(D$59=0,C109*2,C109+D109)</f>
        <v>0</v>
      </c>
      <c r="F109" s="475"/>
      <c r="G109" s="475"/>
      <c r="H109" s="251">
        <f>IF(H107&gt;0,436,0)</f>
        <v>0</v>
      </c>
      <c r="I109" s="104">
        <f>ROUND(H109*E109,2)</f>
        <v>0</v>
      </c>
      <c r="N109" s="482" t="s">
        <v>71</v>
      </c>
      <c r="O109" s="482"/>
      <c r="P109" s="483">
        <f>IF(H$120=1,C109,0)</f>
        <v>0</v>
      </c>
      <c r="Q109" s="483"/>
      <c r="R109" s="484"/>
      <c r="S109" s="484"/>
      <c r="T109" s="67">
        <f>H109</f>
        <v>0</v>
      </c>
      <c r="U109" s="106">
        <f>ROUND(T109*P109,0)</f>
        <v>0</v>
      </c>
    </row>
    <row r="110" spans="1:21" ht="16.5" hidden="1" thickBot="1" x14ac:dyDescent="0.3">
      <c r="A110" s="466" t="s">
        <v>8</v>
      </c>
      <c r="B110" s="466"/>
      <c r="C110" s="68"/>
      <c r="D110" s="68"/>
      <c r="E110" s="68"/>
      <c r="F110" s="68"/>
      <c r="G110" s="68"/>
      <c r="H110" s="68"/>
      <c r="I110" s="100">
        <f>SUM(I107:I109)</f>
        <v>0</v>
      </c>
      <c r="N110" s="485" t="s">
        <v>8</v>
      </c>
      <c r="O110" s="485"/>
      <c r="P110" s="69"/>
      <c r="Q110" s="69"/>
      <c r="R110" s="69"/>
      <c r="S110" s="69"/>
      <c r="T110" s="69"/>
      <c r="U110" s="70">
        <f>SUM(U107:U109)</f>
        <v>0</v>
      </c>
    </row>
    <row r="111" spans="1:21" hidden="1" x14ac:dyDescent="0.25">
      <c r="A111" s="39"/>
      <c r="B111" s="39"/>
      <c r="C111" s="68"/>
      <c r="D111" s="68"/>
      <c r="E111" s="68"/>
      <c r="F111" s="68"/>
      <c r="G111" s="68"/>
      <c r="H111" s="68"/>
      <c r="I111" s="104"/>
      <c r="N111" s="40"/>
      <c r="O111" s="40"/>
      <c r="P111" s="69"/>
      <c r="Q111" s="69"/>
      <c r="R111" s="69"/>
      <c r="S111" s="69"/>
      <c r="T111" s="69"/>
      <c r="U111" s="160"/>
    </row>
    <row r="112" spans="1:21" x14ac:dyDescent="0.25">
      <c r="A112" s="463" t="s">
        <v>448</v>
      </c>
      <c r="B112" s="453"/>
      <c r="C112" s="453"/>
      <c r="D112" s="72"/>
      <c r="E112" s="71" t="s">
        <v>354</v>
      </c>
      <c r="F112" s="472"/>
      <c r="G112" s="472"/>
      <c r="H112" s="472"/>
      <c r="I112" s="125">
        <v>0</v>
      </c>
      <c r="N112" s="478" t="s">
        <v>427</v>
      </c>
      <c r="O112" s="479"/>
      <c r="P112" s="479"/>
      <c r="Q112" s="341"/>
      <c r="R112" s="341"/>
      <c r="S112" s="341"/>
      <c r="T112" s="341"/>
      <c r="U112" s="99">
        <f>IF($H$120=1,I112,0)</f>
        <v>0</v>
      </c>
    </row>
    <row r="113" spans="1:21" x14ac:dyDescent="0.25">
      <c r="A113" s="463" t="s">
        <v>449</v>
      </c>
      <c r="B113" s="453"/>
      <c r="C113" s="453"/>
      <c r="D113" s="72"/>
      <c r="E113" s="71" t="s">
        <v>45</v>
      </c>
      <c r="F113" s="472"/>
      <c r="G113" s="472"/>
      <c r="H113" s="472"/>
      <c r="I113" s="177">
        <v>0</v>
      </c>
      <c r="N113" s="478" t="s">
        <v>428</v>
      </c>
      <c r="O113" s="479"/>
      <c r="P113" s="479"/>
      <c r="Q113" s="341"/>
      <c r="R113" s="341"/>
      <c r="S113" s="341"/>
      <c r="T113" s="341"/>
      <c r="U113" s="99">
        <f>IF($H$120=1,I113,0)</f>
        <v>0</v>
      </c>
    </row>
    <row r="114" spans="1:21" ht="16.5" thickBot="1" x14ac:dyDescent="0.3">
      <c r="B114" s="72"/>
      <c r="C114" s="72"/>
      <c r="D114" s="72"/>
      <c r="E114" s="71"/>
      <c r="F114" s="71"/>
      <c r="G114" s="71"/>
      <c r="H114" s="71"/>
      <c r="I114" s="125"/>
      <c r="N114" s="480" t="s">
        <v>42</v>
      </c>
      <c r="O114" s="480"/>
      <c r="P114" s="480"/>
      <c r="Q114" s="480"/>
      <c r="R114" s="480"/>
      <c r="S114" s="480"/>
      <c r="T114" s="480"/>
      <c r="U114" s="154">
        <f>SUM(U112,U110,U100,U99,U93,U77,U76,U74,U73,U72,U71,U70,U68,U59,U45,U78,U79,U80,U85,U113)</f>
        <v>0</v>
      </c>
    </row>
    <row r="115" spans="1:21" ht="16.5" thickTop="1" x14ac:dyDescent="0.25">
      <c r="A115" s="461" t="s">
        <v>8</v>
      </c>
      <c r="B115" s="461"/>
      <c r="C115" s="461"/>
      <c r="D115" s="461"/>
      <c r="E115" s="461"/>
      <c r="F115" s="461"/>
      <c r="G115" s="461"/>
      <c r="H115" s="461"/>
      <c r="I115" s="97">
        <f>SUM(I113,I112,I110,I100,I99,I93,I85,I84,I80,I79,I78,I77,I76,I74,I73,I72,I71,I70,I68,I59,I45)</f>
        <v>6725064.4000000004</v>
      </c>
      <c r="N115" s="29"/>
      <c r="O115" s="29"/>
      <c r="P115" s="29"/>
      <c r="Q115" s="29"/>
      <c r="R115" s="29"/>
      <c r="S115" s="29"/>
      <c r="T115" s="29"/>
      <c r="U115" s="160"/>
    </row>
    <row r="116" spans="1:21" x14ac:dyDescent="0.25">
      <c r="A116" s="27"/>
      <c r="B116" s="27"/>
      <c r="C116" s="27"/>
      <c r="D116" s="27"/>
      <c r="E116" s="27"/>
      <c r="F116" s="27"/>
      <c r="G116" s="27"/>
      <c r="H116" s="27"/>
      <c r="I116" s="104"/>
      <c r="N116" s="29"/>
      <c r="O116" s="29"/>
      <c r="P116" s="29"/>
      <c r="Q116" s="29"/>
      <c r="R116" s="29"/>
      <c r="S116" s="29"/>
      <c r="T116" s="29"/>
      <c r="U116" s="160"/>
    </row>
    <row r="117" spans="1:21" x14ac:dyDescent="0.25">
      <c r="A117" s="432" t="s">
        <v>467</v>
      </c>
      <c r="B117" s="27"/>
      <c r="C117" s="27"/>
      <c r="D117" s="27"/>
      <c r="E117" s="27"/>
      <c r="F117" s="27"/>
      <c r="G117" s="27"/>
      <c r="H117" s="27"/>
      <c r="I117" s="104">
        <f>I115-I84</f>
        <v>6518130.21</v>
      </c>
      <c r="N117" s="29"/>
      <c r="O117" s="29"/>
      <c r="P117" s="29"/>
      <c r="Q117" s="29"/>
      <c r="R117" s="29"/>
      <c r="S117" s="29"/>
      <c r="T117" s="29"/>
      <c r="U117" s="160"/>
    </row>
    <row r="118" spans="1:21" x14ac:dyDescent="0.25">
      <c r="A118" s="27"/>
      <c r="B118" s="27"/>
      <c r="C118" s="27"/>
      <c r="D118" s="27"/>
      <c r="E118" s="27"/>
      <c r="F118" s="27"/>
      <c r="G118" s="27"/>
      <c r="H118" s="27"/>
      <c r="I118" s="104"/>
      <c r="N118" s="29"/>
      <c r="O118" s="29"/>
      <c r="P118" s="29"/>
      <c r="Q118" s="29"/>
      <c r="R118" s="29"/>
      <c r="S118" s="29"/>
      <c r="T118" s="29"/>
      <c r="U118" s="160"/>
    </row>
    <row r="119" spans="1:21" x14ac:dyDescent="0.25">
      <c r="A119" s="463" t="s">
        <v>468</v>
      </c>
      <c r="B119" s="453"/>
      <c r="C119" s="453"/>
      <c r="D119" s="453"/>
      <c r="E119" s="453"/>
      <c r="F119" s="453"/>
      <c r="G119" s="453"/>
      <c r="H119" s="84" t="s">
        <v>394</v>
      </c>
      <c r="I119" s="156"/>
      <c r="N119" s="481"/>
      <c r="O119" s="481"/>
      <c r="P119" s="481"/>
      <c r="Q119" s="481"/>
      <c r="R119" s="481"/>
      <c r="S119" s="481"/>
      <c r="T119" s="481"/>
      <c r="U119" s="481"/>
    </row>
    <row r="120" spans="1:21" x14ac:dyDescent="0.25">
      <c r="A120" s="453" t="s">
        <v>95</v>
      </c>
      <c r="B120" s="453"/>
      <c r="C120" s="453"/>
      <c r="D120" s="453"/>
      <c r="E120" s="453"/>
      <c r="F120" s="453"/>
      <c r="G120" s="453"/>
      <c r="H120" s="73" t="str">
        <f>IF(E29=0,"",IF((E14+E16+SUM(E18:E24))/E29&gt;0.75,1,""))</f>
        <v/>
      </c>
      <c r="I120" s="125">
        <f>U114</f>
        <v>0</v>
      </c>
      <c r="N120" s="476" t="s">
        <v>7</v>
      </c>
      <c r="O120" s="476"/>
      <c r="P120" s="476"/>
      <c r="Q120" s="476"/>
      <c r="R120" s="476"/>
      <c r="S120" s="476"/>
      <c r="T120" s="476"/>
      <c r="U120" s="476"/>
    </row>
    <row r="121" spans="1:21" x14ac:dyDescent="0.25">
      <c r="B121" s="72"/>
      <c r="C121" s="72"/>
      <c r="D121" s="72"/>
      <c r="E121" s="72"/>
      <c r="F121" s="72"/>
      <c r="G121" s="72"/>
      <c r="H121" s="68"/>
      <c r="I121" s="104"/>
      <c r="N121" s="74" t="s">
        <v>106</v>
      </c>
      <c r="O121" s="74"/>
      <c r="P121" s="74"/>
      <c r="Q121" s="74"/>
      <c r="R121" s="74"/>
      <c r="S121" s="74"/>
      <c r="T121" s="74"/>
      <c r="U121" s="74"/>
    </row>
    <row r="122" spans="1:21" x14ac:dyDescent="0.25">
      <c r="A122" s="3" t="s">
        <v>102</v>
      </c>
      <c r="B122" s="72"/>
      <c r="C122" s="72"/>
      <c r="D122" s="72"/>
      <c r="E122" s="72"/>
      <c r="F122" s="72"/>
      <c r="G122" s="286"/>
      <c r="H122" s="161">
        <f>IF(H120=1,I120,I117)</f>
        <v>6518130.21</v>
      </c>
      <c r="I122" s="97">
        <f>ROUND(IF(E29=0,0,IF(E29&gt;250,-(((250/E29)*H122)*IF(G122="H",0.02,0.05)),IF(G122="H",-0.02*H122,-0.05*H122))),2)</f>
        <v>-97898.05</v>
      </c>
      <c r="N122" s="75" t="s">
        <v>107</v>
      </c>
      <c r="O122" s="74"/>
      <c r="P122" s="74"/>
      <c r="Q122" s="74"/>
      <c r="R122" s="74"/>
      <c r="S122" s="74"/>
      <c r="T122" s="74"/>
      <c r="U122" s="74"/>
    </row>
    <row r="123" spans="1:21" x14ac:dyDescent="0.25">
      <c r="B123" s="72"/>
      <c r="C123" s="72"/>
      <c r="D123" s="72"/>
      <c r="E123" s="72"/>
      <c r="F123" s="72"/>
      <c r="G123" s="72"/>
      <c r="H123" s="68"/>
      <c r="I123" s="104"/>
      <c r="N123" s="76"/>
      <c r="O123" s="76"/>
      <c r="P123" s="76"/>
      <c r="Q123" s="76"/>
      <c r="R123" s="76"/>
      <c r="S123" s="76"/>
      <c r="T123" s="76"/>
      <c r="U123" s="76"/>
    </row>
    <row r="124" spans="1:21" x14ac:dyDescent="0.25">
      <c r="A124" s="345" t="s">
        <v>103</v>
      </c>
      <c r="B124" s="346"/>
      <c r="C124" s="346"/>
      <c r="D124" s="346"/>
      <c r="E124" s="346"/>
      <c r="F124" s="346"/>
      <c r="G124" s="346"/>
      <c r="H124" s="347"/>
      <c r="I124" s="348">
        <f>I115+I122</f>
        <v>6627166.3500000006</v>
      </c>
      <c r="N124" s="76"/>
      <c r="O124" s="76"/>
      <c r="P124" s="76"/>
      <c r="Q124" s="76"/>
      <c r="R124" s="76"/>
      <c r="S124" s="76"/>
      <c r="T124" s="76"/>
      <c r="U124" s="76"/>
    </row>
    <row r="125" spans="1:21" x14ac:dyDescent="0.25">
      <c r="B125" s="72"/>
      <c r="C125" s="72"/>
      <c r="D125" s="72"/>
      <c r="E125" s="72"/>
      <c r="F125" s="72"/>
      <c r="G125" s="72"/>
      <c r="H125" s="68"/>
      <c r="I125" s="104"/>
      <c r="N125" s="76"/>
      <c r="O125" s="76"/>
      <c r="P125" s="76"/>
      <c r="Q125" s="76"/>
      <c r="R125" s="76"/>
      <c r="S125" s="76"/>
      <c r="T125" s="76"/>
      <c r="U125" s="76"/>
    </row>
    <row r="126" spans="1:21" x14ac:dyDescent="0.25">
      <c r="A126" s="3" t="s">
        <v>104</v>
      </c>
      <c r="B126" s="72"/>
      <c r="C126" s="162"/>
      <c r="D126" s="72"/>
      <c r="F126" s="72"/>
      <c r="G126" s="72"/>
      <c r="H126" s="68"/>
      <c r="I126" s="302">
        <v>-4784479.47</v>
      </c>
      <c r="N126" s="76"/>
      <c r="O126" s="76"/>
      <c r="P126" s="76"/>
      <c r="Q126" s="76"/>
      <c r="R126" s="76"/>
      <c r="S126" s="76"/>
      <c r="T126" s="76"/>
      <c r="U126" s="76"/>
    </row>
    <row r="127" spans="1:21" x14ac:dyDescent="0.25">
      <c r="B127" s="72"/>
      <c r="C127" s="72"/>
      <c r="D127" s="72"/>
      <c r="E127" s="72"/>
      <c r="F127" s="72"/>
      <c r="G127" s="72"/>
      <c r="H127" s="68"/>
      <c r="I127" s="104"/>
      <c r="N127" s="76"/>
      <c r="O127" s="76"/>
      <c r="P127" s="76"/>
      <c r="Q127" s="76"/>
      <c r="R127" s="76"/>
      <c r="S127" s="76"/>
      <c r="T127" s="76"/>
      <c r="U127" s="76"/>
    </row>
    <row r="128" spans="1:21" x14ac:dyDescent="0.25">
      <c r="A128" s="84" t="s">
        <v>297</v>
      </c>
      <c r="B128" s="72"/>
      <c r="C128" s="72"/>
      <c r="D128" s="72"/>
      <c r="E128" s="72"/>
      <c r="F128" s="72"/>
      <c r="G128" s="72"/>
      <c r="H128" s="68"/>
      <c r="I128" s="104">
        <f>I124+I126</f>
        <v>1842686.8800000008</v>
      </c>
      <c r="N128" s="76"/>
      <c r="O128" s="76"/>
      <c r="P128" s="76"/>
      <c r="Q128" s="76"/>
      <c r="R128" s="76"/>
      <c r="S128" s="76"/>
      <c r="T128" s="76"/>
      <c r="U128" s="76"/>
    </row>
    <row r="129" spans="1:21" x14ac:dyDescent="0.25">
      <c r="A129" s="84"/>
      <c r="B129" s="72"/>
      <c r="C129" s="72"/>
      <c r="D129" s="72"/>
      <c r="E129" s="72"/>
      <c r="F129" s="72"/>
      <c r="G129" s="72"/>
      <c r="H129" s="68"/>
      <c r="I129" s="104"/>
      <c r="N129" s="76"/>
      <c r="O129" s="76"/>
      <c r="P129" s="76"/>
      <c r="Q129" s="76"/>
      <c r="R129" s="76"/>
      <c r="S129" s="76"/>
      <c r="T129" s="76"/>
      <c r="U129" s="76"/>
    </row>
    <row r="130" spans="1:21" x14ac:dyDescent="0.25">
      <c r="A130" s="84" t="s">
        <v>298</v>
      </c>
      <c r="B130" s="72"/>
      <c r="C130" s="72"/>
      <c r="D130" s="72"/>
      <c r="E130" s="72"/>
      <c r="F130" s="72"/>
      <c r="G130" s="72"/>
      <c r="H130" s="68"/>
      <c r="I130" s="303">
        <f>'0664'!I130</f>
        <v>3</v>
      </c>
      <c r="N130" s="76"/>
      <c r="O130" s="76"/>
      <c r="P130" s="76"/>
      <c r="Q130" s="76"/>
      <c r="R130" s="76"/>
      <c r="S130" s="76"/>
      <c r="T130" s="76"/>
      <c r="U130" s="76"/>
    </row>
    <row r="131" spans="1:21" x14ac:dyDescent="0.25">
      <c r="B131" s="72"/>
      <c r="C131" s="72"/>
      <c r="D131" s="72"/>
      <c r="E131" s="72"/>
      <c r="F131" s="72"/>
      <c r="G131" s="72"/>
      <c r="H131" s="68"/>
      <c r="I131" s="104"/>
      <c r="N131" s="76"/>
      <c r="O131" s="76"/>
      <c r="P131" s="76"/>
      <c r="Q131" s="76"/>
      <c r="R131" s="76"/>
      <c r="S131" s="76"/>
      <c r="T131" s="76"/>
      <c r="U131" s="76"/>
    </row>
    <row r="132" spans="1:21" ht="16.5" thickBot="1" x14ac:dyDescent="0.3">
      <c r="A132" s="3" t="s">
        <v>105</v>
      </c>
      <c r="B132" s="72"/>
      <c r="C132" s="72"/>
      <c r="D132" s="72"/>
      <c r="E132" s="72"/>
      <c r="F132" s="72"/>
      <c r="G132" s="72"/>
      <c r="H132" s="68"/>
      <c r="I132" s="178">
        <f>ROUND(I128/I130,2)</f>
        <v>614228.96</v>
      </c>
      <c r="N132" s="76"/>
      <c r="O132" s="76"/>
      <c r="P132" s="76"/>
      <c r="Q132" s="76"/>
      <c r="R132" s="76"/>
      <c r="S132" s="76"/>
      <c r="T132" s="76"/>
      <c r="U132" s="76"/>
    </row>
    <row r="133" spans="1:21" ht="16.5" thickTop="1" x14ac:dyDescent="0.25">
      <c r="B133" s="72"/>
      <c r="C133" s="72"/>
      <c r="D133" s="72"/>
      <c r="E133" s="72"/>
      <c r="F133" s="72"/>
      <c r="G133" s="72"/>
      <c r="H133" s="68"/>
      <c r="I133" s="104"/>
      <c r="N133" s="76"/>
      <c r="O133" s="76"/>
      <c r="P133" s="76"/>
      <c r="Q133" s="76"/>
      <c r="R133" s="76"/>
      <c r="S133" s="76"/>
      <c r="T133" s="76"/>
      <c r="U133" s="76"/>
    </row>
    <row r="134" spans="1:21" ht="16.5" thickBot="1" x14ac:dyDescent="0.3">
      <c r="A134" s="3" t="s">
        <v>121</v>
      </c>
      <c r="B134" s="72"/>
      <c r="C134" s="72"/>
      <c r="D134" s="72"/>
      <c r="E134" s="72"/>
      <c r="F134" s="72"/>
      <c r="G134" s="72"/>
      <c r="H134" s="68"/>
      <c r="I134" s="155">
        <f>ROUND(IF(G122="H",(H122*0.02)+I122,(H122*0.05)+I122),2)</f>
        <v>228008.46</v>
      </c>
      <c r="N134" s="76"/>
      <c r="O134" s="76"/>
      <c r="P134" s="76"/>
      <c r="Q134" s="76"/>
      <c r="R134" s="76"/>
      <c r="S134" s="76"/>
      <c r="T134" s="76"/>
      <c r="U134" s="76"/>
    </row>
    <row r="135" spans="1:21" ht="16.5" thickTop="1" x14ac:dyDescent="0.25">
      <c r="B135" s="72"/>
      <c r="C135" s="72"/>
      <c r="D135" s="72"/>
      <c r="E135" s="72"/>
      <c r="F135" s="72"/>
      <c r="G135" s="72"/>
      <c r="H135" s="68"/>
      <c r="I135" s="156"/>
      <c r="N135" s="76"/>
      <c r="O135" s="76"/>
      <c r="P135" s="76"/>
      <c r="Q135" s="76"/>
      <c r="R135" s="76"/>
      <c r="S135" s="76"/>
      <c r="T135" s="76"/>
      <c r="U135" s="76"/>
    </row>
    <row r="136" spans="1:21" x14ac:dyDescent="0.25">
      <c r="B136" s="72"/>
      <c r="C136" s="72"/>
      <c r="D136" s="72"/>
      <c r="E136" s="72"/>
      <c r="F136" s="72"/>
      <c r="G136" s="72"/>
      <c r="H136" s="68"/>
      <c r="I136" s="104"/>
      <c r="N136" s="76"/>
      <c r="O136" s="76"/>
      <c r="P136" s="76"/>
      <c r="Q136" s="76"/>
      <c r="R136" s="76"/>
      <c r="S136" s="76"/>
      <c r="T136" s="76"/>
      <c r="U136" s="76"/>
    </row>
    <row r="137" spans="1:21" x14ac:dyDescent="0.25">
      <c r="B137" s="72"/>
      <c r="C137" s="72"/>
      <c r="D137" s="72"/>
      <c r="E137" s="72"/>
      <c r="F137" s="72"/>
      <c r="G137" s="72"/>
      <c r="H137" s="68"/>
      <c r="I137" s="156"/>
      <c r="N137" s="76"/>
      <c r="O137" s="76"/>
      <c r="P137" s="76"/>
      <c r="Q137" s="76"/>
      <c r="R137" s="76"/>
      <c r="S137" s="76"/>
      <c r="T137" s="76"/>
      <c r="U137" s="76"/>
    </row>
    <row r="138" spans="1:21" x14ac:dyDescent="0.25">
      <c r="A138" s="281" t="s">
        <v>7</v>
      </c>
      <c r="B138" s="281"/>
      <c r="C138" s="281"/>
      <c r="D138" s="281"/>
      <c r="E138" s="281"/>
      <c r="F138" s="281"/>
      <c r="G138" s="281"/>
      <c r="H138" s="281"/>
      <c r="I138" s="281"/>
      <c r="J138" s="156"/>
      <c r="N138" s="76"/>
      <c r="O138" s="76"/>
      <c r="P138" s="76"/>
      <c r="Q138" s="76"/>
      <c r="R138" s="76"/>
      <c r="S138" s="76"/>
      <c r="T138" s="76"/>
      <c r="U138" s="76"/>
    </row>
    <row r="139" spans="1:21" ht="15.75" customHeight="1" x14ac:dyDescent="0.25">
      <c r="A139" s="356" t="str">
        <f>'0664'!A139</f>
        <v>(a) Additional FTE includes FTE earned through Advanced Placement, International Baccalaureate, Advanced International Certificate of Education, Industry Certified Career</v>
      </c>
      <c r="B139" s="357"/>
      <c r="C139" s="357"/>
      <c r="D139" s="357"/>
      <c r="E139" s="357"/>
      <c r="F139" s="357"/>
      <c r="G139" s="357"/>
      <c r="H139" s="357"/>
      <c r="I139" s="357"/>
      <c r="J139" s="80"/>
      <c r="K139" s="79"/>
      <c r="L139" s="79"/>
      <c r="M139" s="79"/>
      <c r="N139" s="477"/>
      <c r="O139" s="477"/>
      <c r="P139" s="477"/>
      <c r="Q139" s="477"/>
      <c r="R139" s="477"/>
      <c r="S139" s="477"/>
      <c r="T139" s="477"/>
      <c r="U139" s="477"/>
    </row>
    <row r="140" spans="1:21" ht="15.75" customHeight="1" x14ac:dyDescent="0.25">
      <c r="A140" s="390" t="str">
        <f>'0664'!A140</f>
        <v xml:space="preserve">Education (CAPE), Early High School Graduation and the small district ESE Supplement, pursuant to s. 1011.62(1)(l-p), F.S. </v>
      </c>
      <c r="B140" s="357"/>
      <c r="C140" s="357"/>
      <c r="D140" s="357"/>
      <c r="E140" s="357"/>
      <c r="F140" s="357"/>
      <c r="G140" s="357"/>
      <c r="H140" s="357"/>
      <c r="I140" s="357"/>
      <c r="J140" s="80"/>
      <c r="K140" s="79"/>
      <c r="L140" s="79"/>
      <c r="M140" s="79"/>
      <c r="N140" s="76"/>
      <c r="O140" s="76"/>
      <c r="P140" s="76"/>
      <c r="Q140" s="76"/>
      <c r="R140" s="76"/>
      <c r="S140" s="76"/>
      <c r="T140" s="76"/>
      <c r="U140" s="76"/>
    </row>
    <row r="141" spans="1:21" x14ac:dyDescent="0.25">
      <c r="A141" s="356" t="str">
        <f>'0664'!A141</f>
        <v>(b) District allocations multiplied by percentage from item 3A.</v>
      </c>
      <c r="B141" s="281"/>
      <c r="C141" s="281"/>
      <c r="D141" s="281"/>
      <c r="E141" s="281"/>
      <c r="F141" s="281"/>
      <c r="G141" s="281"/>
      <c r="H141" s="281"/>
      <c r="I141" s="281"/>
      <c r="J141" s="79"/>
      <c r="K141" s="79"/>
      <c r="L141" s="79"/>
      <c r="M141" s="79"/>
      <c r="N141" s="81"/>
      <c r="O141" s="82"/>
      <c r="P141" s="82"/>
      <c r="Q141" s="82"/>
      <c r="R141" s="82"/>
      <c r="S141" s="82"/>
      <c r="T141" s="82"/>
      <c r="U141" s="82"/>
    </row>
    <row r="142" spans="1:21" s="79" customFormat="1" x14ac:dyDescent="0.2">
      <c r="A142" s="356" t="str">
        <f>'0664'!A142</f>
        <v>(c) District allocations multiplied by percentage from item 3B.</v>
      </c>
      <c r="B142" s="281"/>
      <c r="C142" s="281"/>
      <c r="D142" s="281"/>
      <c r="E142" s="281"/>
      <c r="F142" s="281"/>
      <c r="G142" s="281"/>
      <c r="H142" s="281"/>
      <c r="I142" s="281"/>
      <c r="N142" s="81"/>
    </row>
    <row r="143" spans="1:21" s="79" customFormat="1" ht="15.75" customHeight="1" x14ac:dyDescent="0.2">
      <c r="A143" s="356" t="str">
        <f>'0664'!A143</f>
        <v>(d) The Digital Classroom Allocation is provided pursuant to s. 1011.62(12), F.S.</v>
      </c>
      <c r="B143" s="281"/>
      <c r="C143" s="281"/>
      <c r="D143" s="281"/>
      <c r="E143" s="281"/>
      <c r="F143" s="281"/>
      <c r="G143" s="281"/>
      <c r="H143" s="281"/>
      <c r="I143" s="281"/>
      <c r="N143" s="81"/>
    </row>
    <row r="144" spans="1:21" s="79" customFormat="1" ht="15.75" customHeight="1" x14ac:dyDescent="0.2">
      <c r="A144" s="356" t="str">
        <f>'0664'!A144</f>
        <v>(e) School districts are required to pay for instructional materials used for the instruction of public high school students who are earning credit toward high school</v>
      </c>
      <c r="B144" s="281"/>
      <c r="C144" s="281"/>
      <c r="D144" s="281"/>
      <c r="E144" s="281"/>
      <c r="F144" s="281"/>
      <c r="G144" s="281"/>
      <c r="H144" s="281"/>
      <c r="I144" s="281"/>
      <c r="N144" s="81"/>
    </row>
    <row r="145" spans="1:14" s="79" customFormat="1" ht="15.75" customHeight="1" x14ac:dyDescent="0.2">
      <c r="A145" s="390" t="str">
        <f>'0664'!A145</f>
        <v xml:space="preserve">graduation under the dual enrollment program as provided in s. 1011.62(l)(i), F.S.  </v>
      </c>
      <c r="B145" s="281"/>
      <c r="C145" s="281"/>
      <c r="D145" s="281"/>
      <c r="E145" s="281"/>
      <c r="F145" s="281"/>
      <c r="G145" s="281"/>
      <c r="H145" s="281"/>
      <c r="I145" s="281"/>
      <c r="N145" s="81"/>
    </row>
    <row r="146" spans="1:14" s="79" customFormat="1" x14ac:dyDescent="0.2">
      <c r="A146" s="356" t="str">
        <f>'0664'!A146</f>
        <v>(f) This allocation will be frozen as of the 2021-22 FEFP Second Calculation and will not be recalculated throughout the year. Charter school allocations should be</v>
      </c>
      <c r="B146" s="281"/>
      <c r="C146" s="281"/>
      <c r="D146" s="281"/>
      <c r="E146" s="281"/>
      <c r="F146" s="281"/>
      <c r="G146" s="281"/>
      <c r="H146" s="281"/>
      <c r="I146" s="281"/>
      <c r="N146" s="81"/>
    </row>
    <row r="147" spans="1:14" s="79" customFormat="1" x14ac:dyDescent="0.2">
      <c r="A147" s="358" t="str">
        <f>'0664'!A147</f>
        <v xml:space="preserve">distributed on weighted FTE (or base funding as is done in the FEFP) and should not be recalculated with fluctuations in student enrollment later in the year. </v>
      </c>
      <c r="B147" s="281"/>
      <c r="C147" s="281"/>
      <c r="D147" s="281"/>
      <c r="E147" s="281"/>
      <c r="F147" s="281"/>
      <c r="G147" s="281"/>
      <c r="H147" s="281"/>
      <c r="I147" s="281"/>
      <c r="N147" s="81"/>
    </row>
    <row r="148" spans="1:14" s="79" customFormat="1" x14ac:dyDescent="0.2">
      <c r="A148" s="356" t="str">
        <f>'0664'!A148</f>
        <v>(g) Numbers entered here will be multiplied by the district level transportation funding per rider. "All Adjusted Fundable Riders" should include both basic and ESE Riders.</v>
      </c>
      <c r="B148" s="281"/>
      <c r="C148" s="281"/>
      <c r="D148" s="281"/>
      <c r="E148" s="281"/>
      <c r="F148" s="281"/>
      <c r="G148" s="281"/>
      <c r="H148" s="281"/>
      <c r="I148" s="281"/>
      <c r="N148" s="81"/>
    </row>
    <row r="149" spans="1:14" s="79" customFormat="1" x14ac:dyDescent="0.2">
      <c r="A149" s="390" t="str">
        <f>'0664'!A149</f>
        <v>"All Adjusted ESE Riders" should include only ESE Riders.</v>
      </c>
      <c r="B149" s="281"/>
      <c r="C149" s="281"/>
      <c r="D149" s="281"/>
      <c r="E149" s="281"/>
      <c r="F149" s="281"/>
      <c r="G149" s="281"/>
      <c r="H149" s="281"/>
      <c r="I149" s="281"/>
      <c r="N149" s="81"/>
    </row>
    <row r="150" spans="1:14" s="79" customFormat="1" x14ac:dyDescent="0.2">
      <c r="A150" s="356" t="str">
        <f>'0664'!A150</f>
        <v xml:space="preserve">(h) The Federally Connected Student Supplement provides additional funding for students on federal lands that receive Section 8003 impact aide pursuant to s. 1011.62(13), F.S. </v>
      </c>
      <c r="B150" s="281"/>
      <c r="C150" s="281"/>
      <c r="D150" s="281"/>
      <c r="E150" s="281"/>
      <c r="F150" s="281"/>
      <c r="G150" s="281"/>
      <c r="H150" s="281"/>
      <c r="I150" s="281"/>
      <c r="N150" s="81"/>
    </row>
    <row r="151" spans="1:14" s="79" customFormat="1" x14ac:dyDescent="0.2">
      <c r="A151" s="356" t="str">
        <f>'0664'!A151</f>
        <v>(i) Teacher Classroom Supply Assistance Program allocation pursuant to s. 1012.71, F.S., for certified teachers employed by a public school district or public charter school</v>
      </c>
      <c r="B151" s="281"/>
      <c r="C151" s="281"/>
      <c r="D151" s="281"/>
      <c r="E151" s="281"/>
      <c r="F151" s="281"/>
      <c r="G151" s="281"/>
      <c r="H151" s="281"/>
      <c r="I151" s="281"/>
      <c r="N151" s="81"/>
    </row>
    <row r="152" spans="1:14" s="79" customFormat="1" x14ac:dyDescent="0.2">
      <c r="A152" s="358" t="str">
        <f>'0664'!A152</f>
        <v xml:space="preserve">before September 1 of each year whose full-time or job-share responsibility is the classroom instruction of students in prekindergarten through grade 12, including </v>
      </c>
      <c r="B152" s="281"/>
      <c r="C152" s="281"/>
      <c r="D152" s="281"/>
      <c r="E152" s="281"/>
      <c r="F152" s="281"/>
      <c r="G152" s="281"/>
      <c r="H152" s="281"/>
      <c r="I152" s="281"/>
      <c r="N152" s="81"/>
    </row>
    <row r="153" spans="1:14" s="79" customFormat="1" ht="15.75" customHeight="1" x14ac:dyDescent="0.2">
      <c r="A153" s="358" t="str">
        <f>'0664'!A153</f>
        <v>full-time media specialists and certified school counselors serving students in prekindergarten through grade 12, who are funded through the FEFP.</v>
      </c>
      <c r="B153" s="281"/>
      <c r="C153" s="281"/>
      <c r="D153" s="281"/>
      <c r="E153" s="281"/>
      <c r="F153" s="281"/>
      <c r="G153" s="281"/>
      <c r="H153" s="281"/>
      <c r="I153" s="281"/>
      <c r="N153" s="81"/>
    </row>
    <row r="154" spans="1:14" s="79" customFormat="1" ht="15.75" customHeight="1" x14ac:dyDescent="0.2">
      <c r="A154" s="356" t="str">
        <f>'0664'!A154</f>
        <v xml:space="preserve">(j) Funding based on student eligibility and meals provided, if participating in the National School Lunch Program. </v>
      </c>
      <c r="B154" s="328"/>
      <c r="C154" s="328"/>
      <c r="D154" s="328"/>
      <c r="E154" s="328"/>
      <c r="F154" s="328"/>
      <c r="G154" s="328"/>
      <c r="H154" s="328"/>
      <c r="I154" s="328"/>
      <c r="N154" s="81"/>
    </row>
    <row r="155" spans="1:14" s="79" customFormat="1" ht="15.75" customHeight="1" x14ac:dyDescent="0.2">
      <c r="A155" s="356" t="str">
        <f>'0664'!A155</f>
        <v>(k) Consistent with s. 1002.33(20)(a), F.S., for charter schools with a population of 75% or more ESE students, the administrative fee shall be calculated based on</v>
      </c>
      <c r="B155" s="381"/>
      <c r="C155" s="381"/>
      <c r="D155" s="381"/>
      <c r="E155" s="381"/>
      <c r="F155" s="381"/>
      <c r="G155" s="381"/>
      <c r="H155" s="381"/>
      <c r="I155" s="381"/>
      <c r="N155" s="81"/>
    </row>
    <row r="156" spans="1:14" s="79" customFormat="1" ht="15.75" customHeight="1" x14ac:dyDescent="0.2">
      <c r="A156" s="390" t="str">
        <f>'0664'!A156</f>
        <v xml:space="preserve">unweighted full-time equivalent students. </v>
      </c>
      <c r="B156" s="381"/>
      <c r="C156" s="381"/>
      <c r="D156" s="381"/>
      <c r="E156" s="381"/>
      <c r="F156" s="381"/>
      <c r="G156" s="381"/>
      <c r="H156" s="381"/>
      <c r="I156" s="381"/>
      <c r="N156" s="81"/>
    </row>
    <row r="157" spans="1:14" s="79" customFormat="1" ht="15.75" customHeight="1" x14ac:dyDescent="0.2">
      <c r="A157" s="356"/>
      <c r="B157" s="381"/>
      <c r="C157" s="381"/>
      <c r="D157" s="381"/>
      <c r="E157" s="381"/>
      <c r="F157" s="381"/>
      <c r="G157" s="381"/>
      <c r="H157" s="381"/>
      <c r="I157" s="381"/>
      <c r="N157" s="81"/>
    </row>
    <row r="158" spans="1:14" s="79" customFormat="1" ht="15.75" customHeight="1" x14ac:dyDescent="0.25">
      <c r="A158" s="398" t="str">
        <f>'0664'!A158</f>
        <v>Administrative fees:</v>
      </c>
      <c r="B158" s="328"/>
      <c r="C158" s="328"/>
      <c r="D158" s="328"/>
      <c r="E158" s="328"/>
      <c r="F158" s="328"/>
      <c r="G158" s="328"/>
      <c r="H158" s="328"/>
      <c r="I158" s="328"/>
      <c r="J158" s="3"/>
      <c r="K158" s="3"/>
      <c r="L158" s="3"/>
      <c r="M158" s="3"/>
      <c r="N158" s="81"/>
    </row>
    <row r="159" spans="1:14" s="79" customFormat="1" ht="15.75" customHeight="1" x14ac:dyDescent="0.25">
      <c r="A159" s="399" t="str">
        <f>'0664'!A159</f>
        <v xml:space="preserve">Administrative fees charged by the school district pursuant to s. 1002.33(20)(a), F.S., shall be calculated based upon 5% of available funds from the FEFP and categorical </v>
      </c>
      <c r="B159" s="328"/>
      <c r="C159" s="328"/>
      <c r="D159" s="328"/>
      <c r="E159" s="328"/>
      <c r="F159" s="328"/>
      <c r="G159" s="328"/>
      <c r="H159" s="328"/>
      <c r="I159" s="328"/>
      <c r="J159" s="3"/>
      <c r="K159" s="3"/>
      <c r="L159" s="3"/>
      <c r="M159" s="3"/>
      <c r="N159" s="81"/>
    </row>
    <row r="160" spans="1:14" s="79" customFormat="1" ht="15.75" customHeight="1" x14ac:dyDescent="0.25">
      <c r="A160" s="400" t="str">
        <f>'0664'!A160</f>
        <v>funding for which charter students may be eligible.  To calculate the administrative fee to be withheld for schools with more than 250 students, divide the school</v>
      </c>
      <c r="B160" s="328"/>
      <c r="C160" s="328"/>
      <c r="D160" s="328"/>
      <c r="E160" s="328"/>
      <c r="F160" s="328"/>
      <c r="G160" s="328"/>
      <c r="H160" s="328"/>
      <c r="I160" s="328"/>
      <c r="J160" s="3"/>
      <c r="K160" s="3"/>
      <c r="L160" s="3"/>
      <c r="M160" s="3"/>
      <c r="N160" s="81"/>
    </row>
    <row r="161" spans="1:21" s="79" customFormat="1" ht="15.75" customHeight="1" x14ac:dyDescent="0.25">
      <c r="A161" s="400" t="str">
        <f>'0664'!A161</f>
        <v xml:space="preserve">population into 250. Multiply that fraction times the funds available, then times 5%.  </v>
      </c>
      <c r="B161" s="328"/>
      <c r="C161" s="328"/>
      <c r="D161" s="328"/>
      <c r="E161" s="328"/>
      <c r="F161" s="328"/>
      <c r="G161" s="328"/>
      <c r="H161" s="328"/>
      <c r="I161" s="328"/>
      <c r="J161" s="3"/>
      <c r="K161" s="3"/>
      <c r="L161" s="3"/>
      <c r="M161" s="3"/>
      <c r="N161" s="81"/>
    </row>
    <row r="162" spans="1:21" s="79" customFormat="1" ht="15.75" customHeight="1" x14ac:dyDescent="0.25">
      <c r="A162" s="399"/>
      <c r="B162" s="394"/>
      <c r="C162" s="394"/>
      <c r="D162" s="394"/>
      <c r="E162" s="394"/>
      <c r="F162" s="394"/>
      <c r="G162" s="394"/>
      <c r="H162" s="394"/>
      <c r="I162" s="394"/>
      <c r="N162" s="77"/>
      <c r="O162" s="3"/>
      <c r="P162" s="3"/>
      <c r="Q162" s="3"/>
      <c r="R162" s="3"/>
      <c r="S162" s="3"/>
      <c r="T162" s="3"/>
      <c r="U162" s="3"/>
    </row>
    <row r="163" spans="1:21" ht="15.75" customHeight="1" x14ac:dyDescent="0.25">
      <c r="A163" s="399" t="str">
        <f>'0664'!A163</f>
        <v xml:space="preserve">For high performing charter schools, administrative fees charged by the school district shall be calculated based upon 2% of available funds from the FEFP and categorical </v>
      </c>
      <c r="B163" s="328"/>
      <c r="C163" s="328"/>
      <c r="D163" s="328"/>
      <c r="E163" s="328"/>
      <c r="F163" s="328"/>
      <c r="G163" s="328"/>
      <c r="H163" s="328"/>
      <c r="I163" s="328"/>
      <c r="J163" s="79"/>
      <c r="K163" s="79"/>
      <c r="L163" s="79"/>
      <c r="M163" s="79"/>
      <c r="N163" s="81"/>
      <c r="O163" s="79"/>
      <c r="P163" s="79"/>
      <c r="Q163" s="79"/>
      <c r="R163" s="79"/>
      <c r="S163" s="79"/>
      <c r="T163" s="79"/>
      <c r="U163" s="79"/>
    </row>
    <row r="164" spans="1:21" ht="15.75" customHeight="1" x14ac:dyDescent="0.25">
      <c r="A164" s="400" t="str">
        <f>'0664'!A164</f>
        <v>funding for which charter students may be eligible.  To calculate the administrative fee to be withheld for schools with more than 250 students, divide the school</v>
      </c>
      <c r="B164" s="381"/>
      <c r="C164" s="381"/>
      <c r="D164" s="381"/>
      <c r="E164" s="381"/>
      <c r="F164" s="381"/>
      <c r="G164" s="381"/>
      <c r="H164" s="381"/>
      <c r="I164" s="381"/>
      <c r="J164" s="79"/>
      <c r="K164" s="79"/>
      <c r="L164" s="79"/>
      <c r="M164" s="79"/>
      <c r="N164" s="81"/>
      <c r="O164" s="79"/>
      <c r="P164" s="79"/>
      <c r="Q164" s="79"/>
      <c r="R164" s="79"/>
      <c r="S164" s="79"/>
      <c r="T164" s="79"/>
      <c r="U164" s="79"/>
    </row>
    <row r="165" spans="1:21" s="79" customFormat="1" ht="15.75" customHeight="1" x14ac:dyDescent="0.2">
      <c r="A165" s="400" t="str">
        <f>'0664'!A165</f>
        <v xml:space="preserve">population into 250. Multiply that fraction times the funds available, then times 2%.  </v>
      </c>
      <c r="B165" s="328"/>
      <c r="C165" s="328"/>
      <c r="D165" s="328"/>
      <c r="E165" s="328"/>
      <c r="F165" s="328"/>
      <c r="G165" s="328"/>
      <c r="H165" s="328"/>
      <c r="I165" s="328"/>
      <c r="N165" s="81"/>
    </row>
    <row r="166" spans="1:21" x14ac:dyDescent="0.25">
      <c r="A166" s="356"/>
      <c r="N166" s="77"/>
    </row>
    <row r="167" spans="1:21" x14ac:dyDescent="0.25">
      <c r="A167" s="398" t="str">
        <f>'0664'!A167</f>
        <v>Other:</v>
      </c>
      <c r="N167" s="77"/>
    </row>
    <row r="168" spans="1:21" x14ac:dyDescent="0.25">
      <c r="A168" s="399" t="str">
        <f>'0664'!A168</f>
        <v>FEFP and categorical funding are recalculated during the year to reflect the revised number of full-time equivalent students reported during the survey periods designated</v>
      </c>
      <c r="N168" s="77"/>
    </row>
    <row r="169" spans="1:21" x14ac:dyDescent="0.25">
      <c r="A169" s="402" t="str">
        <f>'0664'!A169</f>
        <v>by the Commissioner of Education.</v>
      </c>
      <c r="N169" s="77"/>
    </row>
    <row r="170" spans="1:21" x14ac:dyDescent="0.25">
      <c r="A170" s="399" t="str">
        <f>'0664'!A170</f>
        <v>Revenues flow to districts from state sources and from county tax collectors on various distribution schedules.</v>
      </c>
      <c r="N170" s="77"/>
    </row>
    <row r="171" spans="1:21" x14ac:dyDescent="0.25">
      <c r="A171" s="77"/>
      <c r="N171" s="77"/>
    </row>
    <row r="172" spans="1:21" x14ac:dyDescent="0.25">
      <c r="A172" s="77"/>
      <c r="N172" s="77"/>
    </row>
    <row r="173" spans="1:21" x14ac:dyDescent="0.25">
      <c r="A173" s="77"/>
      <c r="N173" s="77"/>
    </row>
    <row r="174" spans="1:21" x14ac:dyDescent="0.25">
      <c r="A174" s="77"/>
      <c r="N174" s="77"/>
    </row>
    <row r="175" spans="1:21" x14ac:dyDescent="0.25">
      <c r="A175" s="77"/>
      <c r="N175" s="77"/>
    </row>
    <row r="176" spans="1:21" x14ac:dyDescent="0.25">
      <c r="A176" s="77"/>
      <c r="N176" s="77"/>
    </row>
    <row r="177" spans="1:14" x14ac:dyDescent="0.25">
      <c r="A177" s="77"/>
      <c r="N177" s="77"/>
    </row>
    <row r="178" spans="1:14" x14ac:dyDescent="0.25">
      <c r="A178" s="77"/>
      <c r="N178" s="77"/>
    </row>
    <row r="179" spans="1:14" x14ac:dyDescent="0.25">
      <c r="A179" s="77"/>
      <c r="N179" s="77"/>
    </row>
    <row r="180" spans="1:14" x14ac:dyDescent="0.25">
      <c r="A180" s="77"/>
      <c r="N180" s="77"/>
    </row>
    <row r="181" spans="1:14" x14ac:dyDescent="0.25">
      <c r="A181" s="77"/>
      <c r="N181" s="77"/>
    </row>
    <row r="182" spans="1:14" x14ac:dyDescent="0.25">
      <c r="A182" s="77"/>
      <c r="N182" s="77"/>
    </row>
    <row r="183" spans="1:14" x14ac:dyDescent="0.25">
      <c r="A183" s="77"/>
      <c r="N183" s="77"/>
    </row>
    <row r="184" spans="1:14" x14ac:dyDescent="0.25">
      <c r="A184" s="77"/>
      <c r="N184" s="77"/>
    </row>
    <row r="185" spans="1:14" x14ac:dyDescent="0.25">
      <c r="A185" s="77"/>
      <c r="N185" s="77"/>
    </row>
    <row r="186" spans="1:14" x14ac:dyDescent="0.25">
      <c r="A186" s="77"/>
      <c r="N186" s="77"/>
    </row>
    <row r="187" spans="1:14" x14ac:dyDescent="0.25">
      <c r="A187" s="77"/>
      <c r="N187" s="77"/>
    </row>
    <row r="188" spans="1:14" x14ac:dyDescent="0.25">
      <c r="A188" s="77"/>
    </row>
    <row r="189" spans="1:14" x14ac:dyDescent="0.25">
      <c r="A189" s="77"/>
    </row>
    <row r="190" spans="1:14" x14ac:dyDescent="0.25">
      <c r="A190" s="77"/>
    </row>
    <row r="191" spans="1:14" x14ac:dyDescent="0.25">
      <c r="A191" s="77"/>
    </row>
    <row r="192" spans="1:14" x14ac:dyDescent="0.25">
      <c r="A192" s="77"/>
    </row>
    <row r="193" spans="1:1" x14ac:dyDescent="0.25">
      <c r="A193" s="77"/>
    </row>
    <row r="194" spans="1:1" x14ac:dyDescent="0.25">
      <c r="A194" s="77"/>
    </row>
    <row r="195" spans="1:1" x14ac:dyDescent="0.25">
      <c r="A195" s="77"/>
    </row>
    <row r="196" spans="1:1" x14ac:dyDescent="0.25">
      <c r="A196" s="77"/>
    </row>
    <row r="197" spans="1:1" x14ac:dyDescent="0.25">
      <c r="A197" s="77"/>
    </row>
    <row r="198" spans="1:1" x14ac:dyDescent="0.25">
      <c r="A198" s="77"/>
    </row>
    <row r="199" spans="1:1" x14ac:dyDescent="0.25">
      <c r="A199" s="77"/>
    </row>
    <row r="200" spans="1:1" x14ac:dyDescent="0.25">
      <c r="A200" s="77"/>
    </row>
    <row r="201" spans="1:1" x14ac:dyDescent="0.25">
      <c r="A201" s="77"/>
    </row>
    <row r="202" spans="1:1" x14ac:dyDescent="0.25">
      <c r="A202" s="77"/>
    </row>
    <row r="203" spans="1:1" x14ac:dyDescent="0.25">
      <c r="A203" s="77"/>
    </row>
    <row r="204" spans="1:1" x14ac:dyDescent="0.25">
      <c r="A204" s="77"/>
    </row>
    <row r="205" spans="1:1" x14ac:dyDescent="0.25">
      <c r="A205" s="77"/>
    </row>
    <row r="206" spans="1:1" x14ac:dyDescent="0.25">
      <c r="A206" s="77"/>
    </row>
  </sheetData>
  <mergeCells count="266">
    <mergeCell ref="A112:C112"/>
    <mergeCell ref="F112:H112"/>
    <mergeCell ref="N112:P112"/>
    <mergeCell ref="A109:B109"/>
    <mergeCell ref="F109:G109"/>
    <mergeCell ref="N109:O109"/>
    <mergeCell ref="P109:Q109"/>
    <mergeCell ref="N139:U139"/>
    <mergeCell ref="N119:U119"/>
    <mergeCell ref="N113:P113"/>
    <mergeCell ref="A113:C113"/>
    <mergeCell ref="F113:H113"/>
    <mergeCell ref="N114:T114"/>
    <mergeCell ref="A115:H115"/>
    <mergeCell ref="A119:G119"/>
    <mergeCell ref="N120:U120"/>
    <mergeCell ref="A120:G120"/>
    <mergeCell ref="R109:S109"/>
    <mergeCell ref="A110:B110"/>
    <mergeCell ref="N110:O110"/>
    <mergeCell ref="A107:B107"/>
    <mergeCell ref="F107:G107"/>
    <mergeCell ref="N107:O107"/>
    <mergeCell ref="P107:Q107"/>
    <mergeCell ref="R107:S107"/>
    <mergeCell ref="A108:B108"/>
    <mergeCell ref="F108:G108"/>
    <mergeCell ref="N108:O108"/>
    <mergeCell ref="P108:Q108"/>
    <mergeCell ref="R108:S108"/>
    <mergeCell ref="A103:C103"/>
    <mergeCell ref="F103:I103"/>
    <mergeCell ref="N103:U103"/>
    <mergeCell ref="C104:E104"/>
    <mergeCell ref="F105:G105"/>
    <mergeCell ref="A106:B106"/>
    <mergeCell ref="F106:G106"/>
    <mergeCell ref="N106:O106"/>
    <mergeCell ref="P106:Q106"/>
    <mergeCell ref="R106:S106"/>
    <mergeCell ref="A99:B99"/>
    <mergeCell ref="N99:O99"/>
    <mergeCell ref="P99:R99"/>
    <mergeCell ref="A100:B100"/>
    <mergeCell ref="N100:O100"/>
    <mergeCell ref="P100:R100"/>
    <mergeCell ref="C91:D91"/>
    <mergeCell ref="P91:Q91"/>
    <mergeCell ref="C92:D92"/>
    <mergeCell ref="P92:Q92"/>
    <mergeCell ref="C93:D93"/>
    <mergeCell ref="P93:T93"/>
    <mergeCell ref="A94:I94"/>
    <mergeCell ref="N94:U94"/>
    <mergeCell ref="F96:I96"/>
    <mergeCell ref="N96:P96"/>
    <mergeCell ref="Q96:T96"/>
    <mergeCell ref="A87:I87"/>
    <mergeCell ref="N87:U87"/>
    <mergeCell ref="C88:D88"/>
    <mergeCell ref="C89:D89"/>
    <mergeCell ref="N89:O89"/>
    <mergeCell ref="P89:Q89"/>
    <mergeCell ref="R89:U89"/>
    <mergeCell ref="C90:D90"/>
    <mergeCell ref="P90:Q90"/>
    <mergeCell ref="A80:C80"/>
    <mergeCell ref="N80:P80"/>
    <mergeCell ref="A85:C85"/>
    <mergeCell ref="N85:P85"/>
    <mergeCell ref="F73:H73"/>
    <mergeCell ref="N73:T73"/>
    <mergeCell ref="N74:T74"/>
    <mergeCell ref="A78:C78"/>
    <mergeCell ref="N78:P78"/>
    <mergeCell ref="A79:C79"/>
    <mergeCell ref="A69:C69"/>
    <mergeCell ref="N69:P69"/>
    <mergeCell ref="N79:P79"/>
    <mergeCell ref="A76:C76"/>
    <mergeCell ref="N76:P76"/>
    <mergeCell ref="A77:C77"/>
    <mergeCell ref="A70:C70"/>
    <mergeCell ref="A71:C71"/>
    <mergeCell ref="N71:P71"/>
    <mergeCell ref="A72:C72"/>
    <mergeCell ref="N77:P77"/>
    <mergeCell ref="N72:P72"/>
    <mergeCell ref="A65:B65"/>
    <mergeCell ref="D65:G65"/>
    <mergeCell ref="N65:O65"/>
    <mergeCell ref="Q65:S65"/>
    <mergeCell ref="T65:U65"/>
    <mergeCell ref="N66:S66"/>
    <mergeCell ref="T66:U66"/>
    <mergeCell ref="A68:C68"/>
    <mergeCell ref="N68:P68"/>
    <mergeCell ref="A62:B62"/>
    <mergeCell ref="D62:G62"/>
    <mergeCell ref="N62:O62"/>
    <mergeCell ref="Q62:S62"/>
    <mergeCell ref="T62:U62"/>
    <mergeCell ref="N63:S63"/>
    <mergeCell ref="T63:U63"/>
    <mergeCell ref="A64:I64"/>
    <mergeCell ref="N64:U64"/>
    <mergeCell ref="A59:B59"/>
    <mergeCell ref="F59:H59"/>
    <mergeCell ref="N59:O59"/>
    <mergeCell ref="P59:Q59"/>
    <mergeCell ref="R59:T59"/>
    <mergeCell ref="A60:I60"/>
    <mergeCell ref="N60:U60"/>
    <mergeCell ref="A61:I61"/>
    <mergeCell ref="N61:U61"/>
    <mergeCell ref="A50:B58"/>
    <mergeCell ref="N50:O58"/>
    <mergeCell ref="P50:Q50"/>
    <mergeCell ref="P51:Q51"/>
    <mergeCell ref="P52:Q52"/>
    <mergeCell ref="P53:Q53"/>
    <mergeCell ref="P54:Q54"/>
    <mergeCell ref="P55:Q55"/>
    <mergeCell ref="P56:Q56"/>
    <mergeCell ref="P57:Q57"/>
    <mergeCell ref="P58:Q58"/>
    <mergeCell ref="A42:B42"/>
    <mergeCell ref="N42:O42"/>
    <mergeCell ref="P42:T42"/>
    <mergeCell ref="N43:Q43"/>
    <mergeCell ref="S43:T43"/>
    <mergeCell ref="N45:Q45"/>
    <mergeCell ref="S45:T45"/>
    <mergeCell ref="N49:O49"/>
    <mergeCell ref="P49:Q49"/>
    <mergeCell ref="A39:B39"/>
    <mergeCell ref="N39:O39"/>
    <mergeCell ref="P39:T39"/>
    <mergeCell ref="A40:B40"/>
    <mergeCell ref="N40:O40"/>
    <mergeCell ref="P40:T40"/>
    <mergeCell ref="A41:B41"/>
    <mergeCell ref="N41:O41"/>
    <mergeCell ref="P41:T41"/>
    <mergeCell ref="N34:T34"/>
    <mergeCell ref="A36:B36"/>
    <mergeCell ref="N36:O36"/>
    <mergeCell ref="P36:T36"/>
    <mergeCell ref="A37:B37"/>
    <mergeCell ref="N37:O37"/>
    <mergeCell ref="P37:T37"/>
    <mergeCell ref="F33:H36"/>
    <mergeCell ref="A38:B38"/>
    <mergeCell ref="N38:O38"/>
    <mergeCell ref="P38:T38"/>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5:B25"/>
    <mergeCell ref="A27:B27"/>
    <mergeCell ref="F27:G27"/>
    <mergeCell ref="N27:O27"/>
    <mergeCell ref="P27:Q27"/>
    <mergeCell ref="R27:S27"/>
    <mergeCell ref="A24:B24"/>
    <mergeCell ref="F24:G24"/>
    <mergeCell ref="N24:O24"/>
    <mergeCell ref="P24:Q24"/>
    <mergeCell ref="R24:S24"/>
    <mergeCell ref="A23:B23"/>
    <mergeCell ref="F23:G23"/>
    <mergeCell ref="F25:G25"/>
    <mergeCell ref="N25:O25"/>
    <mergeCell ref="P25:Q25"/>
    <mergeCell ref="R25:S25"/>
    <mergeCell ref="A22:B22"/>
    <mergeCell ref="F22:G22"/>
    <mergeCell ref="N22:O22"/>
    <mergeCell ref="P22:Q22"/>
    <mergeCell ref="R22:S22"/>
    <mergeCell ref="A21:B21"/>
    <mergeCell ref="F21:G21"/>
    <mergeCell ref="N23:O23"/>
    <mergeCell ref="P23:Q23"/>
    <mergeCell ref="R23:S23"/>
    <mergeCell ref="A20:B20"/>
    <mergeCell ref="F20:G20"/>
    <mergeCell ref="N20:O20"/>
    <mergeCell ref="P20:Q20"/>
    <mergeCell ref="R20:S20"/>
    <mergeCell ref="A19:B19"/>
    <mergeCell ref="F19:G19"/>
    <mergeCell ref="N21:O21"/>
    <mergeCell ref="P21:Q21"/>
    <mergeCell ref="R21:S21"/>
    <mergeCell ref="A18:B18"/>
    <mergeCell ref="F18:G18"/>
    <mergeCell ref="N18:O18"/>
    <mergeCell ref="P18:Q18"/>
    <mergeCell ref="R18:S18"/>
    <mergeCell ref="A17:B17"/>
    <mergeCell ref="F17:G17"/>
    <mergeCell ref="N19:O19"/>
    <mergeCell ref="P19:Q19"/>
    <mergeCell ref="R19:S19"/>
    <mergeCell ref="A16:B16"/>
    <mergeCell ref="F16:G16"/>
    <mergeCell ref="N16:O16"/>
    <mergeCell ref="P16:Q16"/>
    <mergeCell ref="R16:S16"/>
    <mergeCell ref="A15:B15"/>
    <mergeCell ref="F15:G15"/>
    <mergeCell ref="N17:O17"/>
    <mergeCell ref="P17:Q17"/>
    <mergeCell ref="R17:S17"/>
    <mergeCell ref="A14:B14"/>
    <mergeCell ref="F14:G14"/>
    <mergeCell ref="N14:O14"/>
    <mergeCell ref="P14:Q14"/>
    <mergeCell ref="R14:S14"/>
    <mergeCell ref="A13:B13"/>
    <mergeCell ref="F13:G13"/>
    <mergeCell ref="N15:O15"/>
    <mergeCell ref="P15:Q15"/>
    <mergeCell ref="R15:S15"/>
    <mergeCell ref="A12:B12"/>
    <mergeCell ref="F12:G12"/>
    <mergeCell ref="N12:O12"/>
    <mergeCell ref="P12:Q12"/>
    <mergeCell ref="R12:S12"/>
    <mergeCell ref="A11:B11"/>
    <mergeCell ref="F11:G11"/>
    <mergeCell ref="N13:O13"/>
    <mergeCell ref="P13:Q13"/>
    <mergeCell ref="R13:S13"/>
    <mergeCell ref="N8:O8"/>
    <mergeCell ref="P8:Q8"/>
    <mergeCell ref="R8:S8"/>
    <mergeCell ref="T8:U8"/>
    <mergeCell ref="F10:G10"/>
    <mergeCell ref="R10:S10"/>
    <mergeCell ref="A7:I7"/>
    <mergeCell ref="N11:O11"/>
    <mergeCell ref="P11:Q11"/>
    <mergeCell ref="R11:S11"/>
    <mergeCell ref="O1:U1"/>
    <mergeCell ref="N2:U2"/>
    <mergeCell ref="N3:U3"/>
    <mergeCell ref="A4:B4"/>
    <mergeCell ref="C4:E4"/>
    <mergeCell ref="N4:O4"/>
    <mergeCell ref="P4:Q4"/>
    <mergeCell ref="B1:I1"/>
    <mergeCell ref="N7:U7"/>
  </mergeCells>
  <pageMargins left="0.1" right="0.1" top="0.5" bottom="0.5" header="0" footer="0.1"/>
  <pageSetup scale="70" fitToHeight="3" orientation="portrait" r:id="rId1"/>
  <headerFooter alignWithMargins="0">
    <oddFooter>&amp;R&amp;P of &amp;N</oddFooter>
  </headerFooter>
  <rowBreaks count="1" manualBreakCount="1">
    <brk id="138" max="16383" man="1"/>
  </rowBreaks>
  <colBreaks count="1" manualBreakCount="1">
    <brk id="9" max="1048575" man="1"/>
  </colBreaks>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1">
    <tabColor rgb="FFCCFFCC"/>
  </sheetPr>
  <dimension ref="A1:U206"/>
  <sheetViews>
    <sheetView showGridLines="0" zoomScaleNormal="100" workbookViewId="0">
      <pane ySplit="1" topLeftCell="A11" activePane="bottomLeft" state="frozen"/>
      <selection activeCell="I9" sqref="I9"/>
      <selection pane="bottomLeft" activeCell="D50" sqref="D50:D57"/>
    </sheetView>
  </sheetViews>
  <sheetFormatPr defaultRowHeight="15.75" x14ac:dyDescent="0.25"/>
  <cols>
    <col min="1" max="1" width="10.28515625" style="72"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72"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5">
        <v>50</v>
      </c>
      <c r="B1" s="441" t="s">
        <v>17</v>
      </c>
      <c r="C1" s="442"/>
      <c r="D1" s="442"/>
      <c r="E1" s="442"/>
      <c r="F1" s="442"/>
      <c r="G1" s="442"/>
      <c r="H1" s="442"/>
      <c r="I1" s="442"/>
      <c r="J1" s="157"/>
      <c r="K1" s="157"/>
      <c r="L1" s="157"/>
      <c r="N1" s="85">
        <f>A1</f>
        <v>50</v>
      </c>
      <c r="O1" s="527" t="s">
        <v>17</v>
      </c>
      <c r="P1" s="528"/>
      <c r="Q1" s="528"/>
      <c r="R1" s="528"/>
      <c r="S1" s="528"/>
      <c r="T1" s="528"/>
      <c r="U1" s="528"/>
    </row>
    <row r="2" spans="1:21" ht="21" x14ac:dyDescent="0.35">
      <c r="A2" s="1" t="s">
        <v>391</v>
      </c>
      <c r="B2" s="2"/>
      <c r="C2" s="2"/>
      <c r="D2" s="2"/>
      <c r="E2" s="2"/>
      <c r="F2" s="2"/>
      <c r="G2" s="2"/>
      <c r="H2" s="2"/>
      <c r="I2" s="2"/>
      <c r="N2" s="529" t="s">
        <v>23</v>
      </c>
      <c r="O2" s="529"/>
      <c r="P2" s="529"/>
      <c r="Q2" s="529"/>
      <c r="R2" s="529"/>
      <c r="S2" s="529"/>
      <c r="T2" s="529"/>
      <c r="U2" s="529"/>
    </row>
    <row r="3" spans="1:21" x14ac:dyDescent="0.25">
      <c r="A3" s="84" t="str">
        <f>'0664'!A3</f>
        <v>Based on the FLDOE 2022-23 FEFP Third Calculation</v>
      </c>
      <c r="N3" s="485" t="str">
        <f>A3</f>
        <v>Based on the FLDOE 2022-23 FEFP Third Calculation</v>
      </c>
      <c r="O3" s="485"/>
      <c r="P3" s="485"/>
      <c r="Q3" s="485"/>
      <c r="R3" s="485"/>
      <c r="S3" s="485"/>
      <c r="T3" s="485"/>
      <c r="U3" s="485"/>
    </row>
    <row r="4" spans="1:21" x14ac:dyDescent="0.25">
      <c r="A4" s="443" t="s">
        <v>0</v>
      </c>
      <c r="B4" s="443"/>
      <c r="C4" s="444" t="s">
        <v>9</v>
      </c>
      <c r="D4" s="444"/>
      <c r="E4" s="444"/>
      <c r="F4" s="4" t="str">
        <f>'0664'!F4</f>
        <v>Apr 2023</v>
      </c>
      <c r="G4" s="4"/>
      <c r="H4" s="4"/>
      <c r="I4" s="4"/>
      <c r="N4" s="530" t="s">
        <v>0</v>
      </c>
      <c r="O4" s="530"/>
      <c r="P4" s="531" t="str">
        <f>C4</f>
        <v>Palm Beach</v>
      </c>
      <c r="Q4" s="531"/>
      <c r="R4" s="5"/>
      <c r="S4" s="5"/>
      <c r="T4" s="5"/>
      <c r="U4" s="5"/>
    </row>
    <row r="5" spans="1:21" ht="12" customHeight="1" thickBot="1" x14ac:dyDescent="0.3">
      <c r="A5" s="262"/>
      <c r="B5" s="262"/>
      <c r="C5" s="253"/>
      <c r="D5" s="253"/>
      <c r="E5" s="253"/>
      <c r="F5" s="254"/>
      <c r="G5" s="254"/>
      <c r="H5" s="254"/>
      <c r="I5" s="254"/>
      <c r="N5" s="86"/>
      <c r="O5" s="86"/>
      <c r="P5" s="6"/>
      <c r="Q5" s="6"/>
      <c r="R5" s="5"/>
      <c r="S5" s="5"/>
      <c r="T5" s="5"/>
      <c r="U5" s="5"/>
    </row>
    <row r="6" spans="1:21" ht="12" customHeight="1" x14ac:dyDescent="0.25">
      <c r="A6" s="150"/>
      <c r="B6" s="150"/>
      <c r="C6" s="261"/>
      <c r="D6" s="261"/>
      <c r="E6" s="261"/>
      <c r="F6" s="4"/>
      <c r="G6" s="4"/>
      <c r="H6" s="4"/>
      <c r="I6" s="4"/>
      <c r="N6" s="86"/>
      <c r="O6" s="86"/>
      <c r="P6" s="6"/>
      <c r="Q6" s="6"/>
      <c r="R6" s="5"/>
      <c r="S6" s="5"/>
      <c r="T6" s="5"/>
      <c r="U6" s="5"/>
    </row>
    <row r="7" spans="1:21" x14ac:dyDescent="0.25">
      <c r="A7" s="445" t="str">
        <f>'0664'!A7:I7</f>
        <v>1.   2022-23 FEFP State and Local Funding</v>
      </c>
      <c r="B7" s="533"/>
      <c r="C7" s="533"/>
      <c r="D7" s="533"/>
      <c r="E7" s="533"/>
      <c r="F7" s="533"/>
      <c r="G7" s="533"/>
      <c r="H7" s="533"/>
      <c r="I7" s="533"/>
      <c r="N7" s="530" t="s">
        <v>86</v>
      </c>
      <c r="O7" s="530"/>
      <c r="P7" s="530"/>
      <c r="Q7" s="530"/>
      <c r="R7" s="530"/>
      <c r="S7" s="530"/>
      <c r="T7" s="530"/>
      <c r="U7" s="530"/>
    </row>
    <row r="8" spans="1:21" x14ac:dyDescent="0.25">
      <c r="A8" s="87"/>
      <c r="B8" s="88" t="s">
        <v>123</v>
      </c>
      <c r="C8" s="334">
        <f>'0664'!C8</f>
        <v>4587.3999999999996</v>
      </c>
      <c r="D8" s="89"/>
      <c r="E8" s="90"/>
      <c r="F8" s="87"/>
      <c r="G8" s="88" t="s">
        <v>122</v>
      </c>
      <c r="H8" s="320">
        <f>'0664'!H8</f>
        <v>1.0438000000000001</v>
      </c>
      <c r="I8" s="78"/>
      <c r="N8" s="534" t="s">
        <v>10</v>
      </c>
      <c r="O8" s="534"/>
      <c r="P8" s="535">
        <v>4154.45</v>
      </c>
      <c r="Q8" s="535"/>
      <c r="R8" s="518" t="s">
        <v>11</v>
      </c>
      <c r="S8" s="518"/>
      <c r="T8" s="519">
        <f>H8</f>
        <v>1.0438000000000001</v>
      </c>
      <c r="U8" s="519"/>
    </row>
    <row r="9" spans="1:21" x14ac:dyDescent="0.25">
      <c r="A9" s="7"/>
      <c r="B9" s="44" t="s">
        <v>370</v>
      </c>
      <c r="C9" s="41" t="s">
        <v>370</v>
      </c>
      <c r="D9" s="91" t="s">
        <v>370</v>
      </c>
      <c r="E9" s="8"/>
      <c r="F9" s="9"/>
      <c r="G9" s="9"/>
      <c r="H9" s="10"/>
      <c r="I9" s="340" t="str">
        <f>'0664'!I9</f>
        <v>2022-23</v>
      </c>
      <c r="J9" s="283"/>
      <c r="K9" s="68"/>
      <c r="L9" s="68"/>
      <c r="N9" s="12"/>
      <c r="O9" s="12"/>
      <c r="P9" s="13"/>
      <c r="Q9" s="13"/>
      <c r="R9" s="14"/>
      <c r="S9" s="14"/>
      <c r="T9" s="15"/>
      <c r="U9" s="405" t="s">
        <v>405</v>
      </c>
    </row>
    <row r="10" spans="1:21" x14ac:dyDescent="0.25">
      <c r="A10" s="7"/>
      <c r="B10" s="7"/>
      <c r="C10" s="91" t="s">
        <v>463</v>
      </c>
      <c r="D10" s="371" t="s">
        <v>464</v>
      </c>
      <c r="E10" s="92" t="s">
        <v>8</v>
      </c>
      <c r="F10" s="446" t="s">
        <v>1</v>
      </c>
      <c r="G10" s="446"/>
      <c r="H10" s="10" t="s">
        <v>73</v>
      </c>
      <c r="I10" s="11" t="s">
        <v>36</v>
      </c>
      <c r="J10" s="285"/>
      <c r="K10" s="284"/>
      <c r="L10" s="284"/>
      <c r="N10" s="12"/>
      <c r="O10" s="12"/>
      <c r="P10" s="13"/>
      <c r="Q10" s="13"/>
      <c r="R10" s="520" t="s">
        <v>1</v>
      </c>
      <c r="S10" s="520"/>
      <c r="T10" s="15" t="s">
        <v>73</v>
      </c>
      <c r="U10" s="16" t="s">
        <v>36</v>
      </c>
    </row>
    <row r="11" spans="1:21" x14ac:dyDescent="0.25">
      <c r="A11" s="447" t="s">
        <v>1</v>
      </c>
      <c r="B11" s="447"/>
      <c r="C11" s="362" t="s">
        <v>2</v>
      </c>
      <c r="D11" s="362" t="s">
        <v>2</v>
      </c>
      <c r="E11" s="362" t="s">
        <v>2</v>
      </c>
      <c r="F11" s="448" t="s">
        <v>76</v>
      </c>
      <c r="G11" s="448"/>
      <c r="H11" s="17" t="s">
        <v>72</v>
      </c>
      <c r="I11" s="18" t="s">
        <v>75</v>
      </c>
      <c r="J11" s="283"/>
      <c r="K11" s="284"/>
      <c r="L11" s="284"/>
      <c r="N11" s="510" t="s">
        <v>1</v>
      </c>
      <c r="O11" s="510"/>
      <c r="P11" s="521" t="s">
        <v>24</v>
      </c>
      <c r="Q11" s="521"/>
      <c r="R11" s="522" t="s">
        <v>76</v>
      </c>
      <c r="S11" s="522"/>
      <c r="T11" s="19" t="s">
        <v>72</v>
      </c>
      <c r="U11" s="20" t="s">
        <v>75</v>
      </c>
    </row>
    <row r="12" spans="1:21" x14ac:dyDescent="0.25">
      <c r="A12" s="449" t="s">
        <v>47</v>
      </c>
      <c r="B12" s="449"/>
      <c r="C12" s="94"/>
      <c r="D12" s="94"/>
      <c r="E12" s="95" t="s">
        <v>48</v>
      </c>
      <c r="F12" s="450" t="s">
        <v>49</v>
      </c>
      <c r="G12" s="450"/>
      <c r="H12" s="21" t="s">
        <v>50</v>
      </c>
      <c r="I12" s="22" t="s">
        <v>51</v>
      </c>
      <c r="K12" s="284"/>
      <c r="L12" s="284"/>
      <c r="N12" s="523" t="s">
        <v>47</v>
      </c>
      <c r="O12" s="523"/>
      <c r="P12" s="524" t="s">
        <v>48</v>
      </c>
      <c r="Q12" s="524"/>
      <c r="R12" s="525" t="s">
        <v>49</v>
      </c>
      <c r="S12" s="525"/>
      <c r="T12" s="23" t="s">
        <v>50</v>
      </c>
      <c r="U12" s="24" t="s">
        <v>51</v>
      </c>
    </row>
    <row r="13" spans="1:21" x14ac:dyDescent="0.25">
      <c r="A13" s="451" t="s">
        <v>29</v>
      </c>
      <c r="B13" s="451"/>
      <c r="C13" s="165">
        <v>223.21</v>
      </c>
      <c r="D13" s="163">
        <v>211.42</v>
      </c>
      <c r="E13" s="210">
        <f>IF(D$29=0,C13*2,C13+D13)</f>
        <v>434.63</v>
      </c>
      <c r="F13" s="537">
        <f>'0664'!F13:G13</f>
        <v>1.1259999999999999</v>
      </c>
      <c r="G13" s="537"/>
      <c r="H13" s="167">
        <f>ROUND(E13*F13,4)</f>
        <v>489.39339999999999</v>
      </c>
      <c r="I13" s="119">
        <f t="shared" ref="I13:I28" si="0">ROUND(ROUND(H13*$C$8,4)*($H$8),2)</f>
        <v>2343376.1800000002</v>
      </c>
      <c r="N13" s="512" t="s">
        <v>29</v>
      </c>
      <c r="O13" s="512"/>
      <c r="P13" s="513">
        <f t="shared" ref="P13:P28" si="1">IF($H$120=1,E13,0)</f>
        <v>0</v>
      </c>
      <c r="Q13" s="513"/>
      <c r="R13" s="526">
        <v>1</v>
      </c>
      <c r="S13" s="526"/>
      <c r="T13" s="98">
        <f>ROUND(P13*R13,4)</f>
        <v>0</v>
      </c>
      <c r="U13" s="99">
        <f t="shared" ref="U13:U28" si="2">ROUND(ROUND(T13*$C$8,4)*($H$8),0)</f>
        <v>0</v>
      </c>
    </row>
    <row r="14" spans="1:21" x14ac:dyDescent="0.25">
      <c r="A14" s="453" t="s">
        <v>30</v>
      </c>
      <c r="B14" s="453"/>
      <c r="C14" s="165">
        <v>17</v>
      </c>
      <c r="D14" s="165">
        <v>17.489999999999998</v>
      </c>
      <c r="E14" s="125">
        <f t="shared" ref="E14:E28" si="3">IF(D$29=0,C14*2,C14+D14)</f>
        <v>34.489999999999995</v>
      </c>
      <c r="F14" s="532">
        <f>'0664'!F14:G14</f>
        <v>1.1259999999999999</v>
      </c>
      <c r="G14" s="532"/>
      <c r="H14" s="83">
        <f t="shared" ref="H14:H28" si="4">ROUND(E14*F14,4)</f>
        <v>38.835700000000003</v>
      </c>
      <c r="I14" s="104">
        <f t="shared" si="0"/>
        <v>185958.07</v>
      </c>
      <c r="J14" s="68" t="str">
        <f>IF(ROUND(E14,2)=ROUND(SUM(E50:E52),2)," ","CHECK PK-3 LINES BELOW")</f>
        <v xml:space="preserve"> </v>
      </c>
      <c r="N14" s="479" t="s">
        <v>30</v>
      </c>
      <c r="O14" s="479"/>
      <c r="P14" s="513">
        <f t="shared" si="1"/>
        <v>0</v>
      </c>
      <c r="Q14" s="513"/>
      <c r="R14" s="517">
        <v>1</v>
      </c>
      <c r="S14" s="517"/>
      <c r="T14" s="98">
        <f t="shared" ref="T14:T28" si="5">ROUND(P14*R14,4)</f>
        <v>0</v>
      </c>
      <c r="U14" s="99">
        <f t="shared" si="2"/>
        <v>0</v>
      </c>
    </row>
    <row r="15" spans="1:21" x14ac:dyDescent="0.25">
      <c r="A15" s="453" t="s">
        <v>31</v>
      </c>
      <c r="B15" s="453"/>
      <c r="C15" s="165">
        <v>231.37</v>
      </c>
      <c r="D15" s="165">
        <v>224.37</v>
      </c>
      <c r="E15" s="125">
        <f t="shared" si="3"/>
        <v>455.74</v>
      </c>
      <c r="F15" s="532">
        <f>'0664'!F15:G15</f>
        <v>1</v>
      </c>
      <c r="G15" s="532"/>
      <c r="H15" s="83">
        <f t="shared" si="4"/>
        <v>455.74</v>
      </c>
      <c r="I15" s="104">
        <f t="shared" si="0"/>
        <v>2182232.66</v>
      </c>
      <c r="N15" s="479" t="s">
        <v>31</v>
      </c>
      <c r="O15" s="479"/>
      <c r="P15" s="513">
        <f t="shared" si="1"/>
        <v>0</v>
      </c>
      <c r="Q15" s="513"/>
      <c r="R15" s="517">
        <v>1</v>
      </c>
      <c r="S15" s="517"/>
      <c r="T15" s="98">
        <f t="shared" si="5"/>
        <v>0</v>
      </c>
      <c r="U15" s="99">
        <f t="shared" si="2"/>
        <v>0</v>
      </c>
    </row>
    <row r="16" spans="1:21" x14ac:dyDescent="0.25">
      <c r="A16" s="453" t="s">
        <v>32</v>
      </c>
      <c r="B16" s="453"/>
      <c r="C16" s="165">
        <v>35.94</v>
      </c>
      <c r="D16" s="165">
        <v>35.96</v>
      </c>
      <c r="E16" s="125">
        <f t="shared" si="3"/>
        <v>71.900000000000006</v>
      </c>
      <c r="F16" s="532">
        <f>'0664'!F16:G16</f>
        <v>1</v>
      </c>
      <c r="G16" s="532"/>
      <c r="H16" s="83">
        <f t="shared" si="4"/>
        <v>71.900000000000006</v>
      </c>
      <c r="I16" s="104">
        <f t="shared" si="0"/>
        <v>344280.79</v>
      </c>
      <c r="J16" s="68" t="str">
        <f>IF(ROUND(E16,2)=ROUND(SUM(E53:E55),2)," ","CHECK 4-8 LINES BELOW")</f>
        <v xml:space="preserve"> </v>
      </c>
      <c r="N16" s="479" t="s">
        <v>32</v>
      </c>
      <c r="O16" s="479"/>
      <c r="P16" s="513">
        <f t="shared" si="1"/>
        <v>0</v>
      </c>
      <c r="Q16" s="513"/>
      <c r="R16" s="517">
        <v>1</v>
      </c>
      <c r="S16" s="517"/>
      <c r="T16" s="98">
        <f t="shared" si="5"/>
        <v>0</v>
      </c>
      <c r="U16" s="99">
        <f t="shared" si="2"/>
        <v>0</v>
      </c>
    </row>
    <row r="17" spans="1:21" x14ac:dyDescent="0.25">
      <c r="A17" s="453" t="s">
        <v>33</v>
      </c>
      <c r="B17" s="453"/>
      <c r="C17" s="165">
        <v>0</v>
      </c>
      <c r="D17" s="165">
        <v>0</v>
      </c>
      <c r="E17" s="125">
        <f t="shared" si="3"/>
        <v>0</v>
      </c>
      <c r="F17" s="532">
        <f>'0664'!F17:G17</f>
        <v>0.999</v>
      </c>
      <c r="G17" s="532"/>
      <c r="H17" s="83">
        <f t="shared" si="4"/>
        <v>0</v>
      </c>
      <c r="I17" s="104">
        <f t="shared" si="0"/>
        <v>0</v>
      </c>
      <c r="N17" s="479" t="s">
        <v>33</v>
      </c>
      <c r="O17" s="479"/>
      <c r="P17" s="513">
        <f t="shared" si="1"/>
        <v>0</v>
      </c>
      <c r="Q17" s="513"/>
      <c r="R17" s="517">
        <v>1</v>
      </c>
      <c r="S17" s="517"/>
      <c r="T17" s="98">
        <f t="shared" si="5"/>
        <v>0</v>
      </c>
      <c r="U17" s="99">
        <f t="shared" si="2"/>
        <v>0</v>
      </c>
    </row>
    <row r="18" spans="1:21" x14ac:dyDescent="0.25">
      <c r="A18" s="453" t="s">
        <v>34</v>
      </c>
      <c r="B18" s="453"/>
      <c r="C18" s="165">
        <v>0</v>
      </c>
      <c r="D18" s="165">
        <v>0</v>
      </c>
      <c r="E18" s="125">
        <f t="shared" si="3"/>
        <v>0</v>
      </c>
      <c r="F18" s="532">
        <f>'0664'!F18:G18</f>
        <v>0.999</v>
      </c>
      <c r="G18" s="532"/>
      <c r="H18" s="83">
        <f t="shared" si="4"/>
        <v>0</v>
      </c>
      <c r="I18" s="104">
        <f t="shared" si="0"/>
        <v>0</v>
      </c>
      <c r="J18" s="68" t="str">
        <f>IF(ROUND(E18,2)=ROUND(SUM(E56:E58),2)," ","CHECK 4-8 LINES BELOW")</f>
        <v xml:space="preserve"> </v>
      </c>
      <c r="N18" s="479" t="s">
        <v>34</v>
      </c>
      <c r="O18" s="479"/>
      <c r="P18" s="513">
        <f t="shared" si="1"/>
        <v>0</v>
      </c>
      <c r="Q18" s="513"/>
      <c r="R18" s="517">
        <v>1</v>
      </c>
      <c r="S18" s="517"/>
      <c r="T18" s="98">
        <f t="shared" si="5"/>
        <v>0</v>
      </c>
      <c r="U18" s="101">
        <f t="shared" si="2"/>
        <v>0</v>
      </c>
    </row>
    <row r="19" spans="1:21" x14ac:dyDescent="0.25">
      <c r="A19" s="453" t="s">
        <v>108</v>
      </c>
      <c r="B19" s="453"/>
      <c r="C19" s="165">
        <v>0</v>
      </c>
      <c r="D19" s="165">
        <v>0</v>
      </c>
      <c r="E19" s="125">
        <f t="shared" si="3"/>
        <v>0</v>
      </c>
      <c r="F19" s="532">
        <f>'0664'!F19:G19</f>
        <v>3.6739999999999999</v>
      </c>
      <c r="G19" s="532"/>
      <c r="H19" s="83">
        <f t="shared" si="4"/>
        <v>0</v>
      </c>
      <c r="I19" s="104">
        <f t="shared" si="0"/>
        <v>0</v>
      </c>
      <c r="N19" s="479" t="s">
        <v>108</v>
      </c>
      <c r="O19" s="479"/>
      <c r="P19" s="513">
        <f t="shared" si="1"/>
        <v>0</v>
      </c>
      <c r="Q19" s="513"/>
      <c r="R19" s="517">
        <v>1</v>
      </c>
      <c r="S19" s="517"/>
      <c r="T19" s="98">
        <f t="shared" si="5"/>
        <v>0</v>
      </c>
      <c r="U19" s="99">
        <f t="shared" si="2"/>
        <v>0</v>
      </c>
    </row>
    <row r="20" spans="1:21" x14ac:dyDescent="0.25">
      <c r="A20" s="453" t="s">
        <v>109</v>
      </c>
      <c r="B20" s="453"/>
      <c r="C20" s="165">
        <v>0</v>
      </c>
      <c r="D20" s="165">
        <v>0</v>
      </c>
      <c r="E20" s="125">
        <f t="shared" si="3"/>
        <v>0</v>
      </c>
      <c r="F20" s="532">
        <f>'0664'!F20:G20</f>
        <v>3.6739999999999999</v>
      </c>
      <c r="G20" s="532"/>
      <c r="H20" s="83">
        <f t="shared" si="4"/>
        <v>0</v>
      </c>
      <c r="I20" s="104">
        <f t="shared" si="0"/>
        <v>0</v>
      </c>
      <c r="N20" s="479" t="s">
        <v>109</v>
      </c>
      <c r="O20" s="479"/>
      <c r="P20" s="513">
        <f t="shared" si="1"/>
        <v>0</v>
      </c>
      <c r="Q20" s="513"/>
      <c r="R20" s="517">
        <v>1</v>
      </c>
      <c r="S20" s="517"/>
      <c r="T20" s="98">
        <f t="shared" si="5"/>
        <v>0</v>
      </c>
      <c r="U20" s="99">
        <f t="shared" si="2"/>
        <v>0</v>
      </c>
    </row>
    <row r="21" spans="1:21" x14ac:dyDescent="0.25">
      <c r="A21" s="453" t="s">
        <v>110</v>
      </c>
      <c r="B21" s="453"/>
      <c r="C21" s="165">
        <v>0</v>
      </c>
      <c r="D21" s="165">
        <v>0</v>
      </c>
      <c r="E21" s="125">
        <f t="shared" si="3"/>
        <v>0</v>
      </c>
      <c r="F21" s="532">
        <f>'0664'!F21:G21</f>
        <v>3.6739999999999999</v>
      </c>
      <c r="G21" s="532"/>
      <c r="H21" s="83">
        <f t="shared" si="4"/>
        <v>0</v>
      </c>
      <c r="I21" s="104">
        <f t="shared" si="0"/>
        <v>0</v>
      </c>
      <c r="N21" s="479" t="s">
        <v>110</v>
      </c>
      <c r="O21" s="479"/>
      <c r="P21" s="513">
        <f t="shared" si="1"/>
        <v>0</v>
      </c>
      <c r="Q21" s="513"/>
      <c r="R21" s="517">
        <v>1</v>
      </c>
      <c r="S21" s="517"/>
      <c r="T21" s="98">
        <f t="shared" si="5"/>
        <v>0</v>
      </c>
      <c r="U21" s="99">
        <f t="shared" si="2"/>
        <v>0</v>
      </c>
    </row>
    <row r="22" spans="1:21" x14ac:dyDescent="0.25">
      <c r="A22" s="453" t="s">
        <v>111</v>
      </c>
      <c r="B22" s="453"/>
      <c r="C22" s="165">
        <v>0</v>
      </c>
      <c r="D22" s="165">
        <v>0</v>
      </c>
      <c r="E22" s="125">
        <f t="shared" si="3"/>
        <v>0</v>
      </c>
      <c r="F22" s="532">
        <f>'0664'!F22:G22</f>
        <v>5.4009999999999998</v>
      </c>
      <c r="G22" s="532"/>
      <c r="H22" s="83">
        <f t="shared" si="4"/>
        <v>0</v>
      </c>
      <c r="I22" s="104">
        <f t="shared" si="0"/>
        <v>0</v>
      </c>
      <c r="N22" s="479" t="s">
        <v>111</v>
      </c>
      <c r="O22" s="479"/>
      <c r="P22" s="513">
        <f t="shared" si="1"/>
        <v>0</v>
      </c>
      <c r="Q22" s="513"/>
      <c r="R22" s="517">
        <v>1</v>
      </c>
      <c r="S22" s="517"/>
      <c r="T22" s="98">
        <f t="shared" si="5"/>
        <v>0</v>
      </c>
      <c r="U22" s="99">
        <f t="shared" si="2"/>
        <v>0</v>
      </c>
    </row>
    <row r="23" spans="1:21" x14ac:dyDescent="0.25">
      <c r="A23" s="453" t="s">
        <v>112</v>
      </c>
      <c r="B23" s="453"/>
      <c r="C23" s="165">
        <v>0</v>
      </c>
      <c r="D23" s="165">
        <v>0</v>
      </c>
      <c r="E23" s="125">
        <f t="shared" si="3"/>
        <v>0</v>
      </c>
      <c r="F23" s="532">
        <f>'0664'!F23:G23</f>
        <v>5.4009999999999998</v>
      </c>
      <c r="G23" s="532"/>
      <c r="H23" s="83">
        <f t="shared" si="4"/>
        <v>0</v>
      </c>
      <c r="I23" s="104">
        <f t="shared" si="0"/>
        <v>0</v>
      </c>
      <c r="N23" s="479" t="s">
        <v>112</v>
      </c>
      <c r="O23" s="479"/>
      <c r="P23" s="513">
        <f t="shared" si="1"/>
        <v>0</v>
      </c>
      <c r="Q23" s="513"/>
      <c r="R23" s="517">
        <v>1</v>
      </c>
      <c r="S23" s="517"/>
      <c r="T23" s="98">
        <f t="shared" si="5"/>
        <v>0</v>
      </c>
      <c r="U23" s="99">
        <f t="shared" si="2"/>
        <v>0</v>
      </c>
    </row>
    <row r="24" spans="1:21" x14ac:dyDescent="0.25">
      <c r="A24" s="453" t="s">
        <v>113</v>
      </c>
      <c r="B24" s="453"/>
      <c r="C24" s="165">
        <v>0</v>
      </c>
      <c r="D24" s="165">
        <v>0</v>
      </c>
      <c r="E24" s="125">
        <f t="shared" si="3"/>
        <v>0</v>
      </c>
      <c r="F24" s="532">
        <f>'0664'!F24:G24</f>
        <v>5.4009999999999998</v>
      </c>
      <c r="G24" s="532"/>
      <c r="H24" s="83">
        <f t="shared" si="4"/>
        <v>0</v>
      </c>
      <c r="I24" s="104">
        <f t="shared" si="0"/>
        <v>0</v>
      </c>
      <c r="N24" s="479" t="s">
        <v>113</v>
      </c>
      <c r="O24" s="479"/>
      <c r="P24" s="513">
        <f t="shared" si="1"/>
        <v>0</v>
      </c>
      <c r="Q24" s="513"/>
      <c r="R24" s="517">
        <v>1</v>
      </c>
      <c r="S24" s="517"/>
      <c r="T24" s="98">
        <f t="shared" si="5"/>
        <v>0</v>
      </c>
      <c r="U24" s="99">
        <f t="shared" si="2"/>
        <v>0</v>
      </c>
    </row>
    <row r="25" spans="1:21" x14ac:dyDescent="0.25">
      <c r="A25" s="453" t="s">
        <v>114</v>
      </c>
      <c r="B25" s="453"/>
      <c r="C25" s="165">
        <v>6.09</v>
      </c>
      <c r="D25" s="165">
        <v>6.45</v>
      </c>
      <c r="E25" s="125">
        <f t="shared" si="3"/>
        <v>12.54</v>
      </c>
      <c r="F25" s="532">
        <f>'0664'!F25:G25</f>
        <v>1.206</v>
      </c>
      <c r="G25" s="532"/>
      <c r="H25" s="83">
        <f t="shared" si="4"/>
        <v>15.123200000000001</v>
      </c>
      <c r="I25" s="104">
        <f t="shared" si="0"/>
        <v>72414.84</v>
      </c>
      <c r="N25" s="479" t="s">
        <v>114</v>
      </c>
      <c r="O25" s="479"/>
      <c r="P25" s="513">
        <f t="shared" si="1"/>
        <v>0</v>
      </c>
      <c r="Q25" s="513"/>
      <c r="R25" s="517">
        <v>1</v>
      </c>
      <c r="S25" s="517"/>
      <c r="T25" s="98">
        <f t="shared" si="5"/>
        <v>0</v>
      </c>
      <c r="U25" s="99">
        <f t="shared" si="2"/>
        <v>0</v>
      </c>
    </row>
    <row r="26" spans="1:21" x14ac:dyDescent="0.25">
      <c r="A26" s="453" t="s">
        <v>115</v>
      </c>
      <c r="B26" s="453"/>
      <c r="C26" s="165">
        <v>7.47</v>
      </c>
      <c r="D26" s="165">
        <v>6.45</v>
      </c>
      <c r="E26" s="125">
        <f t="shared" si="3"/>
        <v>13.92</v>
      </c>
      <c r="F26" s="532">
        <f>'0664'!F26:G26</f>
        <v>1.206</v>
      </c>
      <c r="G26" s="532"/>
      <c r="H26" s="83">
        <f t="shared" si="4"/>
        <v>16.787500000000001</v>
      </c>
      <c r="I26" s="104">
        <f t="shared" si="0"/>
        <v>80384.06</v>
      </c>
      <c r="N26" s="479" t="s">
        <v>115</v>
      </c>
      <c r="O26" s="479"/>
      <c r="P26" s="513">
        <f t="shared" si="1"/>
        <v>0</v>
      </c>
      <c r="Q26" s="513"/>
      <c r="R26" s="517">
        <v>1</v>
      </c>
      <c r="S26" s="517"/>
      <c r="T26" s="98">
        <f t="shared" si="5"/>
        <v>0</v>
      </c>
      <c r="U26" s="99">
        <f t="shared" si="2"/>
        <v>0</v>
      </c>
    </row>
    <row r="27" spans="1:21" x14ac:dyDescent="0.25">
      <c r="A27" s="453" t="s">
        <v>116</v>
      </c>
      <c r="B27" s="453"/>
      <c r="C27" s="165">
        <v>0</v>
      </c>
      <c r="D27" s="165">
        <v>0</v>
      </c>
      <c r="E27" s="125">
        <f t="shared" si="3"/>
        <v>0</v>
      </c>
      <c r="F27" s="532">
        <f>'0664'!F27:G27</f>
        <v>1.206</v>
      </c>
      <c r="G27" s="532"/>
      <c r="H27" s="83">
        <f t="shared" si="4"/>
        <v>0</v>
      </c>
      <c r="I27" s="104">
        <f t="shared" si="0"/>
        <v>0</v>
      </c>
      <c r="N27" s="479" t="s">
        <v>116</v>
      </c>
      <c r="O27" s="479"/>
      <c r="P27" s="513">
        <f t="shared" si="1"/>
        <v>0</v>
      </c>
      <c r="Q27" s="513"/>
      <c r="R27" s="517">
        <v>1</v>
      </c>
      <c r="S27" s="517"/>
      <c r="T27" s="98">
        <f t="shared" si="5"/>
        <v>0</v>
      </c>
      <c r="U27" s="99">
        <f t="shared" si="2"/>
        <v>0</v>
      </c>
    </row>
    <row r="28" spans="1:21" x14ac:dyDescent="0.25">
      <c r="A28" s="453" t="s">
        <v>117</v>
      </c>
      <c r="B28" s="453"/>
      <c r="C28" s="116">
        <v>0</v>
      </c>
      <c r="D28" s="116">
        <v>0</v>
      </c>
      <c r="E28" s="177">
        <f t="shared" si="3"/>
        <v>0</v>
      </c>
      <c r="F28" s="532">
        <f>'0664'!F28:G28</f>
        <v>0.999</v>
      </c>
      <c r="G28" s="532"/>
      <c r="H28" s="96">
        <f t="shared" si="4"/>
        <v>0</v>
      </c>
      <c r="I28" s="97">
        <f t="shared" si="0"/>
        <v>0</v>
      </c>
      <c r="N28" s="482" t="s">
        <v>117</v>
      </c>
      <c r="O28" s="482"/>
      <c r="P28" s="513">
        <f t="shared" si="1"/>
        <v>0</v>
      </c>
      <c r="Q28" s="513"/>
      <c r="R28" s="514">
        <v>1</v>
      </c>
      <c r="S28" s="514"/>
      <c r="T28" s="98">
        <f t="shared" si="5"/>
        <v>0</v>
      </c>
      <c r="U28" s="99">
        <f t="shared" si="2"/>
        <v>0</v>
      </c>
    </row>
    <row r="29" spans="1:21" x14ac:dyDescent="0.25">
      <c r="A29" s="461" t="s">
        <v>5</v>
      </c>
      <c r="B29" s="461"/>
      <c r="C29" s="97">
        <f>SUM(C13:C28)</f>
        <v>521.08000000000004</v>
      </c>
      <c r="D29" s="97">
        <f>SUM(D13:D28)</f>
        <v>502.13999999999993</v>
      </c>
      <c r="E29" s="97">
        <f>SUM(E13:E28)</f>
        <v>1023.2199999999999</v>
      </c>
      <c r="F29" s="457"/>
      <c r="G29" s="457"/>
      <c r="H29" s="102">
        <f>SUM(H13:H28)</f>
        <v>1087.7798</v>
      </c>
      <c r="I29" s="97">
        <f>SUM(I13:I28)</f>
        <v>5208646.5999999996</v>
      </c>
      <c r="N29" s="515" t="s">
        <v>5</v>
      </c>
      <c r="O29" s="515"/>
      <c r="P29" s="516">
        <f>SUM(P13:P28)</f>
        <v>0</v>
      </c>
      <c r="Q29" s="516"/>
      <c r="R29" s="508"/>
      <c r="S29" s="508"/>
      <c r="T29" s="103">
        <f>SUM(T13:T28)</f>
        <v>0</v>
      </c>
      <c r="U29" s="99">
        <f>SUM(U13:U28)</f>
        <v>0</v>
      </c>
    </row>
    <row r="30" spans="1:21" x14ac:dyDescent="0.25">
      <c r="A30" s="27"/>
      <c r="B30" s="27"/>
      <c r="C30" s="104"/>
      <c r="D30" s="104"/>
      <c r="E30" s="104"/>
      <c r="F30" s="28"/>
      <c r="G30" s="28"/>
      <c r="H30" s="83"/>
      <c r="I30" s="104"/>
      <c r="N30" s="29"/>
      <c r="O30" s="29"/>
      <c r="P30" s="30"/>
      <c r="Q30" s="30"/>
      <c r="R30" s="31"/>
      <c r="S30" s="31"/>
      <c r="T30" s="105"/>
      <c r="U30" s="106"/>
    </row>
    <row r="31" spans="1:21" x14ac:dyDescent="0.25">
      <c r="A31" s="168" t="s">
        <v>97</v>
      </c>
      <c r="B31" s="27"/>
      <c r="C31" s="104"/>
      <c r="D31" s="104"/>
      <c r="E31" s="104"/>
      <c r="F31" s="28"/>
      <c r="G31" s="28"/>
      <c r="H31" s="83"/>
      <c r="I31" s="104"/>
      <c r="N31" s="29"/>
      <c r="O31" s="29"/>
      <c r="P31" s="30"/>
      <c r="Q31" s="30"/>
      <c r="R31" s="31"/>
      <c r="S31" s="31"/>
      <c r="T31" s="105"/>
      <c r="U31" s="106"/>
    </row>
    <row r="32" spans="1:21" hidden="1" x14ac:dyDescent="0.25">
      <c r="A32" s="168"/>
      <c r="B32" s="27"/>
      <c r="C32" s="104"/>
      <c r="D32" s="104"/>
      <c r="E32" s="104"/>
      <c r="F32" s="28"/>
      <c r="G32" s="28"/>
      <c r="H32" s="83"/>
      <c r="I32" s="104"/>
      <c r="N32" s="29"/>
      <c r="O32" s="29"/>
      <c r="P32" s="30"/>
      <c r="Q32" s="30"/>
      <c r="R32" s="31"/>
      <c r="S32" s="31"/>
      <c r="T32" s="105"/>
      <c r="U32" s="106"/>
    </row>
    <row r="33" spans="1:21" hidden="1" x14ac:dyDescent="0.25">
      <c r="A33" s="168"/>
      <c r="B33" s="27"/>
      <c r="C33" s="104"/>
      <c r="D33" s="104"/>
      <c r="E33" s="104"/>
      <c r="F33" s="541" t="s">
        <v>282</v>
      </c>
      <c r="G33" s="541"/>
      <c r="H33" s="541"/>
      <c r="I33" s="104"/>
      <c r="N33" s="29"/>
      <c r="O33" s="29"/>
      <c r="P33" s="30"/>
      <c r="Q33" s="30"/>
      <c r="R33" s="31"/>
      <c r="S33" s="31"/>
      <c r="T33" s="105"/>
      <c r="U33" s="106"/>
    </row>
    <row r="34" spans="1:21" hidden="1" x14ac:dyDescent="0.25">
      <c r="A34" s="3"/>
      <c r="B34" s="72"/>
      <c r="C34" s="72"/>
      <c r="D34" s="72"/>
      <c r="E34" s="72"/>
      <c r="F34" s="541"/>
      <c r="G34" s="541"/>
      <c r="H34" s="541"/>
      <c r="I34" s="25" t="s">
        <v>74</v>
      </c>
      <c r="N34" s="485" t="s">
        <v>35</v>
      </c>
      <c r="O34" s="485"/>
      <c r="P34" s="485"/>
      <c r="Q34" s="485"/>
      <c r="R34" s="485"/>
      <c r="S34" s="485"/>
      <c r="T34" s="485"/>
      <c r="U34" s="26" t="s">
        <v>74</v>
      </c>
    </row>
    <row r="35" spans="1:21" hidden="1" x14ac:dyDescent="0.25">
      <c r="A35" s="27"/>
      <c r="B35" s="27"/>
      <c r="C35" s="91" t="s">
        <v>124</v>
      </c>
      <c r="D35" s="91" t="s">
        <v>125</v>
      </c>
      <c r="E35" s="92" t="s">
        <v>8</v>
      </c>
      <c r="F35" s="541"/>
      <c r="G35" s="541"/>
      <c r="H35" s="541"/>
      <c r="I35" s="25" t="s">
        <v>36</v>
      </c>
      <c r="N35" s="29"/>
      <c r="O35" s="29"/>
      <c r="P35" s="30"/>
      <c r="Q35" s="30"/>
      <c r="R35" s="31"/>
      <c r="S35" s="31"/>
      <c r="T35" s="105"/>
      <c r="U35" s="26" t="s">
        <v>36</v>
      </c>
    </row>
    <row r="36" spans="1:21" hidden="1" x14ac:dyDescent="0.25">
      <c r="A36" s="447" t="s">
        <v>63</v>
      </c>
      <c r="B36" s="447"/>
      <c r="C36" s="93" t="s">
        <v>2</v>
      </c>
      <c r="D36" s="93" t="s">
        <v>2</v>
      </c>
      <c r="E36" s="93" t="s">
        <v>2</v>
      </c>
      <c r="F36" s="542"/>
      <c r="G36" s="542"/>
      <c r="H36" s="542"/>
      <c r="I36" s="32" t="s">
        <v>75</v>
      </c>
      <c r="N36" s="510" t="s">
        <v>63</v>
      </c>
      <c r="O36" s="510"/>
      <c r="P36" s="511" t="s">
        <v>24</v>
      </c>
      <c r="Q36" s="511"/>
      <c r="R36" s="511"/>
      <c r="S36" s="511"/>
      <c r="T36" s="511"/>
      <c r="U36" s="20" t="s">
        <v>75</v>
      </c>
    </row>
    <row r="37" spans="1:21" hidden="1" x14ac:dyDescent="0.25">
      <c r="A37" s="451" t="s">
        <v>56</v>
      </c>
      <c r="B37" s="451"/>
      <c r="C37" s="169">
        <v>0</v>
      </c>
      <c r="D37" s="169">
        <v>0</v>
      </c>
      <c r="E37" s="210">
        <f t="shared" ref="E37:E42" si="6">IF(D$43=0,C37*2,C37+D37)</f>
        <v>0</v>
      </c>
      <c r="F37" s="170"/>
      <c r="G37" s="170"/>
      <c r="H37" s="170"/>
      <c r="I37" s="119">
        <f t="shared" ref="I37:I42" si="7">ROUND(ROUND(E37*$C$8,4)*($H$8),2)</f>
        <v>0</v>
      </c>
      <c r="N37" s="512" t="s">
        <v>56</v>
      </c>
      <c r="O37" s="512"/>
      <c r="P37" s="483">
        <f t="shared" ref="P37:P42" si="8">IF($H$120=1,E37,0)</f>
        <v>0</v>
      </c>
      <c r="Q37" s="483"/>
      <c r="R37" s="483"/>
      <c r="S37" s="483"/>
      <c r="T37" s="483"/>
      <c r="U37" s="101">
        <f t="shared" ref="U37:U42" si="9">ROUND(ROUND(P37*$C$8,4)*($H$8),0)</f>
        <v>0</v>
      </c>
    </row>
    <row r="38" spans="1:21" hidden="1" x14ac:dyDescent="0.25">
      <c r="A38" s="453" t="s">
        <v>57</v>
      </c>
      <c r="B38" s="453"/>
      <c r="C38" s="172">
        <v>0</v>
      </c>
      <c r="D38" s="172">
        <v>0</v>
      </c>
      <c r="E38" s="125">
        <f t="shared" si="6"/>
        <v>0</v>
      </c>
      <c r="F38" s="173"/>
      <c r="G38" s="173"/>
      <c r="H38" s="173"/>
      <c r="I38" s="104">
        <f t="shared" si="7"/>
        <v>0</v>
      </c>
      <c r="N38" s="479" t="s">
        <v>57</v>
      </c>
      <c r="O38" s="479"/>
      <c r="P38" s="483">
        <f t="shared" si="8"/>
        <v>0</v>
      </c>
      <c r="Q38" s="483"/>
      <c r="R38" s="483"/>
      <c r="S38" s="483"/>
      <c r="T38" s="483"/>
      <c r="U38" s="101">
        <f t="shared" si="9"/>
        <v>0</v>
      </c>
    </row>
    <row r="39" spans="1:21" hidden="1" x14ac:dyDescent="0.25">
      <c r="A39" s="458" t="s">
        <v>58</v>
      </c>
      <c r="B39" s="458"/>
      <c r="C39" s="172">
        <v>0</v>
      </c>
      <c r="D39" s="172">
        <v>0</v>
      </c>
      <c r="E39" s="125">
        <f t="shared" si="6"/>
        <v>0</v>
      </c>
      <c r="F39" s="173"/>
      <c r="G39" s="173"/>
      <c r="H39" s="173"/>
      <c r="I39" s="104">
        <f t="shared" si="7"/>
        <v>0</v>
      </c>
      <c r="N39" s="509" t="s">
        <v>58</v>
      </c>
      <c r="O39" s="509"/>
      <c r="P39" s="483">
        <f t="shared" si="8"/>
        <v>0</v>
      </c>
      <c r="Q39" s="483"/>
      <c r="R39" s="483"/>
      <c r="S39" s="483"/>
      <c r="T39" s="483"/>
      <c r="U39" s="101">
        <f t="shared" si="9"/>
        <v>0</v>
      </c>
    </row>
    <row r="40" spans="1:21" hidden="1" x14ac:dyDescent="0.25">
      <c r="A40" s="453" t="s">
        <v>59</v>
      </c>
      <c r="B40" s="453"/>
      <c r="C40" s="172">
        <v>0</v>
      </c>
      <c r="D40" s="172">
        <v>0</v>
      </c>
      <c r="E40" s="125">
        <f t="shared" si="6"/>
        <v>0</v>
      </c>
      <c r="F40" s="173"/>
      <c r="G40" s="173"/>
      <c r="H40" s="173"/>
      <c r="I40" s="104">
        <f t="shared" si="7"/>
        <v>0</v>
      </c>
      <c r="N40" s="479" t="s">
        <v>59</v>
      </c>
      <c r="O40" s="479"/>
      <c r="P40" s="483">
        <f t="shared" si="8"/>
        <v>0</v>
      </c>
      <c r="Q40" s="483"/>
      <c r="R40" s="483"/>
      <c r="S40" s="483"/>
      <c r="T40" s="483"/>
      <c r="U40" s="101">
        <f t="shared" si="9"/>
        <v>0</v>
      </c>
    </row>
    <row r="41" spans="1:21" hidden="1" x14ac:dyDescent="0.25">
      <c r="A41" s="453" t="s">
        <v>60</v>
      </c>
      <c r="B41" s="453"/>
      <c r="C41" s="172">
        <v>0</v>
      </c>
      <c r="D41" s="172">
        <v>0</v>
      </c>
      <c r="E41" s="125">
        <f t="shared" si="6"/>
        <v>0</v>
      </c>
      <c r="F41" s="173"/>
      <c r="G41" s="173"/>
      <c r="H41" s="173"/>
      <c r="I41" s="104">
        <f t="shared" si="7"/>
        <v>0</v>
      </c>
      <c r="N41" s="479" t="s">
        <v>60</v>
      </c>
      <c r="O41" s="479"/>
      <c r="P41" s="483">
        <f t="shared" si="8"/>
        <v>0</v>
      </c>
      <c r="Q41" s="483"/>
      <c r="R41" s="483"/>
      <c r="S41" s="483"/>
      <c r="T41" s="483"/>
      <c r="U41" s="101">
        <f t="shared" si="9"/>
        <v>0</v>
      </c>
    </row>
    <row r="42" spans="1:21" hidden="1" x14ac:dyDescent="0.25">
      <c r="A42" s="453" t="s">
        <v>52</v>
      </c>
      <c r="B42" s="453"/>
      <c r="C42" s="171">
        <v>0</v>
      </c>
      <c r="D42" s="171">
        <v>0</v>
      </c>
      <c r="E42" s="177">
        <f t="shared" si="6"/>
        <v>0</v>
      </c>
      <c r="F42" s="173"/>
      <c r="G42" s="173"/>
      <c r="H42" s="173"/>
      <c r="I42" s="97">
        <f t="shared" si="7"/>
        <v>0</v>
      </c>
      <c r="N42" s="482" t="s">
        <v>52</v>
      </c>
      <c r="O42" s="482"/>
      <c r="P42" s="483">
        <f t="shared" si="8"/>
        <v>0</v>
      </c>
      <c r="Q42" s="483"/>
      <c r="R42" s="483"/>
      <c r="S42" s="483"/>
      <c r="T42" s="483"/>
      <c r="U42" s="101">
        <f t="shared" si="9"/>
        <v>0</v>
      </c>
    </row>
    <row r="43" spans="1:21" hidden="1" x14ac:dyDescent="0.25">
      <c r="A43" s="3"/>
      <c r="B43" s="55" t="s">
        <v>126</v>
      </c>
      <c r="C43" s="100">
        <f>SUM(C37:C42)</f>
        <v>0</v>
      </c>
      <c r="D43" s="100">
        <f>SUM(D37:D42)</f>
        <v>0</v>
      </c>
      <c r="E43" s="100">
        <f>SUM(E37:E42)</f>
        <v>0</v>
      </c>
      <c r="F43" s="33"/>
      <c r="G43" s="109"/>
      <c r="H43" s="110" t="s">
        <v>128</v>
      </c>
      <c r="I43" s="100">
        <f>SUM(I37:I42)</f>
        <v>0</v>
      </c>
      <c r="N43" s="480" t="s">
        <v>54</v>
      </c>
      <c r="O43" s="480"/>
      <c r="P43" s="480"/>
      <c r="Q43" s="480"/>
      <c r="R43" s="34">
        <f>SUM(P37:R42)</f>
        <v>0</v>
      </c>
      <c r="S43" s="508" t="s">
        <v>64</v>
      </c>
      <c r="T43" s="508"/>
      <c r="U43" s="106">
        <f>SUM(U37:U42)</f>
        <v>0</v>
      </c>
    </row>
    <row r="44" spans="1:21" ht="16.5" hidden="1" thickBot="1" x14ac:dyDescent="0.3">
      <c r="A44" s="3"/>
      <c r="B44" s="55"/>
      <c r="C44" s="104"/>
      <c r="D44" s="104"/>
      <c r="E44" s="119"/>
      <c r="F44" s="33"/>
      <c r="G44" s="109"/>
      <c r="H44" s="110"/>
      <c r="I44" s="104"/>
      <c r="N44" s="29"/>
      <c r="O44" s="29"/>
      <c r="P44" s="29"/>
      <c r="Q44" s="29"/>
      <c r="R44" s="34"/>
      <c r="S44" s="31"/>
      <c r="T44" s="31"/>
      <c r="U44" s="106"/>
    </row>
    <row r="45" spans="1:21" ht="16.5" hidden="1" thickBot="1" x14ac:dyDescent="0.3">
      <c r="A45" s="3"/>
      <c r="B45" s="55" t="s">
        <v>127</v>
      </c>
      <c r="E45" s="174">
        <f>H29+E43</f>
        <v>1087.7798</v>
      </c>
      <c r="F45" s="35"/>
      <c r="G45" s="109"/>
      <c r="H45" s="110" t="s">
        <v>129</v>
      </c>
      <c r="I45" s="97">
        <f>SUM(I43,I29)</f>
        <v>5208646.5999999996</v>
      </c>
      <c r="N45" s="480" t="s">
        <v>55</v>
      </c>
      <c r="O45" s="480"/>
      <c r="P45" s="480"/>
      <c r="Q45" s="480"/>
      <c r="R45" s="36">
        <f>R43+T29</f>
        <v>0</v>
      </c>
      <c r="S45" s="508" t="s">
        <v>53</v>
      </c>
      <c r="T45" s="508"/>
      <c r="U45" s="111">
        <f>SUM(U43,U29)</f>
        <v>0</v>
      </c>
    </row>
    <row r="46" spans="1:21" hidden="1" x14ac:dyDescent="0.25">
      <c r="A46" s="27"/>
      <c r="B46" s="27"/>
      <c r="C46" s="27"/>
      <c r="D46" s="27"/>
      <c r="E46" s="27"/>
      <c r="F46" s="35"/>
      <c r="G46" s="28"/>
      <c r="H46" s="28"/>
      <c r="I46" s="104"/>
      <c r="N46" s="29"/>
      <c r="O46" s="29"/>
      <c r="P46" s="29"/>
      <c r="Q46" s="29"/>
      <c r="R46" s="36"/>
      <c r="S46" s="31"/>
      <c r="T46" s="31"/>
      <c r="U46" s="106"/>
    </row>
    <row r="47" spans="1:21" x14ac:dyDescent="0.25">
      <c r="A47" s="27"/>
      <c r="B47" s="55" t="s">
        <v>370</v>
      </c>
      <c r="C47" s="41" t="s">
        <v>370</v>
      </c>
      <c r="D47" s="91" t="s">
        <v>370</v>
      </c>
      <c r="E47" s="27"/>
      <c r="F47" s="35"/>
      <c r="G47" s="28"/>
      <c r="H47" s="28"/>
      <c r="I47" s="104"/>
      <c r="N47" s="29"/>
      <c r="O47" s="29"/>
      <c r="P47" s="29"/>
      <c r="Q47" s="29"/>
      <c r="R47" s="36"/>
      <c r="S47" s="31"/>
      <c r="T47" s="31"/>
      <c r="U47" s="106"/>
    </row>
    <row r="48" spans="1:21" x14ac:dyDescent="0.25">
      <c r="A48" s="27"/>
      <c r="B48" s="27"/>
      <c r="C48" s="91" t="s">
        <v>463</v>
      </c>
      <c r="D48" s="371" t="s">
        <v>464</v>
      </c>
      <c r="E48" s="92" t="s">
        <v>8</v>
      </c>
      <c r="F48" s="49" t="s">
        <v>130</v>
      </c>
      <c r="G48" s="112" t="s">
        <v>132</v>
      </c>
      <c r="H48" s="113" t="s">
        <v>133</v>
      </c>
      <c r="I48" s="104"/>
      <c r="N48" s="29"/>
      <c r="O48" s="29"/>
      <c r="P48" s="29"/>
      <c r="Q48" s="29"/>
      <c r="R48" s="36"/>
      <c r="S48" s="31"/>
      <c r="T48" s="31"/>
      <c r="U48" s="106"/>
    </row>
    <row r="49" spans="1:21" x14ac:dyDescent="0.25">
      <c r="A49" s="37" t="s">
        <v>87</v>
      </c>
      <c r="B49" s="37"/>
      <c r="C49" s="362" t="s">
        <v>2</v>
      </c>
      <c r="D49" s="362" t="s">
        <v>2</v>
      </c>
      <c r="E49" s="362" t="s">
        <v>2</v>
      </c>
      <c r="F49" s="95" t="s">
        <v>131</v>
      </c>
      <c r="G49" s="62" t="s">
        <v>131</v>
      </c>
      <c r="H49" s="114" t="s">
        <v>134</v>
      </c>
      <c r="I49" s="37"/>
      <c r="N49" s="482" t="s">
        <v>87</v>
      </c>
      <c r="O49" s="482"/>
      <c r="P49" s="503" t="s">
        <v>2</v>
      </c>
      <c r="Q49" s="503"/>
      <c r="R49" s="38" t="s">
        <v>25</v>
      </c>
      <c r="S49" s="63" t="s">
        <v>26</v>
      </c>
      <c r="T49" s="115" t="s">
        <v>27</v>
      </c>
      <c r="U49" s="38"/>
    </row>
    <row r="50" spans="1:21" x14ac:dyDescent="0.25">
      <c r="A50" s="459" t="s">
        <v>98</v>
      </c>
      <c r="B50" s="459"/>
      <c r="C50" s="165">
        <v>12</v>
      </c>
      <c r="D50" s="165">
        <v>12.35</v>
      </c>
      <c r="E50" s="125">
        <f>IF(D$59=0,C50*2,C50+D50)</f>
        <v>24.35</v>
      </c>
      <c r="F50" s="39" t="s">
        <v>21</v>
      </c>
      <c r="G50" s="39">
        <v>251</v>
      </c>
      <c r="H50" s="321">
        <f>'0664'!H50</f>
        <v>1047</v>
      </c>
      <c r="I50" s="104">
        <f>ROUND(E50*H50,2)</f>
        <v>25494.45</v>
      </c>
      <c r="N50" s="504" t="s">
        <v>28</v>
      </c>
      <c r="O50" s="504"/>
      <c r="P50" s="505"/>
      <c r="Q50" s="505"/>
      <c r="R50" s="40" t="s">
        <v>21</v>
      </c>
      <c r="S50" s="40">
        <v>251</v>
      </c>
      <c r="T50" s="117">
        <f>H50</f>
        <v>1047</v>
      </c>
      <c r="U50" s="118">
        <f>ROUND(P50*T50,0)</f>
        <v>0</v>
      </c>
    </row>
    <row r="51" spans="1:21" x14ac:dyDescent="0.25">
      <c r="A51" s="460"/>
      <c r="B51" s="460"/>
      <c r="C51" s="165">
        <v>5</v>
      </c>
      <c r="D51" s="165">
        <v>5.14</v>
      </c>
      <c r="E51" s="125">
        <f t="shared" ref="E51:E58" si="10">IF(D$59=0,C51*2,C51+D51)</f>
        <v>10.14</v>
      </c>
      <c r="F51" s="39" t="s">
        <v>21</v>
      </c>
      <c r="G51" s="39">
        <v>252</v>
      </c>
      <c r="H51" s="321">
        <f>'0664'!H51</f>
        <v>3380</v>
      </c>
      <c r="I51" s="104">
        <f t="shared" ref="I51:I58" si="11">ROUND(E51*H51,2)</f>
        <v>34273.199999999997</v>
      </c>
      <c r="N51" s="504"/>
      <c r="O51" s="504"/>
      <c r="P51" s="506"/>
      <c r="Q51" s="506"/>
      <c r="R51" s="40" t="s">
        <v>21</v>
      </c>
      <c r="S51" s="40">
        <v>252</v>
      </c>
      <c r="T51" s="117">
        <f t="shared" ref="T51:T58" si="12">H51</f>
        <v>3380</v>
      </c>
      <c r="U51" s="118">
        <f t="shared" ref="U51:U58" si="13">ROUND(P51*T51,0)</f>
        <v>0</v>
      </c>
    </row>
    <row r="52" spans="1:21" x14ac:dyDescent="0.25">
      <c r="A52" s="460"/>
      <c r="B52" s="460"/>
      <c r="C52" s="165">
        <v>0</v>
      </c>
      <c r="D52" s="165">
        <v>0</v>
      </c>
      <c r="E52" s="125">
        <f t="shared" si="10"/>
        <v>0</v>
      </c>
      <c r="F52" s="39" t="s">
        <v>21</v>
      </c>
      <c r="G52" s="39">
        <v>253</v>
      </c>
      <c r="H52" s="321">
        <f>'0664'!H52</f>
        <v>6896</v>
      </c>
      <c r="I52" s="104">
        <f t="shared" si="11"/>
        <v>0</v>
      </c>
      <c r="N52" s="504"/>
      <c r="O52" s="504"/>
      <c r="P52" s="506"/>
      <c r="Q52" s="506"/>
      <c r="R52" s="40" t="s">
        <v>21</v>
      </c>
      <c r="S52" s="40">
        <v>253</v>
      </c>
      <c r="T52" s="117">
        <f t="shared" si="12"/>
        <v>6896</v>
      </c>
      <c r="U52" s="118">
        <f t="shared" si="13"/>
        <v>0</v>
      </c>
    </row>
    <row r="53" spans="1:21" x14ac:dyDescent="0.25">
      <c r="A53" s="460"/>
      <c r="B53" s="460"/>
      <c r="C53" s="165">
        <v>25.93</v>
      </c>
      <c r="D53" s="165">
        <v>25.94</v>
      </c>
      <c r="E53" s="125">
        <f t="shared" si="10"/>
        <v>51.870000000000005</v>
      </c>
      <c r="F53" s="41" t="s">
        <v>14</v>
      </c>
      <c r="G53" s="39">
        <v>251</v>
      </c>
      <c r="H53" s="321">
        <f>'0664'!H53</f>
        <v>1173</v>
      </c>
      <c r="I53" s="104">
        <f t="shared" si="11"/>
        <v>60843.51</v>
      </c>
      <c r="N53" s="504"/>
      <c r="O53" s="504"/>
      <c r="P53" s="506"/>
      <c r="Q53" s="506"/>
      <c r="R53" s="42" t="s">
        <v>14</v>
      </c>
      <c r="S53" s="40">
        <v>251</v>
      </c>
      <c r="T53" s="117">
        <f t="shared" si="12"/>
        <v>1173</v>
      </c>
      <c r="U53" s="118">
        <f t="shared" si="13"/>
        <v>0</v>
      </c>
    </row>
    <row r="54" spans="1:21" x14ac:dyDescent="0.25">
      <c r="A54" s="460"/>
      <c r="B54" s="460"/>
      <c r="C54" s="165">
        <v>10.01</v>
      </c>
      <c r="D54" s="165">
        <v>10.02</v>
      </c>
      <c r="E54" s="125">
        <f t="shared" si="10"/>
        <v>20.03</v>
      </c>
      <c r="F54" s="41" t="s">
        <v>14</v>
      </c>
      <c r="G54" s="39">
        <v>252</v>
      </c>
      <c r="H54" s="321">
        <f>'0664'!H54</f>
        <v>3506</v>
      </c>
      <c r="I54" s="104">
        <f t="shared" si="11"/>
        <v>70225.179999999993</v>
      </c>
      <c r="N54" s="504"/>
      <c r="O54" s="504"/>
      <c r="P54" s="506"/>
      <c r="Q54" s="506"/>
      <c r="R54" s="42" t="s">
        <v>14</v>
      </c>
      <c r="S54" s="40">
        <v>252</v>
      </c>
      <c r="T54" s="117">
        <f t="shared" si="12"/>
        <v>3506</v>
      </c>
      <c r="U54" s="118">
        <f t="shared" si="13"/>
        <v>0</v>
      </c>
    </row>
    <row r="55" spans="1:21" x14ac:dyDescent="0.25">
      <c r="A55" s="460"/>
      <c r="B55" s="460"/>
      <c r="C55" s="165">
        <v>0</v>
      </c>
      <c r="D55" s="165">
        <v>0</v>
      </c>
      <c r="E55" s="125">
        <f t="shared" si="10"/>
        <v>0</v>
      </c>
      <c r="F55" s="41" t="s">
        <v>14</v>
      </c>
      <c r="G55" s="39">
        <v>253</v>
      </c>
      <c r="H55" s="321">
        <f>'0664'!H55</f>
        <v>7023</v>
      </c>
      <c r="I55" s="104">
        <f t="shared" si="11"/>
        <v>0</v>
      </c>
      <c r="N55" s="504"/>
      <c r="O55" s="504"/>
      <c r="P55" s="506"/>
      <c r="Q55" s="506"/>
      <c r="R55" s="42" t="s">
        <v>14</v>
      </c>
      <c r="S55" s="40">
        <v>253</v>
      </c>
      <c r="T55" s="117">
        <f t="shared" si="12"/>
        <v>7023</v>
      </c>
      <c r="U55" s="118">
        <f t="shared" si="13"/>
        <v>0</v>
      </c>
    </row>
    <row r="56" spans="1:21" x14ac:dyDescent="0.25">
      <c r="A56" s="460"/>
      <c r="B56" s="460"/>
      <c r="C56" s="165">
        <v>0</v>
      </c>
      <c r="D56" s="165">
        <v>0</v>
      </c>
      <c r="E56" s="125">
        <f t="shared" si="10"/>
        <v>0</v>
      </c>
      <c r="F56" s="41" t="s">
        <v>15</v>
      </c>
      <c r="G56" s="39">
        <v>251</v>
      </c>
      <c r="H56" s="321">
        <f>'0664'!H56</f>
        <v>835</v>
      </c>
      <c r="I56" s="104">
        <f t="shared" si="11"/>
        <v>0</v>
      </c>
      <c r="N56" s="504"/>
      <c r="O56" s="504"/>
      <c r="P56" s="506"/>
      <c r="Q56" s="506"/>
      <c r="R56" s="42" t="s">
        <v>15</v>
      </c>
      <c r="S56" s="40">
        <v>251</v>
      </c>
      <c r="T56" s="117">
        <f t="shared" si="12"/>
        <v>835</v>
      </c>
      <c r="U56" s="118">
        <f t="shared" si="13"/>
        <v>0</v>
      </c>
    </row>
    <row r="57" spans="1:21" x14ac:dyDescent="0.25">
      <c r="A57" s="460"/>
      <c r="B57" s="460"/>
      <c r="C57" s="165">
        <v>0</v>
      </c>
      <c r="D57" s="165">
        <v>0</v>
      </c>
      <c r="E57" s="125">
        <f t="shared" si="10"/>
        <v>0</v>
      </c>
      <c r="F57" s="41" t="s">
        <v>15</v>
      </c>
      <c r="G57" s="39">
        <v>252</v>
      </c>
      <c r="H57" s="321">
        <f>'0664'!H57</f>
        <v>3168</v>
      </c>
      <c r="I57" s="104">
        <f t="shared" si="11"/>
        <v>0</v>
      </c>
      <c r="N57" s="504"/>
      <c r="O57" s="504"/>
      <c r="P57" s="506"/>
      <c r="Q57" s="506"/>
      <c r="R57" s="42" t="s">
        <v>15</v>
      </c>
      <c r="S57" s="40">
        <v>252</v>
      </c>
      <c r="T57" s="117">
        <f t="shared" si="12"/>
        <v>3168</v>
      </c>
      <c r="U57" s="118">
        <f t="shared" si="13"/>
        <v>0</v>
      </c>
    </row>
    <row r="58" spans="1:21" ht="16.5" thickBot="1" x14ac:dyDescent="0.3">
      <c r="A58" s="460"/>
      <c r="B58" s="460"/>
      <c r="C58" s="165">
        <v>0</v>
      </c>
      <c r="D58" s="165">
        <v>0</v>
      </c>
      <c r="E58" s="125">
        <f t="shared" si="10"/>
        <v>0</v>
      </c>
      <c r="F58" s="41" t="s">
        <v>15</v>
      </c>
      <c r="G58" s="39">
        <v>253</v>
      </c>
      <c r="H58" s="321">
        <f>'0664'!H58</f>
        <v>6685</v>
      </c>
      <c r="I58" s="104">
        <f t="shared" si="11"/>
        <v>0</v>
      </c>
      <c r="N58" s="504"/>
      <c r="O58" s="504"/>
      <c r="P58" s="507"/>
      <c r="Q58" s="507"/>
      <c r="R58" s="42" t="s">
        <v>15</v>
      </c>
      <c r="S58" s="40">
        <v>253</v>
      </c>
      <c r="T58" s="117">
        <f t="shared" si="12"/>
        <v>6685</v>
      </c>
      <c r="U58" s="120">
        <f t="shared" si="13"/>
        <v>0</v>
      </c>
    </row>
    <row r="59" spans="1:21" ht="16.5" thickBot="1" x14ac:dyDescent="0.3">
      <c r="A59" s="461" t="s">
        <v>16</v>
      </c>
      <c r="B59" s="461"/>
      <c r="C59" s="100">
        <f>SUM(C50:C58)</f>
        <v>52.94</v>
      </c>
      <c r="D59" s="100">
        <f>SUM(D50:D58)</f>
        <v>53.45</v>
      </c>
      <c r="E59" s="100">
        <f>SUM(E50:E58)</f>
        <v>106.39000000000001</v>
      </c>
      <c r="F59" s="461" t="s">
        <v>77</v>
      </c>
      <c r="G59" s="461"/>
      <c r="H59" s="461"/>
      <c r="I59" s="100">
        <f>SUM(I50:I58)</f>
        <v>190836.34</v>
      </c>
      <c r="N59" s="480" t="s">
        <v>16</v>
      </c>
      <c r="O59" s="480"/>
      <c r="P59" s="502">
        <f>SUM(P50:P58)</f>
        <v>0</v>
      </c>
      <c r="Q59" s="502"/>
      <c r="R59" s="480" t="s">
        <v>77</v>
      </c>
      <c r="S59" s="480"/>
      <c r="T59" s="480"/>
      <c r="U59" s="111">
        <f>SUM(U50:U58)</f>
        <v>0</v>
      </c>
    </row>
    <row r="60" spans="1:21" x14ac:dyDescent="0.25">
      <c r="A60" s="37"/>
      <c r="B60" s="37"/>
      <c r="C60" s="37"/>
      <c r="D60" s="37"/>
      <c r="E60" s="37"/>
      <c r="F60" s="37"/>
      <c r="G60" s="37"/>
      <c r="H60" s="37"/>
      <c r="I60" s="37"/>
      <c r="N60" s="484"/>
      <c r="O60" s="484"/>
      <c r="P60" s="484"/>
      <c r="Q60" s="484"/>
      <c r="R60" s="484"/>
      <c r="S60" s="484"/>
      <c r="T60" s="484"/>
      <c r="U60" s="484"/>
    </row>
    <row r="61" spans="1:21" x14ac:dyDescent="0.25">
      <c r="A61" s="463" t="s">
        <v>136</v>
      </c>
      <c r="B61" s="453"/>
      <c r="C61" s="453"/>
      <c r="D61" s="453"/>
      <c r="E61" s="453"/>
      <c r="F61" s="453"/>
      <c r="G61" s="453"/>
      <c r="H61" s="453"/>
      <c r="I61" s="453"/>
      <c r="N61" s="479" t="s">
        <v>88</v>
      </c>
      <c r="O61" s="479"/>
      <c r="P61" s="479"/>
      <c r="Q61" s="479"/>
      <c r="R61" s="479"/>
      <c r="S61" s="479"/>
      <c r="T61" s="479"/>
      <c r="U61" s="479"/>
    </row>
    <row r="62" spans="1:21" x14ac:dyDescent="0.25">
      <c r="A62" s="463" t="s">
        <v>138</v>
      </c>
      <c r="B62" s="453"/>
      <c r="C62" s="121">
        <f>E29</f>
        <v>1023.2199999999999</v>
      </c>
      <c r="D62" s="464" t="s">
        <v>135</v>
      </c>
      <c r="E62" s="464"/>
      <c r="F62" s="464"/>
      <c r="G62" s="464"/>
      <c r="H62" s="335">
        <f>'0664'!H62</f>
        <v>193340.76</v>
      </c>
      <c r="I62" s="122"/>
      <c r="N62" s="478" t="s">
        <v>312</v>
      </c>
      <c r="O62" s="479"/>
      <c r="P62" s="43">
        <f>P29</f>
        <v>0</v>
      </c>
      <c r="Q62" s="498" t="s">
        <v>78</v>
      </c>
      <c r="R62" s="498"/>
      <c r="S62" s="498"/>
      <c r="T62" s="497">
        <f>H62</f>
        <v>193340.76</v>
      </c>
      <c r="U62" s="497"/>
    </row>
    <row r="63" spans="1:21" x14ac:dyDescent="0.25">
      <c r="B63" s="72"/>
      <c r="G63" s="44" t="s">
        <v>13</v>
      </c>
      <c r="H63" s="123">
        <f>ROUND(C62/H62,6)</f>
        <v>5.2919999999999998E-3</v>
      </c>
      <c r="I63" s="124"/>
      <c r="N63" s="479" t="s">
        <v>19</v>
      </c>
      <c r="O63" s="479"/>
      <c r="P63" s="479"/>
      <c r="Q63" s="479"/>
      <c r="R63" s="479"/>
      <c r="S63" s="479"/>
      <c r="T63" s="501">
        <f>ROUND(P62/T62,6)</f>
        <v>0</v>
      </c>
      <c r="U63" s="501"/>
    </row>
    <row r="64" spans="1:21" x14ac:dyDescent="0.25">
      <c r="A64" s="463" t="s">
        <v>137</v>
      </c>
      <c r="B64" s="453"/>
      <c r="C64" s="453"/>
      <c r="D64" s="453"/>
      <c r="E64" s="453"/>
      <c r="F64" s="453"/>
      <c r="G64" s="453"/>
      <c r="H64" s="453"/>
      <c r="I64" s="453"/>
      <c r="N64" s="479" t="s">
        <v>89</v>
      </c>
      <c r="O64" s="479"/>
      <c r="P64" s="479"/>
      <c r="Q64" s="479"/>
      <c r="R64" s="479"/>
      <c r="S64" s="479"/>
      <c r="T64" s="479"/>
      <c r="U64" s="479"/>
    </row>
    <row r="65" spans="1:21" x14ac:dyDescent="0.25">
      <c r="A65" s="463" t="s">
        <v>139</v>
      </c>
      <c r="B65" s="453"/>
      <c r="C65" s="121">
        <f>E45</f>
        <v>1087.7798</v>
      </c>
      <c r="D65" s="464" t="s">
        <v>140</v>
      </c>
      <c r="E65" s="464"/>
      <c r="F65" s="464"/>
      <c r="G65" s="464"/>
      <c r="H65" s="336">
        <f>'0664'!H65</f>
        <v>216845.88</v>
      </c>
      <c r="I65" s="125"/>
      <c r="N65" s="479" t="s">
        <v>80</v>
      </c>
      <c r="O65" s="479"/>
      <c r="P65" s="43">
        <f>R45</f>
        <v>0</v>
      </c>
      <c r="Q65" s="498" t="s">
        <v>79</v>
      </c>
      <c r="R65" s="498"/>
      <c r="S65" s="498"/>
      <c r="T65" s="497">
        <f>H65</f>
        <v>216845.88</v>
      </c>
      <c r="U65" s="497"/>
    </row>
    <row r="66" spans="1:21" s="37" customFormat="1" x14ac:dyDescent="0.25">
      <c r="A66" s="126"/>
      <c r="G66" s="45" t="s">
        <v>13</v>
      </c>
      <c r="H66" s="127">
        <f>ROUND(C65/H65,6)</f>
        <v>5.0159999999999996E-3</v>
      </c>
      <c r="I66" s="127"/>
      <c r="N66" s="482" t="s">
        <v>20</v>
      </c>
      <c r="O66" s="482"/>
      <c r="P66" s="482"/>
      <c r="Q66" s="482"/>
      <c r="R66" s="482"/>
      <c r="S66" s="482"/>
      <c r="T66" s="500">
        <f>ROUND(P65/T65,6)</f>
        <v>0</v>
      </c>
      <c r="U66" s="500"/>
    </row>
    <row r="67" spans="1:21" x14ac:dyDescent="0.25">
      <c r="G67" s="44"/>
      <c r="H67" s="123"/>
      <c r="I67" s="123"/>
      <c r="N67" s="48"/>
      <c r="O67" s="48"/>
      <c r="P67" s="48"/>
      <c r="Q67" s="48"/>
      <c r="R67" s="128"/>
      <c r="S67" s="48"/>
      <c r="T67" s="129"/>
      <c r="U67" s="130"/>
    </row>
    <row r="68" spans="1:21" x14ac:dyDescent="0.25">
      <c r="A68" s="453" t="s">
        <v>85</v>
      </c>
      <c r="B68" s="453"/>
      <c r="C68" s="453"/>
      <c r="D68" s="72"/>
      <c r="E68" s="46" t="s">
        <v>3</v>
      </c>
      <c r="F68" s="337">
        <f>'0664'!F68</f>
        <v>42465042</v>
      </c>
      <c r="G68" s="39" t="s">
        <v>6</v>
      </c>
      <c r="H68" s="131">
        <f>H63</f>
        <v>5.2919999999999998E-3</v>
      </c>
      <c r="I68" s="104">
        <f>ROUND(F68*H68,2)</f>
        <v>224725</v>
      </c>
      <c r="N68" s="479" t="s">
        <v>85</v>
      </c>
      <c r="O68" s="479"/>
      <c r="P68" s="479"/>
      <c r="Q68" s="47"/>
      <c r="R68" s="132">
        <f>F68</f>
        <v>42465042</v>
      </c>
      <c r="S68" s="40" t="s">
        <v>6</v>
      </c>
      <c r="T68" s="133">
        <f>T63</f>
        <v>0</v>
      </c>
      <c r="U68" s="99">
        <f>ROUND(R68*T68,0)</f>
        <v>0</v>
      </c>
    </row>
    <row r="69" spans="1:21" x14ac:dyDescent="0.25">
      <c r="A69" s="458" t="s">
        <v>96</v>
      </c>
      <c r="B69" s="453"/>
      <c r="C69" s="453"/>
      <c r="D69" s="72"/>
      <c r="E69" s="46"/>
      <c r="F69" s="136"/>
      <c r="G69" s="39"/>
      <c r="H69" s="131"/>
      <c r="I69" s="104"/>
      <c r="N69" s="479" t="s">
        <v>84</v>
      </c>
      <c r="O69" s="479"/>
      <c r="P69" s="479"/>
      <c r="Q69" s="54"/>
      <c r="R69" s="54"/>
      <c r="S69" s="54"/>
      <c r="T69" s="54"/>
      <c r="U69" s="54"/>
    </row>
    <row r="70" spans="1:21" x14ac:dyDescent="0.25">
      <c r="A70" s="465" t="s">
        <v>141</v>
      </c>
      <c r="B70" s="453"/>
      <c r="C70" s="453"/>
      <c r="D70" s="72"/>
      <c r="E70" s="46" t="s">
        <v>3</v>
      </c>
      <c r="F70" s="337">
        <f>'0664'!F70</f>
        <v>0</v>
      </c>
      <c r="G70" s="39" t="s">
        <v>6</v>
      </c>
      <c r="H70" s="131">
        <f>H63</f>
        <v>5.2919999999999998E-3</v>
      </c>
      <c r="I70" s="104">
        <f>ROUND(F70*H70,2)</f>
        <v>0</v>
      </c>
      <c r="N70" s="48"/>
      <c r="O70" s="48"/>
      <c r="P70" s="48"/>
      <c r="Q70" s="47"/>
      <c r="R70" s="132">
        <f>F70</f>
        <v>0</v>
      </c>
      <c r="S70" s="40" t="s">
        <v>6</v>
      </c>
      <c r="T70" s="133">
        <f>T63</f>
        <v>0</v>
      </c>
      <c r="U70" s="99">
        <f>ROUND(R70*T70,0)</f>
        <v>0</v>
      </c>
    </row>
    <row r="71" spans="1:21" x14ac:dyDescent="0.25">
      <c r="A71" s="463" t="s">
        <v>433</v>
      </c>
      <c r="B71" s="453"/>
      <c r="C71" s="453"/>
      <c r="D71" s="72"/>
      <c r="E71" s="46" t="s">
        <v>3</v>
      </c>
      <c r="F71" s="337">
        <f>'0664'!F71</f>
        <v>13414654</v>
      </c>
      <c r="G71" s="39" t="s">
        <v>6</v>
      </c>
      <c r="H71" s="131">
        <f>H63</f>
        <v>5.2919999999999998E-3</v>
      </c>
      <c r="I71" s="104">
        <f>ROUND(F71*H71,2)</f>
        <v>70990.350000000006</v>
      </c>
      <c r="N71" s="479" t="s">
        <v>83</v>
      </c>
      <c r="O71" s="479"/>
      <c r="P71" s="479"/>
      <c r="Q71" s="47"/>
      <c r="R71" s="132">
        <f>F71</f>
        <v>13414654</v>
      </c>
      <c r="S71" s="40" t="s">
        <v>6</v>
      </c>
      <c r="T71" s="133">
        <f>T63</f>
        <v>0</v>
      </c>
      <c r="U71" s="99">
        <f>ROUND(R71*T71,0)</f>
        <v>0</v>
      </c>
    </row>
    <row r="72" spans="1:21" x14ac:dyDescent="0.25">
      <c r="A72" s="463" t="s">
        <v>434</v>
      </c>
      <c r="B72" s="453"/>
      <c r="C72" s="453"/>
      <c r="D72" s="72"/>
      <c r="E72" s="46" t="s">
        <v>3</v>
      </c>
      <c r="F72" s="337">
        <f>'0664'!F72</f>
        <v>14708421</v>
      </c>
      <c r="G72" s="39" t="s">
        <v>6</v>
      </c>
      <c r="H72" s="131">
        <f>H63</f>
        <v>5.2919999999999998E-3</v>
      </c>
      <c r="I72" s="104">
        <f>ROUND(F72*H72,2)</f>
        <v>77836.960000000006</v>
      </c>
      <c r="N72" s="479" t="s">
        <v>82</v>
      </c>
      <c r="O72" s="479"/>
      <c r="P72" s="479"/>
      <c r="Q72" s="47"/>
      <c r="R72" s="134">
        <f>F72</f>
        <v>14708421</v>
      </c>
      <c r="S72" s="40" t="s">
        <v>6</v>
      </c>
      <c r="T72" s="133">
        <f>T63</f>
        <v>0</v>
      </c>
      <c r="U72" s="99">
        <f>ROUND(R72*T72,0)</f>
        <v>0</v>
      </c>
    </row>
    <row r="73" spans="1:21" x14ac:dyDescent="0.25">
      <c r="A73" s="263" t="s">
        <v>99</v>
      </c>
      <c r="D73" s="72"/>
      <c r="E73" s="41" t="s">
        <v>353</v>
      </c>
      <c r="F73" s="466"/>
      <c r="G73" s="466"/>
      <c r="H73" s="466"/>
      <c r="I73" s="104">
        <v>0</v>
      </c>
      <c r="N73" s="499" t="s">
        <v>118</v>
      </c>
      <c r="O73" s="499"/>
      <c r="P73" s="499"/>
      <c r="Q73" s="499"/>
      <c r="R73" s="499"/>
      <c r="S73" s="499"/>
      <c r="T73" s="499"/>
      <c r="U73" s="99">
        <f>IF($H$120=1,I73,0)</f>
        <v>0</v>
      </c>
    </row>
    <row r="74" spans="1:21" x14ac:dyDescent="0.25">
      <c r="A74" s="264" t="s">
        <v>142</v>
      </c>
      <c r="I74" s="104"/>
      <c r="N74" s="499" t="s">
        <v>43</v>
      </c>
      <c r="O74" s="499"/>
      <c r="P74" s="499"/>
      <c r="Q74" s="499"/>
      <c r="R74" s="499"/>
      <c r="S74" s="499"/>
      <c r="T74" s="499"/>
      <c r="U74" s="99">
        <f>IF($H$120=1,I74,0)</f>
        <v>0</v>
      </c>
    </row>
    <row r="75" spans="1:21" x14ac:dyDescent="0.25">
      <c r="A75" s="324" t="s">
        <v>101</v>
      </c>
      <c r="B75" s="72"/>
      <c r="C75" s="72"/>
      <c r="D75" s="72"/>
      <c r="E75" s="72"/>
      <c r="F75" s="72"/>
      <c r="G75" s="72"/>
      <c r="H75" s="72"/>
      <c r="I75" s="135"/>
      <c r="N75" s="382" t="s">
        <v>44</v>
      </c>
      <c r="O75" s="48"/>
      <c r="P75" s="48"/>
      <c r="Q75" s="48"/>
      <c r="R75" s="48"/>
      <c r="S75" s="48"/>
      <c r="T75" s="48"/>
      <c r="U75" s="106"/>
    </row>
    <row r="76" spans="1:21" x14ac:dyDescent="0.25">
      <c r="A76" s="463" t="s">
        <v>435</v>
      </c>
      <c r="B76" s="453"/>
      <c r="C76" s="453"/>
      <c r="D76" s="72"/>
      <c r="E76" s="46" t="s">
        <v>3</v>
      </c>
      <c r="F76" s="337">
        <f>'0664'!F76</f>
        <v>8720092</v>
      </c>
      <c r="G76" s="39" t="s">
        <v>6</v>
      </c>
      <c r="H76" s="131">
        <f>H63</f>
        <v>5.2919999999999998E-3</v>
      </c>
      <c r="I76" s="104">
        <f t="shared" ref="I76:I85" si="14">ROUND(F76*H76,2)</f>
        <v>46146.73</v>
      </c>
      <c r="N76" s="478" t="s">
        <v>366</v>
      </c>
      <c r="O76" s="479"/>
      <c r="P76" s="479"/>
      <c r="Q76" s="47"/>
      <c r="R76" s="134">
        <f t="shared" ref="R76:R85" si="15">F76</f>
        <v>8720092</v>
      </c>
      <c r="S76" s="40" t="s">
        <v>6</v>
      </c>
      <c r="T76" s="133">
        <f>T63</f>
        <v>0</v>
      </c>
      <c r="U76" s="99">
        <f t="shared" ref="U76:U85" si="16">ROUND(R76*T76,0)</f>
        <v>0</v>
      </c>
    </row>
    <row r="77" spans="1:21" x14ac:dyDescent="0.25">
      <c r="A77" s="463" t="s">
        <v>436</v>
      </c>
      <c r="B77" s="453"/>
      <c r="C77" s="453"/>
      <c r="D77" s="72"/>
      <c r="E77" s="46" t="s">
        <v>3</v>
      </c>
      <c r="F77" s="337">
        <f>'0664'!F77</f>
        <v>0</v>
      </c>
      <c r="G77" s="39" t="s">
        <v>6</v>
      </c>
      <c r="H77" s="131">
        <f>H63</f>
        <v>5.2919999999999998E-3</v>
      </c>
      <c r="I77" s="104">
        <f t="shared" si="14"/>
        <v>0</v>
      </c>
      <c r="N77" s="479" t="s">
        <v>367</v>
      </c>
      <c r="O77" s="479"/>
      <c r="P77" s="479"/>
      <c r="Q77" s="47"/>
      <c r="R77" s="134">
        <f t="shared" si="15"/>
        <v>0</v>
      </c>
      <c r="S77" s="40" t="s">
        <v>6</v>
      </c>
      <c r="T77" s="133">
        <f>T63</f>
        <v>0</v>
      </c>
      <c r="U77" s="99">
        <f t="shared" si="16"/>
        <v>0</v>
      </c>
    </row>
    <row r="78" spans="1:21" x14ac:dyDescent="0.25">
      <c r="A78" s="463" t="s">
        <v>437</v>
      </c>
      <c r="B78" s="453"/>
      <c r="C78" s="453"/>
      <c r="D78" s="72"/>
      <c r="E78" s="46" t="s">
        <v>4</v>
      </c>
      <c r="F78" s="337">
        <f>'0664'!F78</f>
        <v>0</v>
      </c>
      <c r="G78" s="39" t="s">
        <v>6</v>
      </c>
      <c r="H78" s="131">
        <f>H66</f>
        <v>5.0159999999999996E-3</v>
      </c>
      <c r="I78" s="104">
        <f t="shared" si="14"/>
        <v>0</v>
      </c>
      <c r="N78" s="478" t="s">
        <v>392</v>
      </c>
      <c r="O78" s="479"/>
      <c r="P78" s="479"/>
      <c r="Q78" s="47"/>
      <c r="R78" s="134">
        <f t="shared" si="15"/>
        <v>0</v>
      </c>
      <c r="S78" s="40" t="s">
        <v>6</v>
      </c>
      <c r="T78" s="133">
        <f>T66</f>
        <v>0</v>
      </c>
      <c r="U78" s="99">
        <f t="shared" si="16"/>
        <v>0</v>
      </c>
    </row>
    <row r="79" spans="1:21" x14ac:dyDescent="0.25">
      <c r="A79" s="463" t="s">
        <v>438</v>
      </c>
      <c r="B79" s="453"/>
      <c r="C79" s="453"/>
      <c r="D79" s="72"/>
      <c r="E79" s="46" t="s">
        <v>4</v>
      </c>
      <c r="F79" s="337">
        <f>'0664'!F79</f>
        <v>11278687</v>
      </c>
      <c r="G79" s="39" t="s">
        <v>6</v>
      </c>
      <c r="H79" s="131">
        <f>H66</f>
        <v>5.0159999999999996E-3</v>
      </c>
      <c r="I79" s="104">
        <f t="shared" si="14"/>
        <v>56573.89</v>
      </c>
      <c r="N79" s="478" t="s">
        <v>393</v>
      </c>
      <c r="O79" s="479"/>
      <c r="P79" s="479"/>
      <c r="Q79" s="47"/>
      <c r="R79" s="134">
        <f t="shared" si="15"/>
        <v>11278687</v>
      </c>
      <c r="S79" s="40" t="s">
        <v>6</v>
      </c>
      <c r="T79" s="133">
        <f>T66</f>
        <v>0</v>
      </c>
      <c r="U79" s="99">
        <f t="shared" si="16"/>
        <v>0</v>
      </c>
    </row>
    <row r="80" spans="1:21" x14ac:dyDescent="0.25">
      <c r="A80" s="463" t="s">
        <v>439</v>
      </c>
      <c r="B80" s="453"/>
      <c r="C80" s="453"/>
      <c r="D80" s="72"/>
      <c r="E80" s="46" t="s">
        <v>4</v>
      </c>
      <c r="F80" s="337">
        <f>'0664'!F80</f>
        <v>206284749</v>
      </c>
      <c r="G80" s="39" t="s">
        <v>6</v>
      </c>
      <c r="H80" s="131">
        <f>H66</f>
        <v>5.0159999999999996E-3</v>
      </c>
      <c r="I80" s="104">
        <f t="shared" si="14"/>
        <v>1034724.3</v>
      </c>
      <c r="N80" s="478" t="s">
        <v>397</v>
      </c>
      <c r="O80" s="479"/>
      <c r="P80" s="479"/>
      <c r="Q80" s="47"/>
      <c r="R80" s="134">
        <f t="shared" si="15"/>
        <v>206284749</v>
      </c>
      <c r="S80" s="40" t="s">
        <v>6</v>
      </c>
      <c r="T80" s="133">
        <f>T66</f>
        <v>0</v>
      </c>
      <c r="U80" s="99">
        <f t="shared" si="16"/>
        <v>0</v>
      </c>
    </row>
    <row r="81" spans="1:21" x14ac:dyDescent="0.25">
      <c r="A81" s="84" t="s">
        <v>440</v>
      </c>
      <c r="B81" s="72"/>
      <c r="C81" s="72"/>
      <c r="D81" s="72"/>
      <c r="E81" s="46"/>
      <c r="F81" s="337"/>
      <c r="G81" s="39"/>
      <c r="H81" s="131"/>
      <c r="I81" s="104"/>
      <c r="N81" s="419" t="s">
        <v>440</v>
      </c>
      <c r="O81" s="48"/>
      <c r="P81" s="48"/>
      <c r="Q81" s="47"/>
      <c r="R81" s="423"/>
      <c r="S81" s="40"/>
      <c r="T81" s="133"/>
      <c r="U81" s="120"/>
    </row>
    <row r="82" spans="1:21" x14ac:dyDescent="0.25">
      <c r="A82" s="264" t="s">
        <v>441</v>
      </c>
      <c r="B82" s="72"/>
      <c r="C82" s="72"/>
      <c r="D82" s="72"/>
      <c r="E82" s="46" t="s">
        <v>442</v>
      </c>
      <c r="F82" s="337">
        <f>'0664'!F82</f>
        <v>0</v>
      </c>
      <c r="G82" s="39" t="s">
        <v>6</v>
      </c>
      <c r="H82" s="131">
        <f>H66</f>
        <v>5.0159999999999996E-3</v>
      </c>
      <c r="I82" s="104">
        <v>199677.4</v>
      </c>
      <c r="N82" s="422" t="s">
        <v>441</v>
      </c>
      <c r="O82" s="48"/>
      <c r="P82" s="48"/>
      <c r="Q82" s="47"/>
      <c r="R82" s="134">
        <f t="shared" si="15"/>
        <v>0</v>
      </c>
      <c r="S82" s="40"/>
      <c r="T82" s="133"/>
      <c r="U82" s="99">
        <f t="shared" si="16"/>
        <v>0</v>
      </c>
    </row>
    <row r="83" spans="1:21" x14ac:dyDescent="0.25">
      <c r="A83" s="264" t="s">
        <v>443</v>
      </c>
      <c r="B83" s="72"/>
      <c r="C83" s="72"/>
      <c r="D83" s="72"/>
      <c r="E83" s="46" t="s">
        <v>442</v>
      </c>
      <c r="F83" s="337">
        <f>'0664'!F83</f>
        <v>0</v>
      </c>
      <c r="G83" s="39" t="s">
        <v>6</v>
      </c>
      <c r="H83" s="131">
        <f>H66</f>
        <v>5.0159999999999996E-3</v>
      </c>
      <c r="I83" s="104">
        <v>90762.45</v>
      </c>
      <c r="N83" s="422" t="s">
        <v>443</v>
      </c>
      <c r="O83" s="48"/>
      <c r="P83" s="48"/>
      <c r="Q83" s="47"/>
      <c r="R83" s="134">
        <f t="shared" si="15"/>
        <v>0</v>
      </c>
      <c r="S83" s="40"/>
      <c r="T83" s="133"/>
      <c r="U83" s="99">
        <f t="shared" si="16"/>
        <v>0</v>
      </c>
    </row>
    <row r="84" spans="1:21" x14ac:dyDescent="0.25">
      <c r="A84" s="420" t="s">
        <v>444</v>
      </c>
      <c r="B84" s="72"/>
      <c r="C84" s="72"/>
      <c r="D84" s="72"/>
      <c r="E84" s="46"/>
      <c r="F84" s="337"/>
      <c r="G84" s="39"/>
      <c r="H84" s="131"/>
      <c r="I84" s="104">
        <f>I82+I83</f>
        <v>290439.84999999998</v>
      </c>
      <c r="N84" s="421" t="s">
        <v>444</v>
      </c>
      <c r="O84" s="48"/>
      <c r="P84" s="48"/>
      <c r="Q84" s="47"/>
      <c r="R84" s="423"/>
      <c r="S84" s="40"/>
      <c r="T84" s="133"/>
      <c r="U84" s="99">
        <f>U82+U83</f>
        <v>0</v>
      </c>
    </row>
    <row r="85" spans="1:21" x14ac:dyDescent="0.25">
      <c r="A85" s="463" t="s">
        <v>398</v>
      </c>
      <c r="B85" s="453"/>
      <c r="C85" s="453"/>
      <c r="D85" s="72"/>
      <c r="E85" s="46" t="s">
        <v>4</v>
      </c>
      <c r="F85" s="337">
        <f>'0664'!F85</f>
        <v>0</v>
      </c>
      <c r="G85" s="39" t="s">
        <v>6</v>
      </c>
      <c r="H85" s="131">
        <f>H66</f>
        <v>5.0159999999999996E-3</v>
      </c>
      <c r="I85" s="104">
        <f t="shared" si="14"/>
        <v>0</v>
      </c>
      <c r="N85" s="478" t="s">
        <v>398</v>
      </c>
      <c r="O85" s="479"/>
      <c r="P85" s="479"/>
      <c r="Q85" s="47"/>
      <c r="R85" s="132">
        <f t="shared" si="15"/>
        <v>0</v>
      </c>
      <c r="S85" s="40" t="s">
        <v>6</v>
      </c>
      <c r="T85" s="133">
        <f>T66</f>
        <v>0</v>
      </c>
      <c r="U85" s="99">
        <f t="shared" si="16"/>
        <v>0</v>
      </c>
    </row>
    <row r="86" spans="1:21" x14ac:dyDescent="0.25">
      <c r="B86" s="72"/>
      <c r="C86" s="72"/>
      <c r="D86" s="72"/>
      <c r="E86" s="46"/>
      <c r="F86" s="136"/>
      <c r="G86" s="39"/>
      <c r="H86" s="131"/>
      <c r="I86" s="104"/>
      <c r="N86" s="48"/>
      <c r="O86" s="48"/>
      <c r="P86" s="48"/>
      <c r="Q86" s="47"/>
      <c r="R86" s="137"/>
      <c r="S86" s="40"/>
      <c r="T86" s="133"/>
      <c r="U86" s="106"/>
    </row>
    <row r="87" spans="1:21" x14ac:dyDescent="0.25">
      <c r="A87" s="463" t="s">
        <v>445</v>
      </c>
      <c r="B87" s="453"/>
      <c r="C87" s="453"/>
      <c r="D87" s="453"/>
      <c r="E87" s="453"/>
      <c r="F87" s="453"/>
      <c r="G87" s="453"/>
      <c r="H87" s="453"/>
      <c r="I87" s="453"/>
      <c r="N87" s="478" t="s">
        <v>429</v>
      </c>
      <c r="O87" s="479"/>
      <c r="P87" s="479"/>
      <c r="Q87" s="479"/>
      <c r="R87" s="479"/>
      <c r="S87" s="479"/>
      <c r="T87" s="479"/>
      <c r="U87" s="479"/>
    </row>
    <row r="88" spans="1:21" x14ac:dyDescent="0.25">
      <c r="B88" s="72"/>
      <c r="C88" s="466" t="s">
        <v>73</v>
      </c>
      <c r="D88" s="466"/>
      <c r="E88" s="72"/>
      <c r="F88" s="41" t="s">
        <v>37</v>
      </c>
      <c r="G88" s="72"/>
      <c r="H88" s="72"/>
      <c r="I88" s="72"/>
      <c r="N88" s="48"/>
      <c r="O88" s="48"/>
      <c r="P88" s="48"/>
      <c r="Q88" s="48"/>
      <c r="R88" s="48"/>
      <c r="S88" s="48"/>
      <c r="T88" s="48"/>
      <c r="U88" s="48"/>
    </row>
    <row r="89" spans="1:21" x14ac:dyDescent="0.25">
      <c r="A89" s="3"/>
      <c r="B89" s="138"/>
      <c r="C89" s="462" t="s">
        <v>144</v>
      </c>
      <c r="D89" s="462"/>
      <c r="E89" s="139" t="s">
        <v>150</v>
      </c>
      <c r="F89" s="140" t="s">
        <v>149</v>
      </c>
      <c r="G89" s="141"/>
      <c r="H89" s="141"/>
      <c r="I89" s="141"/>
      <c r="N89" s="495" t="s">
        <v>46</v>
      </c>
      <c r="O89" s="495"/>
      <c r="P89" s="496" t="s">
        <v>119</v>
      </c>
      <c r="Q89" s="496"/>
      <c r="R89" s="497" t="s">
        <v>40</v>
      </c>
      <c r="S89" s="497"/>
      <c r="T89" s="497"/>
      <c r="U89" s="497"/>
    </row>
    <row r="90" spans="1:21" x14ac:dyDescent="0.25">
      <c r="A90" s="27"/>
      <c r="B90" s="55" t="s">
        <v>148</v>
      </c>
      <c r="C90" s="467">
        <f>H13+H14+H19+H22+H25</f>
        <v>543.35230000000001</v>
      </c>
      <c r="D90" s="467"/>
      <c r="E90" s="49">
        <f>H8</f>
        <v>1.0438000000000001</v>
      </c>
      <c r="F90" s="338">
        <f>'0664'!F90</f>
        <v>957.94</v>
      </c>
      <c r="G90" s="41" t="s">
        <v>13</v>
      </c>
      <c r="H90" s="104">
        <f>ROUND(C90*E90*F90,2)</f>
        <v>543296.75</v>
      </c>
      <c r="I90" s="107"/>
      <c r="N90" s="29" t="s">
        <v>22</v>
      </c>
      <c r="O90" s="50">
        <f>T13+T14+T19+T22+T25</f>
        <v>0</v>
      </c>
      <c r="P90" s="490">
        <f>T8</f>
        <v>1.0438000000000001</v>
      </c>
      <c r="Q90" s="490"/>
      <c r="R90" s="51">
        <f>F90</f>
        <v>957.94</v>
      </c>
      <c r="S90" s="42" t="s">
        <v>13</v>
      </c>
      <c r="T90" s="134">
        <f>ROUND(O90*P90*R90,0)</f>
        <v>0</v>
      </c>
      <c r="U90" s="105"/>
    </row>
    <row r="91" spans="1:21" x14ac:dyDescent="0.25">
      <c r="A91" s="52"/>
      <c r="B91" s="52" t="s">
        <v>147</v>
      </c>
      <c r="C91" s="467">
        <f>H15+H16+H20+H23+H26</f>
        <v>544.42750000000001</v>
      </c>
      <c r="D91" s="467"/>
      <c r="E91" s="49">
        <f>H8</f>
        <v>1.0438000000000001</v>
      </c>
      <c r="F91" s="338">
        <f>'0664'!F91</f>
        <v>914.63</v>
      </c>
      <c r="G91" s="41" t="s">
        <v>13</v>
      </c>
      <c r="H91" s="104">
        <f>ROUND(C91*E91*F91,2)</f>
        <v>519759.92</v>
      </c>
      <c r="N91" s="53" t="s">
        <v>14</v>
      </c>
      <c r="O91" s="50">
        <f>T15+T16+T20+T23+T26</f>
        <v>0</v>
      </c>
      <c r="P91" s="490">
        <f>T8</f>
        <v>1.0438000000000001</v>
      </c>
      <c r="Q91" s="490"/>
      <c r="R91" s="51">
        <f>F91</f>
        <v>914.63</v>
      </c>
      <c r="S91" s="42" t="s">
        <v>13</v>
      </c>
      <c r="T91" s="134">
        <f>ROUND(O91*P91*R91,0)</f>
        <v>0</v>
      </c>
      <c r="U91" s="54"/>
    </row>
    <row r="92" spans="1:21" ht="16.5" thickBot="1" x14ac:dyDescent="0.3">
      <c r="A92" s="55"/>
      <c r="B92" s="55" t="s">
        <v>146</v>
      </c>
      <c r="C92" s="467">
        <f>H17+H18+H21+H24+H27+H28</f>
        <v>0</v>
      </c>
      <c r="D92" s="467"/>
      <c r="E92" s="49">
        <f>H8</f>
        <v>1.0438000000000001</v>
      </c>
      <c r="F92" s="338">
        <f>'0664'!F92</f>
        <v>916.84</v>
      </c>
      <c r="G92" s="41" t="s">
        <v>13</v>
      </c>
      <c r="H92" s="97">
        <f>ROUND(C92*E92*F92,2)</f>
        <v>0</v>
      </c>
      <c r="N92" s="56" t="s">
        <v>15</v>
      </c>
      <c r="O92" s="57">
        <f>T17+T18+T21+T24+T27+T28</f>
        <v>0</v>
      </c>
      <c r="P92" s="490">
        <f>T8</f>
        <v>1.0438000000000001</v>
      </c>
      <c r="Q92" s="490"/>
      <c r="R92" s="51">
        <f>F92</f>
        <v>916.84</v>
      </c>
      <c r="S92" s="42" t="s">
        <v>13</v>
      </c>
      <c r="T92" s="134">
        <f>ROUND(O92*P92*R92,0)</f>
        <v>0</v>
      </c>
      <c r="U92" s="54"/>
    </row>
    <row r="93" spans="1:21" ht="16.5" thickBot="1" x14ac:dyDescent="0.3">
      <c r="A93" s="58"/>
      <c r="B93" s="142" t="s">
        <v>145</v>
      </c>
      <c r="C93" s="469">
        <f>SUM(C90:C92)</f>
        <v>1087.7798</v>
      </c>
      <c r="D93" s="469"/>
      <c r="E93" s="143"/>
      <c r="F93" s="143"/>
      <c r="G93" s="143"/>
      <c r="H93" s="144" t="s">
        <v>143</v>
      </c>
      <c r="I93" s="104">
        <f>IF(A1=75,0,H92+H91+H90)</f>
        <v>1063056.67</v>
      </c>
      <c r="N93" s="59" t="s">
        <v>120</v>
      </c>
      <c r="O93" s="60">
        <f>SUM(O90:O92)</f>
        <v>0</v>
      </c>
      <c r="P93" s="491" t="s">
        <v>18</v>
      </c>
      <c r="Q93" s="492"/>
      <c r="R93" s="492"/>
      <c r="S93" s="492"/>
      <c r="T93" s="492"/>
      <c r="U93" s="99">
        <f>IF(N1=75,0,T92+T91+T90)</f>
        <v>0</v>
      </c>
    </row>
    <row r="94" spans="1:21" ht="16.5" thickTop="1" x14ac:dyDescent="0.25">
      <c r="A94" s="540" t="s">
        <v>90</v>
      </c>
      <c r="B94" s="540"/>
      <c r="C94" s="540"/>
      <c r="D94" s="540"/>
      <c r="E94" s="540"/>
      <c r="F94" s="540"/>
      <c r="G94" s="540"/>
      <c r="H94" s="540"/>
      <c r="I94" s="540"/>
      <c r="N94" s="493" t="s">
        <v>90</v>
      </c>
      <c r="O94" s="493"/>
      <c r="P94" s="493"/>
      <c r="Q94" s="493"/>
      <c r="R94" s="493"/>
      <c r="S94" s="493"/>
      <c r="T94" s="493"/>
      <c r="U94" s="493"/>
    </row>
    <row r="95" spans="1:21" x14ac:dyDescent="0.25">
      <c r="A95" s="145"/>
      <c r="B95" s="145"/>
      <c r="C95" s="145"/>
      <c r="D95" s="145"/>
      <c r="E95" s="145"/>
      <c r="F95" s="145"/>
      <c r="G95" s="145"/>
      <c r="H95" s="145"/>
      <c r="I95" s="145"/>
      <c r="N95" s="146"/>
      <c r="O95" s="146"/>
      <c r="P95" s="146"/>
      <c r="Q95" s="146"/>
      <c r="R95" s="146"/>
      <c r="S95" s="146"/>
      <c r="T95" s="146"/>
      <c r="U95" s="146"/>
    </row>
    <row r="96" spans="1:21" x14ac:dyDescent="0.25">
      <c r="A96" s="84" t="s">
        <v>446</v>
      </c>
      <c r="C96" s="46"/>
      <c r="D96" s="72"/>
      <c r="E96" s="46" t="s">
        <v>100</v>
      </c>
      <c r="F96" s="471"/>
      <c r="G96" s="471"/>
      <c r="H96" s="471"/>
      <c r="I96" s="471"/>
      <c r="N96" s="478" t="s">
        <v>426</v>
      </c>
      <c r="O96" s="479"/>
      <c r="P96" s="479"/>
      <c r="Q96" s="494"/>
      <c r="R96" s="494"/>
      <c r="S96" s="494"/>
      <c r="T96" s="494"/>
      <c r="U96" s="106"/>
    </row>
    <row r="97" spans="1:21" x14ac:dyDescent="0.25">
      <c r="B97" s="72"/>
      <c r="C97" s="91" t="s">
        <v>409</v>
      </c>
      <c r="D97" s="371" t="s">
        <v>410</v>
      </c>
      <c r="E97" s="92" t="s">
        <v>151</v>
      </c>
      <c r="F97" s="46"/>
      <c r="G97" s="46"/>
      <c r="H97" s="46"/>
      <c r="I97" s="46"/>
      <c r="N97" s="48"/>
      <c r="O97" s="48"/>
      <c r="P97" s="48"/>
      <c r="Q97" s="147"/>
      <c r="R97" s="147"/>
      <c r="S97" s="147"/>
      <c r="T97" s="147"/>
      <c r="U97" s="106"/>
    </row>
    <row r="98" spans="1:21" x14ac:dyDescent="0.25">
      <c r="B98" s="72"/>
      <c r="C98" s="362" t="s">
        <v>2</v>
      </c>
      <c r="D98" s="362" t="s">
        <v>2</v>
      </c>
      <c r="E98" s="362" t="s">
        <v>2</v>
      </c>
      <c r="F98" s="46"/>
      <c r="G98" s="46"/>
      <c r="H98" s="46"/>
      <c r="I98" s="46"/>
      <c r="N98" s="48"/>
      <c r="O98" s="48"/>
      <c r="P98" s="48"/>
      <c r="Q98" s="147"/>
      <c r="R98" s="147"/>
      <c r="S98" s="147"/>
      <c r="T98" s="147"/>
      <c r="U98" s="106"/>
    </row>
    <row r="99" spans="1:21" x14ac:dyDescent="0.25">
      <c r="A99" s="536" t="s">
        <v>470</v>
      </c>
      <c r="B99" s="461"/>
      <c r="C99" s="165">
        <v>2</v>
      </c>
      <c r="D99" s="165">
        <v>0</v>
      </c>
      <c r="E99" s="125">
        <f>C99</f>
        <v>2</v>
      </c>
      <c r="F99" s="148" t="s">
        <v>39</v>
      </c>
      <c r="G99" s="339">
        <f>'0664'!G99</f>
        <v>558</v>
      </c>
      <c r="I99" s="104">
        <f>ROUND(G99*E99,2)</f>
        <v>1116</v>
      </c>
      <c r="N99" s="488" t="s">
        <v>65</v>
      </c>
      <c r="O99" s="488"/>
      <c r="P99" s="489">
        <f>IF(H120=1,E99,0)</f>
        <v>0</v>
      </c>
      <c r="Q99" s="489"/>
      <c r="R99" s="489"/>
      <c r="S99" s="86" t="s">
        <v>39</v>
      </c>
      <c r="T99" s="61">
        <f>G99</f>
        <v>558</v>
      </c>
      <c r="U99" s="99">
        <f>ROUND(T99*P99,0)</f>
        <v>0</v>
      </c>
    </row>
    <row r="100" spans="1:21" x14ac:dyDescent="0.25">
      <c r="A100" s="536" t="s">
        <v>471</v>
      </c>
      <c r="B100" s="461"/>
      <c r="C100" s="165">
        <v>0</v>
      </c>
      <c r="D100" s="165">
        <v>0</v>
      </c>
      <c r="E100" s="125">
        <f>C100</f>
        <v>0</v>
      </c>
      <c r="F100" s="148" t="s">
        <v>39</v>
      </c>
      <c r="G100" s="339">
        <f>'0664'!G100</f>
        <v>1707</v>
      </c>
      <c r="I100" s="104">
        <f>ROUND(G100*E100,2)</f>
        <v>0</v>
      </c>
      <c r="N100" s="488" t="s">
        <v>81</v>
      </c>
      <c r="O100" s="488"/>
      <c r="P100" s="483"/>
      <c r="Q100" s="483"/>
      <c r="R100" s="483"/>
      <c r="S100" s="86" t="s">
        <v>39</v>
      </c>
      <c r="T100" s="61">
        <f>G100</f>
        <v>1707</v>
      </c>
      <c r="U100" s="99">
        <f>ROUND(T100*P100,0)</f>
        <v>0</v>
      </c>
    </row>
    <row r="101" spans="1:21" x14ac:dyDescent="0.25">
      <c r="A101" s="149"/>
      <c r="B101" s="149"/>
      <c r="C101" s="68"/>
      <c r="D101" s="68"/>
      <c r="E101" s="68"/>
      <c r="F101" s="68"/>
      <c r="G101" s="150"/>
      <c r="H101" s="151"/>
      <c r="I101" s="104"/>
      <c r="N101" s="152"/>
      <c r="O101" s="152"/>
      <c r="P101" s="153"/>
      <c r="Q101" s="153"/>
      <c r="R101" s="153"/>
      <c r="S101" s="86"/>
      <c r="T101" s="61"/>
      <c r="U101" s="106"/>
    </row>
    <row r="102" spans="1:21" x14ac:dyDescent="0.25">
      <c r="A102" s="149"/>
      <c r="B102" s="149"/>
      <c r="C102" s="68"/>
      <c r="D102" s="68"/>
      <c r="E102" s="68"/>
      <c r="F102" s="68"/>
      <c r="G102" s="150"/>
      <c r="H102" s="151"/>
      <c r="I102" s="104"/>
      <c r="N102" s="152"/>
      <c r="O102" s="152"/>
      <c r="P102" s="153"/>
      <c r="Q102" s="153"/>
      <c r="R102" s="153"/>
      <c r="S102" s="86"/>
      <c r="T102" s="61"/>
      <c r="U102" s="106"/>
    </row>
    <row r="103" spans="1:21" hidden="1" x14ac:dyDescent="0.25">
      <c r="A103" s="463" t="s">
        <v>447</v>
      </c>
      <c r="B103" s="453"/>
      <c r="C103" s="453"/>
      <c r="D103" s="72"/>
      <c r="E103" s="41" t="s">
        <v>41</v>
      </c>
      <c r="F103" s="466"/>
      <c r="G103" s="466"/>
      <c r="H103" s="466"/>
      <c r="I103" s="466"/>
      <c r="N103" s="478" t="s">
        <v>362</v>
      </c>
      <c r="O103" s="479"/>
      <c r="P103" s="479"/>
      <c r="Q103" s="479"/>
      <c r="R103" s="479"/>
      <c r="S103" s="479"/>
      <c r="T103" s="479"/>
      <c r="U103" s="479"/>
    </row>
    <row r="104" spans="1:21" hidden="1" x14ac:dyDescent="0.25">
      <c r="B104" s="72"/>
      <c r="C104" s="462" t="s">
        <v>91</v>
      </c>
      <c r="D104" s="462"/>
      <c r="E104" s="462"/>
      <c r="F104" s="39"/>
      <c r="G104" s="39"/>
      <c r="H104" s="41" t="s">
        <v>152</v>
      </c>
      <c r="I104" s="39"/>
      <c r="N104" s="48"/>
      <c r="O104" s="48"/>
      <c r="P104" s="48"/>
      <c r="Q104" s="48"/>
      <c r="R104" s="48"/>
      <c r="S104" s="48"/>
      <c r="T104" s="48"/>
      <c r="U104" s="48"/>
    </row>
    <row r="105" spans="1:21" hidden="1" x14ac:dyDescent="0.25">
      <c r="B105" s="72"/>
      <c r="C105" s="91" t="s">
        <v>371</v>
      </c>
      <c r="D105" s="91" t="s">
        <v>351</v>
      </c>
      <c r="E105" s="159" t="s">
        <v>8</v>
      </c>
      <c r="F105" s="464" t="s">
        <v>153</v>
      </c>
      <c r="G105" s="466"/>
      <c r="H105" s="39" t="s">
        <v>38</v>
      </c>
      <c r="I105" s="39"/>
      <c r="N105" s="48"/>
      <c r="O105" s="48"/>
      <c r="P105" s="48"/>
      <c r="Q105" s="48"/>
      <c r="R105" s="48"/>
      <c r="S105" s="48"/>
      <c r="T105" s="48"/>
      <c r="U105" s="48"/>
    </row>
    <row r="106" spans="1:21" hidden="1" x14ac:dyDescent="0.25">
      <c r="A106" s="462" t="s">
        <v>94</v>
      </c>
      <c r="B106" s="462"/>
      <c r="C106" s="93" t="s">
        <v>2</v>
      </c>
      <c r="D106" s="93" t="s">
        <v>2</v>
      </c>
      <c r="E106" s="62" t="s">
        <v>2</v>
      </c>
      <c r="F106" s="462" t="s">
        <v>37</v>
      </c>
      <c r="G106" s="462"/>
      <c r="H106" s="62" t="s">
        <v>37</v>
      </c>
      <c r="I106" s="62" t="s">
        <v>8</v>
      </c>
      <c r="N106" s="484" t="s">
        <v>66</v>
      </c>
      <c r="O106" s="484"/>
      <c r="P106" s="489" t="s">
        <v>91</v>
      </c>
      <c r="Q106" s="489"/>
      <c r="R106" s="484" t="s">
        <v>67</v>
      </c>
      <c r="S106" s="484"/>
      <c r="T106" s="63" t="s">
        <v>68</v>
      </c>
      <c r="U106" s="63" t="s">
        <v>8</v>
      </c>
    </row>
    <row r="107" spans="1:21" hidden="1" x14ac:dyDescent="0.25">
      <c r="A107" s="473" t="s">
        <v>69</v>
      </c>
      <c r="B107" s="473"/>
      <c r="C107" s="163">
        <v>0</v>
      </c>
      <c r="D107" s="163">
        <v>0</v>
      </c>
      <c r="E107" s="210">
        <f>IF(D$59=0,C107*2,C107+D107)</f>
        <v>0</v>
      </c>
      <c r="F107" s="474">
        <v>0</v>
      </c>
      <c r="G107" s="474"/>
      <c r="H107" s="250">
        <f>IF(C107=0,0,125)</f>
        <v>0</v>
      </c>
      <c r="I107" s="104">
        <f>ROUND((H107+F107)*E107,2)</f>
        <v>0</v>
      </c>
      <c r="N107" s="479" t="s">
        <v>69</v>
      </c>
      <c r="O107" s="479"/>
      <c r="P107" s="483">
        <f>IF(H$120=1,C107,0)</f>
        <v>0</v>
      </c>
      <c r="Q107" s="483"/>
      <c r="R107" s="486">
        <f>F107</f>
        <v>0</v>
      </c>
      <c r="S107" s="486"/>
      <c r="T107" s="65">
        <f>H107</f>
        <v>0</v>
      </c>
      <c r="U107" s="99">
        <f>ROUND((T107+R107)*P107,0)</f>
        <v>0</v>
      </c>
    </row>
    <row r="108" spans="1:21" hidden="1" x14ac:dyDescent="0.25">
      <c r="A108" s="456" t="s">
        <v>70</v>
      </c>
      <c r="B108" s="456"/>
      <c r="C108" s="165">
        <v>0</v>
      </c>
      <c r="D108" s="165">
        <v>0</v>
      </c>
      <c r="E108" s="125">
        <f>IF(D$59=0,C108*2,C108+D108)</f>
        <v>0</v>
      </c>
      <c r="F108" s="468">
        <f>ROUND(F107/2,2)</f>
        <v>0</v>
      </c>
      <c r="G108" s="468"/>
      <c r="H108" s="250">
        <f>IF(C108=0,0,62.5)</f>
        <v>0</v>
      </c>
      <c r="I108" s="104">
        <f>ROUND((H108+F108)*E108,2)</f>
        <v>0</v>
      </c>
      <c r="N108" s="479" t="s">
        <v>70</v>
      </c>
      <c r="O108" s="479"/>
      <c r="P108" s="483">
        <f>IF(H$120=1,C108,0)</f>
        <v>0</v>
      </c>
      <c r="Q108" s="483"/>
      <c r="R108" s="487">
        <f>ROUND(R107/2,2)</f>
        <v>0</v>
      </c>
      <c r="S108" s="487"/>
      <c r="T108" s="65">
        <f>H108</f>
        <v>0</v>
      </c>
      <c r="U108" s="99">
        <f>ROUND((T108+R108)*P108,0)</f>
        <v>0</v>
      </c>
    </row>
    <row r="109" spans="1:21" ht="16.5" hidden="1" thickBot="1" x14ac:dyDescent="0.3">
      <c r="A109" s="456" t="s">
        <v>71</v>
      </c>
      <c r="B109" s="456"/>
      <c r="C109" s="165">
        <v>0</v>
      </c>
      <c r="D109" s="165">
        <v>0</v>
      </c>
      <c r="E109" s="125">
        <f>IF(D$59=0,C109*2,C109+D109)</f>
        <v>0</v>
      </c>
      <c r="F109" s="475"/>
      <c r="G109" s="475"/>
      <c r="H109" s="251">
        <f>IF(H107&gt;0,436,0)</f>
        <v>0</v>
      </c>
      <c r="I109" s="104">
        <f>ROUND(H109*E109,2)</f>
        <v>0</v>
      </c>
      <c r="N109" s="482" t="s">
        <v>71</v>
      </c>
      <c r="O109" s="482"/>
      <c r="P109" s="483">
        <f>IF(H$120=1,C109,0)</f>
        <v>0</v>
      </c>
      <c r="Q109" s="483"/>
      <c r="R109" s="484"/>
      <c r="S109" s="484"/>
      <c r="T109" s="67">
        <f>H109</f>
        <v>0</v>
      </c>
      <c r="U109" s="106">
        <f>ROUND(T109*P109,0)</f>
        <v>0</v>
      </c>
    </row>
    <row r="110" spans="1:21" ht="16.5" hidden="1" thickBot="1" x14ac:dyDescent="0.3">
      <c r="A110" s="466" t="s">
        <v>8</v>
      </c>
      <c r="B110" s="466"/>
      <c r="C110" s="68"/>
      <c r="D110" s="68"/>
      <c r="E110" s="68"/>
      <c r="F110" s="68"/>
      <c r="G110" s="68"/>
      <c r="H110" s="68"/>
      <c r="I110" s="100">
        <f>SUM(I107:I109)</f>
        <v>0</v>
      </c>
      <c r="N110" s="485" t="s">
        <v>8</v>
      </c>
      <c r="O110" s="485"/>
      <c r="P110" s="69"/>
      <c r="Q110" s="69"/>
      <c r="R110" s="69"/>
      <c r="S110" s="69"/>
      <c r="T110" s="69"/>
      <c r="U110" s="70">
        <f>SUM(U107:U109)</f>
        <v>0</v>
      </c>
    </row>
    <row r="111" spans="1:21" hidden="1" x14ac:dyDescent="0.25">
      <c r="A111" s="39"/>
      <c r="B111" s="39"/>
      <c r="C111" s="68"/>
      <c r="D111" s="68"/>
      <c r="E111" s="68"/>
      <c r="F111" s="68"/>
      <c r="G111" s="68"/>
      <c r="H111" s="68"/>
      <c r="I111" s="104"/>
      <c r="N111" s="40"/>
      <c r="O111" s="40"/>
      <c r="P111" s="69"/>
      <c r="Q111" s="69"/>
      <c r="R111" s="69"/>
      <c r="S111" s="69"/>
      <c r="T111" s="69"/>
      <c r="U111" s="160"/>
    </row>
    <row r="112" spans="1:21" x14ac:dyDescent="0.25">
      <c r="A112" s="463" t="s">
        <v>448</v>
      </c>
      <c r="B112" s="453"/>
      <c r="C112" s="453"/>
      <c r="D112" s="72"/>
      <c r="E112" s="71" t="s">
        <v>354</v>
      </c>
      <c r="F112" s="472"/>
      <c r="G112" s="472"/>
      <c r="H112" s="472"/>
      <c r="I112" s="125">
        <v>0</v>
      </c>
      <c r="N112" s="478" t="s">
        <v>427</v>
      </c>
      <c r="O112" s="479"/>
      <c r="P112" s="479"/>
      <c r="Q112" s="341"/>
      <c r="R112" s="341"/>
      <c r="S112" s="341"/>
      <c r="T112" s="341"/>
      <c r="U112" s="99">
        <f>IF($H$120=1,I112,0)</f>
        <v>0</v>
      </c>
    </row>
    <row r="113" spans="1:21" x14ac:dyDescent="0.25">
      <c r="A113" s="463" t="s">
        <v>449</v>
      </c>
      <c r="B113" s="453"/>
      <c r="C113" s="453"/>
      <c r="D113" s="72"/>
      <c r="E113" s="71" t="s">
        <v>45</v>
      </c>
      <c r="F113" s="472"/>
      <c r="G113" s="472"/>
      <c r="H113" s="472"/>
      <c r="I113" s="177">
        <v>0</v>
      </c>
      <c r="N113" s="478" t="s">
        <v>428</v>
      </c>
      <c r="O113" s="479"/>
      <c r="P113" s="479"/>
      <c r="Q113" s="341"/>
      <c r="R113" s="341"/>
      <c r="S113" s="341"/>
      <c r="T113" s="341"/>
      <c r="U113" s="99">
        <f>IF($H$120=1,I113,0)</f>
        <v>0</v>
      </c>
    </row>
    <row r="114" spans="1:21" ht="16.5" thickBot="1" x14ac:dyDescent="0.3">
      <c r="B114" s="72"/>
      <c r="C114" s="72"/>
      <c r="D114" s="72"/>
      <c r="E114" s="71"/>
      <c r="F114" s="71"/>
      <c r="G114" s="71"/>
      <c r="H114" s="71"/>
      <c r="I114" s="125"/>
      <c r="N114" s="480" t="s">
        <v>42</v>
      </c>
      <c r="O114" s="480"/>
      <c r="P114" s="480"/>
      <c r="Q114" s="480"/>
      <c r="R114" s="480"/>
      <c r="S114" s="480"/>
      <c r="T114" s="480"/>
      <c r="U114" s="154">
        <f>SUM(U112,U110,U100,U99,U93,U77,U76,U74,U73,U72,U71,U70,U68,U59,U45,U78,U79,U80,U85,U113)</f>
        <v>0</v>
      </c>
    </row>
    <row r="115" spans="1:21" ht="16.5" thickTop="1" x14ac:dyDescent="0.25">
      <c r="A115" s="461" t="s">
        <v>8</v>
      </c>
      <c r="B115" s="461"/>
      <c r="C115" s="461"/>
      <c r="D115" s="461"/>
      <c r="E115" s="461"/>
      <c r="F115" s="461"/>
      <c r="G115" s="461"/>
      <c r="H115" s="461"/>
      <c r="I115" s="97">
        <f>SUM(I113,I112,I110,I100,I99,I93,I85,I84,I80,I79,I78,I77,I76,I74,I73,I72,I71,I70,I68,I59,I45)</f>
        <v>8265092.6899999995</v>
      </c>
      <c r="N115" s="29"/>
      <c r="O115" s="29"/>
      <c r="P115" s="29"/>
      <c r="Q115" s="29"/>
      <c r="R115" s="29"/>
      <c r="S115" s="29"/>
      <c r="T115" s="29"/>
      <c r="U115" s="160"/>
    </row>
    <row r="116" spans="1:21" x14ac:dyDescent="0.25">
      <c r="A116" s="27"/>
      <c r="B116" s="27"/>
      <c r="C116" s="27"/>
      <c r="D116" s="27"/>
      <c r="E116" s="27"/>
      <c r="F116" s="27"/>
      <c r="G116" s="27"/>
      <c r="H116" s="27"/>
      <c r="I116" s="104"/>
      <c r="N116" s="29"/>
      <c r="O116" s="29"/>
      <c r="P116" s="29"/>
      <c r="Q116" s="29"/>
      <c r="R116" s="29"/>
      <c r="S116" s="29"/>
      <c r="T116" s="29"/>
      <c r="U116" s="160"/>
    </row>
    <row r="117" spans="1:21" x14ac:dyDescent="0.25">
      <c r="A117" s="432" t="s">
        <v>467</v>
      </c>
      <c r="B117" s="27"/>
      <c r="C117" s="27"/>
      <c r="D117" s="27"/>
      <c r="E117" s="27"/>
      <c r="F117" s="27"/>
      <c r="G117" s="27"/>
      <c r="H117" s="27"/>
      <c r="I117" s="104">
        <f>I115-I84</f>
        <v>7974652.8399999999</v>
      </c>
      <c r="N117" s="29"/>
      <c r="O117" s="29"/>
      <c r="P117" s="29"/>
      <c r="Q117" s="29"/>
      <c r="R117" s="29"/>
      <c r="S117" s="29"/>
      <c r="T117" s="29"/>
      <c r="U117" s="160"/>
    </row>
    <row r="118" spans="1:21" x14ac:dyDescent="0.25">
      <c r="A118" s="27"/>
      <c r="B118" s="27"/>
      <c r="C118" s="27"/>
      <c r="D118" s="27"/>
      <c r="E118" s="27"/>
      <c r="F118" s="27"/>
      <c r="G118" s="27"/>
      <c r="H118" s="27"/>
      <c r="I118" s="104"/>
      <c r="N118" s="29"/>
      <c r="O118" s="29"/>
      <c r="P118" s="29"/>
      <c r="Q118" s="29"/>
      <c r="R118" s="29"/>
      <c r="S118" s="29"/>
      <c r="T118" s="29"/>
      <c r="U118" s="160"/>
    </row>
    <row r="119" spans="1:21" x14ac:dyDescent="0.25">
      <c r="A119" s="463" t="s">
        <v>468</v>
      </c>
      <c r="B119" s="453"/>
      <c r="C119" s="453"/>
      <c r="D119" s="453"/>
      <c r="E119" s="453"/>
      <c r="F119" s="453"/>
      <c r="G119" s="453"/>
      <c r="H119" s="84" t="s">
        <v>394</v>
      </c>
      <c r="I119" s="156"/>
      <c r="N119" s="481"/>
      <c r="O119" s="481"/>
      <c r="P119" s="481"/>
      <c r="Q119" s="481"/>
      <c r="R119" s="481"/>
      <c r="S119" s="481"/>
      <c r="T119" s="481"/>
      <c r="U119" s="481"/>
    </row>
    <row r="120" spans="1:21" x14ac:dyDescent="0.25">
      <c r="A120" s="453" t="s">
        <v>95</v>
      </c>
      <c r="B120" s="453"/>
      <c r="C120" s="453"/>
      <c r="D120" s="453"/>
      <c r="E120" s="453"/>
      <c r="F120" s="453"/>
      <c r="G120" s="453"/>
      <c r="H120" s="73" t="str">
        <f>IF(E29=0,"",IF((E14+E16+SUM(E18:E24))/E29&gt;0.75,1,""))</f>
        <v/>
      </c>
      <c r="I120" s="125">
        <f>U114</f>
        <v>0</v>
      </c>
      <c r="N120" s="476" t="s">
        <v>7</v>
      </c>
      <c r="O120" s="476"/>
      <c r="P120" s="476"/>
      <c r="Q120" s="476"/>
      <c r="R120" s="476"/>
      <c r="S120" s="476"/>
      <c r="T120" s="476"/>
      <c r="U120" s="476"/>
    </row>
    <row r="121" spans="1:21" x14ac:dyDescent="0.25">
      <c r="B121" s="72"/>
      <c r="C121" s="72"/>
      <c r="D121" s="72"/>
      <c r="E121" s="72"/>
      <c r="F121" s="72"/>
      <c r="G121" s="72"/>
      <c r="H121" s="68"/>
      <c r="I121" s="104"/>
      <c r="N121" s="74" t="s">
        <v>106</v>
      </c>
      <c r="O121" s="74"/>
      <c r="P121" s="74"/>
      <c r="Q121" s="74"/>
      <c r="R121" s="74"/>
      <c r="S121" s="74"/>
      <c r="T121" s="74"/>
      <c r="U121" s="74"/>
    </row>
    <row r="122" spans="1:21" x14ac:dyDescent="0.25">
      <c r="A122" s="3" t="s">
        <v>102</v>
      </c>
      <c r="B122" s="72"/>
      <c r="C122" s="72"/>
      <c r="D122" s="72"/>
      <c r="E122" s="72"/>
      <c r="F122" s="72"/>
      <c r="G122" s="287" t="s">
        <v>290</v>
      </c>
      <c r="H122" s="161">
        <f>IF(H120=1,I120,I117)</f>
        <v>7974652.8399999999</v>
      </c>
      <c r="I122" s="97">
        <f>ROUND(IF(E29=0,0,IF(E29&gt;250,-(((250/E29)*H122)*IF(G122="H",0.02,0.05)),IF(G122="H",-0.02*H122,-0.05*H122))),2)</f>
        <v>-38968.42</v>
      </c>
      <c r="N122" s="75" t="s">
        <v>107</v>
      </c>
      <c r="O122" s="74"/>
      <c r="P122" s="74"/>
      <c r="Q122" s="74"/>
      <c r="R122" s="74"/>
      <c r="S122" s="74"/>
      <c r="T122" s="74"/>
      <c r="U122" s="74"/>
    </row>
    <row r="123" spans="1:21" x14ac:dyDescent="0.25">
      <c r="B123" s="72"/>
      <c r="C123" s="72"/>
      <c r="D123" s="72"/>
      <c r="E123" s="72"/>
      <c r="F123" s="72"/>
      <c r="G123" s="72"/>
      <c r="H123" s="68"/>
      <c r="I123" s="104"/>
      <c r="N123" s="76"/>
      <c r="O123" s="76"/>
      <c r="P123" s="76"/>
      <c r="Q123" s="76"/>
      <c r="R123" s="76"/>
      <c r="S123" s="76"/>
      <c r="T123" s="76"/>
      <c r="U123" s="76"/>
    </row>
    <row r="124" spans="1:21" x14ac:dyDescent="0.25">
      <c r="A124" s="345" t="s">
        <v>103</v>
      </c>
      <c r="B124" s="346"/>
      <c r="C124" s="346"/>
      <c r="D124" s="346"/>
      <c r="E124" s="346"/>
      <c r="F124" s="346"/>
      <c r="G124" s="346"/>
      <c r="H124" s="347"/>
      <c r="I124" s="348">
        <f>I115+I122</f>
        <v>8226124.2699999996</v>
      </c>
      <c r="N124" s="76"/>
      <c r="O124" s="76"/>
      <c r="P124" s="76"/>
      <c r="Q124" s="76"/>
      <c r="R124" s="76"/>
      <c r="S124" s="76"/>
      <c r="T124" s="76"/>
      <c r="U124" s="76"/>
    </row>
    <row r="125" spans="1:21" x14ac:dyDescent="0.25">
      <c r="B125" s="72"/>
      <c r="C125" s="72"/>
      <c r="D125" s="72"/>
      <c r="E125" s="72"/>
      <c r="F125" s="72"/>
      <c r="G125" s="72"/>
      <c r="H125" s="68"/>
      <c r="I125" s="104"/>
      <c r="N125" s="76"/>
      <c r="O125" s="76"/>
      <c r="P125" s="76"/>
      <c r="Q125" s="76"/>
      <c r="R125" s="76"/>
      <c r="S125" s="76"/>
      <c r="T125" s="76"/>
      <c r="U125" s="76"/>
    </row>
    <row r="126" spans="1:21" x14ac:dyDescent="0.25">
      <c r="A126" s="84" t="s">
        <v>292</v>
      </c>
      <c r="B126" s="72"/>
      <c r="C126" s="162"/>
      <c r="D126" s="72"/>
      <c r="F126" s="72"/>
      <c r="G126" s="72"/>
      <c r="H126" s="68"/>
      <c r="I126" s="302">
        <v>-6321706.0800000001</v>
      </c>
      <c r="N126" s="76"/>
      <c r="O126" s="76"/>
      <c r="P126" s="76"/>
      <c r="Q126" s="76"/>
      <c r="R126" s="76"/>
      <c r="S126" s="76"/>
      <c r="T126" s="76"/>
      <c r="U126" s="76"/>
    </row>
    <row r="127" spans="1:21" x14ac:dyDescent="0.25">
      <c r="B127" s="72"/>
      <c r="C127" s="72"/>
      <c r="D127" s="72"/>
      <c r="E127" s="72"/>
      <c r="F127" s="72"/>
      <c r="G127" s="72"/>
      <c r="H127" s="68"/>
      <c r="I127" s="104"/>
      <c r="N127" s="76"/>
      <c r="O127" s="76"/>
      <c r="P127" s="76"/>
      <c r="Q127" s="76"/>
      <c r="R127" s="76"/>
      <c r="S127" s="76"/>
      <c r="T127" s="76"/>
      <c r="U127" s="76"/>
    </row>
    <row r="128" spans="1:21" x14ac:dyDescent="0.25">
      <c r="A128" s="84" t="s">
        <v>297</v>
      </c>
      <c r="B128" s="72"/>
      <c r="C128" s="72"/>
      <c r="D128" s="72"/>
      <c r="E128" s="72"/>
      <c r="F128" s="72"/>
      <c r="G128" s="72"/>
      <c r="H128" s="68"/>
      <c r="I128" s="104">
        <f>I124+I126</f>
        <v>1904418.1899999995</v>
      </c>
      <c r="N128" s="76"/>
      <c r="O128" s="76"/>
      <c r="P128" s="76"/>
      <c r="Q128" s="76"/>
      <c r="R128" s="76"/>
      <c r="S128" s="76"/>
      <c r="T128" s="76"/>
      <c r="U128" s="76"/>
    </row>
    <row r="129" spans="1:21" x14ac:dyDescent="0.25">
      <c r="A129" s="84"/>
      <c r="B129" s="72"/>
      <c r="C129" s="72"/>
      <c r="D129" s="72"/>
      <c r="E129" s="72"/>
      <c r="F129" s="72"/>
      <c r="G129" s="72"/>
      <c r="H129" s="68"/>
      <c r="I129" s="104"/>
      <c r="N129" s="76"/>
      <c r="O129" s="76"/>
      <c r="P129" s="76"/>
      <c r="Q129" s="76"/>
      <c r="R129" s="76"/>
      <c r="S129" s="76"/>
      <c r="T129" s="76"/>
      <c r="U129" s="76"/>
    </row>
    <row r="130" spans="1:21" x14ac:dyDescent="0.25">
      <c r="A130" s="84" t="s">
        <v>298</v>
      </c>
      <c r="B130" s="72"/>
      <c r="C130" s="72"/>
      <c r="D130" s="72"/>
      <c r="E130" s="72"/>
      <c r="F130" s="72"/>
      <c r="G130" s="72"/>
      <c r="H130" s="68"/>
      <c r="I130" s="303">
        <f>'0664'!I130</f>
        <v>3</v>
      </c>
      <c r="N130" s="76"/>
      <c r="O130" s="76"/>
      <c r="P130" s="76"/>
      <c r="Q130" s="76"/>
      <c r="R130" s="76"/>
      <c r="S130" s="76"/>
      <c r="T130" s="76"/>
      <c r="U130" s="76"/>
    </row>
    <row r="131" spans="1:21" x14ac:dyDescent="0.25">
      <c r="B131" s="72"/>
      <c r="C131" s="72"/>
      <c r="D131" s="72"/>
      <c r="E131" s="72"/>
      <c r="F131" s="72"/>
      <c r="G131" s="72"/>
      <c r="H131" s="68"/>
      <c r="I131" s="104"/>
      <c r="N131" s="76"/>
      <c r="O131" s="76"/>
      <c r="P131" s="76"/>
      <c r="Q131" s="76"/>
      <c r="R131" s="76"/>
      <c r="S131" s="76"/>
      <c r="T131" s="76"/>
      <c r="U131" s="76"/>
    </row>
    <row r="132" spans="1:21" ht="16.5" thickBot="1" x14ac:dyDescent="0.3">
      <c r="A132" s="3" t="s">
        <v>105</v>
      </c>
      <c r="B132" s="72"/>
      <c r="C132" s="72"/>
      <c r="D132" s="72"/>
      <c r="E132" s="72"/>
      <c r="F132" s="72"/>
      <c r="G132" s="72"/>
      <c r="H132" s="68"/>
      <c r="I132" s="178">
        <f>ROUND(I128/I130,2)</f>
        <v>634806.06000000006</v>
      </c>
      <c r="N132" s="76"/>
      <c r="O132" s="76"/>
      <c r="P132" s="76"/>
      <c r="Q132" s="76"/>
      <c r="R132" s="76"/>
      <c r="S132" s="76"/>
      <c r="T132" s="76"/>
      <c r="U132" s="76"/>
    </row>
    <row r="133" spans="1:21" ht="16.5" thickTop="1" x14ac:dyDescent="0.25">
      <c r="B133" s="72"/>
      <c r="C133" s="72"/>
      <c r="D133" s="72"/>
      <c r="E133" s="72"/>
      <c r="F133" s="72"/>
      <c r="G133" s="72"/>
      <c r="H133" s="68"/>
      <c r="I133" s="104"/>
      <c r="N133" s="76"/>
      <c r="O133" s="76"/>
      <c r="P133" s="76"/>
      <c r="Q133" s="76"/>
      <c r="R133" s="76"/>
      <c r="S133" s="76"/>
      <c r="T133" s="76"/>
      <c r="U133" s="76"/>
    </row>
    <row r="134" spans="1:21" ht="16.5" thickBot="1" x14ac:dyDescent="0.3">
      <c r="A134" s="3" t="s">
        <v>121</v>
      </c>
      <c r="B134" s="72"/>
      <c r="C134" s="72"/>
      <c r="D134" s="72"/>
      <c r="E134" s="72"/>
      <c r="F134" s="72"/>
      <c r="G134" s="72"/>
      <c r="H134" s="68"/>
      <c r="I134" s="155">
        <f>ROUND(IF(G122="H",(H122*0.02)+I122,(H122*0.05)+I122),2)</f>
        <v>120524.64</v>
      </c>
      <c r="N134" s="76"/>
      <c r="O134" s="76"/>
      <c r="P134" s="76"/>
      <c r="Q134" s="76"/>
      <c r="R134" s="76"/>
      <c r="S134" s="76"/>
      <c r="T134" s="76"/>
      <c r="U134" s="76"/>
    </row>
    <row r="135" spans="1:21" ht="16.5" thickTop="1" x14ac:dyDescent="0.25">
      <c r="B135" s="72"/>
      <c r="C135" s="72"/>
      <c r="D135" s="72"/>
      <c r="E135" s="72"/>
      <c r="F135" s="72"/>
      <c r="G135" s="72"/>
      <c r="H135" s="68"/>
      <c r="I135" s="156"/>
      <c r="N135" s="76"/>
      <c r="O135" s="76"/>
      <c r="P135" s="76"/>
      <c r="Q135" s="76"/>
      <c r="R135" s="76"/>
      <c r="S135" s="76"/>
      <c r="T135" s="76"/>
      <c r="U135" s="76"/>
    </row>
    <row r="136" spans="1:21" x14ac:dyDescent="0.25">
      <c r="B136" s="72"/>
      <c r="C136" s="72"/>
      <c r="D136" s="72"/>
      <c r="E136" s="72"/>
      <c r="F136" s="72"/>
      <c r="G136" s="72"/>
      <c r="H136" s="68"/>
      <c r="I136" s="104"/>
      <c r="N136" s="76"/>
      <c r="O136" s="76"/>
      <c r="P136" s="76"/>
      <c r="Q136" s="76"/>
      <c r="R136" s="76"/>
      <c r="S136" s="76"/>
      <c r="T136" s="76"/>
      <c r="U136" s="76"/>
    </row>
    <row r="137" spans="1:21" x14ac:dyDescent="0.25">
      <c r="B137" s="72"/>
      <c r="C137" s="72"/>
      <c r="D137" s="72"/>
      <c r="E137" s="72"/>
      <c r="F137" s="72"/>
      <c r="G137" s="72"/>
      <c r="H137" s="68"/>
      <c r="I137" s="156"/>
      <c r="N137" s="76"/>
      <c r="O137" s="76"/>
      <c r="P137" s="76"/>
      <c r="Q137" s="76"/>
      <c r="R137" s="76"/>
      <c r="S137" s="76"/>
      <c r="T137" s="76"/>
      <c r="U137" s="76"/>
    </row>
    <row r="138" spans="1:21" x14ac:dyDescent="0.25">
      <c r="A138" s="281" t="s">
        <v>7</v>
      </c>
      <c r="B138" s="281"/>
      <c r="C138" s="281"/>
      <c r="D138" s="281"/>
      <c r="E138" s="281"/>
      <c r="F138" s="281"/>
      <c r="G138" s="281"/>
      <c r="H138" s="281"/>
      <c r="I138" s="281"/>
      <c r="J138" s="156"/>
      <c r="N138" s="76"/>
      <c r="O138" s="76"/>
      <c r="P138" s="76"/>
      <c r="Q138" s="76"/>
      <c r="R138" s="76"/>
      <c r="S138" s="76"/>
      <c r="T138" s="76"/>
      <c r="U138" s="76"/>
    </row>
    <row r="139" spans="1:21" ht="15.75" customHeight="1" x14ac:dyDescent="0.25">
      <c r="A139" s="356" t="str">
        <f>'0664'!A139</f>
        <v>(a) Additional FTE includes FTE earned through Advanced Placement, International Baccalaureate, Advanced International Certificate of Education, Industry Certified Career</v>
      </c>
      <c r="B139" s="357"/>
      <c r="C139" s="357"/>
      <c r="D139" s="357"/>
      <c r="E139" s="357"/>
      <c r="F139" s="357"/>
      <c r="G139" s="357"/>
      <c r="H139" s="357"/>
      <c r="I139" s="357"/>
      <c r="J139" s="80"/>
      <c r="K139" s="79"/>
      <c r="L139" s="79"/>
      <c r="M139" s="79"/>
      <c r="N139" s="477"/>
      <c r="O139" s="477"/>
      <c r="P139" s="477"/>
      <c r="Q139" s="477"/>
      <c r="R139" s="477"/>
      <c r="S139" s="477"/>
      <c r="T139" s="477"/>
      <c r="U139" s="477"/>
    </row>
    <row r="140" spans="1:21" ht="15.75" customHeight="1" x14ac:dyDescent="0.25">
      <c r="A140" s="390" t="str">
        <f>'0664'!A140</f>
        <v xml:space="preserve">Education (CAPE), Early High School Graduation and the small district ESE Supplement, pursuant to s. 1011.62(1)(l-p), F.S. </v>
      </c>
      <c r="B140" s="357"/>
      <c r="C140" s="357"/>
      <c r="D140" s="357"/>
      <c r="E140" s="357"/>
      <c r="F140" s="357"/>
      <c r="G140" s="357"/>
      <c r="H140" s="357"/>
      <c r="I140" s="357"/>
      <c r="J140" s="80"/>
      <c r="K140" s="79"/>
      <c r="L140" s="79"/>
      <c r="M140" s="79"/>
      <c r="N140" s="76"/>
      <c r="O140" s="76"/>
      <c r="P140" s="76"/>
      <c r="Q140" s="76"/>
      <c r="R140" s="76"/>
      <c r="S140" s="76"/>
      <c r="T140" s="76"/>
      <c r="U140" s="76"/>
    </row>
    <row r="141" spans="1:21" x14ac:dyDescent="0.25">
      <c r="A141" s="356" t="str">
        <f>'0664'!A141</f>
        <v>(b) District allocations multiplied by percentage from item 3A.</v>
      </c>
      <c r="B141" s="281"/>
      <c r="C141" s="281"/>
      <c r="D141" s="281"/>
      <c r="E141" s="281"/>
      <c r="F141" s="281"/>
      <c r="G141" s="281"/>
      <c r="H141" s="281"/>
      <c r="I141" s="281"/>
      <c r="J141" s="79"/>
      <c r="K141" s="79"/>
      <c r="L141" s="79"/>
      <c r="M141" s="79"/>
      <c r="N141" s="81"/>
      <c r="O141" s="82"/>
      <c r="P141" s="82"/>
      <c r="Q141" s="82"/>
      <c r="R141" s="82"/>
      <c r="S141" s="82"/>
      <c r="T141" s="82"/>
      <c r="U141" s="82"/>
    </row>
    <row r="142" spans="1:21" s="79" customFormat="1" x14ac:dyDescent="0.2">
      <c r="A142" s="356" t="str">
        <f>'0664'!A142</f>
        <v>(c) District allocations multiplied by percentage from item 3B.</v>
      </c>
      <c r="B142" s="281"/>
      <c r="C142" s="281"/>
      <c r="D142" s="281"/>
      <c r="E142" s="281"/>
      <c r="F142" s="281"/>
      <c r="G142" s="281"/>
      <c r="H142" s="281"/>
      <c r="I142" s="281"/>
      <c r="N142" s="81"/>
    </row>
    <row r="143" spans="1:21" s="79" customFormat="1" ht="15.75" customHeight="1" x14ac:dyDescent="0.2">
      <c r="A143" s="356" t="str">
        <f>'0664'!A143</f>
        <v>(d) The Digital Classroom Allocation is provided pursuant to s. 1011.62(12), F.S.</v>
      </c>
      <c r="B143" s="281"/>
      <c r="C143" s="281"/>
      <c r="D143" s="281"/>
      <c r="E143" s="281"/>
      <c r="F143" s="281"/>
      <c r="G143" s="281"/>
      <c r="H143" s="281"/>
      <c r="I143" s="281"/>
      <c r="N143" s="81"/>
    </row>
    <row r="144" spans="1:21" s="79" customFormat="1" ht="15.75" customHeight="1" x14ac:dyDescent="0.2">
      <c r="A144" s="356" t="str">
        <f>'0664'!A144</f>
        <v>(e) School districts are required to pay for instructional materials used for the instruction of public high school students who are earning credit toward high school</v>
      </c>
      <c r="B144" s="281"/>
      <c r="C144" s="281"/>
      <c r="D144" s="281"/>
      <c r="E144" s="281"/>
      <c r="F144" s="281"/>
      <c r="G144" s="281"/>
      <c r="H144" s="281"/>
      <c r="I144" s="281"/>
      <c r="N144" s="81"/>
    </row>
    <row r="145" spans="1:14" s="79" customFormat="1" ht="15.75" customHeight="1" x14ac:dyDescent="0.2">
      <c r="A145" s="390" t="str">
        <f>'0664'!A145</f>
        <v xml:space="preserve">graduation under the dual enrollment program as provided in s. 1011.62(l)(i), F.S.  </v>
      </c>
      <c r="B145" s="281"/>
      <c r="C145" s="281"/>
      <c r="D145" s="281"/>
      <c r="E145" s="281"/>
      <c r="F145" s="281"/>
      <c r="G145" s="281"/>
      <c r="H145" s="281"/>
      <c r="I145" s="281"/>
      <c r="N145" s="81"/>
    </row>
    <row r="146" spans="1:14" s="79" customFormat="1" x14ac:dyDescent="0.2">
      <c r="A146" s="356" t="str">
        <f>'0664'!A146</f>
        <v>(f) This allocation will be frozen as of the 2021-22 FEFP Second Calculation and will not be recalculated throughout the year. Charter school allocations should be</v>
      </c>
      <c r="B146" s="281"/>
      <c r="C146" s="281"/>
      <c r="D146" s="281"/>
      <c r="E146" s="281"/>
      <c r="F146" s="281"/>
      <c r="G146" s="281"/>
      <c r="H146" s="281"/>
      <c r="I146" s="281"/>
      <c r="N146" s="81"/>
    </row>
    <row r="147" spans="1:14" s="79" customFormat="1" x14ac:dyDescent="0.2">
      <c r="A147" s="358" t="str">
        <f>'0664'!A147</f>
        <v xml:space="preserve">distributed on weighted FTE (or base funding as is done in the FEFP) and should not be recalculated with fluctuations in student enrollment later in the year. </v>
      </c>
      <c r="B147" s="281"/>
      <c r="C147" s="281"/>
      <c r="D147" s="281"/>
      <c r="E147" s="281"/>
      <c r="F147" s="281"/>
      <c r="G147" s="281"/>
      <c r="H147" s="281"/>
      <c r="I147" s="281"/>
      <c r="N147" s="81"/>
    </row>
    <row r="148" spans="1:14" s="79" customFormat="1" x14ac:dyDescent="0.2">
      <c r="A148" s="356" t="str">
        <f>'0664'!A148</f>
        <v>(g) Numbers entered here will be multiplied by the district level transportation funding per rider. "All Adjusted Fundable Riders" should include both basic and ESE Riders.</v>
      </c>
      <c r="B148" s="281"/>
      <c r="C148" s="281"/>
      <c r="D148" s="281"/>
      <c r="E148" s="281"/>
      <c r="F148" s="281"/>
      <c r="G148" s="281"/>
      <c r="H148" s="281"/>
      <c r="I148" s="281"/>
      <c r="N148" s="81"/>
    </row>
    <row r="149" spans="1:14" s="79" customFormat="1" x14ac:dyDescent="0.2">
      <c r="A149" s="390" t="str">
        <f>'0664'!A149</f>
        <v>"All Adjusted ESE Riders" should include only ESE Riders.</v>
      </c>
      <c r="B149" s="281"/>
      <c r="C149" s="281"/>
      <c r="D149" s="281"/>
      <c r="E149" s="281"/>
      <c r="F149" s="281"/>
      <c r="G149" s="281"/>
      <c r="H149" s="281"/>
      <c r="I149" s="281"/>
      <c r="N149" s="81"/>
    </row>
    <row r="150" spans="1:14" s="79" customFormat="1" x14ac:dyDescent="0.2">
      <c r="A150" s="356" t="str">
        <f>'0664'!A150</f>
        <v xml:space="preserve">(h) The Federally Connected Student Supplement provides additional funding for students on federal lands that receive Section 8003 impact aide pursuant to s. 1011.62(13), F.S. </v>
      </c>
      <c r="B150" s="281"/>
      <c r="C150" s="281"/>
      <c r="D150" s="281"/>
      <c r="E150" s="281"/>
      <c r="F150" s="281"/>
      <c r="G150" s="281"/>
      <c r="H150" s="281"/>
      <c r="I150" s="281"/>
      <c r="N150" s="81"/>
    </row>
    <row r="151" spans="1:14" s="79" customFormat="1" x14ac:dyDescent="0.2">
      <c r="A151" s="356" t="str">
        <f>'0664'!A151</f>
        <v>(i) Teacher Classroom Supply Assistance Program allocation pursuant to s. 1012.71, F.S., for certified teachers employed by a public school district or public charter school</v>
      </c>
      <c r="B151" s="281"/>
      <c r="C151" s="281"/>
      <c r="D151" s="281"/>
      <c r="E151" s="281"/>
      <c r="F151" s="281"/>
      <c r="G151" s="281"/>
      <c r="H151" s="281"/>
      <c r="I151" s="281"/>
      <c r="N151" s="81"/>
    </row>
    <row r="152" spans="1:14" s="79" customFormat="1" x14ac:dyDescent="0.2">
      <c r="A152" s="358" t="str">
        <f>'0664'!A152</f>
        <v xml:space="preserve">before September 1 of each year whose full-time or job-share responsibility is the classroom instruction of students in prekindergarten through grade 12, including </v>
      </c>
      <c r="B152" s="281"/>
      <c r="C152" s="281"/>
      <c r="D152" s="281"/>
      <c r="E152" s="281"/>
      <c r="F152" s="281"/>
      <c r="G152" s="281"/>
      <c r="H152" s="281"/>
      <c r="I152" s="281"/>
      <c r="N152" s="81"/>
    </row>
    <row r="153" spans="1:14" s="79" customFormat="1" ht="15.75" customHeight="1" x14ac:dyDescent="0.2">
      <c r="A153" s="358" t="str">
        <f>'0664'!A153</f>
        <v>full-time media specialists and certified school counselors serving students in prekindergarten through grade 12, who are funded through the FEFP.</v>
      </c>
      <c r="B153" s="281"/>
      <c r="C153" s="281"/>
      <c r="D153" s="281"/>
      <c r="E153" s="281"/>
      <c r="F153" s="281"/>
      <c r="G153" s="281"/>
      <c r="H153" s="281"/>
      <c r="I153" s="281"/>
      <c r="N153" s="81"/>
    </row>
    <row r="154" spans="1:14" s="79" customFormat="1" ht="15.75" customHeight="1" x14ac:dyDescent="0.2">
      <c r="A154" s="356" t="str">
        <f>'0664'!A154</f>
        <v xml:space="preserve">(j) Funding based on student eligibility and meals provided, if participating in the National School Lunch Program. </v>
      </c>
      <c r="B154" s="328"/>
      <c r="C154" s="328"/>
      <c r="D154" s="328"/>
      <c r="E154" s="328"/>
      <c r="F154" s="328"/>
      <c r="G154" s="328"/>
      <c r="H154" s="328"/>
      <c r="I154" s="328"/>
      <c r="N154" s="81"/>
    </row>
    <row r="155" spans="1:14" s="79" customFormat="1" ht="15.75" customHeight="1" x14ac:dyDescent="0.2">
      <c r="A155" s="356" t="str">
        <f>'0664'!A155</f>
        <v>(k) Consistent with s. 1002.33(20)(a), F.S., for charter schools with a population of 75% or more ESE students, the administrative fee shall be calculated based on</v>
      </c>
      <c r="B155" s="381"/>
      <c r="C155" s="381"/>
      <c r="D155" s="381"/>
      <c r="E155" s="381"/>
      <c r="F155" s="381"/>
      <c r="G155" s="381"/>
      <c r="H155" s="381"/>
      <c r="I155" s="381"/>
      <c r="N155" s="81"/>
    </row>
    <row r="156" spans="1:14" s="79" customFormat="1" ht="15.75" customHeight="1" x14ac:dyDescent="0.2">
      <c r="A156" s="390" t="str">
        <f>'0664'!A156</f>
        <v xml:space="preserve">unweighted full-time equivalent students. </v>
      </c>
      <c r="B156" s="381"/>
      <c r="C156" s="381"/>
      <c r="D156" s="381"/>
      <c r="E156" s="381"/>
      <c r="F156" s="381"/>
      <c r="G156" s="381"/>
      <c r="H156" s="381"/>
      <c r="I156" s="381"/>
      <c r="N156" s="81"/>
    </row>
    <row r="157" spans="1:14" s="79" customFormat="1" ht="15.75" customHeight="1" x14ac:dyDescent="0.2">
      <c r="A157" s="356"/>
      <c r="B157" s="381"/>
      <c r="C157" s="381"/>
      <c r="D157" s="381"/>
      <c r="E157" s="381"/>
      <c r="F157" s="381"/>
      <c r="G157" s="381"/>
      <c r="H157" s="381"/>
      <c r="I157" s="381"/>
      <c r="N157" s="81"/>
    </row>
    <row r="158" spans="1:14" s="79" customFormat="1" ht="15.75" customHeight="1" x14ac:dyDescent="0.25">
      <c r="A158" s="398" t="str">
        <f>'0664'!A158</f>
        <v>Administrative fees:</v>
      </c>
      <c r="B158" s="328"/>
      <c r="C158" s="328"/>
      <c r="D158" s="328"/>
      <c r="E158" s="328"/>
      <c r="F158" s="328"/>
      <c r="G158" s="328"/>
      <c r="H158" s="328"/>
      <c r="I158" s="328"/>
      <c r="J158" s="3"/>
      <c r="K158" s="3"/>
      <c r="L158" s="3"/>
      <c r="M158" s="3"/>
      <c r="N158" s="81"/>
    </row>
    <row r="159" spans="1:14" s="79" customFormat="1" ht="15.75" customHeight="1" x14ac:dyDescent="0.25">
      <c r="A159" s="399" t="str">
        <f>'0664'!A159</f>
        <v xml:space="preserve">Administrative fees charged by the school district pursuant to s. 1002.33(20)(a), F.S., shall be calculated based upon 5% of available funds from the FEFP and categorical </v>
      </c>
      <c r="B159" s="328"/>
      <c r="C159" s="328"/>
      <c r="D159" s="328"/>
      <c r="E159" s="328"/>
      <c r="F159" s="328"/>
      <c r="G159" s="328"/>
      <c r="H159" s="328"/>
      <c r="I159" s="328"/>
      <c r="J159" s="3"/>
      <c r="K159" s="3"/>
      <c r="L159" s="3"/>
      <c r="M159" s="3"/>
      <c r="N159" s="81"/>
    </row>
    <row r="160" spans="1:14" s="79" customFormat="1" ht="15.75" customHeight="1" x14ac:dyDescent="0.25">
      <c r="A160" s="400" t="str">
        <f>'0664'!A160</f>
        <v>funding for which charter students may be eligible.  To calculate the administrative fee to be withheld for schools with more than 250 students, divide the school</v>
      </c>
      <c r="B160" s="328"/>
      <c r="C160" s="328"/>
      <c r="D160" s="328"/>
      <c r="E160" s="328"/>
      <c r="F160" s="328"/>
      <c r="G160" s="328"/>
      <c r="H160" s="328"/>
      <c r="I160" s="328"/>
      <c r="J160" s="3"/>
      <c r="K160" s="3"/>
      <c r="L160" s="3"/>
      <c r="M160" s="3"/>
      <c r="N160" s="81"/>
    </row>
    <row r="161" spans="1:21" s="79" customFormat="1" ht="15.75" customHeight="1" x14ac:dyDescent="0.25">
      <c r="A161" s="400" t="str">
        <f>'0664'!A161</f>
        <v xml:space="preserve">population into 250. Multiply that fraction times the funds available, then times 5%.  </v>
      </c>
      <c r="B161" s="328"/>
      <c r="C161" s="328"/>
      <c r="D161" s="328"/>
      <c r="E161" s="328"/>
      <c r="F161" s="328"/>
      <c r="G161" s="328"/>
      <c r="H161" s="328"/>
      <c r="I161" s="328"/>
      <c r="J161" s="3"/>
      <c r="K161" s="3"/>
      <c r="L161" s="3"/>
      <c r="M161" s="3"/>
      <c r="N161" s="81"/>
    </row>
    <row r="162" spans="1:21" s="79" customFormat="1" ht="15.75" customHeight="1" x14ac:dyDescent="0.25">
      <c r="A162" s="399"/>
      <c r="B162" s="394"/>
      <c r="C162" s="394"/>
      <c r="D162" s="394"/>
      <c r="E162" s="394"/>
      <c r="F162" s="394"/>
      <c r="G162" s="394"/>
      <c r="H162" s="394"/>
      <c r="I162" s="394"/>
      <c r="N162" s="77"/>
      <c r="O162" s="3"/>
      <c r="P162" s="3"/>
      <c r="Q162" s="3"/>
      <c r="R162" s="3"/>
      <c r="S162" s="3"/>
      <c r="T162" s="3"/>
      <c r="U162" s="3"/>
    </row>
    <row r="163" spans="1:21" ht="15.75" customHeight="1" x14ac:dyDescent="0.25">
      <c r="A163" s="399" t="str">
        <f>'0664'!A163</f>
        <v xml:space="preserve">For high performing charter schools, administrative fees charged by the school district shall be calculated based upon 2% of available funds from the FEFP and categorical </v>
      </c>
      <c r="B163" s="328"/>
      <c r="C163" s="328"/>
      <c r="D163" s="328"/>
      <c r="E163" s="328"/>
      <c r="F163" s="328"/>
      <c r="G163" s="328"/>
      <c r="H163" s="328"/>
      <c r="I163" s="328"/>
      <c r="J163" s="79"/>
      <c r="K163" s="79"/>
      <c r="L163" s="79"/>
      <c r="M163" s="79"/>
      <c r="N163" s="81"/>
      <c r="O163" s="79"/>
      <c r="P163" s="79"/>
      <c r="Q163" s="79"/>
      <c r="R163" s="79"/>
      <c r="S163" s="79"/>
      <c r="T163" s="79"/>
      <c r="U163" s="79"/>
    </row>
    <row r="164" spans="1:21" ht="15.75" customHeight="1" x14ac:dyDescent="0.25">
      <c r="A164" s="400" t="str">
        <f>'0664'!A164</f>
        <v>funding for which charter students may be eligible.  To calculate the administrative fee to be withheld for schools with more than 250 students, divide the school</v>
      </c>
      <c r="B164" s="381"/>
      <c r="C164" s="381"/>
      <c r="D164" s="381"/>
      <c r="E164" s="381"/>
      <c r="F164" s="381"/>
      <c r="G164" s="381"/>
      <c r="H164" s="381"/>
      <c r="I164" s="381"/>
      <c r="J164" s="79"/>
      <c r="K164" s="79"/>
      <c r="L164" s="79"/>
      <c r="M164" s="79"/>
      <c r="N164" s="81"/>
      <c r="O164" s="79"/>
      <c r="P164" s="79"/>
      <c r="Q164" s="79"/>
      <c r="R164" s="79"/>
      <c r="S164" s="79"/>
      <c r="T164" s="79"/>
      <c r="U164" s="79"/>
    </row>
    <row r="165" spans="1:21" s="79" customFormat="1" ht="15.75" customHeight="1" x14ac:dyDescent="0.2">
      <c r="A165" s="400" t="str">
        <f>'0664'!A165</f>
        <v xml:space="preserve">population into 250. Multiply that fraction times the funds available, then times 2%.  </v>
      </c>
      <c r="B165" s="328"/>
      <c r="C165" s="328"/>
      <c r="D165" s="328"/>
      <c r="E165" s="328"/>
      <c r="F165" s="328"/>
      <c r="G165" s="328"/>
      <c r="H165" s="328"/>
      <c r="I165" s="328"/>
      <c r="N165" s="81"/>
    </row>
    <row r="166" spans="1:21" x14ac:dyDescent="0.25">
      <c r="A166" s="356"/>
      <c r="N166" s="77"/>
    </row>
    <row r="167" spans="1:21" x14ac:dyDescent="0.25">
      <c r="A167" s="398" t="str">
        <f>'0664'!A167</f>
        <v>Other:</v>
      </c>
      <c r="N167" s="77"/>
    </row>
    <row r="168" spans="1:21" x14ac:dyDescent="0.25">
      <c r="A168" s="399" t="str">
        <f>'0664'!A168</f>
        <v>FEFP and categorical funding are recalculated during the year to reflect the revised number of full-time equivalent students reported during the survey periods designated</v>
      </c>
      <c r="N168" s="77"/>
    </row>
    <row r="169" spans="1:21" x14ac:dyDescent="0.25">
      <c r="A169" s="402" t="str">
        <f>'0664'!A169</f>
        <v>by the Commissioner of Education.</v>
      </c>
      <c r="N169" s="77"/>
    </row>
    <row r="170" spans="1:21" x14ac:dyDescent="0.25">
      <c r="A170" s="399" t="str">
        <f>'0664'!A170</f>
        <v>Revenues flow to districts from state sources and from county tax collectors on various distribution schedules.</v>
      </c>
      <c r="N170" s="77"/>
    </row>
    <row r="171" spans="1:21" x14ac:dyDescent="0.25">
      <c r="A171" s="77"/>
      <c r="N171" s="77"/>
    </row>
    <row r="172" spans="1:21" x14ac:dyDescent="0.25">
      <c r="A172" s="77"/>
      <c r="N172" s="77"/>
    </row>
    <row r="173" spans="1:21" x14ac:dyDescent="0.25">
      <c r="A173" s="77"/>
      <c r="N173" s="77"/>
    </row>
    <row r="174" spans="1:21" x14ac:dyDescent="0.25">
      <c r="A174" s="77"/>
      <c r="N174" s="77"/>
    </row>
    <row r="175" spans="1:21" x14ac:dyDescent="0.25">
      <c r="A175" s="77"/>
      <c r="N175" s="77"/>
    </row>
    <row r="176" spans="1:21" x14ac:dyDescent="0.25">
      <c r="A176" s="77"/>
      <c r="N176" s="77"/>
    </row>
    <row r="177" spans="1:14" x14ac:dyDescent="0.25">
      <c r="A177" s="77"/>
      <c r="N177" s="77"/>
    </row>
    <row r="178" spans="1:14" x14ac:dyDescent="0.25">
      <c r="A178" s="77"/>
      <c r="N178" s="77"/>
    </row>
    <row r="179" spans="1:14" x14ac:dyDescent="0.25">
      <c r="A179" s="77"/>
      <c r="N179" s="77"/>
    </row>
    <row r="180" spans="1:14" x14ac:dyDescent="0.25">
      <c r="A180" s="77"/>
      <c r="N180" s="77"/>
    </row>
    <row r="181" spans="1:14" x14ac:dyDescent="0.25">
      <c r="A181" s="77"/>
      <c r="N181" s="77"/>
    </row>
    <row r="182" spans="1:14" x14ac:dyDescent="0.25">
      <c r="A182" s="77"/>
      <c r="N182" s="77"/>
    </row>
    <row r="183" spans="1:14" x14ac:dyDescent="0.25">
      <c r="A183" s="77"/>
      <c r="N183" s="77"/>
    </row>
    <row r="184" spans="1:14" x14ac:dyDescent="0.25">
      <c r="A184" s="77"/>
      <c r="N184" s="77"/>
    </row>
    <row r="185" spans="1:14" x14ac:dyDescent="0.25">
      <c r="A185" s="77"/>
      <c r="N185" s="77"/>
    </row>
    <row r="186" spans="1:14" x14ac:dyDescent="0.25">
      <c r="A186" s="77"/>
      <c r="N186" s="77"/>
    </row>
    <row r="187" spans="1:14" x14ac:dyDescent="0.25">
      <c r="A187" s="77"/>
      <c r="N187" s="77"/>
    </row>
    <row r="188" spans="1:14" x14ac:dyDescent="0.25">
      <c r="A188" s="77"/>
    </row>
    <row r="189" spans="1:14" x14ac:dyDescent="0.25">
      <c r="A189" s="77"/>
    </row>
    <row r="190" spans="1:14" x14ac:dyDescent="0.25">
      <c r="A190" s="77"/>
    </row>
    <row r="191" spans="1:14" x14ac:dyDescent="0.25">
      <c r="A191" s="77"/>
    </row>
    <row r="192" spans="1:14" x14ac:dyDescent="0.25">
      <c r="A192" s="77"/>
    </row>
    <row r="193" spans="1:1" x14ac:dyDescent="0.25">
      <c r="A193" s="77"/>
    </row>
    <row r="194" spans="1:1" x14ac:dyDescent="0.25">
      <c r="A194" s="77"/>
    </row>
    <row r="195" spans="1:1" x14ac:dyDescent="0.25">
      <c r="A195" s="77"/>
    </row>
    <row r="196" spans="1:1" x14ac:dyDescent="0.25">
      <c r="A196" s="77"/>
    </row>
    <row r="197" spans="1:1" x14ac:dyDescent="0.25">
      <c r="A197" s="77"/>
    </row>
    <row r="198" spans="1:1" x14ac:dyDescent="0.25">
      <c r="A198" s="77"/>
    </row>
    <row r="199" spans="1:1" x14ac:dyDescent="0.25">
      <c r="A199" s="77"/>
    </row>
    <row r="200" spans="1:1" x14ac:dyDescent="0.25">
      <c r="A200" s="77"/>
    </row>
    <row r="201" spans="1:1" x14ac:dyDescent="0.25">
      <c r="A201" s="77"/>
    </row>
    <row r="202" spans="1:1" x14ac:dyDescent="0.25">
      <c r="A202" s="77"/>
    </row>
    <row r="203" spans="1:1" x14ac:dyDescent="0.25">
      <c r="A203" s="77"/>
    </row>
    <row r="204" spans="1:1" x14ac:dyDescent="0.25">
      <c r="A204" s="77"/>
    </row>
    <row r="205" spans="1:1" x14ac:dyDescent="0.25">
      <c r="A205" s="77"/>
    </row>
    <row r="206" spans="1:1" x14ac:dyDescent="0.25">
      <c r="A206" s="77"/>
    </row>
  </sheetData>
  <mergeCells count="265">
    <mergeCell ref="A112:C112"/>
    <mergeCell ref="F112:H112"/>
    <mergeCell ref="N112:P112"/>
    <mergeCell ref="A109:B109"/>
    <mergeCell ref="F109:G109"/>
    <mergeCell ref="N109:O109"/>
    <mergeCell ref="P109:Q109"/>
    <mergeCell ref="N139:U139"/>
    <mergeCell ref="N119:U119"/>
    <mergeCell ref="N113:P113"/>
    <mergeCell ref="A113:C113"/>
    <mergeCell ref="F113:H113"/>
    <mergeCell ref="N114:T114"/>
    <mergeCell ref="A115:H115"/>
    <mergeCell ref="A119:G119"/>
    <mergeCell ref="N120:U120"/>
    <mergeCell ref="A120:G120"/>
    <mergeCell ref="R109:S109"/>
    <mergeCell ref="A110:B110"/>
    <mergeCell ref="N110:O110"/>
    <mergeCell ref="A107:B107"/>
    <mergeCell ref="F107:G107"/>
    <mergeCell ref="N107:O107"/>
    <mergeCell ref="P107:Q107"/>
    <mergeCell ref="R107:S107"/>
    <mergeCell ref="A108:B108"/>
    <mergeCell ref="F108:G108"/>
    <mergeCell ref="N108:O108"/>
    <mergeCell ref="P108:Q108"/>
    <mergeCell ref="R108:S108"/>
    <mergeCell ref="A103:C103"/>
    <mergeCell ref="F103:I103"/>
    <mergeCell ref="N103:U103"/>
    <mergeCell ref="C104:E104"/>
    <mergeCell ref="F105:G105"/>
    <mergeCell ref="A106:B106"/>
    <mergeCell ref="F106:G106"/>
    <mergeCell ref="N106:O106"/>
    <mergeCell ref="P106:Q106"/>
    <mergeCell ref="R106:S106"/>
    <mergeCell ref="A99:B99"/>
    <mergeCell ref="N99:O99"/>
    <mergeCell ref="P99:R99"/>
    <mergeCell ref="A100:B100"/>
    <mergeCell ref="N100:O100"/>
    <mergeCell ref="P100:R100"/>
    <mergeCell ref="C91:D91"/>
    <mergeCell ref="P91:Q91"/>
    <mergeCell ref="C92:D92"/>
    <mergeCell ref="P92:Q92"/>
    <mergeCell ref="C93:D93"/>
    <mergeCell ref="P93:T93"/>
    <mergeCell ref="A94:I94"/>
    <mergeCell ref="N94:U94"/>
    <mergeCell ref="F96:I96"/>
    <mergeCell ref="N96:P96"/>
    <mergeCell ref="Q96:T96"/>
    <mergeCell ref="A87:I87"/>
    <mergeCell ref="N87:U87"/>
    <mergeCell ref="C88:D88"/>
    <mergeCell ref="C89:D89"/>
    <mergeCell ref="N89:O89"/>
    <mergeCell ref="P89:Q89"/>
    <mergeCell ref="R89:U89"/>
    <mergeCell ref="C90:D90"/>
    <mergeCell ref="P90:Q90"/>
    <mergeCell ref="A80:C80"/>
    <mergeCell ref="N80:P80"/>
    <mergeCell ref="A85:C85"/>
    <mergeCell ref="N85:P85"/>
    <mergeCell ref="F73:H73"/>
    <mergeCell ref="N73:T73"/>
    <mergeCell ref="N74:T74"/>
    <mergeCell ref="A78:C78"/>
    <mergeCell ref="N78:P78"/>
    <mergeCell ref="A79:C79"/>
    <mergeCell ref="N66:S66"/>
    <mergeCell ref="T66:U66"/>
    <mergeCell ref="A68:C68"/>
    <mergeCell ref="N68:P68"/>
    <mergeCell ref="A69:C69"/>
    <mergeCell ref="N69:P69"/>
    <mergeCell ref="N79:P79"/>
    <mergeCell ref="A76:C76"/>
    <mergeCell ref="N76:P76"/>
    <mergeCell ref="A77:C77"/>
    <mergeCell ref="A70:C70"/>
    <mergeCell ref="A71:C71"/>
    <mergeCell ref="N71:P71"/>
    <mergeCell ref="A72:C72"/>
    <mergeCell ref="N77:P77"/>
    <mergeCell ref="N72:P72"/>
    <mergeCell ref="N63:S63"/>
    <mergeCell ref="T63:U63"/>
    <mergeCell ref="A64:I64"/>
    <mergeCell ref="N64:U64"/>
    <mergeCell ref="A65:B65"/>
    <mergeCell ref="D65:G65"/>
    <mergeCell ref="N65:O65"/>
    <mergeCell ref="Q65:S65"/>
    <mergeCell ref="T65:U65"/>
    <mergeCell ref="A59:B59"/>
    <mergeCell ref="F59:H59"/>
    <mergeCell ref="N59:O59"/>
    <mergeCell ref="P59:Q59"/>
    <mergeCell ref="R59:T59"/>
    <mergeCell ref="N60:U60"/>
    <mergeCell ref="A61:I61"/>
    <mergeCell ref="N61:U61"/>
    <mergeCell ref="A62:B62"/>
    <mergeCell ref="D62:G62"/>
    <mergeCell ref="N62:O62"/>
    <mergeCell ref="Q62:S62"/>
    <mergeCell ref="T62:U62"/>
    <mergeCell ref="A50:B58"/>
    <mergeCell ref="N50:O58"/>
    <mergeCell ref="P50:Q50"/>
    <mergeCell ref="P51:Q51"/>
    <mergeCell ref="P52:Q52"/>
    <mergeCell ref="P53:Q53"/>
    <mergeCell ref="P54:Q54"/>
    <mergeCell ref="P55:Q55"/>
    <mergeCell ref="P56:Q56"/>
    <mergeCell ref="P57:Q57"/>
    <mergeCell ref="P58:Q58"/>
    <mergeCell ref="A42:B42"/>
    <mergeCell ref="N42:O42"/>
    <mergeCell ref="P42:T42"/>
    <mergeCell ref="N43:Q43"/>
    <mergeCell ref="S43:T43"/>
    <mergeCell ref="N45:Q45"/>
    <mergeCell ref="S45:T45"/>
    <mergeCell ref="N49:O49"/>
    <mergeCell ref="P49:Q49"/>
    <mergeCell ref="A39:B39"/>
    <mergeCell ref="N39:O39"/>
    <mergeCell ref="P39:T39"/>
    <mergeCell ref="A40:B40"/>
    <mergeCell ref="N40:O40"/>
    <mergeCell ref="P40:T40"/>
    <mergeCell ref="A41:B41"/>
    <mergeCell ref="N41:O41"/>
    <mergeCell ref="P41:T41"/>
    <mergeCell ref="N34:T34"/>
    <mergeCell ref="A36:B36"/>
    <mergeCell ref="N36:O36"/>
    <mergeCell ref="P36:T36"/>
    <mergeCell ref="A37:B37"/>
    <mergeCell ref="N37:O37"/>
    <mergeCell ref="P37:T37"/>
    <mergeCell ref="F33:H36"/>
    <mergeCell ref="A38:B38"/>
    <mergeCell ref="N38:O38"/>
    <mergeCell ref="P38:T38"/>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A20:B20"/>
    <mergeCell ref="F20:G20"/>
    <mergeCell ref="N20:O20"/>
    <mergeCell ref="P20:Q20"/>
    <mergeCell ref="R20:S20"/>
    <mergeCell ref="A21:B21"/>
    <mergeCell ref="F21:G21"/>
    <mergeCell ref="N21:O21"/>
    <mergeCell ref="P21:Q21"/>
    <mergeCell ref="R21:S21"/>
    <mergeCell ref="A18:B18"/>
    <mergeCell ref="F18:G18"/>
    <mergeCell ref="N18:O18"/>
    <mergeCell ref="P18:Q18"/>
    <mergeCell ref="R18:S18"/>
    <mergeCell ref="A19:B19"/>
    <mergeCell ref="F19:G19"/>
    <mergeCell ref="N19:O19"/>
    <mergeCell ref="P19:Q19"/>
    <mergeCell ref="R19:S19"/>
    <mergeCell ref="A16:B16"/>
    <mergeCell ref="F16:G16"/>
    <mergeCell ref="N16:O16"/>
    <mergeCell ref="P16:Q16"/>
    <mergeCell ref="R16:S16"/>
    <mergeCell ref="A15:B15"/>
    <mergeCell ref="F15:G15"/>
    <mergeCell ref="A17:B17"/>
    <mergeCell ref="F17:G17"/>
    <mergeCell ref="N17:O17"/>
    <mergeCell ref="P17:Q17"/>
    <mergeCell ref="R17:S17"/>
    <mergeCell ref="A14:B14"/>
    <mergeCell ref="F14:G14"/>
    <mergeCell ref="N14:O14"/>
    <mergeCell ref="P14:Q14"/>
    <mergeCell ref="R14:S14"/>
    <mergeCell ref="A13:B13"/>
    <mergeCell ref="F13:G13"/>
    <mergeCell ref="N15:O15"/>
    <mergeCell ref="P15:Q15"/>
    <mergeCell ref="R15:S15"/>
    <mergeCell ref="A12:B12"/>
    <mergeCell ref="F12:G12"/>
    <mergeCell ref="N12:O12"/>
    <mergeCell ref="P12:Q12"/>
    <mergeCell ref="R12:S12"/>
    <mergeCell ref="A11:B11"/>
    <mergeCell ref="F11:G11"/>
    <mergeCell ref="N13:O13"/>
    <mergeCell ref="P13:Q13"/>
    <mergeCell ref="R13:S13"/>
    <mergeCell ref="N8:O8"/>
    <mergeCell ref="P8:Q8"/>
    <mergeCell ref="R8:S8"/>
    <mergeCell ref="T8:U8"/>
    <mergeCell ref="F10:G10"/>
    <mergeCell ref="R10:S10"/>
    <mergeCell ref="A7:I7"/>
    <mergeCell ref="N11:O11"/>
    <mergeCell ref="P11:Q11"/>
    <mergeCell ref="R11:S11"/>
    <mergeCell ref="O1:U1"/>
    <mergeCell ref="N2:U2"/>
    <mergeCell ref="N3:U3"/>
    <mergeCell ref="A4:B4"/>
    <mergeCell ref="C4:E4"/>
    <mergeCell ref="N4:O4"/>
    <mergeCell ref="P4:Q4"/>
    <mergeCell ref="B1:I1"/>
    <mergeCell ref="N7:U7"/>
  </mergeCells>
  <pageMargins left="0.1" right="0.1" top="0.5" bottom="0.5" header="0" footer="0.1"/>
  <pageSetup scale="70" fitToHeight="3" orientation="portrait" r:id="rId1"/>
  <headerFooter alignWithMargins="0">
    <oddFooter>&amp;R&amp;P of &amp;N</oddFooter>
  </headerFooter>
  <rowBreaks count="1" manualBreakCount="1">
    <brk id="138" max="16383" man="1"/>
  </rowBreaks>
  <colBreaks count="1" manualBreakCount="1">
    <brk id="9" max="1048575" man="1"/>
  </colBreaks>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4">
    <tabColor rgb="FFCCFFCC"/>
  </sheetPr>
  <dimension ref="A1:U206"/>
  <sheetViews>
    <sheetView showGridLines="0" zoomScaleNormal="100" workbookViewId="0">
      <pane ySplit="1" topLeftCell="A11" activePane="bottomLeft" state="frozen"/>
      <selection activeCell="I9" sqref="I9"/>
      <selection pane="bottomLeft" activeCell="D50" sqref="D50:D57"/>
    </sheetView>
  </sheetViews>
  <sheetFormatPr defaultRowHeight="15.75" x14ac:dyDescent="0.25"/>
  <cols>
    <col min="1" max="1" width="10.28515625" style="72"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72"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5">
        <v>50</v>
      </c>
      <c r="B1" s="441" t="s">
        <v>17</v>
      </c>
      <c r="C1" s="442"/>
      <c r="D1" s="442"/>
      <c r="E1" s="442"/>
      <c r="F1" s="442"/>
      <c r="G1" s="442"/>
      <c r="H1" s="442"/>
      <c r="I1" s="442"/>
      <c r="J1" s="157"/>
      <c r="K1" s="157"/>
      <c r="L1" s="157"/>
      <c r="N1" s="85">
        <f>A1</f>
        <v>50</v>
      </c>
      <c r="O1" s="527" t="s">
        <v>17</v>
      </c>
      <c r="P1" s="528"/>
      <c r="Q1" s="528"/>
      <c r="R1" s="528"/>
      <c r="S1" s="528"/>
      <c r="T1" s="528"/>
      <c r="U1" s="528"/>
    </row>
    <row r="2" spans="1:21" ht="21" x14ac:dyDescent="0.35">
      <c r="A2" s="1" t="s">
        <v>294</v>
      </c>
      <c r="B2" s="2"/>
      <c r="C2" s="2"/>
      <c r="D2" s="2"/>
      <c r="E2" s="2"/>
      <c r="F2" s="2"/>
      <c r="G2" s="2"/>
      <c r="H2" s="2"/>
      <c r="I2" s="2"/>
      <c r="N2" s="529" t="s">
        <v>23</v>
      </c>
      <c r="O2" s="529"/>
      <c r="P2" s="529"/>
      <c r="Q2" s="529"/>
      <c r="R2" s="529"/>
      <c r="S2" s="529"/>
      <c r="T2" s="529"/>
      <c r="U2" s="529"/>
    </row>
    <row r="3" spans="1:21" x14ac:dyDescent="0.25">
      <c r="A3" s="84" t="str">
        <f>'0664'!A3</f>
        <v>Based on the FLDOE 2022-23 FEFP Third Calculation</v>
      </c>
      <c r="N3" s="485" t="str">
        <f>A3</f>
        <v>Based on the FLDOE 2022-23 FEFP Third Calculation</v>
      </c>
      <c r="O3" s="485"/>
      <c r="P3" s="485"/>
      <c r="Q3" s="485"/>
      <c r="R3" s="485"/>
      <c r="S3" s="485"/>
      <c r="T3" s="485"/>
      <c r="U3" s="485"/>
    </row>
    <row r="4" spans="1:21" x14ac:dyDescent="0.25">
      <c r="A4" s="443" t="s">
        <v>0</v>
      </c>
      <c r="B4" s="443"/>
      <c r="C4" s="444" t="s">
        <v>9</v>
      </c>
      <c r="D4" s="444"/>
      <c r="E4" s="444"/>
      <c r="F4" s="4" t="str">
        <f>'0664'!F4</f>
        <v>Apr 2023</v>
      </c>
      <c r="G4" s="4"/>
      <c r="H4" s="4"/>
      <c r="I4" s="4"/>
      <c r="N4" s="530" t="s">
        <v>0</v>
      </c>
      <c r="O4" s="530"/>
      <c r="P4" s="531" t="str">
        <f>C4</f>
        <v>Palm Beach</v>
      </c>
      <c r="Q4" s="531"/>
      <c r="R4" s="5"/>
      <c r="S4" s="5"/>
      <c r="T4" s="5"/>
      <c r="U4" s="5"/>
    </row>
    <row r="5" spans="1:21" ht="12" customHeight="1" thickBot="1" x14ac:dyDescent="0.3">
      <c r="A5" s="262"/>
      <c r="B5" s="262"/>
      <c r="C5" s="253"/>
      <c r="D5" s="253"/>
      <c r="E5" s="253"/>
      <c r="F5" s="254"/>
      <c r="G5" s="254"/>
      <c r="H5" s="254"/>
      <c r="I5" s="254"/>
      <c r="N5" s="86"/>
      <c r="O5" s="86"/>
      <c r="P5" s="6"/>
      <c r="Q5" s="6"/>
      <c r="R5" s="5"/>
      <c r="S5" s="5"/>
      <c r="T5" s="5"/>
      <c r="U5" s="5"/>
    </row>
    <row r="6" spans="1:21" ht="12" customHeight="1" x14ac:dyDescent="0.25">
      <c r="A6" s="150"/>
      <c r="B6" s="150"/>
      <c r="C6" s="261"/>
      <c r="D6" s="261"/>
      <c r="E6" s="261"/>
      <c r="F6" s="4"/>
      <c r="G6" s="4"/>
      <c r="H6" s="4"/>
      <c r="I6" s="4"/>
      <c r="N6" s="86"/>
      <c r="O6" s="86"/>
      <c r="P6" s="6"/>
      <c r="Q6" s="6"/>
      <c r="R6" s="5"/>
      <c r="S6" s="5"/>
      <c r="T6" s="5"/>
      <c r="U6" s="5"/>
    </row>
    <row r="7" spans="1:21" x14ac:dyDescent="0.25">
      <c r="A7" s="445" t="str">
        <f>'0664'!A7:I7</f>
        <v>1.   2022-23 FEFP State and Local Funding</v>
      </c>
      <c r="B7" s="533"/>
      <c r="C7" s="533"/>
      <c r="D7" s="533"/>
      <c r="E7" s="533"/>
      <c r="F7" s="533"/>
      <c r="G7" s="533"/>
      <c r="H7" s="533"/>
      <c r="I7" s="533"/>
      <c r="N7" s="530" t="s">
        <v>86</v>
      </c>
      <c r="O7" s="530"/>
      <c r="P7" s="530"/>
      <c r="Q7" s="530"/>
      <c r="R7" s="530"/>
      <c r="S7" s="530"/>
      <c r="T7" s="530"/>
      <c r="U7" s="530"/>
    </row>
    <row r="8" spans="1:21" x14ac:dyDescent="0.25">
      <c r="A8" s="87"/>
      <c r="B8" s="88" t="s">
        <v>123</v>
      </c>
      <c r="C8" s="334">
        <f>'0664'!C8</f>
        <v>4587.3999999999996</v>
      </c>
      <c r="D8" s="89"/>
      <c r="E8" s="90"/>
      <c r="F8" s="87"/>
      <c r="G8" s="88" t="s">
        <v>122</v>
      </c>
      <c r="H8" s="320">
        <f>'0664'!H8</f>
        <v>1.0438000000000001</v>
      </c>
      <c r="I8" s="78"/>
      <c r="N8" s="534" t="s">
        <v>10</v>
      </c>
      <c r="O8" s="534"/>
      <c r="P8" s="535">
        <v>4154.45</v>
      </c>
      <c r="Q8" s="535"/>
      <c r="R8" s="518" t="s">
        <v>11</v>
      </c>
      <c r="S8" s="518"/>
      <c r="T8" s="519">
        <f>H8</f>
        <v>1.0438000000000001</v>
      </c>
      <c r="U8" s="519"/>
    </row>
    <row r="9" spans="1:21" x14ac:dyDescent="0.25">
      <c r="A9" s="7"/>
      <c r="B9" s="44" t="s">
        <v>370</v>
      </c>
      <c r="C9" s="41" t="s">
        <v>370</v>
      </c>
      <c r="D9" s="91" t="s">
        <v>370</v>
      </c>
      <c r="E9" s="8"/>
      <c r="F9" s="9"/>
      <c r="G9" s="9"/>
      <c r="H9" s="10"/>
      <c r="I9" s="340" t="str">
        <f>'0664'!I9</f>
        <v>2022-23</v>
      </c>
      <c r="N9" s="12"/>
      <c r="O9" s="12"/>
      <c r="P9" s="13"/>
      <c r="Q9" s="13"/>
      <c r="R9" s="14"/>
      <c r="S9" s="14"/>
      <c r="T9" s="15"/>
      <c r="U9" s="405" t="s">
        <v>405</v>
      </c>
    </row>
    <row r="10" spans="1:21" x14ac:dyDescent="0.25">
      <c r="A10" s="7"/>
      <c r="B10" s="7"/>
      <c r="C10" s="91" t="s">
        <v>463</v>
      </c>
      <c r="D10" s="371" t="s">
        <v>464</v>
      </c>
      <c r="E10" s="92" t="s">
        <v>8</v>
      </c>
      <c r="F10" s="446" t="s">
        <v>1</v>
      </c>
      <c r="G10" s="446"/>
      <c r="H10" s="10" t="s">
        <v>73</v>
      </c>
      <c r="I10" s="11" t="s">
        <v>36</v>
      </c>
      <c r="N10" s="12"/>
      <c r="O10" s="12"/>
      <c r="P10" s="13"/>
      <c r="Q10" s="13"/>
      <c r="R10" s="520" t="s">
        <v>1</v>
      </c>
      <c r="S10" s="520"/>
      <c r="T10" s="15" t="s">
        <v>73</v>
      </c>
      <c r="U10" s="16" t="s">
        <v>36</v>
      </c>
    </row>
    <row r="11" spans="1:21" x14ac:dyDescent="0.25">
      <c r="A11" s="447" t="s">
        <v>1</v>
      </c>
      <c r="B11" s="447"/>
      <c r="C11" s="362" t="s">
        <v>2</v>
      </c>
      <c r="D11" s="362" t="s">
        <v>2</v>
      </c>
      <c r="E11" s="362" t="s">
        <v>2</v>
      </c>
      <c r="F11" s="448" t="s">
        <v>76</v>
      </c>
      <c r="G11" s="448"/>
      <c r="H11" s="17" t="s">
        <v>72</v>
      </c>
      <c r="I11" s="18" t="s">
        <v>75</v>
      </c>
      <c r="N11" s="510" t="s">
        <v>1</v>
      </c>
      <c r="O11" s="510"/>
      <c r="P11" s="521" t="s">
        <v>24</v>
      </c>
      <c r="Q11" s="521"/>
      <c r="R11" s="522" t="s">
        <v>76</v>
      </c>
      <c r="S11" s="522"/>
      <c r="T11" s="19" t="s">
        <v>72</v>
      </c>
      <c r="U11" s="20" t="s">
        <v>75</v>
      </c>
    </row>
    <row r="12" spans="1:21" x14ac:dyDescent="0.25">
      <c r="A12" s="449" t="s">
        <v>47</v>
      </c>
      <c r="B12" s="449"/>
      <c r="C12" s="94"/>
      <c r="D12" s="94"/>
      <c r="E12" s="95" t="s">
        <v>48</v>
      </c>
      <c r="F12" s="450" t="s">
        <v>49</v>
      </c>
      <c r="G12" s="450"/>
      <c r="H12" s="21" t="s">
        <v>50</v>
      </c>
      <c r="I12" s="22" t="s">
        <v>51</v>
      </c>
      <c r="N12" s="523" t="s">
        <v>47</v>
      </c>
      <c r="O12" s="523"/>
      <c r="P12" s="524" t="s">
        <v>48</v>
      </c>
      <c r="Q12" s="524"/>
      <c r="R12" s="525" t="s">
        <v>49</v>
      </c>
      <c r="S12" s="525"/>
      <c r="T12" s="23" t="s">
        <v>50</v>
      </c>
      <c r="U12" s="24" t="s">
        <v>51</v>
      </c>
    </row>
    <row r="13" spans="1:21" x14ac:dyDescent="0.25">
      <c r="A13" s="451" t="s">
        <v>29</v>
      </c>
      <c r="B13" s="451"/>
      <c r="C13" s="165">
        <v>52.6</v>
      </c>
      <c r="D13" s="163">
        <v>49.75</v>
      </c>
      <c r="E13" s="210">
        <f>IF(D$29=0,C13*2,C13+D13)</f>
        <v>102.35</v>
      </c>
      <c r="F13" s="537">
        <f>'0664'!F13:G13</f>
        <v>1.1259999999999999</v>
      </c>
      <c r="G13" s="537"/>
      <c r="H13" s="167">
        <f>ROUND(E13*F13,4)</f>
        <v>115.2461</v>
      </c>
      <c r="I13" s="119">
        <f t="shared" ref="I13:I28" si="0">ROUND(ROUND(H13*$C$8,4)*($H$8),2)</f>
        <v>551836.14</v>
      </c>
      <c r="N13" s="512" t="s">
        <v>29</v>
      </c>
      <c r="O13" s="512"/>
      <c r="P13" s="513">
        <f t="shared" ref="P13:P28" si="1">IF($H$120=1,E13,0)</f>
        <v>0</v>
      </c>
      <c r="Q13" s="513"/>
      <c r="R13" s="526">
        <v>1</v>
      </c>
      <c r="S13" s="526"/>
      <c r="T13" s="98">
        <f>ROUND(P13*R13,4)</f>
        <v>0</v>
      </c>
      <c r="U13" s="99">
        <f t="shared" ref="U13:U28" si="2">ROUND(ROUND(T13*$C$8,4)*($H$8),0)</f>
        <v>0</v>
      </c>
    </row>
    <row r="14" spans="1:21" x14ac:dyDescent="0.25">
      <c r="A14" s="453" t="s">
        <v>30</v>
      </c>
      <c r="B14" s="453"/>
      <c r="C14" s="165">
        <v>5.35</v>
      </c>
      <c r="D14" s="165">
        <v>4.41</v>
      </c>
      <c r="E14" s="125">
        <f t="shared" ref="E14:E28" si="3">IF(D$29=0,C14*2,C14+D14)</f>
        <v>9.76</v>
      </c>
      <c r="F14" s="532">
        <f>'0664'!F14:G14</f>
        <v>1.1259999999999999</v>
      </c>
      <c r="G14" s="532"/>
      <c r="H14" s="83">
        <f t="shared" ref="H14:H28" si="4">ROUND(E14*F14,4)</f>
        <v>10.989800000000001</v>
      </c>
      <c r="I14" s="104">
        <f t="shared" si="0"/>
        <v>52622.77</v>
      </c>
      <c r="J14" s="68" t="str">
        <f>IF(ROUND(E14,2)=ROUND(SUM(E50:E52),2)," ","CHECK PK-3 LINES BELOW")</f>
        <v xml:space="preserve"> </v>
      </c>
      <c r="N14" s="479" t="s">
        <v>30</v>
      </c>
      <c r="O14" s="479"/>
      <c r="P14" s="513">
        <f t="shared" si="1"/>
        <v>0</v>
      </c>
      <c r="Q14" s="513"/>
      <c r="R14" s="517">
        <v>1</v>
      </c>
      <c r="S14" s="517"/>
      <c r="T14" s="98">
        <f t="shared" ref="T14:T28" si="5">ROUND(P14*R14,4)</f>
        <v>0</v>
      </c>
      <c r="U14" s="99">
        <f t="shared" si="2"/>
        <v>0</v>
      </c>
    </row>
    <row r="15" spans="1:21" x14ac:dyDescent="0.25">
      <c r="A15" s="453" t="s">
        <v>31</v>
      </c>
      <c r="B15" s="453"/>
      <c r="C15" s="165">
        <v>69.58</v>
      </c>
      <c r="D15" s="165">
        <v>68.790000000000006</v>
      </c>
      <c r="E15" s="125">
        <f t="shared" si="3"/>
        <v>138.37</v>
      </c>
      <c r="F15" s="532">
        <f>'0664'!F15:G15</f>
        <v>1</v>
      </c>
      <c r="G15" s="532"/>
      <c r="H15" s="83">
        <f t="shared" si="4"/>
        <v>138.37</v>
      </c>
      <c r="I15" s="104">
        <f t="shared" si="0"/>
        <v>662560.96</v>
      </c>
      <c r="N15" s="479" t="s">
        <v>31</v>
      </c>
      <c r="O15" s="479"/>
      <c r="P15" s="513">
        <f t="shared" si="1"/>
        <v>0</v>
      </c>
      <c r="Q15" s="513"/>
      <c r="R15" s="517">
        <v>1</v>
      </c>
      <c r="S15" s="517"/>
      <c r="T15" s="98">
        <f t="shared" si="5"/>
        <v>0</v>
      </c>
      <c r="U15" s="99">
        <f t="shared" si="2"/>
        <v>0</v>
      </c>
    </row>
    <row r="16" spans="1:21" x14ac:dyDescent="0.25">
      <c r="A16" s="453" t="s">
        <v>32</v>
      </c>
      <c r="B16" s="453"/>
      <c r="C16" s="165">
        <v>10.5</v>
      </c>
      <c r="D16" s="165">
        <v>11.43</v>
      </c>
      <c r="E16" s="125">
        <f t="shared" si="3"/>
        <v>21.93</v>
      </c>
      <c r="F16" s="532">
        <f>'0664'!F16:G16</f>
        <v>1</v>
      </c>
      <c r="G16" s="532"/>
      <c r="H16" s="83">
        <f t="shared" si="4"/>
        <v>21.93</v>
      </c>
      <c r="I16" s="104">
        <f t="shared" si="0"/>
        <v>105008.04</v>
      </c>
      <c r="J16" s="68" t="str">
        <f>IF(ROUND(E16,2)=ROUND(SUM(E53:E55),2)," ","CHECK 4-8 LINES BELOW")</f>
        <v xml:space="preserve"> </v>
      </c>
      <c r="N16" s="479" t="s">
        <v>32</v>
      </c>
      <c r="O16" s="479"/>
      <c r="P16" s="513">
        <f t="shared" si="1"/>
        <v>0</v>
      </c>
      <c r="Q16" s="513"/>
      <c r="R16" s="517">
        <v>1</v>
      </c>
      <c r="S16" s="517"/>
      <c r="T16" s="98">
        <f t="shared" si="5"/>
        <v>0</v>
      </c>
      <c r="U16" s="99">
        <f t="shared" si="2"/>
        <v>0</v>
      </c>
    </row>
    <row r="17" spans="1:21" x14ac:dyDescent="0.25">
      <c r="A17" s="453" t="s">
        <v>33</v>
      </c>
      <c r="B17" s="453"/>
      <c r="C17" s="165">
        <v>0</v>
      </c>
      <c r="D17" s="165">
        <v>0</v>
      </c>
      <c r="E17" s="125">
        <f t="shared" si="3"/>
        <v>0</v>
      </c>
      <c r="F17" s="532">
        <f>'0664'!F17:G17</f>
        <v>0.999</v>
      </c>
      <c r="G17" s="532"/>
      <c r="H17" s="83">
        <f t="shared" si="4"/>
        <v>0</v>
      </c>
      <c r="I17" s="104">
        <f t="shared" si="0"/>
        <v>0</v>
      </c>
      <c r="N17" s="479" t="s">
        <v>33</v>
      </c>
      <c r="O17" s="479"/>
      <c r="P17" s="513">
        <f t="shared" si="1"/>
        <v>0</v>
      </c>
      <c r="Q17" s="513"/>
      <c r="R17" s="517">
        <v>1</v>
      </c>
      <c r="S17" s="517"/>
      <c r="T17" s="98">
        <f t="shared" si="5"/>
        <v>0</v>
      </c>
      <c r="U17" s="99">
        <f t="shared" si="2"/>
        <v>0</v>
      </c>
    </row>
    <row r="18" spans="1:21" x14ac:dyDescent="0.25">
      <c r="A18" s="453" t="s">
        <v>34</v>
      </c>
      <c r="B18" s="453"/>
      <c r="C18" s="165">
        <v>0</v>
      </c>
      <c r="D18" s="165">
        <v>0</v>
      </c>
      <c r="E18" s="125">
        <f t="shared" si="3"/>
        <v>0</v>
      </c>
      <c r="F18" s="532">
        <f>'0664'!F18:G18</f>
        <v>0.999</v>
      </c>
      <c r="G18" s="532"/>
      <c r="H18" s="83">
        <f t="shared" si="4"/>
        <v>0</v>
      </c>
      <c r="I18" s="104">
        <f t="shared" si="0"/>
        <v>0</v>
      </c>
      <c r="J18" s="68" t="str">
        <f>IF(ROUND(E18,2)=ROUND(SUM(E56:E58),2)," ","CHECK 4-8 LINES BELOW")</f>
        <v xml:space="preserve"> </v>
      </c>
      <c r="N18" s="479" t="s">
        <v>34</v>
      </c>
      <c r="O18" s="479"/>
      <c r="P18" s="513">
        <f t="shared" si="1"/>
        <v>0</v>
      </c>
      <c r="Q18" s="513"/>
      <c r="R18" s="517">
        <v>1</v>
      </c>
      <c r="S18" s="517"/>
      <c r="T18" s="98">
        <f t="shared" si="5"/>
        <v>0</v>
      </c>
      <c r="U18" s="101">
        <f t="shared" si="2"/>
        <v>0</v>
      </c>
    </row>
    <row r="19" spans="1:21" x14ac:dyDescent="0.25">
      <c r="A19" s="453" t="s">
        <v>108</v>
      </c>
      <c r="B19" s="453"/>
      <c r="C19" s="165">
        <v>0</v>
      </c>
      <c r="D19" s="165">
        <v>0</v>
      </c>
      <c r="E19" s="125">
        <f t="shared" si="3"/>
        <v>0</v>
      </c>
      <c r="F19" s="532">
        <f>'0664'!F19:G19</f>
        <v>3.6739999999999999</v>
      </c>
      <c r="G19" s="532"/>
      <c r="H19" s="83">
        <f t="shared" si="4"/>
        <v>0</v>
      </c>
      <c r="I19" s="104">
        <f t="shared" si="0"/>
        <v>0</v>
      </c>
      <c r="N19" s="479" t="s">
        <v>108</v>
      </c>
      <c r="O19" s="479"/>
      <c r="P19" s="513">
        <f t="shared" si="1"/>
        <v>0</v>
      </c>
      <c r="Q19" s="513"/>
      <c r="R19" s="517">
        <v>1</v>
      </c>
      <c r="S19" s="517"/>
      <c r="T19" s="98">
        <f t="shared" si="5"/>
        <v>0</v>
      </c>
      <c r="U19" s="99">
        <f t="shared" si="2"/>
        <v>0</v>
      </c>
    </row>
    <row r="20" spans="1:21" x14ac:dyDescent="0.25">
      <c r="A20" s="453" t="s">
        <v>109</v>
      </c>
      <c r="B20" s="453"/>
      <c r="C20" s="165">
        <v>0</v>
      </c>
      <c r="D20" s="165">
        <v>0</v>
      </c>
      <c r="E20" s="125">
        <f t="shared" si="3"/>
        <v>0</v>
      </c>
      <c r="F20" s="532">
        <f>'0664'!F20:G20</f>
        <v>3.6739999999999999</v>
      </c>
      <c r="G20" s="532"/>
      <c r="H20" s="83">
        <f t="shared" si="4"/>
        <v>0</v>
      </c>
      <c r="I20" s="104">
        <f t="shared" si="0"/>
        <v>0</v>
      </c>
      <c r="N20" s="479" t="s">
        <v>109</v>
      </c>
      <c r="O20" s="479"/>
      <c r="P20" s="513">
        <f t="shared" si="1"/>
        <v>0</v>
      </c>
      <c r="Q20" s="513"/>
      <c r="R20" s="517">
        <v>1</v>
      </c>
      <c r="S20" s="517"/>
      <c r="T20" s="98">
        <f t="shared" si="5"/>
        <v>0</v>
      </c>
      <c r="U20" s="99">
        <f t="shared" si="2"/>
        <v>0</v>
      </c>
    </row>
    <row r="21" spans="1:21" x14ac:dyDescent="0.25">
      <c r="A21" s="453" t="s">
        <v>110</v>
      </c>
      <c r="B21" s="453"/>
      <c r="C21" s="165">
        <v>0</v>
      </c>
      <c r="D21" s="165">
        <v>0</v>
      </c>
      <c r="E21" s="125">
        <f t="shared" si="3"/>
        <v>0</v>
      </c>
      <c r="F21" s="532">
        <f>'0664'!F21:G21</f>
        <v>3.6739999999999999</v>
      </c>
      <c r="G21" s="532"/>
      <c r="H21" s="83">
        <f t="shared" si="4"/>
        <v>0</v>
      </c>
      <c r="I21" s="104">
        <f t="shared" si="0"/>
        <v>0</v>
      </c>
      <c r="N21" s="479" t="s">
        <v>110</v>
      </c>
      <c r="O21" s="479"/>
      <c r="P21" s="513">
        <f t="shared" si="1"/>
        <v>0</v>
      </c>
      <c r="Q21" s="513"/>
      <c r="R21" s="517">
        <v>1</v>
      </c>
      <c r="S21" s="517"/>
      <c r="T21" s="98">
        <f t="shared" si="5"/>
        <v>0</v>
      </c>
      <c r="U21" s="99">
        <f t="shared" si="2"/>
        <v>0</v>
      </c>
    </row>
    <row r="22" spans="1:21" x14ac:dyDescent="0.25">
      <c r="A22" s="453" t="s">
        <v>111</v>
      </c>
      <c r="B22" s="453"/>
      <c r="C22" s="165">
        <v>0</v>
      </c>
      <c r="D22" s="165">
        <v>0</v>
      </c>
      <c r="E22" s="125">
        <f t="shared" si="3"/>
        <v>0</v>
      </c>
      <c r="F22" s="532">
        <f>'0664'!F22:G22</f>
        <v>5.4009999999999998</v>
      </c>
      <c r="G22" s="532"/>
      <c r="H22" s="83">
        <f t="shared" si="4"/>
        <v>0</v>
      </c>
      <c r="I22" s="104">
        <f t="shared" si="0"/>
        <v>0</v>
      </c>
      <c r="N22" s="479" t="s">
        <v>111</v>
      </c>
      <c r="O22" s="479"/>
      <c r="P22" s="513">
        <f t="shared" si="1"/>
        <v>0</v>
      </c>
      <c r="Q22" s="513"/>
      <c r="R22" s="517">
        <v>1</v>
      </c>
      <c r="S22" s="517"/>
      <c r="T22" s="98">
        <f t="shared" si="5"/>
        <v>0</v>
      </c>
      <c r="U22" s="99">
        <f t="shared" si="2"/>
        <v>0</v>
      </c>
    </row>
    <row r="23" spans="1:21" x14ac:dyDescent="0.25">
      <c r="A23" s="453" t="s">
        <v>112</v>
      </c>
      <c r="B23" s="453"/>
      <c r="C23" s="165">
        <v>0</v>
      </c>
      <c r="D23" s="165">
        <v>0</v>
      </c>
      <c r="E23" s="125">
        <f t="shared" si="3"/>
        <v>0</v>
      </c>
      <c r="F23" s="532">
        <f>'0664'!F23:G23</f>
        <v>5.4009999999999998</v>
      </c>
      <c r="G23" s="532"/>
      <c r="H23" s="83">
        <f t="shared" si="4"/>
        <v>0</v>
      </c>
      <c r="I23" s="104">
        <f t="shared" si="0"/>
        <v>0</v>
      </c>
      <c r="N23" s="479" t="s">
        <v>112</v>
      </c>
      <c r="O23" s="479"/>
      <c r="P23" s="513">
        <f t="shared" si="1"/>
        <v>0</v>
      </c>
      <c r="Q23" s="513"/>
      <c r="R23" s="517">
        <v>1</v>
      </c>
      <c r="S23" s="517"/>
      <c r="T23" s="98">
        <f t="shared" si="5"/>
        <v>0</v>
      </c>
      <c r="U23" s="99">
        <f t="shared" si="2"/>
        <v>0</v>
      </c>
    </row>
    <row r="24" spans="1:21" x14ac:dyDescent="0.25">
      <c r="A24" s="453" t="s">
        <v>113</v>
      </c>
      <c r="B24" s="453"/>
      <c r="C24" s="165">
        <v>0</v>
      </c>
      <c r="D24" s="165">
        <v>0</v>
      </c>
      <c r="E24" s="125">
        <f t="shared" si="3"/>
        <v>0</v>
      </c>
      <c r="F24" s="532">
        <f>'0664'!F24:G24</f>
        <v>5.4009999999999998</v>
      </c>
      <c r="G24" s="532"/>
      <c r="H24" s="83">
        <f t="shared" si="4"/>
        <v>0</v>
      </c>
      <c r="I24" s="104">
        <f t="shared" si="0"/>
        <v>0</v>
      </c>
      <c r="N24" s="479" t="s">
        <v>113</v>
      </c>
      <c r="O24" s="479"/>
      <c r="P24" s="513">
        <f t="shared" si="1"/>
        <v>0</v>
      </c>
      <c r="Q24" s="513"/>
      <c r="R24" s="517">
        <v>1</v>
      </c>
      <c r="S24" s="517"/>
      <c r="T24" s="98">
        <f t="shared" si="5"/>
        <v>0</v>
      </c>
      <c r="U24" s="99">
        <f t="shared" si="2"/>
        <v>0</v>
      </c>
    </row>
    <row r="25" spans="1:21" x14ac:dyDescent="0.25">
      <c r="A25" s="453" t="s">
        <v>114</v>
      </c>
      <c r="B25" s="453"/>
      <c r="C25" s="165">
        <v>2.16</v>
      </c>
      <c r="D25" s="165">
        <v>3.03</v>
      </c>
      <c r="E25" s="125">
        <f t="shared" si="3"/>
        <v>5.1899999999999995</v>
      </c>
      <c r="F25" s="532">
        <f>'0664'!F25:G25</f>
        <v>1.206</v>
      </c>
      <c r="G25" s="532"/>
      <c r="H25" s="83">
        <f t="shared" si="4"/>
        <v>6.2591000000000001</v>
      </c>
      <c r="I25" s="104">
        <f t="shared" si="0"/>
        <v>29970.62</v>
      </c>
      <c r="N25" s="479" t="s">
        <v>114</v>
      </c>
      <c r="O25" s="479"/>
      <c r="P25" s="513">
        <f t="shared" si="1"/>
        <v>0</v>
      </c>
      <c r="Q25" s="513"/>
      <c r="R25" s="517">
        <v>1</v>
      </c>
      <c r="S25" s="517"/>
      <c r="T25" s="98">
        <f t="shared" si="5"/>
        <v>0</v>
      </c>
      <c r="U25" s="99">
        <f t="shared" si="2"/>
        <v>0</v>
      </c>
    </row>
    <row r="26" spans="1:21" x14ac:dyDescent="0.25">
      <c r="A26" s="453" t="s">
        <v>115</v>
      </c>
      <c r="B26" s="453"/>
      <c r="C26" s="165">
        <v>2.1800000000000002</v>
      </c>
      <c r="D26" s="165">
        <v>2.1800000000000002</v>
      </c>
      <c r="E26" s="125">
        <f t="shared" si="3"/>
        <v>4.3600000000000003</v>
      </c>
      <c r="F26" s="532">
        <f>'0664'!F26:G26</f>
        <v>1.206</v>
      </c>
      <c r="G26" s="532"/>
      <c r="H26" s="83">
        <f t="shared" si="4"/>
        <v>5.2582000000000004</v>
      </c>
      <c r="I26" s="104">
        <f t="shared" si="0"/>
        <v>25177.99</v>
      </c>
      <c r="N26" s="479" t="s">
        <v>115</v>
      </c>
      <c r="O26" s="479"/>
      <c r="P26" s="513">
        <f t="shared" si="1"/>
        <v>0</v>
      </c>
      <c r="Q26" s="513"/>
      <c r="R26" s="517">
        <v>1</v>
      </c>
      <c r="S26" s="517"/>
      <c r="T26" s="98">
        <f t="shared" si="5"/>
        <v>0</v>
      </c>
      <c r="U26" s="99">
        <f t="shared" si="2"/>
        <v>0</v>
      </c>
    </row>
    <row r="27" spans="1:21" x14ac:dyDescent="0.25">
      <c r="A27" s="453" t="s">
        <v>116</v>
      </c>
      <c r="B27" s="453"/>
      <c r="C27" s="165">
        <v>0</v>
      </c>
      <c r="D27" s="165">
        <v>0</v>
      </c>
      <c r="E27" s="125">
        <f t="shared" si="3"/>
        <v>0</v>
      </c>
      <c r="F27" s="532">
        <f>'0664'!F27:G27</f>
        <v>1.206</v>
      </c>
      <c r="G27" s="532"/>
      <c r="H27" s="83">
        <f t="shared" si="4"/>
        <v>0</v>
      </c>
      <c r="I27" s="104">
        <f t="shared" si="0"/>
        <v>0</v>
      </c>
      <c r="N27" s="479" t="s">
        <v>116</v>
      </c>
      <c r="O27" s="479"/>
      <c r="P27" s="513">
        <f t="shared" si="1"/>
        <v>0</v>
      </c>
      <c r="Q27" s="513"/>
      <c r="R27" s="517">
        <v>1</v>
      </c>
      <c r="S27" s="517"/>
      <c r="T27" s="98">
        <f t="shared" si="5"/>
        <v>0</v>
      </c>
      <c r="U27" s="99">
        <f t="shared" si="2"/>
        <v>0</v>
      </c>
    </row>
    <row r="28" spans="1:21" x14ac:dyDescent="0.25">
      <c r="A28" s="453" t="s">
        <v>117</v>
      </c>
      <c r="B28" s="453"/>
      <c r="C28" s="116">
        <v>0</v>
      </c>
      <c r="D28" s="116">
        <v>0</v>
      </c>
      <c r="E28" s="177">
        <f t="shared" si="3"/>
        <v>0</v>
      </c>
      <c r="F28" s="532">
        <f>'0664'!F28:G28</f>
        <v>0.999</v>
      </c>
      <c r="G28" s="532"/>
      <c r="H28" s="96">
        <f t="shared" si="4"/>
        <v>0</v>
      </c>
      <c r="I28" s="97">
        <f t="shared" si="0"/>
        <v>0</v>
      </c>
      <c r="N28" s="482" t="s">
        <v>117</v>
      </c>
      <c r="O28" s="482"/>
      <c r="P28" s="513">
        <f t="shared" si="1"/>
        <v>0</v>
      </c>
      <c r="Q28" s="513"/>
      <c r="R28" s="514">
        <v>1</v>
      </c>
      <c r="S28" s="514"/>
      <c r="T28" s="98">
        <f t="shared" si="5"/>
        <v>0</v>
      </c>
      <c r="U28" s="99">
        <f t="shared" si="2"/>
        <v>0</v>
      </c>
    </row>
    <row r="29" spans="1:21" x14ac:dyDescent="0.25">
      <c r="A29" s="461" t="s">
        <v>5</v>
      </c>
      <c r="B29" s="461"/>
      <c r="C29" s="97">
        <f>SUM(C13:C28)</f>
        <v>142.37</v>
      </c>
      <c r="D29" s="97">
        <f>SUM(D13:D28)</f>
        <v>139.59</v>
      </c>
      <c r="E29" s="97">
        <f>SUM(E13:E28)</f>
        <v>281.96000000000004</v>
      </c>
      <c r="F29" s="457"/>
      <c r="G29" s="457"/>
      <c r="H29" s="102">
        <f>SUM(H13:H28)</f>
        <v>298.0532</v>
      </c>
      <c r="I29" s="97">
        <f>SUM(I13:I28)</f>
        <v>1427176.5200000003</v>
      </c>
      <c r="N29" s="515" t="s">
        <v>5</v>
      </c>
      <c r="O29" s="515"/>
      <c r="P29" s="516">
        <f>SUM(P13:P28)</f>
        <v>0</v>
      </c>
      <c r="Q29" s="516"/>
      <c r="R29" s="508"/>
      <c r="S29" s="508"/>
      <c r="T29" s="103">
        <f>SUM(T13:T28)</f>
        <v>0</v>
      </c>
      <c r="U29" s="99">
        <f>SUM(U13:U28)</f>
        <v>0</v>
      </c>
    </row>
    <row r="30" spans="1:21" x14ac:dyDescent="0.25">
      <c r="A30" s="27"/>
      <c r="B30" s="27"/>
      <c r="C30" s="104"/>
      <c r="D30" s="104"/>
      <c r="E30" s="104"/>
      <c r="F30" s="28"/>
      <c r="G30" s="28"/>
      <c r="H30" s="83"/>
      <c r="I30" s="104"/>
      <c r="N30" s="29"/>
      <c r="O30" s="29"/>
      <c r="P30" s="30"/>
      <c r="Q30" s="30"/>
      <c r="R30" s="31"/>
      <c r="S30" s="31"/>
      <c r="T30" s="105"/>
      <c r="U30" s="106"/>
    </row>
    <row r="31" spans="1:21" x14ac:dyDescent="0.25">
      <c r="A31" s="168" t="s">
        <v>97</v>
      </c>
      <c r="B31" s="27"/>
      <c r="C31" s="104"/>
      <c r="D31" s="104"/>
      <c r="E31" s="104"/>
      <c r="F31" s="28"/>
      <c r="G31" s="28"/>
      <c r="H31" s="83"/>
      <c r="I31" s="104"/>
      <c r="N31" s="29"/>
      <c r="O31" s="29"/>
      <c r="P31" s="30"/>
      <c r="Q31" s="30"/>
      <c r="R31" s="31"/>
      <c r="S31" s="31"/>
      <c r="T31" s="105"/>
      <c r="U31" s="106"/>
    </row>
    <row r="32" spans="1:21" hidden="1" x14ac:dyDescent="0.25">
      <c r="A32" s="168"/>
      <c r="B32" s="27"/>
      <c r="C32" s="104"/>
      <c r="D32" s="104"/>
      <c r="E32" s="104"/>
      <c r="F32" s="28"/>
      <c r="G32" s="28"/>
      <c r="H32" s="83"/>
      <c r="I32" s="104"/>
      <c r="N32" s="29"/>
      <c r="O32" s="29"/>
      <c r="P32" s="30"/>
      <c r="Q32" s="30"/>
      <c r="R32" s="31"/>
      <c r="S32" s="31"/>
      <c r="T32" s="105"/>
      <c r="U32" s="106"/>
    </row>
    <row r="33" spans="1:21" hidden="1" x14ac:dyDescent="0.25">
      <c r="A33" s="168"/>
      <c r="B33" s="27"/>
      <c r="C33" s="104"/>
      <c r="D33" s="104"/>
      <c r="E33" s="104"/>
      <c r="F33" s="541" t="s">
        <v>282</v>
      </c>
      <c r="G33" s="541"/>
      <c r="H33" s="541"/>
      <c r="I33" s="104"/>
      <c r="N33" s="29"/>
      <c r="O33" s="29"/>
      <c r="P33" s="30"/>
      <c r="Q33" s="30"/>
      <c r="R33" s="31"/>
      <c r="S33" s="31"/>
      <c r="T33" s="105"/>
      <c r="U33" s="106"/>
    </row>
    <row r="34" spans="1:21" hidden="1" x14ac:dyDescent="0.25">
      <c r="A34" s="3"/>
      <c r="B34" s="72"/>
      <c r="C34" s="72"/>
      <c r="D34" s="72"/>
      <c r="E34" s="72"/>
      <c r="F34" s="541"/>
      <c r="G34" s="541"/>
      <c r="H34" s="541"/>
      <c r="I34" s="25" t="s">
        <v>74</v>
      </c>
      <c r="N34" s="485" t="s">
        <v>35</v>
      </c>
      <c r="O34" s="485"/>
      <c r="P34" s="485"/>
      <c r="Q34" s="485"/>
      <c r="R34" s="485"/>
      <c r="S34" s="485"/>
      <c r="T34" s="485"/>
      <c r="U34" s="26" t="s">
        <v>74</v>
      </c>
    </row>
    <row r="35" spans="1:21" hidden="1" x14ac:dyDescent="0.25">
      <c r="A35" s="27"/>
      <c r="B35" s="27"/>
      <c r="C35" s="91" t="s">
        <v>124</v>
      </c>
      <c r="D35" s="91" t="s">
        <v>125</v>
      </c>
      <c r="E35" s="92" t="s">
        <v>8</v>
      </c>
      <c r="F35" s="541"/>
      <c r="G35" s="541"/>
      <c r="H35" s="541"/>
      <c r="I35" s="25" t="s">
        <v>36</v>
      </c>
      <c r="N35" s="29"/>
      <c r="O35" s="29"/>
      <c r="P35" s="30"/>
      <c r="Q35" s="30"/>
      <c r="R35" s="31"/>
      <c r="S35" s="31"/>
      <c r="T35" s="105"/>
      <c r="U35" s="26" t="s">
        <v>36</v>
      </c>
    </row>
    <row r="36" spans="1:21" hidden="1" x14ac:dyDescent="0.25">
      <c r="A36" s="447" t="s">
        <v>63</v>
      </c>
      <c r="B36" s="447"/>
      <c r="C36" s="93" t="s">
        <v>2</v>
      </c>
      <c r="D36" s="93" t="s">
        <v>2</v>
      </c>
      <c r="E36" s="93" t="s">
        <v>2</v>
      </c>
      <c r="F36" s="542"/>
      <c r="G36" s="542"/>
      <c r="H36" s="542"/>
      <c r="I36" s="32" t="s">
        <v>75</v>
      </c>
      <c r="N36" s="510" t="s">
        <v>63</v>
      </c>
      <c r="O36" s="510"/>
      <c r="P36" s="511" t="s">
        <v>24</v>
      </c>
      <c r="Q36" s="511"/>
      <c r="R36" s="511"/>
      <c r="S36" s="511"/>
      <c r="T36" s="511"/>
      <c r="U36" s="20" t="s">
        <v>75</v>
      </c>
    </row>
    <row r="37" spans="1:21" hidden="1" x14ac:dyDescent="0.25">
      <c r="A37" s="451" t="s">
        <v>56</v>
      </c>
      <c r="B37" s="451"/>
      <c r="C37" s="169">
        <v>0</v>
      </c>
      <c r="D37" s="169">
        <v>0</v>
      </c>
      <c r="E37" s="164">
        <f t="shared" ref="E37:E42" si="6">IF(D$43=0,C37*2,C37+D37)</f>
        <v>0</v>
      </c>
      <c r="F37" s="170"/>
      <c r="G37" s="170"/>
      <c r="H37" s="170"/>
      <c r="I37" s="119">
        <f t="shared" ref="I37:I42" si="7">ROUND(ROUND(E37*$C$8,4)*($H$8),2)</f>
        <v>0</v>
      </c>
      <c r="N37" s="512" t="s">
        <v>56</v>
      </c>
      <c r="O37" s="512"/>
      <c r="P37" s="483">
        <f t="shared" ref="P37:P42" si="8">IF($H$120=1,E37,0)</f>
        <v>0</v>
      </c>
      <c r="Q37" s="483"/>
      <c r="R37" s="483"/>
      <c r="S37" s="483"/>
      <c r="T37" s="483"/>
      <c r="U37" s="101">
        <f t="shared" ref="U37:U42" si="9">ROUND(ROUND(P37*$C$8,4)*($H$8),0)</f>
        <v>0</v>
      </c>
    </row>
    <row r="38" spans="1:21" hidden="1" x14ac:dyDescent="0.25">
      <c r="A38" s="453" t="s">
        <v>57</v>
      </c>
      <c r="B38" s="453"/>
      <c r="C38" s="172">
        <v>0</v>
      </c>
      <c r="D38" s="172">
        <v>0</v>
      </c>
      <c r="E38" s="166">
        <f t="shared" si="6"/>
        <v>0</v>
      </c>
      <c r="F38" s="173"/>
      <c r="G38" s="173"/>
      <c r="H38" s="173"/>
      <c r="I38" s="104">
        <f t="shared" si="7"/>
        <v>0</v>
      </c>
      <c r="N38" s="479" t="s">
        <v>57</v>
      </c>
      <c r="O38" s="479"/>
      <c r="P38" s="483">
        <f t="shared" si="8"/>
        <v>0</v>
      </c>
      <c r="Q38" s="483"/>
      <c r="R38" s="483"/>
      <c r="S38" s="483"/>
      <c r="T38" s="483"/>
      <c r="U38" s="101">
        <f t="shared" si="9"/>
        <v>0</v>
      </c>
    </row>
    <row r="39" spans="1:21" hidden="1" x14ac:dyDescent="0.25">
      <c r="A39" s="458" t="s">
        <v>58</v>
      </c>
      <c r="B39" s="458"/>
      <c r="C39" s="172">
        <v>0</v>
      </c>
      <c r="D39" s="172">
        <v>0</v>
      </c>
      <c r="E39" s="166">
        <f t="shared" si="6"/>
        <v>0</v>
      </c>
      <c r="F39" s="173"/>
      <c r="G39" s="173"/>
      <c r="H39" s="173"/>
      <c r="I39" s="104">
        <f t="shared" si="7"/>
        <v>0</v>
      </c>
      <c r="N39" s="509" t="s">
        <v>58</v>
      </c>
      <c r="O39" s="509"/>
      <c r="P39" s="483">
        <f t="shared" si="8"/>
        <v>0</v>
      </c>
      <c r="Q39" s="483"/>
      <c r="R39" s="483"/>
      <c r="S39" s="483"/>
      <c r="T39" s="483"/>
      <c r="U39" s="101">
        <f t="shared" si="9"/>
        <v>0</v>
      </c>
    </row>
    <row r="40" spans="1:21" hidden="1" x14ac:dyDescent="0.25">
      <c r="A40" s="453" t="s">
        <v>59</v>
      </c>
      <c r="B40" s="453"/>
      <c r="C40" s="172">
        <v>0</v>
      </c>
      <c r="D40" s="172">
        <v>0</v>
      </c>
      <c r="E40" s="166">
        <f t="shared" si="6"/>
        <v>0</v>
      </c>
      <c r="F40" s="173"/>
      <c r="G40" s="173"/>
      <c r="H40" s="173"/>
      <c r="I40" s="104">
        <f t="shared" si="7"/>
        <v>0</v>
      </c>
      <c r="N40" s="479" t="s">
        <v>59</v>
      </c>
      <c r="O40" s="479"/>
      <c r="P40" s="483">
        <f t="shared" si="8"/>
        <v>0</v>
      </c>
      <c r="Q40" s="483"/>
      <c r="R40" s="483"/>
      <c r="S40" s="483"/>
      <c r="T40" s="483"/>
      <c r="U40" s="101">
        <f t="shared" si="9"/>
        <v>0</v>
      </c>
    </row>
    <row r="41" spans="1:21" hidden="1" x14ac:dyDescent="0.25">
      <c r="A41" s="453" t="s">
        <v>60</v>
      </c>
      <c r="B41" s="453"/>
      <c r="C41" s="172">
        <v>0</v>
      </c>
      <c r="D41" s="172">
        <v>0</v>
      </c>
      <c r="E41" s="166">
        <f t="shared" si="6"/>
        <v>0</v>
      </c>
      <c r="F41" s="173"/>
      <c r="G41" s="173"/>
      <c r="H41" s="173"/>
      <c r="I41" s="104">
        <f t="shared" si="7"/>
        <v>0</v>
      </c>
      <c r="N41" s="479" t="s">
        <v>60</v>
      </c>
      <c r="O41" s="479"/>
      <c r="P41" s="483">
        <f t="shared" si="8"/>
        <v>0</v>
      </c>
      <c r="Q41" s="483"/>
      <c r="R41" s="483"/>
      <c r="S41" s="483"/>
      <c r="T41" s="483"/>
      <c r="U41" s="101">
        <f t="shared" si="9"/>
        <v>0</v>
      </c>
    </row>
    <row r="42" spans="1:21" hidden="1" x14ac:dyDescent="0.25">
      <c r="A42" s="453" t="s">
        <v>52</v>
      </c>
      <c r="B42" s="453"/>
      <c r="C42" s="171">
        <v>0</v>
      </c>
      <c r="D42" s="171">
        <v>0</v>
      </c>
      <c r="E42" s="158">
        <f t="shared" si="6"/>
        <v>0</v>
      </c>
      <c r="F42" s="173"/>
      <c r="G42" s="173"/>
      <c r="H42" s="173"/>
      <c r="I42" s="97">
        <f t="shared" si="7"/>
        <v>0</v>
      </c>
      <c r="N42" s="482" t="s">
        <v>52</v>
      </c>
      <c r="O42" s="482"/>
      <c r="P42" s="483">
        <f t="shared" si="8"/>
        <v>0</v>
      </c>
      <c r="Q42" s="483"/>
      <c r="R42" s="483"/>
      <c r="S42" s="483"/>
      <c r="T42" s="483"/>
      <c r="U42" s="101">
        <f t="shared" si="9"/>
        <v>0</v>
      </c>
    </row>
    <row r="43" spans="1:21" hidden="1" x14ac:dyDescent="0.25">
      <c r="A43" s="3"/>
      <c r="B43" s="55" t="s">
        <v>126</v>
      </c>
      <c r="C43" s="100">
        <f>SUM(C37:C42)</f>
        <v>0</v>
      </c>
      <c r="D43" s="100">
        <f>SUM(D37:D42)</f>
        <v>0</v>
      </c>
      <c r="E43" s="100">
        <f>SUM(E37:E42)</f>
        <v>0</v>
      </c>
      <c r="F43" s="33"/>
      <c r="G43" s="109"/>
      <c r="H43" s="110" t="s">
        <v>128</v>
      </c>
      <c r="I43" s="100">
        <f>SUM(I37:I42)</f>
        <v>0</v>
      </c>
      <c r="N43" s="480" t="s">
        <v>54</v>
      </c>
      <c r="O43" s="480"/>
      <c r="P43" s="480"/>
      <c r="Q43" s="480"/>
      <c r="R43" s="34">
        <f>SUM(P37:R42)</f>
        <v>0</v>
      </c>
      <c r="S43" s="508" t="s">
        <v>64</v>
      </c>
      <c r="T43" s="508"/>
      <c r="U43" s="106">
        <f>SUM(U37:U42)</f>
        <v>0</v>
      </c>
    </row>
    <row r="44" spans="1:21" hidden="1" x14ac:dyDescent="0.25">
      <c r="A44" s="3"/>
      <c r="B44" s="55"/>
      <c r="C44" s="104"/>
      <c r="D44" s="104"/>
      <c r="E44" s="119"/>
      <c r="F44" s="33"/>
      <c r="G44" s="109"/>
      <c r="H44" s="110"/>
      <c r="I44" s="104"/>
      <c r="N44" s="29"/>
      <c r="O44" s="29"/>
      <c r="P44" s="29"/>
      <c r="Q44" s="29"/>
      <c r="R44" s="34"/>
      <c r="S44" s="31"/>
      <c r="T44" s="31"/>
      <c r="U44" s="106"/>
    </row>
    <row r="45" spans="1:21" ht="16.5" hidden="1" thickBot="1" x14ac:dyDescent="0.3">
      <c r="A45" s="3"/>
      <c r="B45" s="55" t="s">
        <v>127</v>
      </c>
      <c r="E45" s="174">
        <f>H29+E43</f>
        <v>298.0532</v>
      </c>
      <c r="F45" s="35"/>
      <c r="G45" s="109"/>
      <c r="H45" s="110" t="s">
        <v>129</v>
      </c>
      <c r="I45" s="97">
        <f>SUM(I43,I29)</f>
        <v>1427176.5200000003</v>
      </c>
      <c r="N45" s="480" t="s">
        <v>55</v>
      </c>
      <c r="O45" s="480"/>
      <c r="P45" s="480"/>
      <c r="Q45" s="480"/>
      <c r="R45" s="36">
        <f>R43+T29</f>
        <v>0</v>
      </c>
      <c r="S45" s="508" t="s">
        <v>53</v>
      </c>
      <c r="T45" s="508"/>
      <c r="U45" s="111">
        <f>SUM(U43,U29)</f>
        <v>0</v>
      </c>
    </row>
    <row r="46" spans="1:21" hidden="1" x14ac:dyDescent="0.25">
      <c r="A46" s="27"/>
      <c r="B46" s="27"/>
      <c r="C46" s="27"/>
      <c r="D46" s="27"/>
      <c r="E46" s="27"/>
      <c r="F46" s="35"/>
      <c r="G46" s="28"/>
      <c r="H46" s="28"/>
      <c r="I46" s="104"/>
      <c r="N46" s="29"/>
      <c r="O46" s="29"/>
      <c r="P46" s="29"/>
      <c r="Q46" s="29"/>
      <c r="R46" s="36"/>
      <c r="S46" s="31"/>
      <c r="T46" s="31"/>
      <c r="U46" s="106"/>
    </row>
    <row r="47" spans="1:21" x14ac:dyDescent="0.25">
      <c r="A47" s="27"/>
      <c r="B47" s="55" t="s">
        <v>370</v>
      </c>
      <c r="C47" s="41" t="s">
        <v>370</v>
      </c>
      <c r="D47" s="91" t="s">
        <v>370</v>
      </c>
      <c r="E47" s="27"/>
      <c r="F47" s="35"/>
      <c r="G47" s="28"/>
      <c r="H47" s="28"/>
      <c r="I47" s="104"/>
      <c r="N47" s="29"/>
      <c r="O47" s="29"/>
      <c r="P47" s="29"/>
      <c r="Q47" s="29"/>
      <c r="R47" s="36"/>
      <c r="S47" s="31"/>
      <c r="T47" s="31"/>
      <c r="U47" s="106"/>
    </row>
    <row r="48" spans="1:21" x14ac:dyDescent="0.25">
      <c r="A48" s="27"/>
      <c r="B48" s="27"/>
      <c r="C48" s="91" t="s">
        <v>463</v>
      </c>
      <c r="D48" s="371" t="s">
        <v>464</v>
      </c>
      <c r="E48" s="92" t="s">
        <v>8</v>
      </c>
      <c r="F48" s="49" t="s">
        <v>130</v>
      </c>
      <c r="G48" s="112" t="s">
        <v>132</v>
      </c>
      <c r="H48" s="113" t="s">
        <v>133</v>
      </c>
      <c r="I48" s="104"/>
      <c r="N48" s="29"/>
      <c r="O48" s="29"/>
      <c r="P48" s="29"/>
      <c r="Q48" s="29"/>
      <c r="R48" s="36"/>
      <c r="S48" s="31"/>
      <c r="T48" s="31"/>
      <c r="U48" s="106"/>
    </row>
    <row r="49" spans="1:21" x14ac:dyDescent="0.25">
      <c r="A49" s="37" t="s">
        <v>87</v>
      </c>
      <c r="B49" s="37"/>
      <c r="C49" s="362" t="s">
        <v>2</v>
      </c>
      <c r="D49" s="362" t="s">
        <v>2</v>
      </c>
      <c r="E49" s="362" t="s">
        <v>2</v>
      </c>
      <c r="F49" s="95" t="s">
        <v>131</v>
      </c>
      <c r="G49" s="62" t="s">
        <v>131</v>
      </c>
      <c r="H49" s="114" t="s">
        <v>134</v>
      </c>
      <c r="I49" s="37"/>
      <c r="N49" s="482" t="s">
        <v>87</v>
      </c>
      <c r="O49" s="482"/>
      <c r="P49" s="503" t="s">
        <v>2</v>
      </c>
      <c r="Q49" s="503"/>
      <c r="R49" s="38" t="s">
        <v>25</v>
      </c>
      <c r="S49" s="63" t="s">
        <v>26</v>
      </c>
      <c r="T49" s="115" t="s">
        <v>27</v>
      </c>
      <c r="U49" s="38"/>
    </row>
    <row r="50" spans="1:21" x14ac:dyDescent="0.25">
      <c r="A50" s="459" t="s">
        <v>98</v>
      </c>
      <c r="B50" s="459"/>
      <c r="C50" s="165">
        <v>4.34</v>
      </c>
      <c r="D50" s="165">
        <v>3.58</v>
      </c>
      <c r="E50" s="125">
        <f>IF(D$59=0,C50*2,C50+D50)</f>
        <v>7.92</v>
      </c>
      <c r="F50" s="39" t="s">
        <v>21</v>
      </c>
      <c r="G50" s="39">
        <v>251</v>
      </c>
      <c r="H50" s="321">
        <f>'0664'!H50</f>
        <v>1047</v>
      </c>
      <c r="I50" s="104">
        <f>ROUND(E50*H50,2)</f>
        <v>8292.24</v>
      </c>
      <c r="N50" s="504" t="s">
        <v>28</v>
      </c>
      <c r="O50" s="504"/>
      <c r="P50" s="505"/>
      <c r="Q50" s="505"/>
      <c r="R50" s="40" t="s">
        <v>21</v>
      </c>
      <c r="S50" s="40">
        <v>251</v>
      </c>
      <c r="T50" s="117">
        <f>H50</f>
        <v>1047</v>
      </c>
      <c r="U50" s="118">
        <f>ROUND(P50*T50,0)</f>
        <v>0</v>
      </c>
    </row>
    <row r="51" spans="1:21" x14ac:dyDescent="0.25">
      <c r="A51" s="460"/>
      <c r="B51" s="460"/>
      <c r="C51" s="165">
        <v>1.01</v>
      </c>
      <c r="D51" s="165">
        <v>0.83</v>
      </c>
      <c r="E51" s="125">
        <f t="shared" ref="E51:E58" si="10">IF(D$59=0,C51*2,C51+D51)</f>
        <v>1.8399999999999999</v>
      </c>
      <c r="F51" s="39" t="s">
        <v>21</v>
      </c>
      <c r="G51" s="39">
        <v>252</v>
      </c>
      <c r="H51" s="321">
        <f>'0664'!H51</f>
        <v>3380</v>
      </c>
      <c r="I51" s="104">
        <f t="shared" ref="I51:I58" si="11">ROUND(E51*H51,2)</f>
        <v>6219.2</v>
      </c>
      <c r="N51" s="504"/>
      <c r="O51" s="504"/>
      <c r="P51" s="506"/>
      <c r="Q51" s="506"/>
      <c r="R51" s="40" t="s">
        <v>21</v>
      </c>
      <c r="S51" s="40">
        <v>252</v>
      </c>
      <c r="T51" s="117">
        <f t="shared" ref="T51:T58" si="12">H51</f>
        <v>3380</v>
      </c>
      <c r="U51" s="118">
        <f t="shared" ref="U51:U58" si="13">ROUND(P51*T51,0)</f>
        <v>0</v>
      </c>
    </row>
    <row r="52" spans="1:21" x14ac:dyDescent="0.25">
      <c r="A52" s="460"/>
      <c r="B52" s="460"/>
      <c r="C52" s="165">
        <v>0</v>
      </c>
      <c r="D52" s="165">
        <v>0</v>
      </c>
      <c r="E52" s="125">
        <f t="shared" si="10"/>
        <v>0</v>
      </c>
      <c r="F52" s="39" t="s">
        <v>21</v>
      </c>
      <c r="G52" s="39">
        <v>253</v>
      </c>
      <c r="H52" s="321">
        <f>'0664'!H52</f>
        <v>6896</v>
      </c>
      <c r="I52" s="104">
        <f t="shared" si="11"/>
        <v>0</v>
      </c>
      <c r="N52" s="504"/>
      <c r="O52" s="504"/>
      <c r="P52" s="506"/>
      <c r="Q52" s="506"/>
      <c r="R52" s="40" t="s">
        <v>21</v>
      </c>
      <c r="S52" s="40">
        <v>253</v>
      </c>
      <c r="T52" s="117">
        <f t="shared" si="12"/>
        <v>6896</v>
      </c>
      <c r="U52" s="118">
        <f t="shared" si="13"/>
        <v>0</v>
      </c>
    </row>
    <row r="53" spans="1:21" x14ac:dyDescent="0.25">
      <c r="A53" s="460"/>
      <c r="B53" s="460"/>
      <c r="C53" s="165">
        <v>9.5</v>
      </c>
      <c r="D53" s="165">
        <v>10.34</v>
      </c>
      <c r="E53" s="125">
        <f t="shared" si="10"/>
        <v>19.84</v>
      </c>
      <c r="F53" s="41" t="s">
        <v>14</v>
      </c>
      <c r="G53" s="39">
        <v>251</v>
      </c>
      <c r="H53" s="321">
        <f>'0664'!H53</f>
        <v>1173</v>
      </c>
      <c r="I53" s="104">
        <f t="shared" si="11"/>
        <v>23272.32</v>
      </c>
      <c r="N53" s="504"/>
      <c r="O53" s="504"/>
      <c r="P53" s="506"/>
      <c r="Q53" s="506"/>
      <c r="R53" s="42" t="s">
        <v>14</v>
      </c>
      <c r="S53" s="40">
        <v>251</v>
      </c>
      <c r="T53" s="117">
        <f t="shared" si="12"/>
        <v>1173</v>
      </c>
      <c r="U53" s="118">
        <f t="shared" si="13"/>
        <v>0</v>
      </c>
    </row>
    <row r="54" spans="1:21" x14ac:dyDescent="0.25">
      <c r="A54" s="460"/>
      <c r="B54" s="460"/>
      <c r="C54" s="165">
        <v>1</v>
      </c>
      <c r="D54" s="165">
        <v>1.0900000000000001</v>
      </c>
      <c r="E54" s="125">
        <f t="shared" si="10"/>
        <v>2.09</v>
      </c>
      <c r="F54" s="41" t="s">
        <v>14</v>
      </c>
      <c r="G54" s="39">
        <v>252</v>
      </c>
      <c r="H54" s="321">
        <f>'0664'!H54</f>
        <v>3506</v>
      </c>
      <c r="I54" s="104">
        <f t="shared" si="11"/>
        <v>7327.54</v>
      </c>
      <c r="N54" s="504"/>
      <c r="O54" s="504"/>
      <c r="P54" s="506"/>
      <c r="Q54" s="506"/>
      <c r="R54" s="42" t="s">
        <v>14</v>
      </c>
      <c r="S54" s="40">
        <v>252</v>
      </c>
      <c r="T54" s="117">
        <f t="shared" si="12"/>
        <v>3506</v>
      </c>
      <c r="U54" s="118">
        <f t="shared" si="13"/>
        <v>0</v>
      </c>
    </row>
    <row r="55" spans="1:21" x14ac:dyDescent="0.25">
      <c r="A55" s="460"/>
      <c r="B55" s="460"/>
      <c r="C55" s="165">
        <v>0</v>
      </c>
      <c r="D55" s="165">
        <v>0</v>
      </c>
      <c r="E55" s="125">
        <f t="shared" si="10"/>
        <v>0</v>
      </c>
      <c r="F55" s="41" t="s">
        <v>14</v>
      </c>
      <c r="G55" s="39">
        <v>253</v>
      </c>
      <c r="H55" s="321">
        <f>'0664'!H55</f>
        <v>7023</v>
      </c>
      <c r="I55" s="104">
        <f t="shared" si="11"/>
        <v>0</v>
      </c>
      <c r="N55" s="504"/>
      <c r="O55" s="504"/>
      <c r="P55" s="506"/>
      <c r="Q55" s="506"/>
      <c r="R55" s="42" t="s">
        <v>14</v>
      </c>
      <c r="S55" s="40">
        <v>253</v>
      </c>
      <c r="T55" s="117">
        <f t="shared" si="12"/>
        <v>7023</v>
      </c>
      <c r="U55" s="118">
        <f t="shared" si="13"/>
        <v>0</v>
      </c>
    </row>
    <row r="56" spans="1:21" x14ac:dyDescent="0.25">
      <c r="A56" s="460"/>
      <c r="B56" s="460"/>
      <c r="C56" s="165">
        <v>0</v>
      </c>
      <c r="D56" s="165">
        <v>0</v>
      </c>
      <c r="E56" s="125">
        <f t="shared" si="10"/>
        <v>0</v>
      </c>
      <c r="F56" s="41" t="s">
        <v>15</v>
      </c>
      <c r="G56" s="39">
        <v>251</v>
      </c>
      <c r="H56" s="321">
        <f>'0664'!H56</f>
        <v>835</v>
      </c>
      <c r="I56" s="104">
        <f t="shared" si="11"/>
        <v>0</v>
      </c>
      <c r="N56" s="504"/>
      <c r="O56" s="504"/>
      <c r="P56" s="506"/>
      <c r="Q56" s="506"/>
      <c r="R56" s="42" t="s">
        <v>15</v>
      </c>
      <c r="S56" s="40">
        <v>251</v>
      </c>
      <c r="T56" s="117">
        <f t="shared" si="12"/>
        <v>835</v>
      </c>
      <c r="U56" s="118">
        <f t="shared" si="13"/>
        <v>0</v>
      </c>
    </row>
    <row r="57" spans="1:21" x14ac:dyDescent="0.25">
      <c r="A57" s="460"/>
      <c r="B57" s="460"/>
      <c r="C57" s="165">
        <v>0</v>
      </c>
      <c r="D57" s="165">
        <v>0</v>
      </c>
      <c r="E57" s="125">
        <f t="shared" si="10"/>
        <v>0</v>
      </c>
      <c r="F57" s="41" t="s">
        <v>15</v>
      </c>
      <c r="G57" s="39">
        <v>252</v>
      </c>
      <c r="H57" s="321">
        <f>'0664'!H57</f>
        <v>3168</v>
      </c>
      <c r="I57" s="104">
        <f t="shared" si="11"/>
        <v>0</v>
      </c>
      <c r="N57" s="504"/>
      <c r="O57" s="504"/>
      <c r="P57" s="506"/>
      <c r="Q57" s="506"/>
      <c r="R57" s="42" t="s">
        <v>15</v>
      </c>
      <c r="S57" s="40">
        <v>252</v>
      </c>
      <c r="T57" s="117">
        <f t="shared" si="12"/>
        <v>3168</v>
      </c>
      <c r="U57" s="118">
        <f t="shared" si="13"/>
        <v>0</v>
      </c>
    </row>
    <row r="58" spans="1:21" ht="16.5" thickBot="1" x14ac:dyDescent="0.3">
      <c r="A58" s="460"/>
      <c r="B58" s="460"/>
      <c r="C58" s="165">
        <v>0</v>
      </c>
      <c r="D58" s="165">
        <v>0</v>
      </c>
      <c r="E58" s="125">
        <f t="shared" si="10"/>
        <v>0</v>
      </c>
      <c r="F58" s="41" t="s">
        <v>15</v>
      </c>
      <c r="G58" s="39">
        <v>253</v>
      </c>
      <c r="H58" s="321">
        <f>'0664'!H58</f>
        <v>6685</v>
      </c>
      <c r="I58" s="104">
        <f t="shared" si="11"/>
        <v>0</v>
      </c>
      <c r="N58" s="504"/>
      <c r="O58" s="504"/>
      <c r="P58" s="507"/>
      <c r="Q58" s="507"/>
      <c r="R58" s="42" t="s">
        <v>15</v>
      </c>
      <c r="S58" s="40">
        <v>253</v>
      </c>
      <c r="T58" s="117">
        <f t="shared" si="12"/>
        <v>6685</v>
      </c>
      <c r="U58" s="120">
        <f t="shared" si="13"/>
        <v>0</v>
      </c>
    </row>
    <row r="59" spans="1:21" ht="16.5" thickBot="1" x14ac:dyDescent="0.3">
      <c r="A59" s="461" t="s">
        <v>16</v>
      </c>
      <c r="B59" s="461"/>
      <c r="C59" s="100">
        <f>SUM(C50:C58)</f>
        <v>15.85</v>
      </c>
      <c r="D59" s="100">
        <f>SUM(D50:D58)</f>
        <v>15.84</v>
      </c>
      <c r="E59" s="100">
        <f>SUM(E50:E58)</f>
        <v>31.69</v>
      </c>
      <c r="F59" s="461" t="s">
        <v>77</v>
      </c>
      <c r="G59" s="461"/>
      <c r="H59" s="461"/>
      <c r="I59" s="100">
        <f>SUM(I50:I58)</f>
        <v>45111.299999999996</v>
      </c>
      <c r="N59" s="480" t="s">
        <v>16</v>
      </c>
      <c r="O59" s="480"/>
      <c r="P59" s="502">
        <f>SUM(P50:P58)</f>
        <v>0</v>
      </c>
      <c r="Q59" s="502"/>
      <c r="R59" s="480" t="s">
        <v>77</v>
      </c>
      <c r="S59" s="480"/>
      <c r="T59" s="480"/>
      <c r="U59" s="111">
        <f>SUM(U50:U58)</f>
        <v>0</v>
      </c>
    </row>
    <row r="60" spans="1:21" x14ac:dyDescent="0.25">
      <c r="A60" s="462"/>
      <c r="B60" s="462"/>
      <c r="C60" s="462"/>
      <c r="D60" s="462"/>
      <c r="E60" s="462"/>
      <c r="F60" s="462"/>
      <c r="G60" s="462"/>
      <c r="H60" s="462"/>
      <c r="I60" s="462"/>
      <c r="N60" s="484"/>
      <c r="O60" s="484"/>
      <c r="P60" s="484"/>
      <c r="Q60" s="484"/>
      <c r="R60" s="484"/>
      <c r="S60" s="484"/>
      <c r="T60" s="484"/>
      <c r="U60" s="484"/>
    </row>
    <row r="61" spans="1:21" x14ac:dyDescent="0.25">
      <c r="A61" s="463" t="s">
        <v>136</v>
      </c>
      <c r="B61" s="453"/>
      <c r="C61" s="453"/>
      <c r="D61" s="453"/>
      <c r="E61" s="453"/>
      <c r="F61" s="453"/>
      <c r="G61" s="453"/>
      <c r="H61" s="453"/>
      <c r="I61" s="453"/>
      <c r="N61" s="479" t="s">
        <v>88</v>
      </c>
      <c r="O61" s="479"/>
      <c r="P61" s="479"/>
      <c r="Q61" s="479"/>
      <c r="R61" s="479"/>
      <c r="S61" s="479"/>
      <c r="T61" s="479"/>
      <c r="U61" s="479"/>
    </row>
    <row r="62" spans="1:21" x14ac:dyDescent="0.25">
      <c r="A62" s="463" t="s">
        <v>138</v>
      </c>
      <c r="B62" s="453"/>
      <c r="C62" s="121">
        <f>E29</f>
        <v>281.96000000000004</v>
      </c>
      <c r="D62" s="464" t="s">
        <v>135</v>
      </c>
      <c r="E62" s="464"/>
      <c r="F62" s="464"/>
      <c r="G62" s="464"/>
      <c r="H62" s="335">
        <f>'0664'!H62</f>
        <v>193340.76</v>
      </c>
      <c r="I62" s="122"/>
      <c r="N62" s="478" t="s">
        <v>312</v>
      </c>
      <c r="O62" s="479"/>
      <c r="P62" s="43">
        <f>P29</f>
        <v>0</v>
      </c>
      <c r="Q62" s="498" t="s">
        <v>78</v>
      </c>
      <c r="R62" s="498"/>
      <c r="S62" s="498"/>
      <c r="T62" s="497">
        <f>H62</f>
        <v>193340.76</v>
      </c>
      <c r="U62" s="497"/>
    </row>
    <row r="63" spans="1:21" x14ac:dyDescent="0.25">
      <c r="B63" s="72"/>
      <c r="G63" s="44" t="s">
        <v>13</v>
      </c>
      <c r="H63" s="123">
        <f>ROUND(C62/H62,6)</f>
        <v>1.4580000000000001E-3</v>
      </c>
      <c r="I63" s="124"/>
      <c r="N63" s="479" t="s">
        <v>19</v>
      </c>
      <c r="O63" s="479"/>
      <c r="P63" s="479"/>
      <c r="Q63" s="479"/>
      <c r="R63" s="479"/>
      <c r="S63" s="479"/>
      <c r="T63" s="501">
        <f>ROUND(P62/T62,6)</f>
        <v>0</v>
      </c>
      <c r="U63" s="501"/>
    </row>
    <row r="64" spans="1:21" x14ac:dyDescent="0.25">
      <c r="A64" s="463" t="s">
        <v>137</v>
      </c>
      <c r="B64" s="453"/>
      <c r="C64" s="453"/>
      <c r="D64" s="453"/>
      <c r="E64" s="453"/>
      <c r="F64" s="453"/>
      <c r="G64" s="453"/>
      <c r="H64" s="453"/>
      <c r="I64" s="453"/>
      <c r="N64" s="479" t="s">
        <v>89</v>
      </c>
      <c r="O64" s="479"/>
      <c r="P64" s="479"/>
      <c r="Q64" s="479"/>
      <c r="R64" s="479"/>
      <c r="S64" s="479"/>
      <c r="T64" s="479"/>
      <c r="U64" s="479"/>
    </row>
    <row r="65" spans="1:21" x14ac:dyDescent="0.25">
      <c r="A65" s="463" t="s">
        <v>139</v>
      </c>
      <c r="B65" s="453"/>
      <c r="C65" s="121">
        <f>E45</f>
        <v>298.0532</v>
      </c>
      <c r="D65" s="464" t="s">
        <v>140</v>
      </c>
      <c r="E65" s="464"/>
      <c r="F65" s="464"/>
      <c r="G65" s="464"/>
      <c r="H65" s="336">
        <f>'0664'!H65</f>
        <v>216845.88</v>
      </c>
      <c r="I65" s="125"/>
      <c r="N65" s="479" t="s">
        <v>80</v>
      </c>
      <c r="O65" s="479"/>
      <c r="P65" s="43">
        <f>R45</f>
        <v>0</v>
      </c>
      <c r="Q65" s="498" t="s">
        <v>79</v>
      </c>
      <c r="R65" s="498"/>
      <c r="S65" s="498"/>
      <c r="T65" s="497">
        <f>H65</f>
        <v>216845.88</v>
      </c>
      <c r="U65" s="497"/>
    </row>
    <row r="66" spans="1:21" s="37" customFormat="1" x14ac:dyDescent="0.25">
      <c r="A66" s="126"/>
      <c r="G66" s="45" t="s">
        <v>13</v>
      </c>
      <c r="H66" s="127">
        <f>ROUND(C65/H65,6)</f>
        <v>1.374E-3</v>
      </c>
      <c r="I66" s="127"/>
      <c r="N66" s="482" t="s">
        <v>20</v>
      </c>
      <c r="O66" s="482"/>
      <c r="P66" s="482"/>
      <c r="Q66" s="482"/>
      <c r="R66" s="482"/>
      <c r="S66" s="482"/>
      <c r="T66" s="500">
        <f>ROUND(P65/T65,6)</f>
        <v>0</v>
      </c>
      <c r="U66" s="500"/>
    </row>
    <row r="67" spans="1:21" x14ac:dyDescent="0.25">
      <c r="G67" s="44"/>
      <c r="H67" s="123"/>
      <c r="I67" s="123"/>
      <c r="N67" s="48"/>
      <c r="O67" s="48"/>
      <c r="P67" s="48"/>
      <c r="Q67" s="48"/>
      <c r="R67" s="128"/>
      <c r="S67" s="48"/>
      <c r="T67" s="129"/>
      <c r="U67" s="130"/>
    </row>
    <row r="68" spans="1:21" x14ac:dyDescent="0.25">
      <c r="A68" s="453" t="s">
        <v>85</v>
      </c>
      <c r="B68" s="453"/>
      <c r="C68" s="453"/>
      <c r="D68" s="72"/>
      <c r="E68" s="46" t="s">
        <v>3</v>
      </c>
      <c r="F68" s="337">
        <f>'0664'!F68</f>
        <v>42465042</v>
      </c>
      <c r="G68" s="39" t="s">
        <v>6</v>
      </c>
      <c r="H68" s="131">
        <f>H63</f>
        <v>1.4580000000000001E-3</v>
      </c>
      <c r="I68" s="104">
        <f>ROUND(F68*H68,2)</f>
        <v>61914.03</v>
      </c>
      <c r="N68" s="479" t="s">
        <v>85</v>
      </c>
      <c r="O68" s="479"/>
      <c r="P68" s="479"/>
      <c r="Q68" s="47"/>
      <c r="R68" s="132">
        <f>F68</f>
        <v>42465042</v>
      </c>
      <c r="S68" s="40" t="s">
        <v>6</v>
      </c>
      <c r="T68" s="133">
        <f>T63</f>
        <v>0</v>
      </c>
      <c r="U68" s="99">
        <f>ROUND(R68*T68,0)</f>
        <v>0</v>
      </c>
    </row>
    <row r="69" spans="1:21" x14ac:dyDescent="0.25">
      <c r="A69" s="458" t="s">
        <v>96</v>
      </c>
      <c r="B69" s="453"/>
      <c r="C69" s="453"/>
      <c r="D69" s="72"/>
      <c r="E69" s="46"/>
      <c r="F69" s="175"/>
      <c r="G69" s="39"/>
      <c r="H69" s="131"/>
      <c r="I69" s="104"/>
      <c r="N69" s="479" t="s">
        <v>84</v>
      </c>
      <c r="O69" s="479"/>
      <c r="P69" s="479"/>
      <c r="Q69" s="54"/>
      <c r="R69" s="54"/>
      <c r="S69" s="54"/>
      <c r="T69" s="54"/>
      <c r="U69" s="54"/>
    </row>
    <row r="70" spans="1:21" x14ac:dyDescent="0.25">
      <c r="A70" s="465" t="s">
        <v>141</v>
      </c>
      <c r="B70" s="453"/>
      <c r="C70" s="453"/>
      <c r="D70" s="72"/>
      <c r="E70" s="46" t="s">
        <v>3</v>
      </c>
      <c r="F70" s="337">
        <f>'0664'!F70</f>
        <v>0</v>
      </c>
      <c r="G70" s="39" t="s">
        <v>6</v>
      </c>
      <c r="H70" s="131">
        <f>H63</f>
        <v>1.4580000000000001E-3</v>
      </c>
      <c r="I70" s="104">
        <f>ROUND(F70*H70,2)</f>
        <v>0</v>
      </c>
      <c r="N70" s="48"/>
      <c r="O70" s="48"/>
      <c r="P70" s="48"/>
      <c r="Q70" s="47"/>
      <c r="R70" s="132">
        <f>F70</f>
        <v>0</v>
      </c>
      <c r="S70" s="40" t="s">
        <v>6</v>
      </c>
      <c r="T70" s="133">
        <f>T63</f>
        <v>0</v>
      </c>
      <c r="U70" s="99">
        <f>ROUND(R70*T70,0)</f>
        <v>0</v>
      </c>
    </row>
    <row r="71" spans="1:21" x14ac:dyDescent="0.25">
      <c r="A71" s="463" t="s">
        <v>433</v>
      </c>
      <c r="B71" s="453"/>
      <c r="C71" s="453"/>
      <c r="D71" s="72"/>
      <c r="E71" s="46" t="s">
        <v>3</v>
      </c>
      <c r="F71" s="337">
        <f>'0664'!F71</f>
        <v>13414654</v>
      </c>
      <c r="G71" s="39" t="s">
        <v>6</v>
      </c>
      <c r="H71" s="131">
        <f>H63</f>
        <v>1.4580000000000001E-3</v>
      </c>
      <c r="I71" s="104">
        <f>ROUND(F71*H71,2)</f>
        <v>19558.57</v>
      </c>
      <c r="N71" s="479" t="s">
        <v>83</v>
      </c>
      <c r="O71" s="479"/>
      <c r="P71" s="479"/>
      <c r="Q71" s="47"/>
      <c r="R71" s="132">
        <f>F71</f>
        <v>13414654</v>
      </c>
      <c r="S71" s="40" t="s">
        <v>6</v>
      </c>
      <c r="T71" s="133">
        <f>T63</f>
        <v>0</v>
      </c>
      <c r="U71" s="99">
        <f>ROUND(R71*T71,0)</f>
        <v>0</v>
      </c>
    </row>
    <row r="72" spans="1:21" x14ac:dyDescent="0.25">
      <c r="A72" s="463" t="s">
        <v>434</v>
      </c>
      <c r="B72" s="453"/>
      <c r="C72" s="453"/>
      <c r="D72" s="72"/>
      <c r="E72" s="46" t="s">
        <v>3</v>
      </c>
      <c r="F72" s="337">
        <f>'0664'!F72</f>
        <v>14708421</v>
      </c>
      <c r="G72" s="39" t="s">
        <v>6</v>
      </c>
      <c r="H72" s="131">
        <f>H63</f>
        <v>1.4580000000000001E-3</v>
      </c>
      <c r="I72" s="104">
        <f>ROUND(F72*H72,2)</f>
        <v>21444.880000000001</v>
      </c>
      <c r="N72" s="479" t="s">
        <v>82</v>
      </c>
      <c r="O72" s="479"/>
      <c r="P72" s="479"/>
      <c r="Q72" s="47"/>
      <c r="R72" s="134">
        <f>F72</f>
        <v>14708421</v>
      </c>
      <c r="S72" s="40" t="s">
        <v>6</v>
      </c>
      <c r="T72" s="133">
        <f>T63</f>
        <v>0</v>
      </c>
      <c r="U72" s="99">
        <f>ROUND(R72*T72,0)</f>
        <v>0</v>
      </c>
    </row>
    <row r="73" spans="1:21" x14ac:dyDescent="0.25">
      <c r="A73" s="263" t="s">
        <v>99</v>
      </c>
      <c r="D73" s="72"/>
      <c r="E73" s="41" t="s">
        <v>353</v>
      </c>
      <c r="F73" s="466"/>
      <c r="G73" s="466"/>
      <c r="H73" s="466"/>
      <c r="I73" s="104">
        <v>0</v>
      </c>
      <c r="N73" s="499" t="s">
        <v>118</v>
      </c>
      <c r="O73" s="499"/>
      <c r="P73" s="499"/>
      <c r="Q73" s="499"/>
      <c r="R73" s="499"/>
      <c r="S73" s="499"/>
      <c r="T73" s="499"/>
      <c r="U73" s="99">
        <f>IF($H$120=1,I73,0)</f>
        <v>0</v>
      </c>
    </row>
    <row r="74" spans="1:21" x14ac:dyDescent="0.25">
      <c r="A74" s="264" t="s">
        <v>142</v>
      </c>
      <c r="I74" s="104"/>
      <c r="N74" s="499" t="s">
        <v>43</v>
      </c>
      <c r="O74" s="499"/>
      <c r="P74" s="499"/>
      <c r="Q74" s="499"/>
      <c r="R74" s="499"/>
      <c r="S74" s="499"/>
      <c r="T74" s="499"/>
      <c r="U74" s="99">
        <f>IF($H$120=1,I74,0)</f>
        <v>0</v>
      </c>
    </row>
    <row r="75" spans="1:21" x14ac:dyDescent="0.25">
      <c r="A75" s="324" t="s">
        <v>101</v>
      </c>
      <c r="B75" s="72"/>
      <c r="C75" s="72"/>
      <c r="D75" s="72"/>
      <c r="E75" s="72"/>
      <c r="F75" s="72"/>
      <c r="G75" s="72"/>
      <c r="H75" s="72"/>
      <c r="I75" s="135"/>
      <c r="N75" s="382" t="s">
        <v>44</v>
      </c>
      <c r="O75" s="48"/>
      <c r="P75" s="48"/>
      <c r="Q75" s="48"/>
      <c r="R75" s="48"/>
      <c r="S75" s="48"/>
      <c r="T75" s="48"/>
      <c r="U75" s="106"/>
    </row>
    <row r="76" spans="1:21" x14ac:dyDescent="0.25">
      <c r="A76" s="463" t="s">
        <v>435</v>
      </c>
      <c r="B76" s="453"/>
      <c r="C76" s="453"/>
      <c r="D76" s="72"/>
      <c r="E76" s="46" t="s">
        <v>3</v>
      </c>
      <c r="F76" s="337">
        <f>'0664'!F76</f>
        <v>8720092</v>
      </c>
      <c r="G76" s="39" t="s">
        <v>6</v>
      </c>
      <c r="H76" s="131">
        <f>H63</f>
        <v>1.4580000000000001E-3</v>
      </c>
      <c r="I76" s="104">
        <f t="shared" ref="I76:I85" si="14">ROUND(F76*H76,2)</f>
        <v>12713.89</v>
      </c>
      <c r="N76" s="478" t="s">
        <v>366</v>
      </c>
      <c r="O76" s="479"/>
      <c r="P76" s="479"/>
      <c r="Q76" s="47"/>
      <c r="R76" s="134">
        <f t="shared" ref="R76:R85" si="15">F76</f>
        <v>8720092</v>
      </c>
      <c r="S76" s="40" t="s">
        <v>6</v>
      </c>
      <c r="T76" s="133">
        <f>T63</f>
        <v>0</v>
      </c>
      <c r="U76" s="99">
        <f t="shared" ref="U76:U85" si="16">ROUND(R76*T76,0)</f>
        <v>0</v>
      </c>
    </row>
    <row r="77" spans="1:21" x14ac:dyDescent="0.25">
      <c r="A77" s="463" t="s">
        <v>436</v>
      </c>
      <c r="B77" s="453"/>
      <c r="C77" s="453"/>
      <c r="D77" s="72"/>
      <c r="E77" s="46" t="s">
        <v>3</v>
      </c>
      <c r="F77" s="337">
        <f>'0664'!F77</f>
        <v>0</v>
      </c>
      <c r="G77" s="39" t="s">
        <v>6</v>
      </c>
      <c r="H77" s="131">
        <f>H63</f>
        <v>1.4580000000000001E-3</v>
      </c>
      <c r="I77" s="104">
        <f t="shared" si="14"/>
        <v>0</v>
      </c>
      <c r="N77" s="479" t="s">
        <v>367</v>
      </c>
      <c r="O77" s="479"/>
      <c r="P77" s="479"/>
      <c r="Q77" s="47"/>
      <c r="R77" s="134">
        <f t="shared" si="15"/>
        <v>0</v>
      </c>
      <c r="S77" s="40" t="s">
        <v>6</v>
      </c>
      <c r="T77" s="133">
        <f>T63</f>
        <v>0</v>
      </c>
      <c r="U77" s="99">
        <f t="shared" si="16"/>
        <v>0</v>
      </c>
    </row>
    <row r="78" spans="1:21" x14ac:dyDescent="0.25">
      <c r="A78" s="463" t="s">
        <v>437</v>
      </c>
      <c r="B78" s="453"/>
      <c r="C78" s="453"/>
      <c r="D78" s="72"/>
      <c r="E78" s="46" t="s">
        <v>4</v>
      </c>
      <c r="F78" s="337">
        <f>'0664'!F78</f>
        <v>0</v>
      </c>
      <c r="G78" s="39" t="s">
        <v>6</v>
      </c>
      <c r="H78" s="131">
        <f>H66</f>
        <v>1.374E-3</v>
      </c>
      <c r="I78" s="104">
        <f t="shared" si="14"/>
        <v>0</v>
      </c>
      <c r="N78" s="478" t="s">
        <v>392</v>
      </c>
      <c r="O78" s="479"/>
      <c r="P78" s="479"/>
      <c r="Q78" s="47"/>
      <c r="R78" s="134">
        <f t="shared" si="15"/>
        <v>0</v>
      </c>
      <c r="S78" s="40" t="s">
        <v>6</v>
      </c>
      <c r="T78" s="133">
        <f>T66</f>
        <v>0</v>
      </c>
      <c r="U78" s="99">
        <f t="shared" si="16"/>
        <v>0</v>
      </c>
    </row>
    <row r="79" spans="1:21" x14ac:dyDescent="0.25">
      <c r="A79" s="463" t="s">
        <v>438</v>
      </c>
      <c r="B79" s="453"/>
      <c r="C79" s="453"/>
      <c r="D79" s="72"/>
      <c r="E79" s="46" t="s">
        <v>4</v>
      </c>
      <c r="F79" s="337">
        <f>'0664'!F79</f>
        <v>11278687</v>
      </c>
      <c r="G79" s="39" t="s">
        <v>6</v>
      </c>
      <c r="H79" s="131">
        <f>H66</f>
        <v>1.374E-3</v>
      </c>
      <c r="I79" s="104">
        <f t="shared" si="14"/>
        <v>15496.92</v>
      </c>
      <c r="N79" s="478" t="s">
        <v>393</v>
      </c>
      <c r="O79" s="479"/>
      <c r="P79" s="479"/>
      <c r="Q79" s="47"/>
      <c r="R79" s="134">
        <f t="shared" si="15"/>
        <v>11278687</v>
      </c>
      <c r="S79" s="40" t="s">
        <v>6</v>
      </c>
      <c r="T79" s="133">
        <f>T66</f>
        <v>0</v>
      </c>
      <c r="U79" s="99">
        <f t="shared" si="16"/>
        <v>0</v>
      </c>
    </row>
    <row r="80" spans="1:21" x14ac:dyDescent="0.25">
      <c r="A80" s="463" t="s">
        <v>439</v>
      </c>
      <c r="B80" s="453"/>
      <c r="C80" s="453"/>
      <c r="D80" s="72"/>
      <c r="E80" s="46" t="s">
        <v>4</v>
      </c>
      <c r="F80" s="337">
        <f>'0664'!F80</f>
        <v>206284749</v>
      </c>
      <c r="G80" s="39" t="s">
        <v>6</v>
      </c>
      <c r="H80" s="131">
        <f>H66</f>
        <v>1.374E-3</v>
      </c>
      <c r="I80" s="104">
        <f t="shared" si="14"/>
        <v>283435.25</v>
      </c>
      <c r="N80" s="478" t="s">
        <v>397</v>
      </c>
      <c r="O80" s="479"/>
      <c r="P80" s="479"/>
      <c r="Q80" s="47"/>
      <c r="R80" s="134">
        <f t="shared" si="15"/>
        <v>206284749</v>
      </c>
      <c r="S80" s="40" t="s">
        <v>6</v>
      </c>
      <c r="T80" s="133">
        <f>T66</f>
        <v>0</v>
      </c>
      <c r="U80" s="99">
        <f t="shared" si="16"/>
        <v>0</v>
      </c>
    </row>
    <row r="81" spans="1:21" x14ac:dyDescent="0.25">
      <c r="A81" s="84" t="s">
        <v>440</v>
      </c>
      <c r="B81" s="72"/>
      <c r="C81" s="72"/>
      <c r="D81" s="72"/>
      <c r="E81" s="46"/>
      <c r="F81" s="337"/>
      <c r="G81" s="39"/>
      <c r="H81" s="131"/>
      <c r="I81" s="104"/>
      <c r="N81" s="419" t="s">
        <v>440</v>
      </c>
      <c r="O81" s="48"/>
      <c r="P81" s="48"/>
      <c r="Q81" s="47"/>
      <c r="R81" s="423"/>
      <c r="S81" s="40"/>
      <c r="T81" s="133"/>
      <c r="U81" s="120"/>
    </row>
    <row r="82" spans="1:21" x14ac:dyDescent="0.25">
      <c r="A82" s="264" t="s">
        <v>441</v>
      </c>
      <c r="B82" s="72"/>
      <c r="C82" s="72"/>
      <c r="D82" s="72"/>
      <c r="E82" s="46" t="s">
        <v>442</v>
      </c>
      <c r="F82" s="337">
        <f>'0664'!F82</f>
        <v>0</v>
      </c>
      <c r="G82" s="39" t="s">
        <v>6</v>
      </c>
      <c r="H82" s="131">
        <f>H66</f>
        <v>1.374E-3</v>
      </c>
      <c r="I82" s="104">
        <v>58954.53</v>
      </c>
      <c r="N82" s="422" t="s">
        <v>441</v>
      </c>
      <c r="O82" s="48"/>
      <c r="P82" s="48"/>
      <c r="Q82" s="47"/>
      <c r="R82" s="134">
        <f t="shared" si="15"/>
        <v>0</v>
      </c>
      <c r="S82" s="40"/>
      <c r="T82" s="133"/>
      <c r="U82" s="99">
        <f t="shared" si="16"/>
        <v>0</v>
      </c>
    </row>
    <row r="83" spans="1:21" x14ac:dyDescent="0.25">
      <c r="A83" s="264" t="s">
        <v>443</v>
      </c>
      <c r="B83" s="72"/>
      <c r="C83" s="72"/>
      <c r="D83" s="72"/>
      <c r="E83" s="46" t="s">
        <v>442</v>
      </c>
      <c r="F83" s="337">
        <f>'0664'!F83</f>
        <v>0</v>
      </c>
      <c r="G83" s="39" t="s">
        <v>6</v>
      </c>
      <c r="H83" s="131">
        <f>H66</f>
        <v>1.374E-3</v>
      </c>
      <c r="I83" s="104">
        <v>26797.51</v>
      </c>
      <c r="N83" s="422" t="s">
        <v>443</v>
      </c>
      <c r="O83" s="48"/>
      <c r="P83" s="48"/>
      <c r="Q83" s="47"/>
      <c r="R83" s="134">
        <f t="shared" si="15"/>
        <v>0</v>
      </c>
      <c r="S83" s="40"/>
      <c r="T83" s="133"/>
      <c r="U83" s="99">
        <f t="shared" si="16"/>
        <v>0</v>
      </c>
    </row>
    <row r="84" spans="1:21" x14ac:dyDescent="0.25">
      <c r="A84" s="420" t="s">
        <v>444</v>
      </c>
      <c r="B84" s="72"/>
      <c r="C84" s="72"/>
      <c r="D84" s="72"/>
      <c r="E84" s="46"/>
      <c r="F84" s="337"/>
      <c r="G84" s="39"/>
      <c r="H84" s="131"/>
      <c r="I84" s="104">
        <f>I82+I83</f>
        <v>85752.04</v>
      </c>
      <c r="N84" s="421" t="s">
        <v>444</v>
      </c>
      <c r="O84" s="48"/>
      <c r="P84" s="48"/>
      <c r="Q84" s="47"/>
      <c r="R84" s="423"/>
      <c r="S84" s="40"/>
      <c r="T84" s="133"/>
      <c r="U84" s="99">
        <f>U82+U83</f>
        <v>0</v>
      </c>
    </row>
    <row r="85" spans="1:21" x14ac:dyDescent="0.25">
      <c r="A85" s="463" t="s">
        <v>398</v>
      </c>
      <c r="B85" s="453"/>
      <c r="C85" s="453"/>
      <c r="D85" s="72"/>
      <c r="E85" s="46" t="s">
        <v>4</v>
      </c>
      <c r="F85" s="337">
        <f>'0664'!F85</f>
        <v>0</v>
      </c>
      <c r="G85" s="39" t="s">
        <v>6</v>
      </c>
      <c r="H85" s="131">
        <f>H66</f>
        <v>1.374E-3</v>
      </c>
      <c r="I85" s="104">
        <f t="shared" si="14"/>
        <v>0</v>
      </c>
      <c r="N85" s="478" t="s">
        <v>398</v>
      </c>
      <c r="O85" s="479"/>
      <c r="P85" s="479"/>
      <c r="Q85" s="47"/>
      <c r="R85" s="132">
        <f t="shared" si="15"/>
        <v>0</v>
      </c>
      <c r="S85" s="40" t="s">
        <v>6</v>
      </c>
      <c r="T85" s="133">
        <f>T66</f>
        <v>0</v>
      </c>
      <c r="U85" s="99">
        <f t="shared" si="16"/>
        <v>0</v>
      </c>
    </row>
    <row r="86" spans="1:21" x14ac:dyDescent="0.25">
      <c r="B86" s="72"/>
      <c r="C86" s="72"/>
      <c r="D86" s="72"/>
      <c r="E86" s="46"/>
      <c r="F86" s="136"/>
      <c r="G86" s="39"/>
      <c r="H86" s="131"/>
      <c r="I86" s="104"/>
      <c r="N86" s="48"/>
      <c r="O86" s="48"/>
      <c r="P86" s="48"/>
      <c r="Q86" s="47"/>
      <c r="R86" s="137"/>
      <c r="S86" s="40"/>
      <c r="T86" s="133"/>
      <c r="U86" s="106"/>
    </row>
    <row r="87" spans="1:21" x14ac:dyDescent="0.25">
      <c r="A87" s="463" t="s">
        <v>445</v>
      </c>
      <c r="B87" s="453"/>
      <c r="C87" s="453"/>
      <c r="D87" s="453"/>
      <c r="E87" s="453"/>
      <c r="F87" s="453"/>
      <c r="G87" s="453"/>
      <c r="H87" s="453"/>
      <c r="I87" s="453"/>
      <c r="N87" s="478" t="s">
        <v>429</v>
      </c>
      <c r="O87" s="479"/>
      <c r="P87" s="479"/>
      <c r="Q87" s="479"/>
      <c r="R87" s="479"/>
      <c r="S87" s="479"/>
      <c r="T87" s="479"/>
      <c r="U87" s="479"/>
    </row>
    <row r="88" spans="1:21" x14ac:dyDescent="0.25">
      <c r="B88" s="72"/>
      <c r="C88" s="466" t="s">
        <v>73</v>
      </c>
      <c r="D88" s="466"/>
      <c r="E88" s="72"/>
      <c r="F88" s="41" t="s">
        <v>37</v>
      </c>
      <c r="G88" s="72"/>
      <c r="H88" s="72"/>
      <c r="I88" s="72"/>
      <c r="N88" s="48"/>
      <c r="O88" s="48"/>
      <c r="P88" s="48"/>
      <c r="Q88" s="48"/>
      <c r="R88" s="48"/>
      <c r="S88" s="48"/>
      <c r="T88" s="48"/>
      <c r="U88" s="48"/>
    </row>
    <row r="89" spans="1:21" x14ac:dyDescent="0.25">
      <c r="A89" s="3"/>
      <c r="B89" s="138"/>
      <c r="C89" s="462" t="s">
        <v>144</v>
      </c>
      <c r="D89" s="462"/>
      <c r="E89" s="139" t="s">
        <v>150</v>
      </c>
      <c r="F89" s="140" t="s">
        <v>149</v>
      </c>
      <c r="G89" s="141"/>
      <c r="H89" s="141"/>
      <c r="I89" s="141"/>
      <c r="N89" s="495" t="s">
        <v>46</v>
      </c>
      <c r="O89" s="495"/>
      <c r="P89" s="496" t="s">
        <v>119</v>
      </c>
      <c r="Q89" s="496"/>
      <c r="R89" s="497" t="s">
        <v>40</v>
      </c>
      <c r="S89" s="497"/>
      <c r="T89" s="497"/>
      <c r="U89" s="497"/>
    </row>
    <row r="90" spans="1:21" x14ac:dyDescent="0.25">
      <c r="A90" s="27"/>
      <c r="B90" s="55" t="s">
        <v>148</v>
      </c>
      <c r="C90" s="467">
        <f>H13+H14+H19+H22+H25</f>
        <v>132.495</v>
      </c>
      <c r="D90" s="467"/>
      <c r="E90" s="49">
        <f>H8</f>
        <v>1.0438000000000001</v>
      </c>
      <c r="F90" s="338">
        <f>'0664'!F90</f>
        <v>957.94</v>
      </c>
      <c r="G90" s="41" t="s">
        <v>13</v>
      </c>
      <c r="H90" s="104">
        <f>ROUND(C90*E90*F90,2)</f>
        <v>132481.46</v>
      </c>
      <c r="I90" s="107"/>
      <c r="N90" s="29" t="s">
        <v>22</v>
      </c>
      <c r="O90" s="50">
        <f>T13+T14+T19+T22+T25</f>
        <v>0</v>
      </c>
      <c r="P90" s="490">
        <f>T8</f>
        <v>1.0438000000000001</v>
      </c>
      <c r="Q90" s="490"/>
      <c r="R90" s="51">
        <f>F90</f>
        <v>957.94</v>
      </c>
      <c r="S90" s="42" t="s">
        <v>13</v>
      </c>
      <c r="T90" s="134">
        <f>ROUND(O90*P90*R90,0)</f>
        <v>0</v>
      </c>
      <c r="U90" s="105"/>
    </row>
    <row r="91" spans="1:21" x14ac:dyDescent="0.25">
      <c r="A91" s="52"/>
      <c r="B91" s="52" t="s">
        <v>147</v>
      </c>
      <c r="C91" s="467">
        <f>H15+H16+H20+H23+H26</f>
        <v>165.5582</v>
      </c>
      <c r="D91" s="467"/>
      <c r="E91" s="49">
        <f>H8</f>
        <v>1.0438000000000001</v>
      </c>
      <c r="F91" s="338">
        <f>'0664'!F91</f>
        <v>914.63</v>
      </c>
      <c r="G91" s="41" t="s">
        <v>13</v>
      </c>
      <c r="H91" s="104">
        <f>ROUND(C91*E91*F91,2)</f>
        <v>158056.89000000001</v>
      </c>
      <c r="N91" s="53" t="s">
        <v>14</v>
      </c>
      <c r="O91" s="50">
        <f>T15+T16+T20+T23+T26</f>
        <v>0</v>
      </c>
      <c r="P91" s="490">
        <f>T8</f>
        <v>1.0438000000000001</v>
      </c>
      <c r="Q91" s="490"/>
      <c r="R91" s="51">
        <f>F91</f>
        <v>914.63</v>
      </c>
      <c r="S91" s="42" t="s">
        <v>13</v>
      </c>
      <c r="T91" s="134">
        <f>ROUND(O91*P91*R91,0)</f>
        <v>0</v>
      </c>
      <c r="U91" s="54"/>
    </row>
    <row r="92" spans="1:21" ht="16.5" thickBot="1" x14ac:dyDescent="0.3">
      <c r="A92" s="55"/>
      <c r="B92" s="55" t="s">
        <v>146</v>
      </c>
      <c r="C92" s="467">
        <f>H17+H18+H21+H24+H27+H28</f>
        <v>0</v>
      </c>
      <c r="D92" s="467"/>
      <c r="E92" s="49">
        <f>H8</f>
        <v>1.0438000000000001</v>
      </c>
      <c r="F92" s="338">
        <f>'0664'!F92</f>
        <v>916.84</v>
      </c>
      <c r="G92" s="41" t="s">
        <v>13</v>
      </c>
      <c r="H92" s="97">
        <f>ROUND(C92*E92*F92,2)</f>
        <v>0</v>
      </c>
      <c r="N92" s="56" t="s">
        <v>15</v>
      </c>
      <c r="O92" s="57">
        <f>T17+T18+T21+T24+T27+T28</f>
        <v>0</v>
      </c>
      <c r="P92" s="490">
        <f>T8</f>
        <v>1.0438000000000001</v>
      </c>
      <c r="Q92" s="490"/>
      <c r="R92" s="51">
        <f>F92</f>
        <v>916.84</v>
      </c>
      <c r="S92" s="42" t="s">
        <v>13</v>
      </c>
      <c r="T92" s="134">
        <f>ROUND(O92*P92*R92,0)</f>
        <v>0</v>
      </c>
      <c r="U92" s="54"/>
    </row>
    <row r="93" spans="1:21" ht="16.5" thickBot="1" x14ac:dyDescent="0.3">
      <c r="A93" s="58"/>
      <c r="B93" s="142" t="s">
        <v>145</v>
      </c>
      <c r="C93" s="469">
        <f>SUM(C90:C92)</f>
        <v>298.0532</v>
      </c>
      <c r="D93" s="469"/>
      <c r="E93" s="143"/>
      <c r="F93" s="143"/>
      <c r="G93" s="143"/>
      <c r="H93" s="144" t="s">
        <v>143</v>
      </c>
      <c r="I93" s="104">
        <f>IF(A1=75,0,H92+H91+H90)</f>
        <v>290538.34999999998</v>
      </c>
      <c r="N93" s="59" t="s">
        <v>120</v>
      </c>
      <c r="O93" s="60">
        <f>SUM(O90:O92)</f>
        <v>0</v>
      </c>
      <c r="P93" s="491" t="s">
        <v>18</v>
      </c>
      <c r="Q93" s="492"/>
      <c r="R93" s="492"/>
      <c r="S93" s="492"/>
      <c r="T93" s="492"/>
      <c r="U93" s="99">
        <f>IF(N1=75,0,T92+T91+T90)</f>
        <v>0</v>
      </c>
    </row>
    <row r="94" spans="1:21" ht="16.5" thickTop="1" x14ac:dyDescent="0.25">
      <c r="A94" s="540" t="s">
        <v>90</v>
      </c>
      <c r="B94" s="540"/>
      <c r="C94" s="540"/>
      <c r="D94" s="540"/>
      <c r="E94" s="540"/>
      <c r="F94" s="540"/>
      <c r="G94" s="540"/>
      <c r="H94" s="540"/>
      <c r="I94" s="540"/>
      <c r="N94" s="493" t="s">
        <v>90</v>
      </c>
      <c r="O94" s="493"/>
      <c r="P94" s="493"/>
      <c r="Q94" s="493"/>
      <c r="R94" s="493"/>
      <c r="S94" s="493"/>
      <c r="T94" s="493"/>
      <c r="U94" s="493"/>
    </row>
    <row r="95" spans="1:21" x14ac:dyDescent="0.25">
      <c r="A95" s="145"/>
      <c r="B95" s="145"/>
      <c r="C95" s="145"/>
      <c r="D95" s="145"/>
      <c r="E95" s="145"/>
      <c r="F95" s="145"/>
      <c r="G95" s="145"/>
      <c r="H95" s="145"/>
      <c r="I95" s="145"/>
      <c r="N95" s="146"/>
      <c r="O95" s="146"/>
      <c r="P95" s="146"/>
      <c r="Q95" s="146"/>
      <c r="R95" s="146"/>
      <c r="S95" s="146"/>
      <c r="T95" s="146"/>
      <c r="U95" s="146"/>
    </row>
    <row r="96" spans="1:21" x14ac:dyDescent="0.25">
      <c r="A96" s="84" t="s">
        <v>446</v>
      </c>
      <c r="C96" s="46"/>
      <c r="D96" s="72"/>
      <c r="E96" s="46" t="s">
        <v>100</v>
      </c>
      <c r="F96" s="471"/>
      <c r="G96" s="471"/>
      <c r="H96" s="471"/>
      <c r="I96" s="471"/>
      <c r="N96" s="478" t="s">
        <v>426</v>
      </c>
      <c r="O96" s="479"/>
      <c r="P96" s="479"/>
      <c r="Q96" s="494"/>
      <c r="R96" s="494"/>
      <c r="S96" s="494"/>
      <c r="T96" s="494"/>
      <c r="U96" s="106"/>
    </row>
    <row r="97" spans="1:21" x14ac:dyDescent="0.25">
      <c r="B97" s="72"/>
      <c r="C97" s="91" t="s">
        <v>409</v>
      </c>
      <c r="D97" s="371" t="s">
        <v>410</v>
      </c>
      <c r="E97" s="92" t="s">
        <v>151</v>
      </c>
      <c r="F97" s="46"/>
      <c r="G97" s="46"/>
      <c r="H97" s="46"/>
      <c r="I97" s="46"/>
      <c r="N97" s="48"/>
      <c r="O97" s="48"/>
      <c r="P97" s="48"/>
      <c r="Q97" s="147"/>
      <c r="R97" s="147"/>
      <c r="S97" s="147"/>
      <c r="T97" s="147"/>
      <c r="U97" s="106"/>
    </row>
    <row r="98" spans="1:21" x14ac:dyDescent="0.25">
      <c r="B98" s="72"/>
      <c r="C98" s="362" t="s">
        <v>2</v>
      </c>
      <c r="D98" s="362" t="s">
        <v>2</v>
      </c>
      <c r="E98" s="362" t="s">
        <v>2</v>
      </c>
      <c r="F98" s="46"/>
      <c r="G98" s="46"/>
      <c r="H98" s="46"/>
      <c r="I98" s="46"/>
      <c r="N98" s="48"/>
      <c r="O98" s="48"/>
      <c r="P98" s="48"/>
      <c r="Q98" s="147"/>
      <c r="R98" s="147"/>
      <c r="S98" s="147"/>
      <c r="T98" s="147"/>
      <c r="U98" s="106"/>
    </row>
    <row r="99" spans="1:21" x14ac:dyDescent="0.25">
      <c r="A99" s="536" t="s">
        <v>470</v>
      </c>
      <c r="B99" s="461"/>
      <c r="C99" s="165">
        <v>1</v>
      </c>
      <c r="D99" s="165">
        <v>0</v>
      </c>
      <c r="E99" s="166">
        <f>C99</f>
        <v>1</v>
      </c>
      <c r="F99" s="148" t="s">
        <v>39</v>
      </c>
      <c r="G99" s="339">
        <f>'0664'!G99</f>
        <v>558</v>
      </c>
      <c r="I99" s="104">
        <f>ROUND(G99*E99,2)</f>
        <v>558</v>
      </c>
      <c r="N99" s="488" t="s">
        <v>65</v>
      </c>
      <c r="O99" s="488"/>
      <c r="P99" s="489">
        <f>IF(H120=1,E99,0)</f>
        <v>0</v>
      </c>
      <c r="Q99" s="489"/>
      <c r="R99" s="489"/>
      <c r="S99" s="86" t="s">
        <v>39</v>
      </c>
      <c r="T99" s="61">
        <f>G99</f>
        <v>558</v>
      </c>
      <c r="U99" s="99">
        <f>ROUND(T99*P99,0)</f>
        <v>0</v>
      </c>
    </row>
    <row r="100" spans="1:21" x14ac:dyDescent="0.25">
      <c r="A100" s="536" t="s">
        <v>471</v>
      </c>
      <c r="B100" s="461"/>
      <c r="C100" s="165">
        <v>0</v>
      </c>
      <c r="D100" s="165">
        <v>0</v>
      </c>
      <c r="E100" s="166">
        <f>C100</f>
        <v>0</v>
      </c>
      <c r="F100" s="148" t="s">
        <v>39</v>
      </c>
      <c r="G100" s="339">
        <f>'0664'!G100</f>
        <v>1707</v>
      </c>
      <c r="I100" s="104">
        <f>ROUND(G100*E100,2)</f>
        <v>0</v>
      </c>
      <c r="N100" s="488" t="s">
        <v>81</v>
      </c>
      <c r="O100" s="488"/>
      <c r="P100" s="483"/>
      <c r="Q100" s="483"/>
      <c r="R100" s="483"/>
      <c r="S100" s="86" t="s">
        <v>39</v>
      </c>
      <c r="T100" s="61">
        <f>G100</f>
        <v>1707</v>
      </c>
      <c r="U100" s="99">
        <f>ROUND(T100*P100,0)</f>
        <v>0</v>
      </c>
    </row>
    <row r="101" spans="1:21" x14ac:dyDescent="0.25">
      <c r="A101" s="149"/>
      <c r="B101" s="149"/>
      <c r="C101" s="68"/>
      <c r="D101" s="68"/>
      <c r="E101" s="68"/>
      <c r="F101" s="68"/>
      <c r="G101" s="150"/>
      <c r="H101" s="151"/>
      <c r="I101" s="104"/>
      <c r="N101" s="152"/>
      <c r="O101" s="152"/>
      <c r="P101" s="153"/>
      <c r="Q101" s="153"/>
      <c r="R101" s="153"/>
      <c r="S101" s="86"/>
      <c r="T101" s="61"/>
      <c r="U101" s="106"/>
    </row>
    <row r="102" spans="1:21" x14ac:dyDescent="0.25">
      <c r="A102" s="149"/>
      <c r="B102" s="149"/>
      <c r="C102" s="68"/>
      <c r="D102" s="68"/>
      <c r="E102" s="68"/>
      <c r="F102" s="68"/>
      <c r="G102" s="150"/>
      <c r="H102" s="151"/>
      <c r="I102" s="104"/>
      <c r="N102" s="152"/>
      <c r="O102" s="152"/>
      <c r="P102" s="153"/>
      <c r="Q102" s="153"/>
      <c r="R102" s="153"/>
      <c r="S102" s="86"/>
      <c r="T102" s="61"/>
      <c r="U102" s="106"/>
    </row>
    <row r="103" spans="1:21" hidden="1" x14ac:dyDescent="0.25">
      <c r="A103" s="463" t="s">
        <v>447</v>
      </c>
      <c r="B103" s="453"/>
      <c r="C103" s="453"/>
      <c r="D103" s="72"/>
      <c r="E103" s="41" t="s">
        <v>41</v>
      </c>
      <c r="F103" s="466"/>
      <c r="G103" s="466"/>
      <c r="H103" s="466"/>
      <c r="I103" s="466"/>
      <c r="N103" s="478" t="s">
        <v>362</v>
      </c>
      <c r="O103" s="479"/>
      <c r="P103" s="479"/>
      <c r="Q103" s="479"/>
      <c r="R103" s="479"/>
      <c r="S103" s="479"/>
      <c r="T103" s="479"/>
      <c r="U103" s="479"/>
    </row>
    <row r="104" spans="1:21" hidden="1" x14ac:dyDescent="0.25">
      <c r="B104" s="72"/>
      <c r="C104" s="462" t="s">
        <v>91</v>
      </c>
      <c r="D104" s="462"/>
      <c r="E104" s="462"/>
      <c r="F104" s="39"/>
      <c r="G104" s="39"/>
      <c r="H104" s="41" t="s">
        <v>152</v>
      </c>
      <c r="I104" s="39"/>
      <c r="N104" s="48"/>
      <c r="O104" s="48"/>
      <c r="P104" s="48"/>
      <c r="Q104" s="48"/>
      <c r="R104" s="48"/>
      <c r="S104" s="48"/>
      <c r="T104" s="48"/>
      <c r="U104" s="48"/>
    </row>
    <row r="105" spans="1:21" hidden="1" x14ac:dyDescent="0.25">
      <c r="B105" s="72"/>
      <c r="C105" s="91" t="s">
        <v>371</v>
      </c>
      <c r="D105" s="91" t="s">
        <v>351</v>
      </c>
      <c r="E105" s="159" t="s">
        <v>8</v>
      </c>
      <c r="F105" s="464" t="s">
        <v>153</v>
      </c>
      <c r="G105" s="466"/>
      <c r="H105" s="39" t="s">
        <v>38</v>
      </c>
      <c r="I105" s="39"/>
      <c r="N105" s="48"/>
      <c r="O105" s="48"/>
      <c r="P105" s="48"/>
      <c r="Q105" s="48"/>
      <c r="R105" s="48"/>
      <c r="S105" s="48"/>
      <c r="T105" s="48"/>
      <c r="U105" s="48"/>
    </row>
    <row r="106" spans="1:21" hidden="1" x14ac:dyDescent="0.25">
      <c r="A106" s="462" t="s">
        <v>94</v>
      </c>
      <c r="B106" s="462"/>
      <c r="C106" s="93" t="s">
        <v>2</v>
      </c>
      <c r="D106" s="93" t="s">
        <v>2</v>
      </c>
      <c r="E106" s="62" t="s">
        <v>2</v>
      </c>
      <c r="F106" s="462" t="s">
        <v>37</v>
      </c>
      <c r="G106" s="462"/>
      <c r="H106" s="62" t="s">
        <v>37</v>
      </c>
      <c r="I106" s="62" t="s">
        <v>8</v>
      </c>
      <c r="N106" s="484" t="s">
        <v>66</v>
      </c>
      <c r="O106" s="484"/>
      <c r="P106" s="489" t="s">
        <v>91</v>
      </c>
      <c r="Q106" s="489"/>
      <c r="R106" s="484" t="s">
        <v>67</v>
      </c>
      <c r="S106" s="484"/>
      <c r="T106" s="63" t="s">
        <v>68</v>
      </c>
      <c r="U106" s="63" t="s">
        <v>8</v>
      </c>
    </row>
    <row r="107" spans="1:21" hidden="1" x14ac:dyDescent="0.25">
      <c r="A107" s="473" t="s">
        <v>69</v>
      </c>
      <c r="B107" s="473"/>
      <c r="C107" s="163">
        <v>0</v>
      </c>
      <c r="D107" s="163">
        <v>0</v>
      </c>
      <c r="E107" s="164">
        <f>IF(D$59=0,C107*2,C107+D107)</f>
        <v>0</v>
      </c>
      <c r="F107" s="543">
        <v>0</v>
      </c>
      <c r="G107" s="543"/>
      <c r="H107" s="64">
        <f>IF(C107=0,0,125)</f>
        <v>0</v>
      </c>
      <c r="I107" s="104">
        <f>ROUND((H107+F107)*E107,2)</f>
        <v>0</v>
      </c>
      <c r="N107" s="479" t="s">
        <v>69</v>
      </c>
      <c r="O107" s="479"/>
      <c r="P107" s="483">
        <f>IF(H$120=1,C107,0)</f>
        <v>0</v>
      </c>
      <c r="Q107" s="483"/>
      <c r="R107" s="486">
        <f>F107</f>
        <v>0</v>
      </c>
      <c r="S107" s="486"/>
      <c r="T107" s="65">
        <f>H107</f>
        <v>0</v>
      </c>
      <c r="U107" s="99">
        <f>ROUND((T107+R107)*P107,0)</f>
        <v>0</v>
      </c>
    </row>
    <row r="108" spans="1:21" hidden="1" x14ac:dyDescent="0.25">
      <c r="A108" s="456" t="s">
        <v>70</v>
      </c>
      <c r="B108" s="456"/>
      <c r="C108" s="165">
        <v>0</v>
      </c>
      <c r="D108" s="165">
        <v>0</v>
      </c>
      <c r="E108" s="166">
        <f>IF(D$59=0,C108*2,C108+D108)</f>
        <v>0</v>
      </c>
      <c r="F108" s="468">
        <f>ROUND(F107/2,2)</f>
        <v>0</v>
      </c>
      <c r="G108" s="468"/>
      <c r="H108" s="64">
        <f>IF(C108=0,0,62.5)</f>
        <v>0</v>
      </c>
      <c r="I108" s="104">
        <f>ROUND((H108+F108)*E108,2)</f>
        <v>0</v>
      </c>
      <c r="N108" s="479" t="s">
        <v>70</v>
      </c>
      <c r="O108" s="479"/>
      <c r="P108" s="483">
        <f>IF(H$120=1,C108,0)</f>
        <v>0</v>
      </c>
      <c r="Q108" s="483"/>
      <c r="R108" s="487">
        <f>ROUND(R107/2,2)</f>
        <v>0</v>
      </c>
      <c r="S108" s="487"/>
      <c r="T108" s="65">
        <f>H108</f>
        <v>0</v>
      </c>
      <c r="U108" s="99">
        <f>ROUND((T108+R108)*P108,0)</f>
        <v>0</v>
      </c>
    </row>
    <row r="109" spans="1:21" ht="16.5" hidden="1" thickBot="1" x14ac:dyDescent="0.3">
      <c r="A109" s="456" t="s">
        <v>71</v>
      </c>
      <c r="B109" s="456"/>
      <c r="C109" s="165">
        <v>0</v>
      </c>
      <c r="D109" s="165">
        <v>0</v>
      </c>
      <c r="E109" s="166">
        <f>IF(D$59=0,C109*2,C109+D109)</f>
        <v>0</v>
      </c>
      <c r="F109" s="475"/>
      <c r="G109" s="475"/>
      <c r="H109" s="66">
        <f>IF(H107&gt;0,436,0)</f>
        <v>0</v>
      </c>
      <c r="I109" s="104">
        <f>ROUND(H109*E109,2)</f>
        <v>0</v>
      </c>
      <c r="N109" s="482" t="s">
        <v>71</v>
      </c>
      <c r="O109" s="482"/>
      <c r="P109" s="483">
        <f>IF(H$120=1,C109,0)</f>
        <v>0</v>
      </c>
      <c r="Q109" s="483"/>
      <c r="R109" s="484"/>
      <c r="S109" s="484"/>
      <c r="T109" s="67">
        <f>H109</f>
        <v>0</v>
      </c>
      <c r="U109" s="106">
        <f>ROUND(T109*P109,0)</f>
        <v>0</v>
      </c>
    </row>
    <row r="110" spans="1:21" ht="16.5" hidden="1" thickBot="1" x14ac:dyDescent="0.3">
      <c r="A110" s="466" t="s">
        <v>8</v>
      </c>
      <c r="B110" s="466"/>
      <c r="C110" s="68"/>
      <c r="D110" s="68"/>
      <c r="E110" s="68"/>
      <c r="F110" s="68"/>
      <c r="G110" s="68"/>
      <c r="H110" s="68"/>
      <c r="I110" s="100">
        <f>SUM(I107:I109)</f>
        <v>0</v>
      </c>
      <c r="N110" s="485" t="s">
        <v>8</v>
      </c>
      <c r="O110" s="485"/>
      <c r="P110" s="69"/>
      <c r="Q110" s="69"/>
      <c r="R110" s="69"/>
      <c r="S110" s="69"/>
      <c r="T110" s="69"/>
      <c r="U110" s="70">
        <f>SUM(U107:U109)</f>
        <v>0</v>
      </c>
    </row>
    <row r="111" spans="1:21" hidden="1" x14ac:dyDescent="0.25">
      <c r="A111" s="39"/>
      <c r="B111" s="39"/>
      <c r="C111" s="68"/>
      <c r="D111" s="68"/>
      <c r="E111" s="68"/>
      <c r="F111" s="68"/>
      <c r="G111" s="68"/>
      <c r="H111" s="68"/>
      <c r="I111" s="104"/>
      <c r="N111" s="40"/>
      <c r="O111" s="40"/>
      <c r="P111" s="69"/>
      <c r="Q111" s="69"/>
      <c r="R111" s="69"/>
      <c r="S111" s="69"/>
      <c r="T111" s="69"/>
      <c r="U111" s="160"/>
    </row>
    <row r="112" spans="1:21" x14ac:dyDescent="0.25">
      <c r="A112" s="463" t="s">
        <v>448</v>
      </c>
      <c r="B112" s="453"/>
      <c r="C112" s="453"/>
      <c r="D112" s="72"/>
      <c r="E112" s="71" t="s">
        <v>354</v>
      </c>
      <c r="F112" s="472"/>
      <c r="G112" s="472"/>
      <c r="H112" s="472"/>
      <c r="I112" s="125">
        <v>0</v>
      </c>
      <c r="N112" s="478" t="s">
        <v>427</v>
      </c>
      <c r="O112" s="479"/>
      <c r="P112" s="479"/>
      <c r="Q112" s="341"/>
      <c r="R112" s="341"/>
      <c r="S112" s="341"/>
      <c r="T112" s="341"/>
      <c r="U112" s="99">
        <f>IF($H$120=1,I112,0)</f>
        <v>0</v>
      </c>
    </row>
    <row r="113" spans="1:21" x14ac:dyDescent="0.25">
      <c r="A113" s="463" t="s">
        <v>449</v>
      </c>
      <c r="B113" s="453"/>
      <c r="C113" s="453"/>
      <c r="D113" s="72"/>
      <c r="E113" s="71" t="s">
        <v>45</v>
      </c>
      <c r="F113" s="472"/>
      <c r="G113" s="472"/>
      <c r="H113" s="472"/>
      <c r="I113" s="177">
        <v>0</v>
      </c>
      <c r="N113" s="478" t="s">
        <v>428</v>
      </c>
      <c r="O113" s="479"/>
      <c r="P113" s="479"/>
      <c r="Q113" s="341"/>
      <c r="R113" s="341"/>
      <c r="S113" s="341"/>
      <c r="T113" s="341"/>
      <c r="U113" s="99">
        <f>IF($H$120=1,I113,0)</f>
        <v>0</v>
      </c>
    </row>
    <row r="114" spans="1:21" ht="16.5" thickBot="1" x14ac:dyDescent="0.3">
      <c r="B114" s="72"/>
      <c r="C114" s="72"/>
      <c r="D114" s="72"/>
      <c r="E114" s="71"/>
      <c r="F114" s="71"/>
      <c r="G114" s="71"/>
      <c r="H114" s="71"/>
      <c r="I114" s="125"/>
      <c r="N114" s="480" t="s">
        <v>42</v>
      </c>
      <c r="O114" s="480"/>
      <c r="P114" s="480"/>
      <c r="Q114" s="480"/>
      <c r="R114" s="480"/>
      <c r="S114" s="480"/>
      <c r="T114" s="480"/>
      <c r="U114" s="154">
        <f>SUM(U112,U110,U100,U99,U93,U77,U76,U74,U73,U72,U71,U70,U68,U59,U45,U78,U79,U80,U85,U113)</f>
        <v>0</v>
      </c>
    </row>
    <row r="115" spans="1:21" ht="16.5" thickTop="1" x14ac:dyDescent="0.25">
      <c r="A115" s="461" t="s">
        <v>8</v>
      </c>
      <c r="B115" s="461"/>
      <c r="C115" s="461"/>
      <c r="D115" s="461"/>
      <c r="E115" s="461"/>
      <c r="F115" s="461"/>
      <c r="G115" s="461"/>
      <c r="H115" s="461"/>
      <c r="I115" s="97">
        <f>SUM(I113,I112,I110,I100,I99,I93,I85,I84,I80,I79,I78,I77,I76,I74,I73,I72,I71,I70,I68,I59,I45)</f>
        <v>2263699.75</v>
      </c>
      <c r="N115" s="29"/>
      <c r="O115" s="29"/>
      <c r="P115" s="29"/>
      <c r="Q115" s="29"/>
      <c r="R115" s="29"/>
      <c r="S115" s="29"/>
      <c r="T115" s="29"/>
      <c r="U115" s="160"/>
    </row>
    <row r="116" spans="1:21" x14ac:dyDescent="0.25">
      <c r="A116" s="27"/>
      <c r="B116" s="27"/>
      <c r="C116" s="27"/>
      <c r="D116" s="27"/>
      <c r="E116" s="27"/>
      <c r="F116" s="27"/>
      <c r="G116" s="27"/>
      <c r="H116" s="27"/>
      <c r="I116" s="104"/>
      <c r="N116" s="29"/>
      <c r="O116" s="29"/>
      <c r="P116" s="29"/>
      <c r="Q116" s="29"/>
      <c r="R116" s="29"/>
      <c r="S116" s="29"/>
      <c r="T116" s="29"/>
      <c r="U116" s="160"/>
    </row>
    <row r="117" spans="1:21" x14ac:dyDescent="0.25">
      <c r="A117" s="432" t="s">
        <v>467</v>
      </c>
      <c r="B117" s="27"/>
      <c r="C117" s="27"/>
      <c r="D117" s="27"/>
      <c r="E117" s="27"/>
      <c r="F117" s="27"/>
      <c r="G117" s="27"/>
      <c r="H117" s="27"/>
      <c r="I117" s="104">
        <f>I115-I84</f>
        <v>2177947.71</v>
      </c>
      <c r="N117" s="29"/>
      <c r="O117" s="29"/>
      <c r="P117" s="29"/>
      <c r="Q117" s="29"/>
      <c r="R117" s="29"/>
      <c r="S117" s="29"/>
      <c r="T117" s="29"/>
      <c r="U117" s="160"/>
    </row>
    <row r="118" spans="1:21" x14ac:dyDescent="0.25">
      <c r="A118" s="27"/>
      <c r="B118" s="27"/>
      <c r="C118" s="27"/>
      <c r="D118" s="27"/>
      <c r="E118" s="27"/>
      <c r="F118" s="27"/>
      <c r="G118" s="27"/>
      <c r="H118" s="27"/>
      <c r="I118" s="104"/>
      <c r="N118" s="29"/>
      <c r="O118" s="29"/>
      <c r="P118" s="29"/>
      <c r="Q118" s="29"/>
      <c r="R118" s="29"/>
      <c r="S118" s="29"/>
      <c r="T118" s="29"/>
      <c r="U118" s="160"/>
    </row>
    <row r="119" spans="1:21" x14ac:dyDescent="0.25">
      <c r="A119" s="463" t="s">
        <v>468</v>
      </c>
      <c r="B119" s="453"/>
      <c r="C119" s="453"/>
      <c r="D119" s="453"/>
      <c r="E119" s="453"/>
      <c r="F119" s="453"/>
      <c r="G119" s="453"/>
      <c r="H119" s="84" t="s">
        <v>394</v>
      </c>
      <c r="I119" s="156"/>
      <c r="N119" s="481"/>
      <c r="O119" s="481"/>
      <c r="P119" s="481"/>
      <c r="Q119" s="481"/>
      <c r="R119" s="481"/>
      <c r="S119" s="481"/>
      <c r="T119" s="481"/>
      <c r="U119" s="481"/>
    </row>
    <row r="120" spans="1:21" x14ac:dyDescent="0.25">
      <c r="A120" s="453" t="s">
        <v>95</v>
      </c>
      <c r="B120" s="453"/>
      <c r="C120" s="453"/>
      <c r="D120" s="453"/>
      <c r="E120" s="453"/>
      <c r="F120" s="453"/>
      <c r="G120" s="453"/>
      <c r="H120" s="73" t="str">
        <f>IF(E29=0,"",IF((E14+E16+SUM(E18:E24))/E29&gt;0.75,1,""))</f>
        <v/>
      </c>
      <c r="I120" s="125">
        <f>U114</f>
        <v>0</v>
      </c>
      <c r="N120" s="476" t="s">
        <v>7</v>
      </c>
      <c r="O120" s="476"/>
      <c r="P120" s="476"/>
      <c r="Q120" s="476"/>
      <c r="R120" s="476"/>
      <c r="S120" s="476"/>
      <c r="T120" s="476"/>
      <c r="U120" s="476"/>
    </row>
    <row r="121" spans="1:21" x14ac:dyDescent="0.25">
      <c r="B121" s="72"/>
      <c r="C121" s="72"/>
      <c r="D121" s="72"/>
      <c r="E121" s="72"/>
      <c r="F121" s="72"/>
      <c r="G121" s="72"/>
      <c r="H121" s="68"/>
      <c r="I121" s="104"/>
      <c r="N121" s="74" t="s">
        <v>106</v>
      </c>
      <c r="O121" s="74"/>
      <c r="P121" s="74"/>
      <c r="Q121" s="74"/>
      <c r="R121" s="74"/>
      <c r="S121" s="74"/>
      <c r="T121" s="74"/>
      <c r="U121" s="74"/>
    </row>
    <row r="122" spans="1:21" x14ac:dyDescent="0.25">
      <c r="A122" s="3" t="s">
        <v>102</v>
      </c>
      <c r="B122" s="72"/>
      <c r="C122" s="72"/>
      <c r="D122" s="72"/>
      <c r="E122" s="72"/>
      <c r="F122" s="72"/>
      <c r="G122" s="286"/>
      <c r="H122" s="161">
        <f>IF(H120=1,I120,I117)</f>
        <v>2177947.71</v>
      </c>
      <c r="I122" s="97">
        <f>ROUND(IF(E29=0,0,IF(E29&gt;250,-(((250/E29)*H122)*IF(G122="H",0.02,0.05)),IF(G122="H",-0.02*H122,-0.05*H122))),2)</f>
        <v>-96553.93</v>
      </c>
      <c r="N122" s="75" t="s">
        <v>107</v>
      </c>
      <c r="O122" s="74"/>
      <c r="P122" s="74"/>
      <c r="Q122" s="74"/>
      <c r="R122" s="74"/>
      <c r="S122" s="74"/>
      <c r="T122" s="74"/>
      <c r="U122" s="74"/>
    </row>
    <row r="123" spans="1:21" x14ac:dyDescent="0.25">
      <c r="B123" s="72"/>
      <c r="C123" s="72"/>
      <c r="D123" s="72"/>
      <c r="E123" s="72"/>
      <c r="F123" s="72"/>
      <c r="G123" s="72"/>
      <c r="H123" s="68"/>
      <c r="I123" s="104"/>
      <c r="N123" s="76"/>
      <c r="O123" s="76"/>
      <c r="P123" s="76"/>
      <c r="Q123" s="76"/>
      <c r="R123" s="76"/>
      <c r="S123" s="76"/>
      <c r="T123" s="76"/>
      <c r="U123" s="76"/>
    </row>
    <row r="124" spans="1:21" x14ac:dyDescent="0.25">
      <c r="A124" s="345" t="s">
        <v>103</v>
      </c>
      <c r="B124" s="346"/>
      <c r="C124" s="346"/>
      <c r="D124" s="346"/>
      <c r="E124" s="346"/>
      <c r="F124" s="346"/>
      <c r="G124" s="346"/>
      <c r="H124" s="347"/>
      <c r="I124" s="348">
        <f>I115+I122</f>
        <v>2167145.8199999998</v>
      </c>
      <c r="N124" s="76"/>
      <c r="O124" s="76"/>
      <c r="P124" s="76"/>
      <c r="Q124" s="76"/>
      <c r="R124" s="76"/>
      <c r="S124" s="76"/>
      <c r="T124" s="76"/>
      <c r="U124" s="76"/>
    </row>
    <row r="125" spans="1:21" x14ac:dyDescent="0.25">
      <c r="B125" s="72"/>
      <c r="C125" s="72"/>
      <c r="D125" s="72"/>
      <c r="E125" s="72"/>
      <c r="F125" s="72"/>
      <c r="G125" s="72"/>
      <c r="H125" s="68"/>
      <c r="I125" s="104"/>
      <c r="N125" s="76"/>
      <c r="O125" s="76"/>
      <c r="P125" s="76"/>
      <c r="Q125" s="76"/>
      <c r="R125" s="76"/>
      <c r="S125" s="76"/>
      <c r="T125" s="76"/>
      <c r="U125" s="76"/>
    </row>
    <row r="126" spans="1:21" x14ac:dyDescent="0.25">
      <c r="A126" s="3" t="s">
        <v>104</v>
      </c>
      <c r="B126" s="72"/>
      <c r="C126" s="162"/>
      <c r="D126" s="72"/>
      <c r="F126" s="72"/>
      <c r="G126" s="72"/>
      <c r="H126" s="68"/>
      <c r="I126" s="302">
        <v>-1700459.88</v>
      </c>
      <c r="N126" s="76"/>
      <c r="O126" s="76"/>
      <c r="P126" s="76"/>
      <c r="Q126" s="76"/>
      <c r="R126" s="76"/>
      <c r="S126" s="76"/>
      <c r="T126" s="76"/>
      <c r="U126" s="76"/>
    </row>
    <row r="127" spans="1:21" x14ac:dyDescent="0.25">
      <c r="B127" s="72"/>
      <c r="C127" s="72"/>
      <c r="D127" s="72"/>
      <c r="E127" s="72"/>
      <c r="F127" s="72"/>
      <c r="G127" s="72"/>
      <c r="H127" s="68"/>
      <c r="I127" s="104"/>
      <c r="N127" s="76"/>
      <c r="O127" s="76"/>
      <c r="P127" s="76"/>
      <c r="Q127" s="76"/>
      <c r="R127" s="76"/>
      <c r="S127" s="76"/>
      <c r="T127" s="76"/>
      <c r="U127" s="76"/>
    </row>
    <row r="128" spans="1:21" x14ac:dyDescent="0.25">
      <c r="A128" s="84" t="s">
        <v>297</v>
      </c>
      <c r="B128" s="72"/>
      <c r="C128" s="72"/>
      <c r="D128" s="72"/>
      <c r="E128" s="72"/>
      <c r="F128" s="72"/>
      <c r="G128" s="72"/>
      <c r="H128" s="68"/>
      <c r="I128" s="104">
        <f>I124+I126</f>
        <v>466685.93999999994</v>
      </c>
      <c r="N128" s="76"/>
      <c r="O128" s="76"/>
      <c r="P128" s="76"/>
      <c r="Q128" s="76"/>
      <c r="R128" s="76"/>
      <c r="S128" s="76"/>
      <c r="T128" s="76"/>
      <c r="U128" s="76"/>
    </row>
    <row r="129" spans="1:21" x14ac:dyDescent="0.25">
      <c r="A129" s="84"/>
      <c r="B129" s="72"/>
      <c r="C129" s="72"/>
      <c r="D129" s="72"/>
      <c r="E129" s="72"/>
      <c r="F129" s="72"/>
      <c r="G129" s="72"/>
      <c r="H129" s="68"/>
      <c r="I129" s="104"/>
      <c r="N129" s="76"/>
      <c r="O129" s="76"/>
      <c r="P129" s="76"/>
      <c r="Q129" s="76"/>
      <c r="R129" s="76"/>
      <c r="S129" s="76"/>
      <c r="T129" s="76"/>
      <c r="U129" s="76"/>
    </row>
    <row r="130" spans="1:21" x14ac:dyDescent="0.25">
      <c r="A130" s="84" t="s">
        <v>298</v>
      </c>
      <c r="B130" s="72"/>
      <c r="C130" s="72"/>
      <c r="D130" s="72"/>
      <c r="E130" s="72"/>
      <c r="F130" s="72"/>
      <c r="G130" s="72"/>
      <c r="H130" s="68"/>
      <c r="I130" s="303">
        <f>'0664'!I130</f>
        <v>3</v>
      </c>
      <c r="N130" s="76"/>
      <c r="O130" s="76"/>
      <c r="P130" s="76"/>
      <c r="Q130" s="76"/>
      <c r="R130" s="76"/>
      <c r="S130" s="76"/>
      <c r="T130" s="76"/>
      <c r="U130" s="76"/>
    </row>
    <row r="131" spans="1:21" x14ac:dyDescent="0.25">
      <c r="B131" s="72"/>
      <c r="C131" s="72"/>
      <c r="D131" s="72"/>
      <c r="E131" s="72"/>
      <c r="F131" s="72"/>
      <c r="G131" s="72"/>
      <c r="H131" s="68"/>
      <c r="I131" s="104"/>
      <c r="N131" s="76"/>
      <c r="O131" s="76"/>
      <c r="P131" s="76"/>
      <c r="Q131" s="76"/>
      <c r="R131" s="76"/>
      <c r="S131" s="76"/>
      <c r="T131" s="76"/>
      <c r="U131" s="76"/>
    </row>
    <row r="132" spans="1:21" ht="16.5" thickBot="1" x14ac:dyDescent="0.3">
      <c r="A132" s="3" t="s">
        <v>105</v>
      </c>
      <c r="B132" s="72"/>
      <c r="C132" s="72"/>
      <c r="D132" s="72"/>
      <c r="E132" s="72"/>
      <c r="F132" s="72"/>
      <c r="G132" s="72"/>
      <c r="H132" s="68"/>
      <c r="I132" s="178">
        <f>ROUND(I128/I130,2)</f>
        <v>155561.98000000001</v>
      </c>
      <c r="N132" s="76"/>
      <c r="O132" s="76"/>
      <c r="P132" s="76"/>
      <c r="Q132" s="76"/>
      <c r="R132" s="76"/>
      <c r="S132" s="76"/>
      <c r="T132" s="76"/>
      <c r="U132" s="76"/>
    </row>
    <row r="133" spans="1:21" ht="16.5" thickTop="1" x14ac:dyDescent="0.25">
      <c r="B133" s="72"/>
      <c r="C133" s="72"/>
      <c r="D133" s="72"/>
      <c r="E133" s="72"/>
      <c r="F133" s="72"/>
      <c r="G133" s="72"/>
      <c r="H133" s="68"/>
      <c r="I133" s="104"/>
      <c r="N133" s="76"/>
      <c r="O133" s="76"/>
      <c r="P133" s="76"/>
      <c r="Q133" s="76"/>
      <c r="R133" s="76"/>
      <c r="S133" s="76"/>
      <c r="T133" s="76"/>
      <c r="U133" s="76"/>
    </row>
    <row r="134" spans="1:21" ht="16.5" thickBot="1" x14ac:dyDescent="0.3">
      <c r="A134" s="3" t="s">
        <v>121</v>
      </c>
      <c r="B134" s="72"/>
      <c r="C134" s="72"/>
      <c r="D134" s="72"/>
      <c r="E134" s="72"/>
      <c r="F134" s="72"/>
      <c r="G134" s="72"/>
      <c r="H134" s="68"/>
      <c r="I134" s="155">
        <f>ROUND(IF(G122="H",(H122*0.02)+I122,(H122*0.05)+I122),2)</f>
        <v>12343.46</v>
      </c>
      <c r="N134" s="76"/>
      <c r="O134" s="76"/>
      <c r="P134" s="76"/>
      <c r="Q134" s="76"/>
      <c r="R134" s="76"/>
      <c r="S134" s="76"/>
      <c r="T134" s="76"/>
      <c r="U134" s="76"/>
    </row>
    <row r="135" spans="1:21" ht="16.5" thickTop="1" x14ac:dyDescent="0.25">
      <c r="B135" s="72"/>
      <c r="C135" s="72"/>
      <c r="D135" s="72"/>
      <c r="E135" s="72"/>
      <c r="F135" s="72"/>
      <c r="G135" s="72"/>
      <c r="H135" s="68"/>
      <c r="I135" s="156"/>
      <c r="N135" s="76"/>
      <c r="O135" s="76"/>
      <c r="P135" s="76"/>
      <c r="Q135" s="76"/>
      <c r="R135" s="76"/>
      <c r="S135" s="76"/>
      <c r="T135" s="76"/>
      <c r="U135" s="76"/>
    </row>
    <row r="136" spans="1:21" x14ac:dyDescent="0.25">
      <c r="B136" s="72"/>
      <c r="C136" s="72"/>
      <c r="D136" s="72"/>
      <c r="E136" s="72"/>
      <c r="F136" s="72"/>
      <c r="G136" s="72"/>
      <c r="H136" s="68"/>
      <c r="I136" s="104"/>
      <c r="N136" s="76"/>
      <c r="O136" s="76"/>
      <c r="P136" s="76"/>
      <c r="Q136" s="76"/>
      <c r="R136" s="76"/>
      <c r="S136" s="76"/>
      <c r="T136" s="76"/>
      <c r="U136" s="76"/>
    </row>
    <row r="137" spans="1:21" x14ac:dyDescent="0.25">
      <c r="B137" s="72"/>
      <c r="C137" s="72"/>
      <c r="D137" s="72"/>
      <c r="E137" s="72"/>
      <c r="F137" s="72"/>
      <c r="G137" s="72"/>
      <c r="H137" s="68"/>
      <c r="I137" s="156"/>
      <c r="N137" s="76"/>
      <c r="O137" s="76"/>
      <c r="P137" s="76"/>
      <c r="Q137" s="76"/>
      <c r="R137" s="76"/>
      <c r="S137" s="76"/>
      <c r="T137" s="76"/>
      <c r="U137" s="76"/>
    </row>
    <row r="138" spans="1:21" x14ac:dyDescent="0.25">
      <c r="A138" s="281" t="s">
        <v>7</v>
      </c>
      <c r="B138" s="281"/>
      <c r="C138" s="281"/>
      <c r="D138" s="281"/>
      <c r="E138" s="281"/>
      <c r="F138" s="281"/>
      <c r="G138" s="281"/>
      <c r="H138" s="281"/>
      <c r="I138" s="281"/>
      <c r="J138" s="156"/>
      <c r="N138" s="76"/>
      <c r="O138" s="76"/>
      <c r="P138" s="76"/>
      <c r="Q138" s="76"/>
      <c r="R138" s="76"/>
      <c r="S138" s="76"/>
      <c r="T138" s="76"/>
      <c r="U138" s="76"/>
    </row>
    <row r="139" spans="1:21" ht="15.75" customHeight="1" x14ac:dyDescent="0.25">
      <c r="A139" s="356" t="str">
        <f>'0664'!A139</f>
        <v>(a) Additional FTE includes FTE earned through Advanced Placement, International Baccalaureate, Advanced International Certificate of Education, Industry Certified Career</v>
      </c>
      <c r="B139" s="357"/>
      <c r="C139" s="357"/>
      <c r="D139" s="357"/>
      <c r="E139" s="357"/>
      <c r="F139" s="357"/>
      <c r="G139" s="357"/>
      <c r="H139" s="357"/>
      <c r="I139" s="357"/>
      <c r="J139" s="80"/>
      <c r="K139" s="79"/>
      <c r="L139" s="79"/>
      <c r="M139" s="79"/>
      <c r="N139" s="477"/>
      <c r="O139" s="477"/>
      <c r="P139" s="477"/>
      <c r="Q139" s="477"/>
      <c r="R139" s="477"/>
      <c r="S139" s="477"/>
      <c r="T139" s="477"/>
      <c r="U139" s="477"/>
    </row>
    <row r="140" spans="1:21" ht="15.75" customHeight="1" x14ac:dyDescent="0.25">
      <c r="A140" s="390" t="str">
        <f>'0664'!A140</f>
        <v xml:space="preserve">Education (CAPE), Early High School Graduation and the small district ESE Supplement, pursuant to s. 1011.62(1)(l-p), F.S. </v>
      </c>
      <c r="B140" s="357"/>
      <c r="C140" s="357"/>
      <c r="D140" s="357"/>
      <c r="E140" s="357"/>
      <c r="F140" s="357"/>
      <c r="G140" s="357"/>
      <c r="H140" s="357"/>
      <c r="I140" s="357"/>
      <c r="J140" s="80"/>
      <c r="K140" s="79"/>
      <c r="L140" s="79"/>
      <c r="M140" s="79"/>
      <c r="N140" s="76"/>
      <c r="O140" s="76"/>
      <c r="P140" s="76"/>
      <c r="Q140" s="76"/>
      <c r="R140" s="76"/>
      <c r="S140" s="76"/>
      <c r="T140" s="76"/>
      <c r="U140" s="76"/>
    </row>
    <row r="141" spans="1:21" x14ac:dyDescent="0.25">
      <c r="A141" s="356" t="str">
        <f>'0664'!A141</f>
        <v>(b) District allocations multiplied by percentage from item 3A.</v>
      </c>
      <c r="B141" s="281"/>
      <c r="C141" s="281"/>
      <c r="D141" s="281"/>
      <c r="E141" s="281"/>
      <c r="F141" s="281"/>
      <c r="G141" s="281"/>
      <c r="H141" s="281"/>
      <c r="I141" s="281"/>
      <c r="J141" s="79"/>
      <c r="K141" s="79"/>
      <c r="L141" s="79"/>
      <c r="M141" s="79"/>
      <c r="N141" s="81"/>
      <c r="O141" s="82"/>
      <c r="P141" s="82"/>
      <c r="Q141" s="82"/>
      <c r="R141" s="82"/>
      <c r="S141" s="82"/>
      <c r="T141" s="82"/>
      <c r="U141" s="82"/>
    </row>
    <row r="142" spans="1:21" s="79" customFormat="1" x14ac:dyDescent="0.2">
      <c r="A142" s="356" t="str">
        <f>'0664'!A142</f>
        <v>(c) District allocations multiplied by percentage from item 3B.</v>
      </c>
      <c r="B142" s="281"/>
      <c r="C142" s="281"/>
      <c r="D142" s="281"/>
      <c r="E142" s="281"/>
      <c r="F142" s="281"/>
      <c r="G142" s="281"/>
      <c r="H142" s="281"/>
      <c r="I142" s="281"/>
      <c r="N142" s="81"/>
    </row>
    <row r="143" spans="1:21" s="79" customFormat="1" ht="15.75" customHeight="1" x14ac:dyDescent="0.2">
      <c r="A143" s="356" t="str">
        <f>'0664'!A143</f>
        <v>(d) The Digital Classroom Allocation is provided pursuant to s. 1011.62(12), F.S.</v>
      </c>
      <c r="B143" s="281"/>
      <c r="C143" s="281"/>
      <c r="D143" s="281"/>
      <c r="E143" s="281"/>
      <c r="F143" s="281"/>
      <c r="G143" s="281"/>
      <c r="H143" s="281"/>
      <c r="I143" s="281"/>
      <c r="N143" s="81"/>
    </row>
    <row r="144" spans="1:21" s="79" customFormat="1" ht="15.75" customHeight="1" x14ac:dyDescent="0.2">
      <c r="A144" s="356" t="str">
        <f>'0664'!A144</f>
        <v>(e) School districts are required to pay for instructional materials used for the instruction of public high school students who are earning credit toward high school</v>
      </c>
      <c r="B144" s="281"/>
      <c r="C144" s="281"/>
      <c r="D144" s="281"/>
      <c r="E144" s="281"/>
      <c r="F144" s="281"/>
      <c r="G144" s="281"/>
      <c r="H144" s="281"/>
      <c r="I144" s="281"/>
      <c r="N144" s="81"/>
    </row>
    <row r="145" spans="1:14" s="79" customFormat="1" ht="15.75" customHeight="1" x14ac:dyDescent="0.2">
      <c r="A145" s="390" t="str">
        <f>'0664'!A145</f>
        <v xml:space="preserve">graduation under the dual enrollment program as provided in s. 1011.62(l)(i), F.S.  </v>
      </c>
      <c r="B145" s="281"/>
      <c r="C145" s="281"/>
      <c r="D145" s="281"/>
      <c r="E145" s="281"/>
      <c r="F145" s="281"/>
      <c r="G145" s="281"/>
      <c r="H145" s="281"/>
      <c r="I145" s="281"/>
      <c r="N145" s="81"/>
    </row>
    <row r="146" spans="1:14" s="79" customFormat="1" x14ac:dyDescent="0.2">
      <c r="A146" s="356" t="str">
        <f>'0664'!A146</f>
        <v>(f) This allocation will be frozen as of the 2021-22 FEFP Second Calculation and will not be recalculated throughout the year. Charter school allocations should be</v>
      </c>
      <c r="B146" s="281"/>
      <c r="C146" s="281"/>
      <c r="D146" s="281"/>
      <c r="E146" s="281"/>
      <c r="F146" s="281"/>
      <c r="G146" s="281"/>
      <c r="H146" s="281"/>
      <c r="I146" s="281"/>
      <c r="N146" s="81"/>
    </row>
    <row r="147" spans="1:14" s="79" customFormat="1" x14ac:dyDescent="0.2">
      <c r="A147" s="358" t="str">
        <f>'0664'!A147</f>
        <v xml:space="preserve">distributed on weighted FTE (or base funding as is done in the FEFP) and should not be recalculated with fluctuations in student enrollment later in the year. </v>
      </c>
      <c r="B147" s="281"/>
      <c r="C147" s="281"/>
      <c r="D147" s="281"/>
      <c r="E147" s="281"/>
      <c r="F147" s="281"/>
      <c r="G147" s="281"/>
      <c r="H147" s="281"/>
      <c r="I147" s="281"/>
      <c r="N147" s="81"/>
    </row>
    <row r="148" spans="1:14" s="79" customFormat="1" x14ac:dyDescent="0.2">
      <c r="A148" s="356" t="str">
        <f>'0664'!A148</f>
        <v>(g) Numbers entered here will be multiplied by the district level transportation funding per rider. "All Adjusted Fundable Riders" should include both basic and ESE Riders.</v>
      </c>
      <c r="B148" s="281"/>
      <c r="C148" s="281"/>
      <c r="D148" s="281"/>
      <c r="E148" s="281"/>
      <c r="F148" s="281"/>
      <c r="G148" s="281"/>
      <c r="H148" s="281"/>
      <c r="I148" s="281"/>
      <c r="N148" s="81"/>
    </row>
    <row r="149" spans="1:14" s="79" customFormat="1" x14ac:dyDescent="0.2">
      <c r="A149" s="390" t="str">
        <f>'0664'!A149</f>
        <v>"All Adjusted ESE Riders" should include only ESE Riders.</v>
      </c>
      <c r="B149" s="281"/>
      <c r="C149" s="281"/>
      <c r="D149" s="281"/>
      <c r="E149" s="281"/>
      <c r="F149" s="281"/>
      <c r="G149" s="281"/>
      <c r="H149" s="281"/>
      <c r="I149" s="281"/>
      <c r="N149" s="81"/>
    </row>
    <row r="150" spans="1:14" s="79" customFormat="1" x14ac:dyDescent="0.2">
      <c r="A150" s="356" t="str">
        <f>'0664'!A150</f>
        <v xml:space="preserve">(h) The Federally Connected Student Supplement provides additional funding for students on federal lands that receive Section 8003 impact aide pursuant to s. 1011.62(13), F.S. </v>
      </c>
      <c r="B150" s="281"/>
      <c r="C150" s="281"/>
      <c r="D150" s="281"/>
      <c r="E150" s="281"/>
      <c r="F150" s="281"/>
      <c r="G150" s="281"/>
      <c r="H150" s="281"/>
      <c r="I150" s="281"/>
      <c r="N150" s="81"/>
    </row>
    <row r="151" spans="1:14" s="79" customFormat="1" x14ac:dyDescent="0.2">
      <c r="A151" s="356" t="str">
        <f>'0664'!A151</f>
        <v>(i) Teacher Classroom Supply Assistance Program allocation pursuant to s. 1012.71, F.S., for certified teachers employed by a public school district or public charter school</v>
      </c>
      <c r="B151" s="281"/>
      <c r="C151" s="281"/>
      <c r="D151" s="281"/>
      <c r="E151" s="281"/>
      <c r="F151" s="281"/>
      <c r="G151" s="281"/>
      <c r="H151" s="281"/>
      <c r="I151" s="281"/>
      <c r="N151" s="81"/>
    </row>
    <row r="152" spans="1:14" s="79" customFormat="1" x14ac:dyDescent="0.2">
      <c r="A152" s="358" t="str">
        <f>'0664'!A152</f>
        <v xml:space="preserve">before September 1 of each year whose full-time or job-share responsibility is the classroom instruction of students in prekindergarten through grade 12, including </v>
      </c>
      <c r="B152" s="281"/>
      <c r="C152" s="281"/>
      <c r="D152" s="281"/>
      <c r="E152" s="281"/>
      <c r="F152" s="281"/>
      <c r="G152" s="281"/>
      <c r="H152" s="281"/>
      <c r="I152" s="281"/>
      <c r="N152" s="81"/>
    </row>
    <row r="153" spans="1:14" s="79" customFormat="1" ht="15.75" customHeight="1" x14ac:dyDescent="0.2">
      <c r="A153" s="358" t="str">
        <f>'0664'!A153</f>
        <v>full-time media specialists and certified school counselors serving students in prekindergarten through grade 12, who are funded through the FEFP.</v>
      </c>
      <c r="B153" s="281"/>
      <c r="C153" s="281"/>
      <c r="D153" s="281"/>
      <c r="E153" s="281"/>
      <c r="F153" s="281"/>
      <c r="G153" s="281"/>
      <c r="H153" s="281"/>
      <c r="I153" s="281"/>
      <c r="N153" s="81"/>
    </row>
    <row r="154" spans="1:14" s="79" customFormat="1" ht="15.75" customHeight="1" x14ac:dyDescent="0.2">
      <c r="A154" s="356" t="str">
        <f>'0664'!A154</f>
        <v xml:space="preserve">(j) Funding based on student eligibility and meals provided, if participating in the National School Lunch Program. </v>
      </c>
      <c r="B154" s="328"/>
      <c r="C154" s="328"/>
      <c r="D154" s="328"/>
      <c r="E154" s="328"/>
      <c r="F154" s="328"/>
      <c r="G154" s="328"/>
      <c r="H154" s="328"/>
      <c r="I154" s="328"/>
      <c r="N154" s="81"/>
    </row>
    <row r="155" spans="1:14" s="79" customFormat="1" ht="15.75" customHeight="1" x14ac:dyDescent="0.2">
      <c r="A155" s="356" t="str">
        <f>'0664'!A155</f>
        <v>(k) Consistent with s. 1002.33(20)(a), F.S., for charter schools with a population of 75% or more ESE students, the administrative fee shall be calculated based on</v>
      </c>
      <c r="B155" s="381"/>
      <c r="C155" s="381"/>
      <c r="D155" s="381"/>
      <c r="E155" s="381"/>
      <c r="F155" s="381"/>
      <c r="G155" s="381"/>
      <c r="H155" s="381"/>
      <c r="I155" s="381"/>
      <c r="N155" s="81"/>
    </row>
    <row r="156" spans="1:14" s="79" customFormat="1" ht="15.75" customHeight="1" x14ac:dyDescent="0.2">
      <c r="A156" s="390" t="str">
        <f>'0664'!A156</f>
        <v xml:space="preserve">unweighted full-time equivalent students. </v>
      </c>
      <c r="B156" s="381"/>
      <c r="C156" s="381"/>
      <c r="D156" s="381"/>
      <c r="E156" s="381"/>
      <c r="F156" s="381"/>
      <c r="G156" s="381"/>
      <c r="H156" s="381"/>
      <c r="I156" s="381"/>
      <c r="N156" s="81"/>
    </row>
    <row r="157" spans="1:14" s="79" customFormat="1" ht="15.75" customHeight="1" x14ac:dyDescent="0.2">
      <c r="A157" s="356"/>
      <c r="B157" s="381"/>
      <c r="C157" s="381"/>
      <c r="D157" s="381"/>
      <c r="E157" s="381"/>
      <c r="F157" s="381"/>
      <c r="G157" s="381"/>
      <c r="H157" s="381"/>
      <c r="I157" s="381"/>
      <c r="N157" s="81"/>
    </row>
    <row r="158" spans="1:14" s="79" customFormat="1" ht="15.75" customHeight="1" x14ac:dyDescent="0.25">
      <c r="A158" s="398" t="str">
        <f>'0664'!A158</f>
        <v>Administrative fees:</v>
      </c>
      <c r="B158" s="328"/>
      <c r="C158" s="328"/>
      <c r="D158" s="328"/>
      <c r="E158" s="328"/>
      <c r="F158" s="328"/>
      <c r="G158" s="328"/>
      <c r="H158" s="328"/>
      <c r="I158" s="328"/>
      <c r="J158" s="3"/>
      <c r="K158" s="3"/>
      <c r="L158" s="3"/>
      <c r="M158" s="3"/>
      <c r="N158" s="81"/>
    </row>
    <row r="159" spans="1:14" s="79" customFormat="1" ht="15.75" customHeight="1" x14ac:dyDescent="0.25">
      <c r="A159" s="399" t="str">
        <f>'0664'!A159</f>
        <v xml:space="preserve">Administrative fees charged by the school district pursuant to s. 1002.33(20)(a), F.S., shall be calculated based upon 5% of available funds from the FEFP and categorical </v>
      </c>
      <c r="B159" s="328"/>
      <c r="C159" s="328"/>
      <c r="D159" s="328"/>
      <c r="E159" s="328"/>
      <c r="F159" s="328"/>
      <c r="G159" s="328"/>
      <c r="H159" s="328"/>
      <c r="I159" s="328"/>
      <c r="J159" s="3"/>
      <c r="K159" s="3"/>
      <c r="L159" s="3"/>
      <c r="M159" s="3"/>
      <c r="N159" s="81"/>
    </row>
    <row r="160" spans="1:14" s="79" customFormat="1" ht="15.75" customHeight="1" x14ac:dyDescent="0.25">
      <c r="A160" s="400" t="str">
        <f>'0664'!A160</f>
        <v>funding for which charter students may be eligible.  To calculate the administrative fee to be withheld for schools with more than 250 students, divide the school</v>
      </c>
      <c r="B160" s="328"/>
      <c r="C160" s="328"/>
      <c r="D160" s="328"/>
      <c r="E160" s="328"/>
      <c r="F160" s="328"/>
      <c r="G160" s="328"/>
      <c r="H160" s="328"/>
      <c r="I160" s="328"/>
      <c r="J160" s="3"/>
      <c r="K160" s="3"/>
      <c r="L160" s="3"/>
      <c r="M160" s="3"/>
      <c r="N160" s="81"/>
    </row>
    <row r="161" spans="1:21" s="79" customFormat="1" ht="15.75" customHeight="1" x14ac:dyDescent="0.25">
      <c r="A161" s="400" t="str">
        <f>'0664'!A161</f>
        <v xml:space="preserve">population into 250. Multiply that fraction times the funds available, then times 5%.  </v>
      </c>
      <c r="B161" s="328"/>
      <c r="C161" s="328"/>
      <c r="D161" s="328"/>
      <c r="E161" s="328"/>
      <c r="F161" s="328"/>
      <c r="G161" s="328"/>
      <c r="H161" s="328"/>
      <c r="I161" s="328"/>
      <c r="J161" s="3"/>
      <c r="K161" s="3"/>
      <c r="L161" s="3"/>
      <c r="M161" s="3"/>
      <c r="N161" s="81"/>
    </row>
    <row r="162" spans="1:21" s="79" customFormat="1" ht="15.75" customHeight="1" x14ac:dyDescent="0.25">
      <c r="A162" s="399"/>
      <c r="B162" s="394"/>
      <c r="C162" s="394"/>
      <c r="D162" s="394"/>
      <c r="E162" s="394"/>
      <c r="F162" s="394"/>
      <c r="G162" s="394"/>
      <c r="H162" s="394"/>
      <c r="I162" s="394"/>
      <c r="N162" s="77"/>
      <c r="O162" s="3"/>
      <c r="P162" s="3"/>
      <c r="Q162" s="3"/>
      <c r="R162" s="3"/>
      <c r="S162" s="3"/>
      <c r="T162" s="3"/>
      <c r="U162" s="3"/>
    </row>
    <row r="163" spans="1:21" ht="15.75" customHeight="1" x14ac:dyDescent="0.25">
      <c r="A163" s="399" t="str">
        <f>'0664'!A163</f>
        <v xml:space="preserve">For high performing charter schools, administrative fees charged by the school district shall be calculated based upon 2% of available funds from the FEFP and categorical </v>
      </c>
      <c r="B163" s="328"/>
      <c r="C163" s="328"/>
      <c r="D163" s="328"/>
      <c r="E163" s="328"/>
      <c r="F163" s="328"/>
      <c r="G163" s="328"/>
      <c r="H163" s="328"/>
      <c r="I163" s="328"/>
      <c r="J163" s="79"/>
      <c r="K163" s="79"/>
      <c r="L163" s="79"/>
      <c r="M163" s="79"/>
      <c r="N163" s="81"/>
      <c r="O163" s="79"/>
      <c r="P163" s="79"/>
      <c r="Q163" s="79"/>
      <c r="R163" s="79"/>
      <c r="S163" s="79"/>
      <c r="T163" s="79"/>
      <c r="U163" s="79"/>
    </row>
    <row r="164" spans="1:21" ht="15.75" customHeight="1" x14ac:dyDescent="0.25">
      <c r="A164" s="400" t="str">
        <f>'0664'!A164</f>
        <v>funding for which charter students may be eligible.  To calculate the administrative fee to be withheld for schools with more than 250 students, divide the school</v>
      </c>
      <c r="B164" s="381"/>
      <c r="C164" s="381"/>
      <c r="D164" s="381"/>
      <c r="E164" s="381"/>
      <c r="F164" s="381"/>
      <c r="G164" s="381"/>
      <c r="H164" s="381"/>
      <c r="I164" s="381"/>
      <c r="J164" s="79"/>
      <c r="K164" s="79"/>
      <c r="L164" s="79"/>
      <c r="M164" s="79"/>
      <c r="N164" s="81"/>
      <c r="O164" s="79"/>
      <c r="P164" s="79"/>
      <c r="Q164" s="79"/>
      <c r="R164" s="79"/>
      <c r="S164" s="79"/>
      <c r="T164" s="79"/>
      <c r="U164" s="79"/>
    </row>
    <row r="165" spans="1:21" s="79" customFormat="1" ht="15.75" customHeight="1" x14ac:dyDescent="0.2">
      <c r="A165" s="400" t="str">
        <f>'0664'!A165</f>
        <v xml:space="preserve">population into 250. Multiply that fraction times the funds available, then times 2%.  </v>
      </c>
      <c r="B165" s="328"/>
      <c r="C165" s="328"/>
      <c r="D165" s="328"/>
      <c r="E165" s="328"/>
      <c r="F165" s="328"/>
      <c r="G165" s="328"/>
      <c r="H165" s="328"/>
      <c r="I165" s="328"/>
      <c r="N165" s="81"/>
    </row>
    <row r="166" spans="1:21" x14ac:dyDescent="0.25">
      <c r="A166" s="356"/>
      <c r="N166" s="77"/>
    </row>
    <row r="167" spans="1:21" x14ac:dyDescent="0.25">
      <c r="A167" s="398" t="str">
        <f>'0664'!A167</f>
        <v>Other:</v>
      </c>
      <c r="N167" s="77"/>
    </row>
    <row r="168" spans="1:21" x14ac:dyDescent="0.25">
      <c r="A168" s="399" t="str">
        <f>'0664'!A168</f>
        <v>FEFP and categorical funding are recalculated during the year to reflect the revised number of full-time equivalent students reported during the survey periods designated</v>
      </c>
      <c r="N168" s="77"/>
    </row>
    <row r="169" spans="1:21" x14ac:dyDescent="0.25">
      <c r="A169" s="402" t="str">
        <f>'0664'!A169</f>
        <v>by the Commissioner of Education.</v>
      </c>
      <c r="N169" s="77"/>
    </row>
    <row r="170" spans="1:21" x14ac:dyDescent="0.25">
      <c r="A170" s="399" t="str">
        <f>'0664'!A170</f>
        <v>Revenues flow to districts from state sources and from county tax collectors on various distribution schedules.</v>
      </c>
      <c r="N170" s="77"/>
    </row>
    <row r="171" spans="1:21" x14ac:dyDescent="0.25">
      <c r="A171" s="77"/>
      <c r="N171" s="77"/>
    </row>
    <row r="172" spans="1:21" x14ac:dyDescent="0.25">
      <c r="A172" s="77"/>
      <c r="N172" s="77"/>
    </row>
    <row r="173" spans="1:21" x14ac:dyDescent="0.25">
      <c r="A173" s="77"/>
      <c r="N173" s="77"/>
    </row>
    <row r="174" spans="1:21" x14ac:dyDescent="0.25">
      <c r="A174" s="77"/>
      <c r="N174" s="77"/>
    </row>
    <row r="175" spans="1:21" x14ac:dyDescent="0.25">
      <c r="A175" s="77"/>
      <c r="N175" s="77"/>
    </row>
    <row r="176" spans="1:21" x14ac:dyDescent="0.25">
      <c r="A176" s="77"/>
      <c r="N176" s="77"/>
    </row>
    <row r="177" spans="1:14" x14ac:dyDescent="0.25">
      <c r="A177" s="77"/>
      <c r="N177" s="77"/>
    </row>
    <row r="178" spans="1:14" x14ac:dyDescent="0.25">
      <c r="A178" s="77"/>
      <c r="N178" s="77"/>
    </row>
    <row r="179" spans="1:14" x14ac:dyDescent="0.25">
      <c r="A179" s="77"/>
      <c r="N179" s="77"/>
    </row>
    <row r="180" spans="1:14" x14ac:dyDescent="0.25">
      <c r="A180" s="77"/>
      <c r="N180" s="77"/>
    </row>
    <row r="181" spans="1:14" x14ac:dyDescent="0.25">
      <c r="A181" s="77"/>
      <c r="N181" s="77"/>
    </row>
    <row r="182" spans="1:14" x14ac:dyDescent="0.25">
      <c r="A182" s="77"/>
      <c r="N182" s="77"/>
    </row>
    <row r="183" spans="1:14" x14ac:dyDescent="0.25">
      <c r="A183" s="77"/>
      <c r="N183" s="77"/>
    </row>
    <row r="184" spans="1:14" x14ac:dyDescent="0.25">
      <c r="A184" s="77"/>
      <c r="N184" s="77"/>
    </row>
    <row r="185" spans="1:14" x14ac:dyDescent="0.25">
      <c r="A185" s="77"/>
      <c r="N185" s="77"/>
    </row>
    <row r="186" spans="1:14" x14ac:dyDescent="0.25">
      <c r="A186" s="77"/>
      <c r="N186" s="77"/>
    </row>
    <row r="187" spans="1:14" x14ac:dyDescent="0.25">
      <c r="A187" s="77"/>
      <c r="N187" s="77"/>
    </row>
    <row r="188" spans="1:14" x14ac:dyDescent="0.25">
      <c r="A188" s="77"/>
    </row>
    <row r="189" spans="1:14" x14ac:dyDescent="0.25">
      <c r="A189" s="77"/>
    </row>
    <row r="190" spans="1:14" x14ac:dyDescent="0.25">
      <c r="A190" s="77"/>
    </row>
    <row r="191" spans="1:14" x14ac:dyDescent="0.25">
      <c r="A191" s="77"/>
    </row>
    <row r="192" spans="1:14" x14ac:dyDescent="0.25">
      <c r="A192" s="77"/>
    </row>
    <row r="193" spans="1:1" x14ac:dyDescent="0.25">
      <c r="A193" s="77"/>
    </row>
    <row r="194" spans="1:1" x14ac:dyDescent="0.25">
      <c r="A194" s="77"/>
    </row>
    <row r="195" spans="1:1" x14ac:dyDescent="0.25">
      <c r="A195" s="77"/>
    </row>
    <row r="196" spans="1:1" x14ac:dyDescent="0.25">
      <c r="A196" s="77"/>
    </row>
    <row r="197" spans="1:1" x14ac:dyDescent="0.25">
      <c r="A197" s="77"/>
    </row>
    <row r="198" spans="1:1" x14ac:dyDescent="0.25">
      <c r="A198" s="77"/>
    </row>
    <row r="199" spans="1:1" x14ac:dyDescent="0.25">
      <c r="A199" s="77"/>
    </row>
    <row r="200" spans="1:1" x14ac:dyDescent="0.25">
      <c r="A200" s="77"/>
    </row>
    <row r="201" spans="1:1" x14ac:dyDescent="0.25">
      <c r="A201" s="77"/>
    </row>
    <row r="202" spans="1:1" x14ac:dyDescent="0.25">
      <c r="A202" s="77"/>
    </row>
    <row r="203" spans="1:1" x14ac:dyDescent="0.25">
      <c r="A203" s="77"/>
    </row>
    <row r="204" spans="1:1" x14ac:dyDescent="0.25">
      <c r="A204" s="77"/>
    </row>
    <row r="205" spans="1:1" x14ac:dyDescent="0.25">
      <c r="A205" s="77"/>
    </row>
    <row r="206" spans="1:1" x14ac:dyDescent="0.25">
      <c r="A206" s="77"/>
    </row>
  </sheetData>
  <mergeCells count="266">
    <mergeCell ref="A112:C112"/>
    <mergeCell ref="F112:H112"/>
    <mergeCell ref="N112:P112"/>
    <mergeCell ref="A109:B109"/>
    <mergeCell ref="F109:G109"/>
    <mergeCell ref="N109:O109"/>
    <mergeCell ref="P109:Q109"/>
    <mergeCell ref="N139:U139"/>
    <mergeCell ref="N119:U119"/>
    <mergeCell ref="N113:P113"/>
    <mergeCell ref="A113:C113"/>
    <mergeCell ref="F113:H113"/>
    <mergeCell ref="N114:T114"/>
    <mergeCell ref="A115:H115"/>
    <mergeCell ref="A119:G119"/>
    <mergeCell ref="N120:U120"/>
    <mergeCell ref="A120:G120"/>
    <mergeCell ref="R109:S109"/>
    <mergeCell ref="A110:B110"/>
    <mergeCell ref="N110:O110"/>
    <mergeCell ref="A107:B107"/>
    <mergeCell ref="F107:G107"/>
    <mergeCell ref="N107:O107"/>
    <mergeCell ref="P107:Q107"/>
    <mergeCell ref="R107:S107"/>
    <mergeCell ref="A108:B108"/>
    <mergeCell ref="F108:G108"/>
    <mergeCell ref="N108:O108"/>
    <mergeCell ref="P108:Q108"/>
    <mergeCell ref="R108:S108"/>
    <mergeCell ref="A103:C103"/>
    <mergeCell ref="F103:I103"/>
    <mergeCell ref="N103:U103"/>
    <mergeCell ref="C104:E104"/>
    <mergeCell ref="F105:G105"/>
    <mergeCell ref="A106:B106"/>
    <mergeCell ref="F106:G106"/>
    <mergeCell ref="N106:O106"/>
    <mergeCell ref="P106:Q106"/>
    <mergeCell ref="R106:S106"/>
    <mergeCell ref="A99:B99"/>
    <mergeCell ref="N99:O99"/>
    <mergeCell ref="P99:R99"/>
    <mergeCell ref="A100:B100"/>
    <mergeCell ref="N100:O100"/>
    <mergeCell ref="P100:R100"/>
    <mergeCell ref="C91:D91"/>
    <mergeCell ref="P91:Q91"/>
    <mergeCell ref="C92:D92"/>
    <mergeCell ref="P92:Q92"/>
    <mergeCell ref="C93:D93"/>
    <mergeCell ref="P93:T93"/>
    <mergeCell ref="A94:I94"/>
    <mergeCell ref="N94:U94"/>
    <mergeCell ref="F96:I96"/>
    <mergeCell ref="N96:P96"/>
    <mergeCell ref="Q96:T96"/>
    <mergeCell ref="A87:I87"/>
    <mergeCell ref="N87:U87"/>
    <mergeCell ref="C88:D88"/>
    <mergeCell ref="C89:D89"/>
    <mergeCell ref="N89:O89"/>
    <mergeCell ref="P89:Q89"/>
    <mergeCell ref="R89:U89"/>
    <mergeCell ref="C90:D90"/>
    <mergeCell ref="P90:Q90"/>
    <mergeCell ref="A80:C80"/>
    <mergeCell ref="N80:P80"/>
    <mergeCell ref="A85:C85"/>
    <mergeCell ref="N85:P85"/>
    <mergeCell ref="F73:H73"/>
    <mergeCell ref="N73:T73"/>
    <mergeCell ref="N74:T74"/>
    <mergeCell ref="A78:C78"/>
    <mergeCell ref="N78:P78"/>
    <mergeCell ref="A79:C79"/>
    <mergeCell ref="A69:C69"/>
    <mergeCell ref="N69:P69"/>
    <mergeCell ref="N79:P79"/>
    <mergeCell ref="A76:C76"/>
    <mergeCell ref="N76:P76"/>
    <mergeCell ref="A77:C77"/>
    <mergeCell ref="A70:C70"/>
    <mergeCell ref="A71:C71"/>
    <mergeCell ref="N71:P71"/>
    <mergeCell ref="A72:C72"/>
    <mergeCell ref="N77:P77"/>
    <mergeCell ref="N72:P72"/>
    <mergeCell ref="A65:B65"/>
    <mergeCell ref="D65:G65"/>
    <mergeCell ref="N65:O65"/>
    <mergeCell ref="Q65:S65"/>
    <mergeCell ref="T65:U65"/>
    <mergeCell ref="N66:S66"/>
    <mergeCell ref="T66:U66"/>
    <mergeCell ref="A68:C68"/>
    <mergeCell ref="N68:P68"/>
    <mergeCell ref="A62:B62"/>
    <mergeCell ref="D62:G62"/>
    <mergeCell ref="N62:O62"/>
    <mergeCell ref="Q62:S62"/>
    <mergeCell ref="T62:U62"/>
    <mergeCell ref="N63:S63"/>
    <mergeCell ref="T63:U63"/>
    <mergeCell ref="A64:I64"/>
    <mergeCell ref="N64:U64"/>
    <mergeCell ref="R59:T59"/>
    <mergeCell ref="A50:B58"/>
    <mergeCell ref="N50:O58"/>
    <mergeCell ref="P50:Q50"/>
    <mergeCell ref="P51:Q51"/>
    <mergeCell ref="A60:I60"/>
    <mergeCell ref="N60:U60"/>
    <mergeCell ref="A61:I61"/>
    <mergeCell ref="N61:U61"/>
    <mergeCell ref="P52:Q52"/>
    <mergeCell ref="P53:Q53"/>
    <mergeCell ref="P54:Q54"/>
    <mergeCell ref="P55:Q55"/>
    <mergeCell ref="P56:Q56"/>
    <mergeCell ref="P57:Q57"/>
    <mergeCell ref="P58:Q58"/>
    <mergeCell ref="A59:B59"/>
    <mergeCell ref="F59:H59"/>
    <mergeCell ref="N59:O59"/>
    <mergeCell ref="P59:Q59"/>
    <mergeCell ref="A42:B42"/>
    <mergeCell ref="N42:O42"/>
    <mergeCell ref="P42:T42"/>
    <mergeCell ref="N43:Q43"/>
    <mergeCell ref="S43:T43"/>
    <mergeCell ref="N45:Q45"/>
    <mergeCell ref="S45:T45"/>
    <mergeCell ref="N49:O49"/>
    <mergeCell ref="P49:Q49"/>
    <mergeCell ref="A39:B39"/>
    <mergeCell ref="N39:O39"/>
    <mergeCell ref="P39:T39"/>
    <mergeCell ref="A40:B40"/>
    <mergeCell ref="N40:O40"/>
    <mergeCell ref="P40:T40"/>
    <mergeCell ref="A41:B41"/>
    <mergeCell ref="N41:O41"/>
    <mergeCell ref="P41:T41"/>
    <mergeCell ref="F33:H36"/>
    <mergeCell ref="N34:T34"/>
    <mergeCell ref="A36:B36"/>
    <mergeCell ref="N36:O36"/>
    <mergeCell ref="P36:T36"/>
    <mergeCell ref="A37:B37"/>
    <mergeCell ref="N37:O37"/>
    <mergeCell ref="P37:T37"/>
    <mergeCell ref="A38:B38"/>
    <mergeCell ref="N38:O38"/>
    <mergeCell ref="P38:T38"/>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5:B25"/>
    <mergeCell ref="A27:B27"/>
    <mergeCell ref="F27:G27"/>
    <mergeCell ref="N27:O27"/>
    <mergeCell ref="P27:Q27"/>
    <mergeCell ref="R27:S27"/>
    <mergeCell ref="A24:B24"/>
    <mergeCell ref="F24:G24"/>
    <mergeCell ref="N24:O24"/>
    <mergeCell ref="P24:Q24"/>
    <mergeCell ref="R24:S24"/>
    <mergeCell ref="A23:B23"/>
    <mergeCell ref="F23:G23"/>
    <mergeCell ref="F25:G25"/>
    <mergeCell ref="N25:O25"/>
    <mergeCell ref="P25:Q25"/>
    <mergeCell ref="R25:S25"/>
    <mergeCell ref="A22:B22"/>
    <mergeCell ref="F22:G22"/>
    <mergeCell ref="N22:O22"/>
    <mergeCell ref="P22:Q22"/>
    <mergeCell ref="R22:S22"/>
    <mergeCell ref="A21:B21"/>
    <mergeCell ref="F21:G21"/>
    <mergeCell ref="N23:O23"/>
    <mergeCell ref="P23:Q23"/>
    <mergeCell ref="R23:S23"/>
    <mergeCell ref="A20:B20"/>
    <mergeCell ref="F20:G20"/>
    <mergeCell ref="N20:O20"/>
    <mergeCell ref="P20:Q20"/>
    <mergeCell ref="R20:S20"/>
    <mergeCell ref="A19:B19"/>
    <mergeCell ref="F19:G19"/>
    <mergeCell ref="N21:O21"/>
    <mergeCell ref="P21:Q21"/>
    <mergeCell ref="R21:S21"/>
    <mergeCell ref="A18:B18"/>
    <mergeCell ref="F18:G18"/>
    <mergeCell ref="N18:O18"/>
    <mergeCell ref="P18:Q18"/>
    <mergeCell ref="R18:S18"/>
    <mergeCell ref="A17:B17"/>
    <mergeCell ref="F17:G17"/>
    <mergeCell ref="N19:O19"/>
    <mergeCell ref="P19:Q19"/>
    <mergeCell ref="R19:S19"/>
    <mergeCell ref="A16:B16"/>
    <mergeCell ref="F16:G16"/>
    <mergeCell ref="N16:O16"/>
    <mergeCell ref="P16:Q16"/>
    <mergeCell ref="R16:S16"/>
    <mergeCell ref="A15:B15"/>
    <mergeCell ref="F15:G15"/>
    <mergeCell ref="N17:O17"/>
    <mergeCell ref="P17:Q17"/>
    <mergeCell ref="R17:S17"/>
    <mergeCell ref="A14:B14"/>
    <mergeCell ref="F14:G14"/>
    <mergeCell ref="N14:O14"/>
    <mergeCell ref="P14:Q14"/>
    <mergeCell ref="R14:S14"/>
    <mergeCell ref="A13:B13"/>
    <mergeCell ref="F13:G13"/>
    <mergeCell ref="N15:O15"/>
    <mergeCell ref="P15:Q15"/>
    <mergeCell ref="R15:S15"/>
    <mergeCell ref="A12:B12"/>
    <mergeCell ref="F12:G12"/>
    <mergeCell ref="N12:O12"/>
    <mergeCell ref="P12:Q12"/>
    <mergeCell ref="R12:S12"/>
    <mergeCell ref="A11:B11"/>
    <mergeCell ref="F11:G11"/>
    <mergeCell ref="N13:O13"/>
    <mergeCell ref="P13:Q13"/>
    <mergeCell ref="R13:S13"/>
    <mergeCell ref="N8:O8"/>
    <mergeCell ref="P8:Q8"/>
    <mergeCell ref="R8:S8"/>
    <mergeCell ref="T8:U8"/>
    <mergeCell ref="F10:G10"/>
    <mergeCell ref="R10:S10"/>
    <mergeCell ref="A7:I7"/>
    <mergeCell ref="N11:O11"/>
    <mergeCell ref="P11:Q11"/>
    <mergeCell ref="R11:S11"/>
    <mergeCell ref="O1:U1"/>
    <mergeCell ref="N2:U2"/>
    <mergeCell ref="N3:U3"/>
    <mergeCell ref="A4:B4"/>
    <mergeCell ref="C4:E4"/>
    <mergeCell ref="N4:O4"/>
    <mergeCell ref="P4:Q4"/>
    <mergeCell ref="B1:I1"/>
    <mergeCell ref="N7:U7"/>
  </mergeCells>
  <pageMargins left="0.1" right="0.1" top="0.5" bottom="0.5" header="0" footer="0.1"/>
  <pageSetup scale="70" fitToHeight="3" orientation="portrait" r:id="rId1"/>
  <headerFooter alignWithMargins="0">
    <oddFooter>&amp;R&amp;P of &amp;N</oddFooter>
  </headerFooter>
  <rowBreaks count="1" manualBreakCount="1">
    <brk id="138" max="16383" man="1"/>
  </rowBreaks>
  <colBreaks count="1" manualBreakCount="1">
    <brk id="9" max="1048575" man="1"/>
  </colBreaks>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5">
    <tabColor rgb="FFCCFFCC"/>
  </sheetPr>
  <dimension ref="A1:U206"/>
  <sheetViews>
    <sheetView showGridLines="0" zoomScaleNormal="100" workbookViewId="0">
      <pane ySplit="1" topLeftCell="A11" activePane="bottomLeft" state="frozen"/>
      <selection activeCell="I9" sqref="I9"/>
      <selection pane="bottomLeft" activeCell="D50" sqref="D50:D57"/>
    </sheetView>
  </sheetViews>
  <sheetFormatPr defaultRowHeight="15.75" x14ac:dyDescent="0.25"/>
  <cols>
    <col min="1" max="1" width="10.28515625" style="72"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72"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5">
        <v>50</v>
      </c>
      <c r="B1" s="441" t="s">
        <v>17</v>
      </c>
      <c r="C1" s="442"/>
      <c r="D1" s="442"/>
      <c r="E1" s="442"/>
      <c r="F1" s="442"/>
      <c r="G1" s="442"/>
      <c r="H1" s="442"/>
      <c r="I1" s="442"/>
      <c r="J1" s="157"/>
      <c r="K1" s="157"/>
      <c r="L1" s="157"/>
      <c r="N1" s="85">
        <f>A1</f>
        <v>50</v>
      </c>
      <c r="O1" s="527" t="s">
        <v>17</v>
      </c>
      <c r="P1" s="528"/>
      <c r="Q1" s="528"/>
      <c r="R1" s="528"/>
      <c r="S1" s="528"/>
      <c r="T1" s="528"/>
      <c r="U1" s="528"/>
    </row>
    <row r="2" spans="1:21" ht="21" x14ac:dyDescent="0.35">
      <c r="A2" s="1" t="s">
        <v>285</v>
      </c>
      <c r="B2" s="2"/>
      <c r="C2" s="2"/>
      <c r="D2" s="2"/>
      <c r="E2" s="2"/>
      <c r="F2" s="2"/>
      <c r="G2" s="2"/>
      <c r="H2" s="2"/>
      <c r="I2" s="2"/>
      <c r="N2" s="529" t="s">
        <v>23</v>
      </c>
      <c r="O2" s="529"/>
      <c r="P2" s="529"/>
      <c r="Q2" s="529"/>
      <c r="R2" s="529"/>
      <c r="S2" s="529"/>
      <c r="T2" s="529"/>
      <c r="U2" s="529"/>
    </row>
    <row r="3" spans="1:21" x14ac:dyDescent="0.25">
      <c r="A3" s="84" t="str">
        <f>'0664'!A3</f>
        <v>Based on the FLDOE 2022-23 FEFP Third Calculation</v>
      </c>
      <c r="N3" s="485" t="str">
        <f>A3</f>
        <v>Based on the FLDOE 2022-23 FEFP Third Calculation</v>
      </c>
      <c r="O3" s="485"/>
      <c r="P3" s="485"/>
      <c r="Q3" s="485"/>
      <c r="R3" s="485"/>
      <c r="S3" s="485"/>
      <c r="T3" s="485"/>
      <c r="U3" s="485"/>
    </row>
    <row r="4" spans="1:21" x14ac:dyDescent="0.25">
      <c r="A4" s="443" t="s">
        <v>0</v>
      </c>
      <c r="B4" s="443"/>
      <c r="C4" s="444" t="s">
        <v>9</v>
      </c>
      <c r="D4" s="444"/>
      <c r="E4" s="444"/>
      <c r="F4" s="4" t="str">
        <f>'0664'!F4</f>
        <v>Apr 2023</v>
      </c>
      <c r="G4" s="4"/>
      <c r="H4" s="4"/>
      <c r="I4" s="4"/>
      <c r="N4" s="530" t="s">
        <v>0</v>
      </c>
      <c r="O4" s="530"/>
      <c r="P4" s="531" t="str">
        <f>C4</f>
        <v>Palm Beach</v>
      </c>
      <c r="Q4" s="531"/>
      <c r="R4" s="5"/>
      <c r="S4" s="5"/>
      <c r="T4" s="5"/>
      <c r="U4" s="5"/>
    </row>
    <row r="5" spans="1:21" ht="12" customHeight="1" thickBot="1" x14ac:dyDescent="0.3">
      <c r="A5" s="262"/>
      <c r="B5" s="262"/>
      <c r="C5" s="253"/>
      <c r="D5" s="253"/>
      <c r="E5" s="253"/>
      <c r="F5" s="254"/>
      <c r="G5" s="254"/>
      <c r="H5" s="254"/>
      <c r="I5" s="254"/>
      <c r="N5" s="86"/>
      <c r="O5" s="86"/>
      <c r="P5" s="6"/>
      <c r="Q5" s="6"/>
      <c r="R5" s="5"/>
      <c r="S5" s="5"/>
      <c r="T5" s="5"/>
      <c r="U5" s="5"/>
    </row>
    <row r="6" spans="1:21" ht="12" customHeight="1" x14ac:dyDescent="0.25">
      <c r="A6" s="150"/>
      <c r="B6" s="150"/>
      <c r="C6" s="261"/>
      <c r="D6" s="261"/>
      <c r="E6" s="261"/>
      <c r="F6" s="4"/>
      <c r="G6" s="4"/>
      <c r="H6" s="4"/>
      <c r="I6" s="4"/>
      <c r="N6" s="86"/>
      <c r="O6" s="86"/>
      <c r="P6" s="6"/>
      <c r="Q6" s="6"/>
      <c r="R6" s="5"/>
      <c r="S6" s="5"/>
      <c r="T6" s="5"/>
      <c r="U6" s="5"/>
    </row>
    <row r="7" spans="1:21" x14ac:dyDescent="0.25">
      <c r="A7" s="445" t="str">
        <f>'0664'!A7:I7</f>
        <v>1.   2022-23 FEFP State and Local Funding</v>
      </c>
      <c r="B7" s="533"/>
      <c r="C7" s="533"/>
      <c r="D7" s="533"/>
      <c r="E7" s="533"/>
      <c r="F7" s="533"/>
      <c r="G7" s="533"/>
      <c r="H7" s="533"/>
      <c r="I7" s="533"/>
      <c r="N7" s="530" t="s">
        <v>86</v>
      </c>
      <c r="O7" s="530"/>
      <c r="P7" s="530"/>
      <c r="Q7" s="530"/>
      <c r="R7" s="530"/>
      <c r="S7" s="530"/>
      <c r="T7" s="530"/>
      <c r="U7" s="530"/>
    </row>
    <row r="8" spans="1:21" x14ac:dyDescent="0.25">
      <c r="A8" s="87"/>
      <c r="B8" s="88" t="s">
        <v>123</v>
      </c>
      <c r="C8" s="334">
        <f>'0664'!C8</f>
        <v>4587.3999999999996</v>
      </c>
      <c r="D8" s="89"/>
      <c r="E8" s="90"/>
      <c r="F8" s="87"/>
      <c r="G8" s="88" t="s">
        <v>122</v>
      </c>
      <c r="H8" s="320">
        <f>'0664'!H8</f>
        <v>1.0438000000000001</v>
      </c>
      <c r="I8" s="78"/>
      <c r="N8" s="534" t="s">
        <v>10</v>
      </c>
      <c r="O8" s="534"/>
      <c r="P8" s="535">
        <v>4154.45</v>
      </c>
      <c r="Q8" s="535"/>
      <c r="R8" s="518" t="s">
        <v>11</v>
      </c>
      <c r="S8" s="518"/>
      <c r="T8" s="519">
        <f>H8</f>
        <v>1.0438000000000001</v>
      </c>
      <c r="U8" s="519"/>
    </row>
    <row r="9" spans="1:21" x14ac:dyDescent="0.25">
      <c r="A9" s="7"/>
      <c r="B9" s="44" t="s">
        <v>370</v>
      </c>
      <c r="C9" s="372" t="s">
        <v>370</v>
      </c>
      <c r="D9" s="372" t="s">
        <v>370</v>
      </c>
      <c r="E9" s="8"/>
      <c r="F9" s="9"/>
      <c r="G9" s="9"/>
      <c r="H9" s="10"/>
      <c r="I9" s="340" t="str">
        <f>'0664'!I9</f>
        <v>2022-23</v>
      </c>
      <c r="N9" s="12"/>
      <c r="O9" s="12"/>
      <c r="P9" s="13"/>
      <c r="Q9" s="13"/>
      <c r="R9" s="14"/>
      <c r="S9" s="14"/>
      <c r="T9" s="15"/>
      <c r="U9" s="405" t="s">
        <v>405</v>
      </c>
    </row>
    <row r="10" spans="1:21" x14ac:dyDescent="0.25">
      <c r="A10" s="7"/>
      <c r="B10" s="7"/>
      <c r="C10" s="91" t="s">
        <v>463</v>
      </c>
      <c r="D10" s="371" t="s">
        <v>464</v>
      </c>
      <c r="E10" s="92" t="s">
        <v>8</v>
      </c>
      <c r="F10" s="446" t="s">
        <v>1</v>
      </c>
      <c r="G10" s="446"/>
      <c r="H10" s="10" t="s">
        <v>73</v>
      </c>
      <c r="I10" s="11" t="s">
        <v>36</v>
      </c>
      <c r="N10" s="12"/>
      <c r="O10" s="12"/>
      <c r="P10" s="13"/>
      <c r="Q10" s="13"/>
      <c r="R10" s="520" t="s">
        <v>1</v>
      </c>
      <c r="S10" s="520"/>
      <c r="T10" s="15" t="s">
        <v>73</v>
      </c>
      <c r="U10" s="16" t="s">
        <v>36</v>
      </c>
    </row>
    <row r="11" spans="1:21" x14ac:dyDescent="0.25">
      <c r="A11" s="447" t="s">
        <v>1</v>
      </c>
      <c r="B11" s="447"/>
      <c r="C11" s="362" t="s">
        <v>2</v>
      </c>
      <c r="D11" s="362" t="s">
        <v>2</v>
      </c>
      <c r="E11" s="362" t="s">
        <v>2</v>
      </c>
      <c r="F11" s="448" t="s">
        <v>76</v>
      </c>
      <c r="G11" s="448"/>
      <c r="H11" s="17" t="s">
        <v>72</v>
      </c>
      <c r="I11" s="18" t="s">
        <v>75</v>
      </c>
      <c r="N11" s="510" t="s">
        <v>1</v>
      </c>
      <c r="O11" s="510"/>
      <c r="P11" s="521" t="s">
        <v>24</v>
      </c>
      <c r="Q11" s="521"/>
      <c r="R11" s="522" t="s">
        <v>76</v>
      </c>
      <c r="S11" s="522"/>
      <c r="T11" s="19" t="s">
        <v>72</v>
      </c>
      <c r="U11" s="20" t="s">
        <v>75</v>
      </c>
    </row>
    <row r="12" spans="1:21" x14ac:dyDescent="0.25">
      <c r="A12" s="449" t="s">
        <v>47</v>
      </c>
      <c r="B12" s="449"/>
      <c r="C12" s="94"/>
      <c r="D12" s="94"/>
      <c r="E12" s="95" t="s">
        <v>48</v>
      </c>
      <c r="F12" s="450" t="s">
        <v>49</v>
      </c>
      <c r="G12" s="450"/>
      <c r="H12" s="21" t="s">
        <v>50</v>
      </c>
      <c r="I12" s="22" t="s">
        <v>51</v>
      </c>
      <c r="N12" s="523" t="s">
        <v>47</v>
      </c>
      <c r="O12" s="523"/>
      <c r="P12" s="524" t="s">
        <v>48</v>
      </c>
      <c r="Q12" s="524"/>
      <c r="R12" s="525" t="s">
        <v>49</v>
      </c>
      <c r="S12" s="525"/>
      <c r="T12" s="23" t="s">
        <v>50</v>
      </c>
      <c r="U12" s="24" t="s">
        <v>51</v>
      </c>
    </row>
    <row r="13" spans="1:21" x14ac:dyDescent="0.25">
      <c r="A13" s="451" t="s">
        <v>29</v>
      </c>
      <c r="B13" s="451"/>
      <c r="C13" s="165">
        <v>0</v>
      </c>
      <c r="D13" s="163">
        <v>0</v>
      </c>
      <c r="E13" s="210">
        <f>IF(D$29=0,C13*2,C13+D13)</f>
        <v>0</v>
      </c>
      <c r="F13" s="537">
        <f>'0664'!F13:G13</f>
        <v>1.1259999999999999</v>
      </c>
      <c r="G13" s="537"/>
      <c r="H13" s="167">
        <f>ROUND(E13*F13,4)</f>
        <v>0</v>
      </c>
      <c r="I13" s="119">
        <f t="shared" ref="I13:I28" si="0">ROUND(ROUND(H13*$C$8,4)*($H$8),2)</f>
        <v>0</v>
      </c>
      <c r="N13" s="512" t="s">
        <v>29</v>
      </c>
      <c r="O13" s="512"/>
      <c r="P13" s="513">
        <f t="shared" ref="P13:P28" si="1">IF($H$120=1,E13,0)</f>
        <v>0</v>
      </c>
      <c r="Q13" s="513"/>
      <c r="R13" s="526">
        <v>1</v>
      </c>
      <c r="S13" s="526"/>
      <c r="T13" s="98">
        <f>ROUND(P13*R13,4)</f>
        <v>0</v>
      </c>
      <c r="U13" s="99">
        <f t="shared" ref="U13:U28" si="2">ROUND(ROUND(T13*$C$8,4)*($H$8),0)</f>
        <v>0</v>
      </c>
    </row>
    <row r="14" spans="1:21" x14ac:dyDescent="0.25">
      <c r="A14" s="453" t="s">
        <v>30</v>
      </c>
      <c r="B14" s="453"/>
      <c r="C14" s="165">
        <v>0</v>
      </c>
      <c r="D14" s="165">
        <v>0</v>
      </c>
      <c r="E14" s="125">
        <f t="shared" ref="E14:E28" si="3">IF(D$29=0,C14*2,C14+D14)</f>
        <v>0</v>
      </c>
      <c r="F14" s="532">
        <f>'0664'!F14:G14</f>
        <v>1.1259999999999999</v>
      </c>
      <c r="G14" s="532"/>
      <c r="H14" s="83">
        <f t="shared" ref="H14:H28" si="4">ROUND(E14*F14,4)</f>
        <v>0</v>
      </c>
      <c r="I14" s="104">
        <f t="shared" si="0"/>
        <v>0</v>
      </c>
      <c r="J14" s="68" t="str">
        <f>IF(ROUND(E14,2)=ROUND(SUM(E50:E52),2)," ","CHECK PK-3 LINES BELOW")</f>
        <v xml:space="preserve"> </v>
      </c>
      <c r="N14" s="479" t="s">
        <v>30</v>
      </c>
      <c r="O14" s="479"/>
      <c r="P14" s="513">
        <f t="shared" si="1"/>
        <v>0</v>
      </c>
      <c r="Q14" s="513"/>
      <c r="R14" s="517">
        <v>1</v>
      </c>
      <c r="S14" s="517"/>
      <c r="T14" s="98">
        <f t="shared" ref="T14:T28" si="5">ROUND(P14*R14,4)</f>
        <v>0</v>
      </c>
      <c r="U14" s="99">
        <f t="shared" si="2"/>
        <v>0</v>
      </c>
    </row>
    <row r="15" spans="1:21" x14ac:dyDescent="0.25">
      <c r="A15" s="453" t="s">
        <v>31</v>
      </c>
      <c r="B15" s="453"/>
      <c r="C15" s="165">
        <v>0</v>
      </c>
      <c r="D15" s="165">
        <v>0</v>
      </c>
      <c r="E15" s="125">
        <f t="shared" si="3"/>
        <v>0</v>
      </c>
      <c r="F15" s="532">
        <f>'0664'!F15:G15</f>
        <v>1</v>
      </c>
      <c r="G15" s="532"/>
      <c r="H15" s="83">
        <f t="shared" si="4"/>
        <v>0</v>
      </c>
      <c r="I15" s="104">
        <f t="shared" si="0"/>
        <v>0</v>
      </c>
      <c r="N15" s="479" t="s">
        <v>31</v>
      </c>
      <c r="O15" s="479"/>
      <c r="P15" s="513">
        <f t="shared" si="1"/>
        <v>0</v>
      </c>
      <c r="Q15" s="513"/>
      <c r="R15" s="517">
        <v>1</v>
      </c>
      <c r="S15" s="517"/>
      <c r="T15" s="98">
        <f t="shared" si="5"/>
        <v>0</v>
      </c>
      <c r="U15" s="99">
        <f t="shared" si="2"/>
        <v>0</v>
      </c>
    </row>
    <row r="16" spans="1:21" x14ac:dyDescent="0.25">
      <c r="A16" s="453" t="s">
        <v>32</v>
      </c>
      <c r="B16" s="453"/>
      <c r="C16" s="165">
        <v>0</v>
      </c>
      <c r="D16" s="165">
        <v>0</v>
      </c>
      <c r="E16" s="125">
        <f t="shared" si="3"/>
        <v>0</v>
      </c>
      <c r="F16" s="532">
        <f>'0664'!F16:G16</f>
        <v>1</v>
      </c>
      <c r="G16" s="532"/>
      <c r="H16" s="83">
        <f t="shared" si="4"/>
        <v>0</v>
      </c>
      <c r="I16" s="104">
        <f t="shared" si="0"/>
        <v>0</v>
      </c>
      <c r="J16" s="68" t="str">
        <f>IF(ROUND(E16,2)=ROUND(SUM(E53:E55),2)," ","CHECK 4-8 LINES BELOW")</f>
        <v xml:space="preserve"> </v>
      </c>
      <c r="N16" s="479" t="s">
        <v>32</v>
      </c>
      <c r="O16" s="479"/>
      <c r="P16" s="513">
        <f t="shared" si="1"/>
        <v>0</v>
      </c>
      <c r="Q16" s="513"/>
      <c r="R16" s="517">
        <v>1</v>
      </c>
      <c r="S16" s="517"/>
      <c r="T16" s="98">
        <f t="shared" si="5"/>
        <v>0</v>
      </c>
      <c r="U16" s="99">
        <f t="shared" si="2"/>
        <v>0</v>
      </c>
    </row>
    <row r="17" spans="1:21" x14ac:dyDescent="0.25">
      <c r="A17" s="453" t="s">
        <v>33</v>
      </c>
      <c r="B17" s="453"/>
      <c r="C17" s="165">
        <v>53.55</v>
      </c>
      <c r="D17" s="165">
        <v>52.95</v>
      </c>
      <c r="E17" s="125">
        <f t="shared" si="3"/>
        <v>106.5</v>
      </c>
      <c r="F17" s="532">
        <f>'0664'!F17:G17</f>
        <v>0.999</v>
      </c>
      <c r="G17" s="532"/>
      <c r="H17" s="83">
        <f t="shared" si="4"/>
        <v>106.3935</v>
      </c>
      <c r="I17" s="104">
        <f t="shared" si="0"/>
        <v>509446.99</v>
      </c>
      <c r="N17" s="479" t="s">
        <v>33</v>
      </c>
      <c r="O17" s="479"/>
      <c r="P17" s="513">
        <f t="shared" si="1"/>
        <v>0</v>
      </c>
      <c r="Q17" s="513"/>
      <c r="R17" s="517">
        <v>1</v>
      </c>
      <c r="S17" s="517"/>
      <c r="T17" s="98">
        <f t="shared" si="5"/>
        <v>0</v>
      </c>
      <c r="U17" s="99">
        <f t="shared" si="2"/>
        <v>0</v>
      </c>
    </row>
    <row r="18" spans="1:21" x14ac:dyDescent="0.25">
      <c r="A18" s="453" t="s">
        <v>34</v>
      </c>
      <c r="B18" s="453"/>
      <c r="C18" s="165">
        <v>13.5</v>
      </c>
      <c r="D18" s="165">
        <v>16.149999999999999</v>
      </c>
      <c r="E18" s="125">
        <f t="shared" si="3"/>
        <v>29.65</v>
      </c>
      <c r="F18" s="532">
        <f>'0664'!F18:G18</f>
        <v>0.999</v>
      </c>
      <c r="G18" s="532"/>
      <c r="H18" s="83">
        <f t="shared" si="4"/>
        <v>29.6204</v>
      </c>
      <c r="I18" s="104">
        <f t="shared" si="0"/>
        <v>141832.19</v>
      </c>
      <c r="J18" s="68" t="str">
        <f>IF(ROUND(E18,2)=ROUND(SUM(E56:E58),2)," ","CHECK 4-8 LINES BELOW")</f>
        <v xml:space="preserve"> </v>
      </c>
      <c r="N18" s="479" t="s">
        <v>34</v>
      </c>
      <c r="O18" s="479"/>
      <c r="P18" s="513">
        <f t="shared" si="1"/>
        <v>0</v>
      </c>
      <c r="Q18" s="513"/>
      <c r="R18" s="517">
        <v>1</v>
      </c>
      <c r="S18" s="517"/>
      <c r="T18" s="98">
        <f t="shared" si="5"/>
        <v>0</v>
      </c>
      <c r="U18" s="101">
        <f t="shared" si="2"/>
        <v>0</v>
      </c>
    </row>
    <row r="19" spans="1:21" x14ac:dyDescent="0.25">
      <c r="A19" s="453" t="s">
        <v>108</v>
      </c>
      <c r="B19" s="453"/>
      <c r="C19" s="165">
        <v>0</v>
      </c>
      <c r="D19" s="165">
        <v>0</v>
      </c>
      <c r="E19" s="125">
        <f t="shared" si="3"/>
        <v>0</v>
      </c>
      <c r="F19" s="532">
        <f>'0664'!F19:G19</f>
        <v>3.6739999999999999</v>
      </c>
      <c r="G19" s="532"/>
      <c r="H19" s="83">
        <f t="shared" si="4"/>
        <v>0</v>
      </c>
      <c r="I19" s="104">
        <f t="shared" si="0"/>
        <v>0</v>
      </c>
      <c r="N19" s="479" t="s">
        <v>108</v>
      </c>
      <c r="O19" s="479"/>
      <c r="P19" s="513">
        <f t="shared" si="1"/>
        <v>0</v>
      </c>
      <c r="Q19" s="513"/>
      <c r="R19" s="517">
        <v>1</v>
      </c>
      <c r="S19" s="517"/>
      <c r="T19" s="98">
        <f t="shared" si="5"/>
        <v>0</v>
      </c>
      <c r="U19" s="99">
        <f t="shared" si="2"/>
        <v>0</v>
      </c>
    </row>
    <row r="20" spans="1:21" x14ac:dyDescent="0.25">
      <c r="A20" s="453" t="s">
        <v>109</v>
      </c>
      <c r="B20" s="453"/>
      <c r="C20" s="165">
        <v>0</v>
      </c>
      <c r="D20" s="165">
        <v>0</v>
      </c>
      <c r="E20" s="125">
        <f t="shared" si="3"/>
        <v>0</v>
      </c>
      <c r="F20" s="532">
        <f>'0664'!F20:G20</f>
        <v>3.6739999999999999</v>
      </c>
      <c r="G20" s="532"/>
      <c r="H20" s="83">
        <f t="shared" si="4"/>
        <v>0</v>
      </c>
      <c r="I20" s="104">
        <f t="shared" si="0"/>
        <v>0</v>
      </c>
      <c r="N20" s="479" t="s">
        <v>109</v>
      </c>
      <c r="O20" s="479"/>
      <c r="P20" s="513">
        <f t="shared" si="1"/>
        <v>0</v>
      </c>
      <c r="Q20" s="513"/>
      <c r="R20" s="517">
        <v>1</v>
      </c>
      <c r="S20" s="517"/>
      <c r="T20" s="98">
        <f t="shared" si="5"/>
        <v>0</v>
      </c>
      <c r="U20" s="99">
        <f t="shared" si="2"/>
        <v>0</v>
      </c>
    </row>
    <row r="21" spans="1:21" x14ac:dyDescent="0.25">
      <c r="A21" s="453" t="s">
        <v>110</v>
      </c>
      <c r="B21" s="453"/>
      <c r="C21" s="165">
        <v>0</v>
      </c>
      <c r="D21" s="165">
        <v>0</v>
      </c>
      <c r="E21" s="125">
        <f t="shared" si="3"/>
        <v>0</v>
      </c>
      <c r="F21" s="532">
        <f>'0664'!F21:G21</f>
        <v>3.6739999999999999</v>
      </c>
      <c r="G21" s="532"/>
      <c r="H21" s="83">
        <f t="shared" si="4"/>
        <v>0</v>
      </c>
      <c r="I21" s="104">
        <f t="shared" si="0"/>
        <v>0</v>
      </c>
      <c r="N21" s="479" t="s">
        <v>110</v>
      </c>
      <c r="O21" s="479"/>
      <c r="P21" s="513">
        <f t="shared" si="1"/>
        <v>0</v>
      </c>
      <c r="Q21" s="513"/>
      <c r="R21" s="517">
        <v>1</v>
      </c>
      <c r="S21" s="517"/>
      <c r="T21" s="98">
        <f t="shared" si="5"/>
        <v>0</v>
      </c>
      <c r="U21" s="99">
        <f t="shared" si="2"/>
        <v>0</v>
      </c>
    </row>
    <row r="22" spans="1:21" x14ac:dyDescent="0.25">
      <c r="A22" s="453" t="s">
        <v>111</v>
      </c>
      <c r="B22" s="453"/>
      <c r="C22" s="165">
        <v>0</v>
      </c>
      <c r="D22" s="165">
        <v>0</v>
      </c>
      <c r="E22" s="125">
        <f t="shared" si="3"/>
        <v>0</v>
      </c>
      <c r="F22" s="532">
        <f>'0664'!F22:G22</f>
        <v>5.4009999999999998</v>
      </c>
      <c r="G22" s="532"/>
      <c r="H22" s="83">
        <f t="shared" si="4"/>
        <v>0</v>
      </c>
      <c r="I22" s="104">
        <f t="shared" si="0"/>
        <v>0</v>
      </c>
      <c r="N22" s="479" t="s">
        <v>111</v>
      </c>
      <c r="O22" s="479"/>
      <c r="P22" s="513">
        <f t="shared" si="1"/>
        <v>0</v>
      </c>
      <c r="Q22" s="513"/>
      <c r="R22" s="517">
        <v>1</v>
      </c>
      <c r="S22" s="517"/>
      <c r="T22" s="98">
        <f t="shared" si="5"/>
        <v>0</v>
      </c>
      <c r="U22" s="99">
        <f t="shared" si="2"/>
        <v>0</v>
      </c>
    </row>
    <row r="23" spans="1:21" x14ac:dyDescent="0.25">
      <c r="A23" s="453" t="s">
        <v>112</v>
      </c>
      <c r="B23" s="453"/>
      <c r="C23" s="165">
        <v>0</v>
      </c>
      <c r="D23" s="165">
        <v>0</v>
      </c>
      <c r="E23" s="125">
        <f t="shared" si="3"/>
        <v>0</v>
      </c>
      <c r="F23" s="532">
        <f>'0664'!F23:G23</f>
        <v>5.4009999999999998</v>
      </c>
      <c r="G23" s="532"/>
      <c r="H23" s="83">
        <f t="shared" si="4"/>
        <v>0</v>
      </c>
      <c r="I23" s="104">
        <f t="shared" si="0"/>
        <v>0</v>
      </c>
      <c r="N23" s="479" t="s">
        <v>112</v>
      </c>
      <c r="O23" s="479"/>
      <c r="P23" s="513">
        <f t="shared" si="1"/>
        <v>0</v>
      </c>
      <c r="Q23" s="513"/>
      <c r="R23" s="517">
        <v>1</v>
      </c>
      <c r="S23" s="517"/>
      <c r="T23" s="98">
        <f t="shared" si="5"/>
        <v>0</v>
      </c>
      <c r="U23" s="99">
        <f t="shared" si="2"/>
        <v>0</v>
      </c>
    </row>
    <row r="24" spans="1:21" x14ac:dyDescent="0.25">
      <c r="A24" s="453" t="s">
        <v>113</v>
      </c>
      <c r="B24" s="453"/>
      <c r="C24" s="165">
        <v>0</v>
      </c>
      <c r="D24" s="165">
        <v>0</v>
      </c>
      <c r="E24" s="125">
        <f t="shared" si="3"/>
        <v>0</v>
      </c>
      <c r="F24" s="532">
        <f>'0664'!F24:G24</f>
        <v>5.4009999999999998</v>
      </c>
      <c r="G24" s="532"/>
      <c r="H24" s="83">
        <f t="shared" si="4"/>
        <v>0</v>
      </c>
      <c r="I24" s="104">
        <f t="shared" si="0"/>
        <v>0</v>
      </c>
      <c r="N24" s="479" t="s">
        <v>113</v>
      </c>
      <c r="O24" s="479"/>
      <c r="P24" s="513">
        <f t="shared" si="1"/>
        <v>0</v>
      </c>
      <c r="Q24" s="513"/>
      <c r="R24" s="517">
        <v>1</v>
      </c>
      <c r="S24" s="517"/>
      <c r="T24" s="98">
        <f t="shared" si="5"/>
        <v>0</v>
      </c>
      <c r="U24" s="99">
        <f t="shared" si="2"/>
        <v>0</v>
      </c>
    </row>
    <row r="25" spans="1:21" x14ac:dyDescent="0.25">
      <c r="A25" s="453" t="s">
        <v>114</v>
      </c>
      <c r="B25" s="453"/>
      <c r="C25" s="165">
        <v>0</v>
      </c>
      <c r="D25" s="165">
        <v>0</v>
      </c>
      <c r="E25" s="125">
        <f t="shared" si="3"/>
        <v>0</v>
      </c>
      <c r="F25" s="532">
        <f>'0664'!F25:G25</f>
        <v>1.206</v>
      </c>
      <c r="G25" s="532"/>
      <c r="H25" s="83">
        <f t="shared" si="4"/>
        <v>0</v>
      </c>
      <c r="I25" s="104">
        <f t="shared" si="0"/>
        <v>0</v>
      </c>
      <c r="N25" s="479" t="s">
        <v>114</v>
      </c>
      <c r="O25" s="479"/>
      <c r="P25" s="513">
        <f t="shared" si="1"/>
        <v>0</v>
      </c>
      <c r="Q25" s="513"/>
      <c r="R25" s="517">
        <v>1</v>
      </c>
      <c r="S25" s="517"/>
      <c r="T25" s="98">
        <f t="shared" si="5"/>
        <v>0</v>
      </c>
      <c r="U25" s="99">
        <f t="shared" si="2"/>
        <v>0</v>
      </c>
    </row>
    <row r="26" spans="1:21" x14ac:dyDescent="0.25">
      <c r="A26" s="453" t="s">
        <v>115</v>
      </c>
      <c r="B26" s="453"/>
      <c r="C26" s="165">
        <v>0</v>
      </c>
      <c r="D26" s="165">
        <v>0</v>
      </c>
      <c r="E26" s="125">
        <f t="shared" si="3"/>
        <v>0</v>
      </c>
      <c r="F26" s="532">
        <f>'0664'!F26:G26</f>
        <v>1.206</v>
      </c>
      <c r="G26" s="532"/>
      <c r="H26" s="83">
        <f t="shared" si="4"/>
        <v>0</v>
      </c>
      <c r="I26" s="104">
        <f t="shared" si="0"/>
        <v>0</v>
      </c>
      <c r="N26" s="479" t="s">
        <v>115</v>
      </c>
      <c r="O26" s="479"/>
      <c r="P26" s="513">
        <f t="shared" si="1"/>
        <v>0</v>
      </c>
      <c r="Q26" s="513"/>
      <c r="R26" s="517">
        <v>1</v>
      </c>
      <c r="S26" s="517"/>
      <c r="T26" s="98">
        <f t="shared" si="5"/>
        <v>0</v>
      </c>
      <c r="U26" s="99">
        <f t="shared" si="2"/>
        <v>0</v>
      </c>
    </row>
    <row r="27" spans="1:21" x14ac:dyDescent="0.25">
      <c r="A27" s="453" t="s">
        <v>116</v>
      </c>
      <c r="B27" s="453"/>
      <c r="C27" s="165">
        <v>2.5499999999999998</v>
      </c>
      <c r="D27" s="165">
        <v>2.2799999999999998</v>
      </c>
      <c r="E27" s="125">
        <f t="shared" si="3"/>
        <v>4.83</v>
      </c>
      <c r="F27" s="532">
        <f>'0664'!F27:G27</f>
        <v>1.206</v>
      </c>
      <c r="G27" s="532"/>
      <c r="H27" s="83">
        <f t="shared" si="4"/>
        <v>5.8250000000000002</v>
      </c>
      <c r="I27" s="104">
        <f t="shared" si="0"/>
        <v>27892.01</v>
      </c>
      <c r="N27" s="479" t="s">
        <v>116</v>
      </c>
      <c r="O27" s="479"/>
      <c r="P27" s="513">
        <f t="shared" si="1"/>
        <v>0</v>
      </c>
      <c r="Q27" s="513"/>
      <c r="R27" s="517">
        <v>1</v>
      </c>
      <c r="S27" s="517"/>
      <c r="T27" s="98">
        <f t="shared" si="5"/>
        <v>0</v>
      </c>
      <c r="U27" s="99">
        <f t="shared" si="2"/>
        <v>0</v>
      </c>
    </row>
    <row r="28" spans="1:21" x14ac:dyDescent="0.25">
      <c r="A28" s="453" t="s">
        <v>117</v>
      </c>
      <c r="B28" s="453"/>
      <c r="C28" s="116">
        <v>0</v>
      </c>
      <c r="D28" s="116">
        <v>0</v>
      </c>
      <c r="E28" s="177">
        <f t="shared" si="3"/>
        <v>0</v>
      </c>
      <c r="F28" s="532">
        <f>'0664'!F28:G28</f>
        <v>0.999</v>
      </c>
      <c r="G28" s="532"/>
      <c r="H28" s="96">
        <f t="shared" si="4"/>
        <v>0</v>
      </c>
      <c r="I28" s="97">
        <f t="shared" si="0"/>
        <v>0</v>
      </c>
      <c r="N28" s="482" t="s">
        <v>117</v>
      </c>
      <c r="O28" s="482"/>
      <c r="P28" s="513">
        <f t="shared" si="1"/>
        <v>0</v>
      </c>
      <c r="Q28" s="513"/>
      <c r="R28" s="514">
        <v>1</v>
      </c>
      <c r="S28" s="514"/>
      <c r="T28" s="98">
        <f t="shared" si="5"/>
        <v>0</v>
      </c>
      <c r="U28" s="99">
        <f t="shared" si="2"/>
        <v>0</v>
      </c>
    </row>
    <row r="29" spans="1:21" x14ac:dyDescent="0.25">
      <c r="A29" s="461" t="s">
        <v>5</v>
      </c>
      <c r="B29" s="461"/>
      <c r="C29" s="97">
        <f>SUM(C13:C28)</f>
        <v>69.599999999999994</v>
      </c>
      <c r="D29" s="97">
        <f>SUM(D13:D28)</f>
        <v>71.38</v>
      </c>
      <c r="E29" s="97">
        <f>SUM(E13:E28)</f>
        <v>140.98000000000002</v>
      </c>
      <c r="F29" s="457"/>
      <c r="G29" s="457"/>
      <c r="H29" s="102">
        <f>SUM(H13:H28)</f>
        <v>141.8389</v>
      </c>
      <c r="I29" s="97">
        <f>SUM(I13:I28)</f>
        <v>679171.19</v>
      </c>
      <c r="N29" s="515" t="s">
        <v>5</v>
      </c>
      <c r="O29" s="515"/>
      <c r="P29" s="516">
        <f>SUM(P13:P28)</f>
        <v>0</v>
      </c>
      <c r="Q29" s="516"/>
      <c r="R29" s="508"/>
      <c r="S29" s="508"/>
      <c r="T29" s="103">
        <f>SUM(T13:T28)</f>
        <v>0</v>
      </c>
      <c r="U29" s="99">
        <f>SUM(U13:U28)</f>
        <v>0</v>
      </c>
    </row>
    <row r="30" spans="1:21" x14ac:dyDescent="0.25">
      <c r="A30" s="27"/>
      <c r="B30" s="27"/>
      <c r="C30" s="104"/>
      <c r="D30" s="104"/>
      <c r="E30" s="104"/>
      <c r="F30" s="28"/>
      <c r="G30" s="28"/>
      <c r="H30" s="83"/>
      <c r="I30" s="104"/>
      <c r="N30" s="29"/>
      <c r="O30" s="29"/>
      <c r="P30" s="30"/>
      <c r="Q30" s="30"/>
      <c r="R30" s="31"/>
      <c r="S30" s="31"/>
      <c r="T30" s="105"/>
      <c r="U30" s="106"/>
    </row>
    <row r="31" spans="1:21" x14ac:dyDescent="0.25">
      <c r="A31" s="168" t="s">
        <v>97</v>
      </c>
      <c r="B31" s="27"/>
      <c r="C31" s="104"/>
      <c r="D31" s="104"/>
      <c r="E31" s="104"/>
      <c r="F31" s="28"/>
      <c r="G31" s="28"/>
      <c r="H31" s="83"/>
      <c r="I31" s="104"/>
      <c r="N31" s="29"/>
      <c r="O31" s="29"/>
      <c r="P31" s="30"/>
      <c r="Q31" s="30"/>
      <c r="R31" s="31"/>
      <c r="S31" s="31"/>
      <c r="T31" s="105"/>
      <c r="U31" s="106"/>
    </row>
    <row r="32" spans="1:21" hidden="1" x14ac:dyDescent="0.25">
      <c r="A32" s="168"/>
      <c r="B32" s="27"/>
      <c r="C32" s="104"/>
      <c r="D32" s="104"/>
      <c r="E32" s="104"/>
      <c r="F32" s="28"/>
      <c r="G32" s="28"/>
      <c r="H32" s="83"/>
      <c r="I32" s="104"/>
      <c r="N32" s="29"/>
      <c r="O32" s="29"/>
      <c r="P32" s="30"/>
      <c r="Q32" s="30"/>
      <c r="R32" s="31"/>
      <c r="S32" s="31"/>
      <c r="T32" s="105"/>
      <c r="U32" s="106"/>
    </row>
    <row r="33" spans="1:21" hidden="1" x14ac:dyDescent="0.25">
      <c r="A33" s="168"/>
      <c r="B33" s="27"/>
      <c r="C33" s="104"/>
      <c r="D33" s="104"/>
      <c r="E33" s="104"/>
      <c r="F33" s="541" t="s">
        <v>282</v>
      </c>
      <c r="G33" s="541"/>
      <c r="H33" s="541"/>
      <c r="I33" s="104"/>
      <c r="N33" s="29"/>
      <c r="O33" s="29"/>
      <c r="P33" s="30"/>
      <c r="Q33" s="30"/>
      <c r="R33" s="31"/>
      <c r="S33" s="31"/>
      <c r="T33" s="105"/>
      <c r="U33" s="106"/>
    </row>
    <row r="34" spans="1:21" hidden="1" x14ac:dyDescent="0.25">
      <c r="A34" s="3"/>
      <c r="B34" s="72"/>
      <c r="C34" s="72"/>
      <c r="D34" s="72"/>
      <c r="E34" s="72"/>
      <c r="F34" s="541"/>
      <c r="G34" s="541"/>
      <c r="H34" s="541"/>
      <c r="I34" s="25" t="s">
        <v>74</v>
      </c>
      <c r="N34" s="485" t="s">
        <v>35</v>
      </c>
      <c r="O34" s="485"/>
      <c r="P34" s="485"/>
      <c r="Q34" s="485"/>
      <c r="R34" s="485"/>
      <c r="S34" s="485"/>
      <c r="T34" s="485"/>
      <c r="U34" s="26" t="s">
        <v>74</v>
      </c>
    </row>
    <row r="35" spans="1:21" hidden="1" x14ac:dyDescent="0.25">
      <c r="A35" s="27"/>
      <c r="B35" s="27"/>
      <c r="C35" s="91" t="s">
        <v>124</v>
      </c>
      <c r="D35" s="91" t="s">
        <v>125</v>
      </c>
      <c r="E35" s="92" t="s">
        <v>8</v>
      </c>
      <c r="F35" s="541"/>
      <c r="G35" s="541"/>
      <c r="H35" s="541"/>
      <c r="I35" s="25" t="s">
        <v>36</v>
      </c>
      <c r="N35" s="29"/>
      <c r="O35" s="29"/>
      <c r="P35" s="30"/>
      <c r="Q35" s="30"/>
      <c r="R35" s="31"/>
      <c r="S35" s="31"/>
      <c r="T35" s="105"/>
      <c r="U35" s="26" t="s">
        <v>36</v>
      </c>
    </row>
    <row r="36" spans="1:21" hidden="1" x14ac:dyDescent="0.25">
      <c r="A36" s="447" t="s">
        <v>63</v>
      </c>
      <c r="B36" s="447"/>
      <c r="C36" s="93" t="s">
        <v>2</v>
      </c>
      <c r="D36" s="93" t="s">
        <v>2</v>
      </c>
      <c r="E36" s="93" t="s">
        <v>2</v>
      </c>
      <c r="F36" s="542"/>
      <c r="G36" s="542"/>
      <c r="H36" s="542"/>
      <c r="I36" s="32" t="s">
        <v>75</v>
      </c>
      <c r="N36" s="510" t="s">
        <v>63</v>
      </c>
      <c r="O36" s="510"/>
      <c r="P36" s="511" t="s">
        <v>24</v>
      </c>
      <c r="Q36" s="511"/>
      <c r="R36" s="511"/>
      <c r="S36" s="511"/>
      <c r="T36" s="511"/>
      <c r="U36" s="20" t="s">
        <v>75</v>
      </c>
    </row>
    <row r="37" spans="1:21" hidden="1" x14ac:dyDescent="0.25">
      <c r="A37" s="451" t="s">
        <v>56</v>
      </c>
      <c r="B37" s="451"/>
      <c r="C37" s="169">
        <v>0</v>
      </c>
      <c r="D37" s="169">
        <v>0</v>
      </c>
      <c r="E37" s="164">
        <f t="shared" ref="E37:E42" si="6">IF(D$43=0,C37*2,C37+D37)</f>
        <v>0</v>
      </c>
      <c r="F37" s="170"/>
      <c r="G37" s="170"/>
      <c r="H37" s="170"/>
      <c r="I37" s="119">
        <f t="shared" ref="I37:I42" si="7">ROUND(ROUND(E37*$C$8,4)*($H$8),2)</f>
        <v>0</v>
      </c>
      <c r="N37" s="512" t="s">
        <v>56</v>
      </c>
      <c r="O37" s="512"/>
      <c r="P37" s="483">
        <f t="shared" ref="P37:P42" si="8">IF($H$120=1,E37,0)</f>
        <v>0</v>
      </c>
      <c r="Q37" s="483"/>
      <c r="R37" s="483"/>
      <c r="S37" s="483"/>
      <c r="T37" s="483"/>
      <c r="U37" s="101">
        <f t="shared" ref="U37:U42" si="9">ROUND(ROUND(P37*$C$8,4)*($H$8),0)</f>
        <v>0</v>
      </c>
    </row>
    <row r="38" spans="1:21" hidden="1" x14ac:dyDescent="0.25">
      <c r="A38" s="453" t="s">
        <v>57</v>
      </c>
      <c r="B38" s="453"/>
      <c r="C38" s="172">
        <v>0</v>
      </c>
      <c r="D38" s="172">
        <v>0</v>
      </c>
      <c r="E38" s="166">
        <f t="shared" si="6"/>
        <v>0</v>
      </c>
      <c r="F38" s="173"/>
      <c r="G38" s="173"/>
      <c r="H38" s="173"/>
      <c r="I38" s="104">
        <f t="shared" si="7"/>
        <v>0</v>
      </c>
      <c r="N38" s="479" t="s">
        <v>57</v>
      </c>
      <c r="O38" s="479"/>
      <c r="P38" s="483">
        <f t="shared" si="8"/>
        <v>0</v>
      </c>
      <c r="Q38" s="483"/>
      <c r="R38" s="483"/>
      <c r="S38" s="483"/>
      <c r="T38" s="483"/>
      <c r="U38" s="101">
        <f t="shared" si="9"/>
        <v>0</v>
      </c>
    </row>
    <row r="39" spans="1:21" hidden="1" x14ac:dyDescent="0.25">
      <c r="A39" s="458" t="s">
        <v>58</v>
      </c>
      <c r="B39" s="458"/>
      <c r="C39" s="172">
        <v>0</v>
      </c>
      <c r="D39" s="172">
        <v>0</v>
      </c>
      <c r="E39" s="166">
        <f t="shared" si="6"/>
        <v>0</v>
      </c>
      <c r="F39" s="173"/>
      <c r="G39" s="173"/>
      <c r="H39" s="173"/>
      <c r="I39" s="104">
        <f t="shared" si="7"/>
        <v>0</v>
      </c>
      <c r="N39" s="509" t="s">
        <v>58</v>
      </c>
      <c r="O39" s="509"/>
      <c r="P39" s="483">
        <f t="shared" si="8"/>
        <v>0</v>
      </c>
      <c r="Q39" s="483"/>
      <c r="R39" s="483"/>
      <c r="S39" s="483"/>
      <c r="T39" s="483"/>
      <c r="U39" s="101">
        <f t="shared" si="9"/>
        <v>0</v>
      </c>
    </row>
    <row r="40" spans="1:21" hidden="1" x14ac:dyDescent="0.25">
      <c r="A40" s="453" t="s">
        <v>59</v>
      </c>
      <c r="B40" s="453"/>
      <c r="C40" s="172">
        <v>0</v>
      </c>
      <c r="D40" s="172">
        <v>0</v>
      </c>
      <c r="E40" s="166">
        <f t="shared" si="6"/>
        <v>0</v>
      </c>
      <c r="F40" s="173"/>
      <c r="G40" s="173"/>
      <c r="H40" s="173"/>
      <c r="I40" s="104">
        <f t="shared" si="7"/>
        <v>0</v>
      </c>
      <c r="N40" s="479" t="s">
        <v>59</v>
      </c>
      <c r="O40" s="479"/>
      <c r="P40" s="483">
        <f t="shared" si="8"/>
        <v>0</v>
      </c>
      <c r="Q40" s="483"/>
      <c r="R40" s="483"/>
      <c r="S40" s="483"/>
      <c r="T40" s="483"/>
      <c r="U40" s="101">
        <f t="shared" si="9"/>
        <v>0</v>
      </c>
    </row>
    <row r="41" spans="1:21" hidden="1" x14ac:dyDescent="0.25">
      <c r="A41" s="453" t="s">
        <v>60</v>
      </c>
      <c r="B41" s="453"/>
      <c r="C41" s="172">
        <v>0</v>
      </c>
      <c r="D41" s="172">
        <v>0</v>
      </c>
      <c r="E41" s="166">
        <f t="shared" si="6"/>
        <v>0</v>
      </c>
      <c r="F41" s="173"/>
      <c r="G41" s="173"/>
      <c r="H41" s="173"/>
      <c r="I41" s="104">
        <f t="shared" si="7"/>
        <v>0</v>
      </c>
      <c r="N41" s="479" t="s">
        <v>60</v>
      </c>
      <c r="O41" s="479"/>
      <c r="P41" s="483">
        <f t="shared" si="8"/>
        <v>0</v>
      </c>
      <c r="Q41" s="483"/>
      <c r="R41" s="483"/>
      <c r="S41" s="483"/>
      <c r="T41" s="483"/>
      <c r="U41" s="101">
        <f t="shared" si="9"/>
        <v>0</v>
      </c>
    </row>
    <row r="42" spans="1:21" hidden="1" x14ac:dyDescent="0.25">
      <c r="A42" s="453" t="s">
        <v>52</v>
      </c>
      <c r="B42" s="453"/>
      <c r="C42" s="171">
        <v>0</v>
      </c>
      <c r="D42" s="171">
        <v>0</v>
      </c>
      <c r="E42" s="158">
        <f t="shared" si="6"/>
        <v>0</v>
      </c>
      <c r="F42" s="173"/>
      <c r="G42" s="173"/>
      <c r="H42" s="173"/>
      <c r="I42" s="97">
        <f t="shared" si="7"/>
        <v>0</v>
      </c>
      <c r="N42" s="482" t="s">
        <v>52</v>
      </c>
      <c r="O42" s="482"/>
      <c r="P42" s="483">
        <f t="shared" si="8"/>
        <v>0</v>
      </c>
      <c r="Q42" s="483"/>
      <c r="R42" s="483"/>
      <c r="S42" s="483"/>
      <c r="T42" s="483"/>
      <c r="U42" s="101">
        <f t="shared" si="9"/>
        <v>0</v>
      </c>
    </row>
    <row r="43" spans="1:21" hidden="1" x14ac:dyDescent="0.25">
      <c r="A43" s="3"/>
      <c r="B43" s="55" t="s">
        <v>126</v>
      </c>
      <c r="C43" s="100">
        <f>SUM(C37:C42)</f>
        <v>0</v>
      </c>
      <c r="D43" s="100">
        <f>SUM(D37:D42)</f>
        <v>0</v>
      </c>
      <c r="E43" s="100">
        <f>SUM(E37:E42)</f>
        <v>0</v>
      </c>
      <c r="F43" s="33"/>
      <c r="G43" s="109"/>
      <c r="H43" s="110" t="s">
        <v>128</v>
      </c>
      <c r="I43" s="100">
        <f>SUM(I37:I42)</f>
        <v>0</v>
      </c>
      <c r="N43" s="480" t="s">
        <v>54</v>
      </c>
      <c r="O43" s="480"/>
      <c r="P43" s="480"/>
      <c r="Q43" s="480"/>
      <c r="R43" s="34">
        <f>SUM(P37:R42)</f>
        <v>0</v>
      </c>
      <c r="S43" s="508" t="s">
        <v>64</v>
      </c>
      <c r="T43" s="508"/>
      <c r="U43" s="106">
        <f>SUM(U37:U42)</f>
        <v>0</v>
      </c>
    </row>
    <row r="44" spans="1:21" hidden="1" x14ac:dyDescent="0.25">
      <c r="A44" s="3"/>
      <c r="B44" s="55"/>
      <c r="C44" s="104"/>
      <c r="D44" s="104"/>
      <c r="E44" s="119"/>
      <c r="F44" s="33"/>
      <c r="G44" s="109"/>
      <c r="H44" s="110"/>
      <c r="I44" s="104"/>
      <c r="N44" s="29"/>
      <c r="O44" s="29"/>
      <c r="P44" s="29"/>
      <c r="Q44" s="29"/>
      <c r="R44" s="34"/>
      <c r="S44" s="31"/>
      <c r="T44" s="31"/>
      <c r="U44" s="106"/>
    </row>
    <row r="45" spans="1:21" ht="16.5" hidden="1" thickBot="1" x14ac:dyDescent="0.3">
      <c r="A45" s="3"/>
      <c r="B45" s="55" t="s">
        <v>127</v>
      </c>
      <c r="E45" s="174">
        <f>H29+E43</f>
        <v>141.8389</v>
      </c>
      <c r="F45" s="35"/>
      <c r="G45" s="109"/>
      <c r="H45" s="110" t="s">
        <v>129</v>
      </c>
      <c r="I45" s="97">
        <f>SUM(I43,I29)</f>
        <v>679171.19</v>
      </c>
      <c r="N45" s="480" t="s">
        <v>55</v>
      </c>
      <c r="O45" s="480"/>
      <c r="P45" s="480"/>
      <c r="Q45" s="480"/>
      <c r="R45" s="36">
        <f>R43+T29</f>
        <v>0</v>
      </c>
      <c r="S45" s="508" t="s">
        <v>53</v>
      </c>
      <c r="T45" s="508"/>
      <c r="U45" s="111">
        <f>SUM(U43,U29)</f>
        <v>0</v>
      </c>
    </row>
    <row r="46" spans="1:21" hidden="1" x14ac:dyDescent="0.25">
      <c r="A46" s="27"/>
      <c r="B46" s="27"/>
      <c r="C46" s="27"/>
      <c r="D46" s="27"/>
      <c r="E46" s="27"/>
      <c r="F46" s="35"/>
      <c r="G46" s="28"/>
      <c r="H46" s="28"/>
      <c r="I46" s="104"/>
      <c r="N46" s="29"/>
      <c r="O46" s="29"/>
      <c r="P46" s="29"/>
      <c r="Q46" s="29"/>
      <c r="R46" s="36"/>
      <c r="S46" s="31"/>
      <c r="T46" s="31"/>
      <c r="U46" s="106"/>
    </row>
    <row r="47" spans="1:21" x14ac:dyDescent="0.25">
      <c r="A47" s="27"/>
      <c r="B47" s="55" t="s">
        <v>370</v>
      </c>
      <c r="C47" s="372" t="s">
        <v>370</v>
      </c>
      <c r="D47" s="372" t="s">
        <v>370</v>
      </c>
      <c r="E47" s="27"/>
      <c r="F47" s="35"/>
      <c r="G47" s="28"/>
      <c r="H47" s="28"/>
      <c r="I47" s="104"/>
      <c r="N47" s="29"/>
      <c r="O47" s="29"/>
      <c r="P47" s="29"/>
      <c r="Q47" s="29"/>
      <c r="R47" s="36"/>
      <c r="S47" s="31"/>
      <c r="T47" s="31"/>
      <c r="U47" s="106"/>
    </row>
    <row r="48" spans="1:21" x14ac:dyDescent="0.25">
      <c r="A48" s="27"/>
      <c r="B48" s="27"/>
      <c r="C48" s="91" t="s">
        <v>463</v>
      </c>
      <c r="D48" s="371" t="s">
        <v>464</v>
      </c>
      <c r="E48" s="92" t="s">
        <v>8</v>
      </c>
      <c r="F48" s="49" t="s">
        <v>130</v>
      </c>
      <c r="G48" s="112" t="s">
        <v>132</v>
      </c>
      <c r="H48" s="113" t="s">
        <v>133</v>
      </c>
      <c r="I48" s="104"/>
      <c r="N48" s="29"/>
      <c r="O48" s="29"/>
      <c r="P48" s="29"/>
      <c r="Q48" s="29"/>
      <c r="R48" s="36"/>
      <c r="S48" s="31"/>
      <c r="T48" s="31"/>
      <c r="U48" s="106"/>
    </row>
    <row r="49" spans="1:21" x14ac:dyDescent="0.25">
      <c r="A49" s="37" t="s">
        <v>87</v>
      </c>
      <c r="B49" s="37"/>
      <c r="C49" s="362" t="s">
        <v>2</v>
      </c>
      <c r="D49" s="362" t="s">
        <v>2</v>
      </c>
      <c r="E49" s="362" t="s">
        <v>2</v>
      </c>
      <c r="F49" s="95" t="s">
        <v>131</v>
      </c>
      <c r="G49" s="62" t="s">
        <v>131</v>
      </c>
      <c r="H49" s="114" t="s">
        <v>134</v>
      </c>
      <c r="I49" s="37"/>
      <c r="N49" s="482" t="s">
        <v>87</v>
      </c>
      <c r="O49" s="482"/>
      <c r="P49" s="503" t="s">
        <v>2</v>
      </c>
      <c r="Q49" s="503"/>
      <c r="R49" s="38" t="s">
        <v>25</v>
      </c>
      <c r="S49" s="63" t="s">
        <v>26</v>
      </c>
      <c r="T49" s="115" t="s">
        <v>27</v>
      </c>
      <c r="U49" s="38"/>
    </row>
    <row r="50" spans="1:21" x14ac:dyDescent="0.25">
      <c r="A50" s="459" t="s">
        <v>98</v>
      </c>
      <c r="B50" s="459"/>
      <c r="C50" s="165">
        <v>0</v>
      </c>
      <c r="D50" s="165">
        <v>0</v>
      </c>
      <c r="E50" s="125">
        <f>IF(D$59=0,C50*2,C50+D50)</f>
        <v>0</v>
      </c>
      <c r="F50" s="39" t="s">
        <v>21</v>
      </c>
      <c r="G50" s="39">
        <v>251</v>
      </c>
      <c r="H50" s="321">
        <f>'0664'!H50</f>
        <v>1047</v>
      </c>
      <c r="I50" s="104">
        <f>ROUND(E50*H50,2)</f>
        <v>0</v>
      </c>
      <c r="N50" s="504" t="s">
        <v>28</v>
      </c>
      <c r="O50" s="504"/>
      <c r="P50" s="505"/>
      <c r="Q50" s="505"/>
      <c r="R50" s="40" t="s">
        <v>21</v>
      </c>
      <c r="S50" s="40">
        <v>251</v>
      </c>
      <c r="T50" s="117">
        <f>H50</f>
        <v>1047</v>
      </c>
      <c r="U50" s="118">
        <f>ROUND(P50*T50,0)</f>
        <v>0</v>
      </c>
    </row>
    <row r="51" spans="1:21" x14ac:dyDescent="0.25">
      <c r="A51" s="460"/>
      <c r="B51" s="460"/>
      <c r="C51" s="165">
        <v>0</v>
      </c>
      <c r="D51" s="165">
        <v>0</v>
      </c>
      <c r="E51" s="125">
        <f t="shared" ref="E51:E58" si="10">IF(D$59=0,C51*2,C51+D51)</f>
        <v>0</v>
      </c>
      <c r="F51" s="39" t="s">
        <v>21</v>
      </c>
      <c r="G51" s="39">
        <v>252</v>
      </c>
      <c r="H51" s="321">
        <f>'0664'!H51</f>
        <v>3380</v>
      </c>
      <c r="I51" s="104">
        <f t="shared" ref="I51:I58" si="11">ROUND(E51*H51,2)</f>
        <v>0</v>
      </c>
      <c r="N51" s="504"/>
      <c r="O51" s="504"/>
      <c r="P51" s="506"/>
      <c r="Q51" s="506"/>
      <c r="R51" s="40" t="s">
        <v>21</v>
      </c>
      <c r="S51" s="40">
        <v>252</v>
      </c>
      <c r="T51" s="117">
        <f t="shared" ref="T51:T58" si="12">H51</f>
        <v>3380</v>
      </c>
      <c r="U51" s="118">
        <f t="shared" ref="U51:U58" si="13">ROUND(P51*T51,0)</f>
        <v>0</v>
      </c>
    </row>
    <row r="52" spans="1:21" x14ac:dyDescent="0.25">
      <c r="A52" s="460"/>
      <c r="B52" s="460"/>
      <c r="C52" s="165">
        <v>0</v>
      </c>
      <c r="D52" s="165">
        <v>0</v>
      </c>
      <c r="E52" s="125">
        <f t="shared" si="10"/>
        <v>0</v>
      </c>
      <c r="F52" s="39" t="s">
        <v>21</v>
      </c>
      <c r="G52" s="39">
        <v>253</v>
      </c>
      <c r="H52" s="321">
        <f>'0664'!H52</f>
        <v>6896</v>
      </c>
      <c r="I52" s="104">
        <f t="shared" si="11"/>
        <v>0</v>
      </c>
      <c r="N52" s="504"/>
      <c r="O52" s="504"/>
      <c r="P52" s="506"/>
      <c r="Q52" s="506"/>
      <c r="R52" s="40" t="s">
        <v>21</v>
      </c>
      <c r="S52" s="40">
        <v>253</v>
      </c>
      <c r="T52" s="117">
        <f t="shared" si="12"/>
        <v>6896</v>
      </c>
      <c r="U52" s="118">
        <f t="shared" si="13"/>
        <v>0</v>
      </c>
    </row>
    <row r="53" spans="1:21" x14ac:dyDescent="0.25">
      <c r="A53" s="460"/>
      <c r="B53" s="460"/>
      <c r="C53" s="165">
        <v>0</v>
      </c>
      <c r="D53" s="165">
        <v>0</v>
      </c>
      <c r="E53" s="125">
        <f t="shared" si="10"/>
        <v>0</v>
      </c>
      <c r="F53" s="41" t="s">
        <v>14</v>
      </c>
      <c r="G53" s="39">
        <v>251</v>
      </c>
      <c r="H53" s="321">
        <f>'0664'!H53</f>
        <v>1173</v>
      </c>
      <c r="I53" s="104">
        <f t="shared" si="11"/>
        <v>0</v>
      </c>
      <c r="N53" s="504"/>
      <c r="O53" s="504"/>
      <c r="P53" s="506"/>
      <c r="Q53" s="506"/>
      <c r="R53" s="42" t="s">
        <v>14</v>
      </c>
      <c r="S53" s="40">
        <v>251</v>
      </c>
      <c r="T53" s="117">
        <f t="shared" si="12"/>
        <v>1173</v>
      </c>
      <c r="U53" s="118">
        <f t="shared" si="13"/>
        <v>0</v>
      </c>
    </row>
    <row r="54" spans="1:21" x14ac:dyDescent="0.25">
      <c r="A54" s="460"/>
      <c r="B54" s="460"/>
      <c r="C54" s="165">
        <v>0</v>
      </c>
      <c r="D54" s="165">
        <v>0</v>
      </c>
      <c r="E54" s="125">
        <f t="shared" si="10"/>
        <v>0</v>
      </c>
      <c r="F54" s="41" t="s">
        <v>14</v>
      </c>
      <c r="G54" s="39">
        <v>252</v>
      </c>
      <c r="H54" s="321">
        <f>'0664'!H54</f>
        <v>3506</v>
      </c>
      <c r="I54" s="104">
        <f t="shared" si="11"/>
        <v>0</v>
      </c>
      <c r="N54" s="504"/>
      <c r="O54" s="504"/>
      <c r="P54" s="506"/>
      <c r="Q54" s="506"/>
      <c r="R54" s="42" t="s">
        <v>14</v>
      </c>
      <c r="S54" s="40">
        <v>252</v>
      </c>
      <c r="T54" s="117">
        <f t="shared" si="12"/>
        <v>3506</v>
      </c>
      <c r="U54" s="118">
        <f t="shared" si="13"/>
        <v>0</v>
      </c>
    </row>
    <row r="55" spans="1:21" x14ac:dyDescent="0.25">
      <c r="A55" s="460"/>
      <c r="B55" s="460"/>
      <c r="C55" s="165">
        <v>0</v>
      </c>
      <c r="D55" s="165">
        <v>0</v>
      </c>
      <c r="E55" s="125">
        <f t="shared" si="10"/>
        <v>0</v>
      </c>
      <c r="F55" s="41" t="s">
        <v>14</v>
      </c>
      <c r="G55" s="39">
        <v>253</v>
      </c>
      <c r="H55" s="321">
        <f>'0664'!H55</f>
        <v>7023</v>
      </c>
      <c r="I55" s="104">
        <f t="shared" si="11"/>
        <v>0</v>
      </c>
      <c r="N55" s="504"/>
      <c r="O55" s="504"/>
      <c r="P55" s="506"/>
      <c r="Q55" s="506"/>
      <c r="R55" s="42" t="s">
        <v>14</v>
      </c>
      <c r="S55" s="40">
        <v>253</v>
      </c>
      <c r="T55" s="117">
        <f t="shared" si="12"/>
        <v>7023</v>
      </c>
      <c r="U55" s="118">
        <f t="shared" si="13"/>
        <v>0</v>
      </c>
    </row>
    <row r="56" spans="1:21" x14ac:dyDescent="0.25">
      <c r="A56" s="460"/>
      <c r="B56" s="460"/>
      <c r="C56" s="165">
        <v>12.5</v>
      </c>
      <c r="D56" s="165">
        <v>14.95</v>
      </c>
      <c r="E56" s="125">
        <f t="shared" si="10"/>
        <v>27.45</v>
      </c>
      <c r="F56" s="41" t="s">
        <v>15</v>
      </c>
      <c r="G56" s="39">
        <v>251</v>
      </c>
      <c r="H56" s="321">
        <f>'0664'!H56</f>
        <v>835</v>
      </c>
      <c r="I56" s="104">
        <f t="shared" si="11"/>
        <v>22920.75</v>
      </c>
      <c r="N56" s="504"/>
      <c r="O56" s="504"/>
      <c r="P56" s="506"/>
      <c r="Q56" s="506"/>
      <c r="R56" s="42" t="s">
        <v>15</v>
      </c>
      <c r="S56" s="40">
        <v>251</v>
      </c>
      <c r="T56" s="117">
        <f t="shared" si="12"/>
        <v>835</v>
      </c>
      <c r="U56" s="118">
        <f t="shared" si="13"/>
        <v>0</v>
      </c>
    </row>
    <row r="57" spans="1:21" x14ac:dyDescent="0.25">
      <c r="A57" s="460"/>
      <c r="B57" s="460"/>
      <c r="C57" s="165">
        <v>1</v>
      </c>
      <c r="D57" s="165">
        <v>1.2</v>
      </c>
      <c r="E57" s="125">
        <f t="shared" si="10"/>
        <v>2.2000000000000002</v>
      </c>
      <c r="F57" s="41" t="s">
        <v>15</v>
      </c>
      <c r="G57" s="39">
        <v>252</v>
      </c>
      <c r="H57" s="321">
        <f>'0664'!H57</f>
        <v>3168</v>
      </c>
      <c r="I57" s="104">
        <f t="shared" si="11"/>
        <v>6969.6</v>
      </c>
      <c r="N57" s="504"/>
      <c r="O57" s="504"/>
      <c r="P57" s="506"/>
      <c r="Q57" s="506"/>
      <c r="R57" s="42" t="s">
        <v>15</v>
      </c>
      <c r="S57" s="40">
        <v>252</v>
      </c>
      <c r="T57" s="117">
        <f t="shared" si="12"/>
        <v>3168</v>
      </c>
      <c r="U57" s="118">
        <f t="shared" si="13"/>
        <v>0</v>
      </c>
    </row>
    <row r="58" spans="1:21" ht="16.5" thickBot="1" x14ac:dyDescent="0.3">
      <c r="A58" s="460"/>
      <c r="B58" s="460"/>
      <c r="C58" s="165">
        <v>0</v>
      </c>
      <c r="D58" s="165">
        <v>0</v>
      </c>
      <c r="E58" s="125">
        <f t="shared" si="10"/>
        <v>0</v>
      </c>
      <c r="F58" s="41" t="s">
        <v>15</v>
      </c>
      <c r="G58" s="39">
        <v>253</v>
      </c>
      <c r="H58" s="321">
        <f>'0664'!H58</f>
        <v>6685</v>
      </c>
      <c r="I58" s="104">
        <f t="shared" si="11"/>
        <v>0</v>
      </c>
      <c r="N58" s="504"/>
      <c r="O58" s="504"/>
      <c r="P58" s="507"/>
      <c r="Q58" s="507"/>
      <c r="R58" s="42" t="s">
        <v>15</v>
      </c>
      <c r="S58" s="40">
        <v>253</v>
      </c>
      <c r="T58" s="117">
        <f t="shared" si="12"/>
        <v>6685</v>
      </c>
      <c r="U58" s="120">
        <f t="shared" si="13"/>
        <v>0</v>
      </c>
    </row>
    <row r="59" spans="1:21" ht="16.5" thickBot="1" x14ac:dyDescent="0.3">
      <c r="A59" s="461" t="s">
        <v>16</v>
      </c>
      <c r="B59" s="461"/>
      <c r="C59" s="100">
        <f>SUM(C50:C58)</f>
        <v>13.5</v>
      </c>
      <c r="D59" s="100">
        <f>SUM(D50:D58)</f>
        <v>16.149999999999999</v>
      </c>
      <c r="E59" s="100">
        <f>SUM(E50:E58)</f>
        <v>29.65</v>
      </c>
      <c r="F59" s="461" t="s">
        <v>77</v>
      </c>
      <c r="G59" s="461"/>
      <c r="H59" s="461"/>
      <c r="I59" s="100">
        <f>SUM(I50:I58)</f>
        <v>29890.35</v>
      </c>
      <c r="N59" s="480" t="s">
        <v>16</v>
      </c>
      <c r="O59" s="480"/>
      <c r="P59" s="502">
        <f>SUM(P50:P58)</f>
        <v>0</v>
      </c>
      <c r="Q59" s="502"/>
      <c r="R59" s="480" t="s">
        <v>77</v>
      </c>
      <c r="S59" s="480"/>
      <c r="T59" s="480"/>
      <c r="U59" s="111">
        <f>SUM(U50:U58)</f>
        <v>0</v>
      </c>
    </row>
    <row r="60" spans="1:21" x14ac:dyDescent="0.25">
      <c r="A60" s="462"/>
      <c r="B60" s="462"/>
      <c r="C60" s="462"/>
      <c r="D60" s="462"/>
      <c r="E60" s="462"/>
      <c r="F60" s="462"/>
      <c r="G60" s="462"/>
      <c r="H60" s="462"/>
      <c r="I60" s="462"/>
      <c r="N60" s="484"/>
      <c r="O60" s="484"/>
      <c r="P60" s="484"/>
      <c r="Q60" s="484"/>
      <c r="R60" s="484"/>
      <c r="S60" s="484"/>
      <c r="T60" s="484"/>
      <c r="U60" s="484"/>
    </row>
    <row r="61" spans="1:21" x14ac:dyDescent="0.25">
      <c r="A61" s="463" t="s">
        <v>136</v>
      </c>
      <c r="B61" s="453"/>
      <c r="C61" s="453"/>
      <c r="D61" s="453"/>
      <c r="E61" s="453"/>
      <c r="F61" s="453"/>
      <c r="G61" s="453"/>
      <c r="H61" s="453"/>
      <c r="I61" s="453"/>
      <c r="N61" s="479" t="s">
        <v>88</v>
      </c>
      <c r="O61" s="479"/>
      <c r="P61" s="479"/>
      <c r="Q61" s="479"/>
      <c r="R61" s="479"/>
      <c r="S61" s="479"/>
      <c r="T61" s="479"/>
      <c r="U61" s="479"/>
    </row>
    <row r="62" spans="1:21" x14ac:dyDescent="0.25">
      <c r="A62" s="463" t="s">
        <v>138</v>
      </c>
      <c r="B62" s="453"/>
      <c r="C62" s="121">
        <f>E29</f>
        <v>140.98000000000002</v>
      </c>
      <c r="D62" s="464" t="s">
        <v>135</v>
      </c>
      <c r="E62" s="464"/>
      <c r="F62" s="464"/>
      <c r="G62" s="464"/>
      <c r="H62" s="335">
        <f>'0664'!H62</f>
        <v>193340.76</v>
      </c>
      <c r="I62" s="122"/>
      <c r="N62" s="478" t="s">
        <v>312</v>
      </c>
      <c r="O62" s="479"/>
      <c r="P62" s="43">
        <f>P29</f>
        <v>0</v>
      </c>
      <c r="Q62" s="498" t="s">
        <v>78</v>
      </c>
      <c r="R62" s="498"/>
      <c r="S62" s="498"/>
      <c r="T62" s="497">
        <f>H62</f>
        <v>193340.76</v>
      </c>
      <c r="U62" s="497"/>
    </row>
    <row r="63" spans="1:21" x14ac:dyDescent="0.25">
      <c r="B63" s="72"/>
      <c r="G63" s="44" t="s">
        <v>13</v>
      </c>
      <c r="H63" s="123">
        <f>ROUND(C62/H62,6)</f>
        <v>7.2900000000000005E-4</v>
      </c>
      <c r="I63" s="124"/>
      <c r="N63" s="479" t="s">
        <v>19</v>
      </c>
      <c r="O63" s="479"/>
      <c r="P63" s="479"/>
      <c r="Q63" s="479"/>
      <c r="R63" s="479"/>
      <c r="S63" s="479"/>
      <c r="T63" s="501">
        <f>ROUND(P62/T62,6)</f>
        <v>0</v>
      </c>
      <c r="U63" s="501"/>
    </row>
    <row r="64" spans="1:21" x14ac:dyDescent="0.25">
      <c r="A64" s="463" t="s">
        <v>137</v>
      </c>
      <c r="B64" s="453"/>
      <c r="C64" s="453"/>
      <c r="D64" s="453"/>
      <c r="E64" s="453"/>
      <c r="F64" s="453"/>
      <c r="G64" s="453"/>
      <c r="H64" s="453"/>
      <c r="I64" s="453"/>
      <c r="N64" s="479" t="s">
        <v>89</v>
      </c>
      <c r="O64" s="479"/>
      <c r="P64" s="479"/>
      <c r="Q64" s="479"/>
      <c r="R64" s="479"/>
      <c r="S64" s="479"/>
      <c r="T64" s="479"/>
      <c r="U64" s="479"/>
    </row>
    <row r="65" spans="1:21" x14ac:dyDescent="0.25">
      <c r="A65" s="463" t="s">
        <v>139</v>
      </c>
      <c r="B65" s="453"/>
      <c r="C65" s="121">
        <f>E45</f>
        <v>141.8389</v>
      </c>
      <c r="D65" s="464" t="s">
        <v>140</v>
      </c>
      <c r="E65" s="464"/>
      <c r="F65" s="464"/>
      <c r="G65" s="464"/>
      <c r="H65" s="336">
        <f>'0664'!H65</f>
        <v>216845.88</v>
      </c>
      <c r="I65" s="125"/>
      <c r="N65" s="479" t="s">
        <v>80</v>
      </c>
      <c r="O65" s="479"/>
      <c r="P65" s="43">
        <f>R45</f>
        <v>0</v>
      </c>
      <c r="Q65" s="498" t="s">
        <v>79</v>
      </c>
      <c r="R65" s="498"/>
      <c r="S65" s="498"/>
      <c r="T65" s="497">
        <f>H65</f>
        <v>216845.88</v>
      </c>
      <c r="U65" s="497"/>
    </row>
    <row r="66" spans="1:21" s="37" customFormat="1" x14ac:dyDescent="0.25">
      <c r="A66" s="126"/>
      <c r="G66" s="45" t="s">
        <v>13</v>
      </c>
      <c r="H66" s="127">
        <f>ROUND(C65/H65,6)</f>
        <v>6.5399999999999996E-4</v>
      </c>
      <c r="I66" s="127"/>
      <c r="N66" s="482" t="s">
        <v>20</v>
      </c>
      <c r="O66" s="482"/>
      <c r="P66" s="482"/>
      <c r="Q66" s="482"/>
      <c r="R66" s="482"/>
      <c r="S66" s="482"/>
      <c r="T66" s="500">
        <f>ROUND(P65/T65,6)</f>
        <v>0</v>
      </c>
      <c r="U66" s="500"/>
    </row>
    <row r="67" spans="1:21" x14ac:dyDescent="0.25">
      <c r="G67" s="44"/>
      <c r="H67" s="123"/>
      <c r="I67" s="123"/>
      <c r="N67" s="48"/>
      <c r="O67" s="48"/>
      <c r="P67" s="48"/>
      <c r="Q67" s="48"/>
      <c r="R67" s="128"/>
      <c r="S67" s="48"/>
      <c r="T67" s="129"/>
      <c r="U67" s="130"/>
    </row>
    <row r="68" spans="1:21" x14ac:dyDescent="0.25">
      <c r="A68" s="453" t="s">
        <v>85</v>
      </c>
      <c r="B68" s="453"/>
      <c r="C68" s="453"/>
      <c r="D68" s="72"/>
      <c r="E68" s="46" t="s">
        <v>3</v>
      </c>
      <c r="F68" s="337">
        <f>'0664'!F68</f>
        <v>42465042</v>
      </c>
      <c r="G68" s="39" t="s">
        <v>6</v>
      </c>
      <c r="H68" s="131">
        <f>H63</f>
        <v>7.2900000000000005E-4</v>
      </c>
      <c r="I68" s="104">
        <f>ROUND(F68*H68,2)</f>
        <v>30957.02</v>
      </c>
      <c r="N68" s="479" t="s">
        <v>85</v>
      </c>
      <c r="O68" s="479"/>
      <c r="P68" s="479"/>
      <c r="Q68" s="47"/>
      <c r="R68" s="132">
        <f>F68</f>
        <v>42465042</v>
      </c>
      <c r="S68" s="40" t="s">
        <v>6</v>
      </c>
      <c r="T68" s="133">
        <f>T63</f>
        <v>0</v>
      </c>
      <c r="U68" s="99">
        <f>ROUND(R68*T68,0)</f>
        <v>0</v>
      </c>
    </row>
    <row r="69" spans="1:21" x14ac:dyDescent="0.25">
      <c r="A69" s="458" t="s">
        <v>96</v>
      </c>
      <c r="B69" s="453"/>
      <c r="C69" s="453"/>
      <c r="D69" s="72"/>
      <c r="E69" s="46"/>
      <c r="F69" s="175"/>
      <c r="G69" s="39"/>
      <c r="H69" s="131"/>
      <c r="I69" s="104"/>
      <c r="N69" s="479" t="s">
        <v>84</v>
      </c>
      <c r="O69" s="479"/>
      <c r="P69" s="479"/>
      <c r="Q69" s="54"/>
      <c r="R69" s="54"/>
      <c r="S69" s="54"/>
      <c r="T69" s="54"/>
      <c r="U69" s="54"/>
    </row>
    <row r="70" spans="1:21" x14ac:dyDescent="0.25">
      <c r="A70" s="465" t="s">
        <v>141</v>
      </c>
      <c r="B70" s="453"/>
      <c r="C70" s="453"/>
      <c r="D70" s="72"/>
      <c r="E70" s="46" t="s">
        <v>3</v>
      </c>
      <c r="F70" s="337">
        <f>'0664'!F70</f>
        <v>0</v>
      </c>
      <c r="G70" s="39" t="s">
        <v>6</v>
      </c>
      <c r="H70" s="131">
        <f>H63</f>
        <v>7.2900000000000005E-4</v>
      </c>
      <c r="I70" s="104">
        <f>ROUND(F70*H70,2)</f>
        <v>0</v>
      </c>
      <c r="N70" s="48"/>
      <c r="O70" s="48"/>
      <c r="P70" s="48"/>
      <c r="Q70" s="47"/>
      <c r="R70" s="132">
        <f>F70</f>
        <v>0</v>
      </c>
      <c r="S70" s="40" t="s">
        <v>6</v>
      </c>
      <c r="T70" s="133">
        <f>T63</f>
        <v>0</v>
      </c>
      <c r="U70" s="99">
        <f>ROUND(R70*T70,0)</f>
        <v>0</v>
      </c>
    </row>
    <row r="71" spans="1:21" x14ac:dyDescent="0.25">
      <c r="A71" s="463" t="s">
        <v>433</v>
      </c>
      <c r="B71" s="453"/>
      <c r="C71" s="453"/>
      <c r="D71" s="72"/>
      <c r="E71" s="46" t="s">
        <v>3</v>
      </c>
      <c r="F71" s="337">
        <f>'0664'!F71</f>
        <v>13414654</v>
      </c>
      <c r="G71" s="39" t="s">
        <v>6</v>
      </c>
      <c r="H71" s="131">
        <f>H63</f>
        <v>7.2900000000000005E-4</v>
      </c>
      <c r="I71" s="104">
        <f>ROUND(F71*H71,2)</f>
        <v>9779.2800000000007</v>
      </c>
      <c r="N71" s="479" t="s">
        <v>83</v>
      </c>
      <c r="O71" s="479"/>
      <c r="P71" s="479"/>
      <c r="Q71" s="47"/>
      <c r="R71" s="132">
        <f>F71</f>
        <v>13414654</v>
      </c>
      <c r="S71" s="40" t="s">
        <v>6</v>
      </c>
      <c r="T71" s="133">
        <f>T63</f>
        <v>0</v>
      </c>
      <c r="U71" s="99">
        <f>ROUND(R71*T71,0)</f>
        <v>0</v>
      </c>
    </row>
    <row r="72" spans="1:21" x14ac:dyDescent="0.25">
      <c r="A72" s="463" t="s">
        <v>434</v>
      </c>
      <c r="B72" s="453"/>
      <c r="C72" s="453"/>
      <c r="D72" s="72"/>
      <c r="E72" s="46" t="s">
        <v>3</v>
      </c>
      <c r="F72" s="337">
        <f>'0664'!F72</f>
        <v>14708421</v>
      </c>
      <c r="G72" s="39" t="s">
        <v>6</v>
      </c>
      <c r="H72" s="131">
        <f>H63</f>
        <v>7.2900000000000005E-4</v>
      </c>
      <c r="I72" s="104">
        <f>ROUND(F72*H72,2)</f>
        <v>10722.44</v>
      </c>
      <c r="N72" s="479" t="s">
        <v>82</v>
      </c>
      <c r="O72" s="479"/>
      <c r="P72" s="479"/>
      <c r="Q72" s="47"/>
      <c r="R72" s="134">
        <f>F72</f>
        <v>14708421</v>
      </c>
      <c r="S72" s="40" t="s">
        <v>6</v>
      </c>
      <c r="T72" s="133">
        <f>T63</f>
        <v>0</v>
      </c>
      <c r="U72" s="99">
        <f>ROUND(R72*T72,0)</f>
        <v>0</v>
      </c>
    </row>
    <row r="73" spans="1:21" x14ac:dyDescent="0.25">
      <c r="A73" s="263" t="s">
        <v>99</v>
      </c>
      <c r="D73" s="72"/>
      <c r="E73" s="41" t="s">
        <v>353</v>
      </c>
      <c r="F73" s="466"/>
      <c r="G73" s="466"/>
      <c r="H73" s="466"/>
      <c r="I73" s="104">
        <v>0</v>
      </c>
      <c r="N73" s="499" t="s">
        <v>118</v>
      </c>
      <c r="O73" s="499"/>
      <c r="P73" s="499"/>
      <c r="Q73" s="499"/>
      <c r="R73" s="499"/>
      <c r="S73" s="499"/>
      <c r="T73" s="499"/>
      <c r="U73" s="99">
        <f>IF($H$120=1,I73,0)</f>
        <v>0</v>
      </c>
    </row>
    <row r="74" spans="1:21" x14ac:dyDescent="0.25">
      <c r="A74" s="264" t="s">
        <v>142</v>
      </c>
      <c r="I74" s="104"/>
      <c r="N74" s="499" t="s">
        <v>43</v>
      </c>
      <c r="O74" s="499"/>
      <c r="P74" s="499"/>
      <c r="Q74" s="499"/>
      <c r="R74" s="499"/>
      <c r="S74" s="499"/>
      <c r="T74" s="499"/>
      <c r="U74" s="99">
        <f>IF($H$120=1,I74,0)</f>
        <v>0</v>
      </c>
    </row>
    <row r="75" spans="1:21" x14ac:dyDescent="0.25">
      <c r="A75" s="324" t="s">
        <v>101</v>
      </c>
      <c r="B75" s="72"/>
      <c r="C75" s="72"/>
      <c r="D75" s="72"/>
      <c r="E75" s="72"/>
      <c r="F75" s="72"/>
      <c r="G75" s="72"/>
      <c r="H75" s="72"/>
      <c r="I75" s="135"/>
      <c r="N75" s="382" t="s">
        <v>44</v>
      </c>
      <c r="O75" s="48"/>
      <c r="P75" s="48"/>
      <c r="Q75" s="48"/>
      <c r="R75" s="48"/>
      <c r="S75" s="48"/>
      <c r="T75" s="48"/>
      <c r="U75" s="106"/>
    </row>
    <row r="76" spans="1:21" x14ac:dyDescent="0.25">
      <c r="A76" s="463" t="s">
        <v>435</v>
      </c>
      <c r="B76" s="453"/>
      <c r="C76" s="453"/>
      <c r="D76" s="72"/>
      <c r="E76" s="46" t="s">
        <v>3</v>
      </c>
      <c r="F76" s="337">
        <f>'0664'!F76</f>
        <v>8720092</v>
      </c>
      <c r="G76" s="39" t="s">
        <v>6</v>
      </c>
      <c r="H76" s="131">
        <f>H63</f>
        <v>7.2900000000000005E-4</v>
      </c>
      <c r="I76" s="104">
        <f t="shared" ref="I76:I85" si="14">ROUND(F76*H76,2)</f>
        <v>6356.95</v>
      </c>
      <c r="N76" s="478" t="s">
        <v>366</v>
      </c>
      <c r="O76" s="479"/>
      <c r="P76" s="479"/>
      <c r="Q76" s="47"/>
      <c r="R76" s="134">
        <f t="shared" ref="R76:R85" si="15">F76</f>
        <v>8720092</v>
      </c>
      <c r="S76" s="40" t="s">
        <v>6</v>
      </c>
      <c r="T76" s="133">
        <f>T63</f>
        <v>0</v>
      </c>
      <c r="U76" s="99">
        <f t="shared" ref="U76:U85" si="16">ROUND(R76*T76,0)</f>
        <v>0</v>
      </c>
    </row>
    <row r="77" spans="1:21" x14ac:dyDescent="0.25">
      <c r="A77" s="463" t="s">
        <v>436</v>
      </c>
      <c r="B77" s="453"/>
      <c r="C77" s="453"/>
      <c r="D77" s="72"/>
      <c r="E77" s="46" t="s">
        <v>3</v>
      </c>
      <c r="F77" s="337">
        <f>'0664'!F77</f>
        <v>0</v>
      </c>
      <c r="G77" s="39" t="s">
        <v>6</v>
      </c>
      <c r="H77" s="131">
        <f>H63</f>
        <v>7.2900000000000005E-4</v>
      </c>
      <c r="I77" s="104">
        <f t="shared" si="14"/>
        <v>0</v>
      </c>
      <c r="N77" s="479" t="s">
        <v>367</v>
      </c>
      <c r="O77" s="479"/>
      <c r="P77" s="479"/>
      <c r="Q77" s="47"/>
      <c r="R77" s="134">
        <f t="shared" si="15"/>
        <v>0</v>
      </c>
      <c r="S77" s="40" t="s">
        <v>6</v>
      </c>
      <c r="T77" s="133">
        <f>T63</f>
        <v>0</v>
      </c>
      <c r="U77" s="99">
        <f t="shared" si="16"/>
        <v>0</v>
      </c>
    </row>
    <row r="78" spans="1:21" x14ac:dyDescent="0.25">
      <c r="A78" s="463" t="s">
        <v>437</v>
      </c>
      <c r="B78" s="453"/>
      <c r="C78" s="453"/>
      <c r="D78" s="72"/>
      <c r="E78" s="46" t="s">
        <v>4</v>
      </c>
      <c r="F78" s="337">
        <f>'0664'!F78</f>
        <v>0</v>
      </c>
      <c r="G78" s="39" t="s">
        <v>6</v>
      </c>
      <c r="H78" s="131">
        <f>H66</f>
        <v>6.5399999999999996E-4</v>
      </c>
      <c r="I78" s="104">
        <f t="shared" si="14"/>
        <v>0</v>
      </c>
      <c r="N78" s="478" t="s">
        <v>392</v>
      </c>
      <c r="O78" s="479"/>
      <c r="P78" s="479"/>
      <c r="Q78" s="47"/>
      <c r="R78" s="134">
        <f t="shared" si="15"/>
        <v>0</v>
      </c>
      <c r="S78" s="40" t="s">
        <v>6</v>
      </c>
      <c r="T78" s="133">
        <f>T66</f>
        <v>0</v>
      </c>
      <c r="U78" s="99">
        <f t="shared" si="16"/>
        <v>0</v>
      </c>
    </row>
    <row r="79" spans="1:21" x14ac:dyDescent="0.25">
      <c r="A79" s="463" t="s">
        <v>438</v>
      </c>
      <c r="B79" s="453"/>
      <c r="C79" s="453"/>
      <c r="D79" s="72"/>
      <c r="E79" s="46" t="s">
        <v>4</v>
      </c>
      <c r="F79" s="337">
        <f>'0664'!F79</f>
        <v>11278687</v>
      </c>
      <c r="G79" s="39" t="s">
        <v>6</v>
      </c>
      <c r="H79" s="131">
        <f>H66</f>
        <v>6.5399999999999996E-4</v>
      </c>
      <c r="I79" s="104">
        <f t="shared" si="14"/>
        <v>7376.26</v>
      </c>
      <c r="N79" s="478" t="s">
        <v>393</v>
      </c>
      <c r="O79" s="479"/>
      <c r="P79" s="479"/>
      <c r="Q79" s="47"/>
      <c r="R79" s="134">
        <f t="shared" si="15"/>
        <v>11278687</v>
      </c>
      <c r="S79" s="40" t="s">
        <v>6</v>
      </c>
      <c r="T79" s="133">
        <f>T66</f>
        <v>0</v>
      </c>
      <c r="U79" s="99">
        <f t="shared" si="16"/>
        <v>0</v>
      </c>
    </row>
    <row r="80" spans="1:21" x14ac:dyDescent="0.25">
      <c r="A80" s="463" t="s">
        <v>439</v>
      </c>
      <c r="B80" s="453"/>
      <c r="C80" s="453"/>
      <c r="D80" s="72"/>
      <c r="E80" s="46" t="s">
        <v>4</v>
      </c>
      <c r="F80" s="337">
        <f>'0664'!F80</f>
        <v>206284749</v>
      </c>
      <c r="G80" s="39" t="s">
        <v>6</v>
      </c>
      <c r="H80" s="131">
        <f>H66</f>
        <v>6.5399999999999996E-4</v>
      </c>
      <c r="I80" s="104">
        <f t="shared" si="14"/>
        <v>134910.23000000001</v>
      </c>
      <c r="N80" s="478" t="s">
        <v>397</v>
      </c>
      <c r="O80" s="479"/>
      <c r="P80" s="479"/>
      <c r="Q80" s="47"/>
      <c r="R80" s="134">
        <f t="shared" si="15"/>
        <v>206284749</v>
      </c>
      <c r="S80" s="40" t="s">
        <v>6</v>
      </c>
      <c r="T80" s="133">
        <f>T66</f>
        <v>0</v>
      </c>
      <c r="U80" s="99">
        <f t="shared" si="16"/>
        <v>0</v>
      </c>
    </row>
    <row r="81" spans="1:21" x14ac:dyDescent="0.25">
      <c r="A81" s="84" t="s">
        <v>440</v>
      </c>
      <c r="B81" s="72"/>
      <c r="C81" s="72"/>
      <c r="D81" s="72"/>
      <c r="E81" s="46"/>
      <c r="F81" s="337"/>
      <c r="G81" s="39"/>
      <c r="H81" s="131"/>
      <c r="I81" s="104"/>
      <c r="N81" s="419" t="s">
        <v>440</v>
      </c>
      <c r="O81" s="48"/>
      <c r="P81" s="48"/>
      <c r="Q81" s="47"/>
      <c r="R81" s="423"/>
      <c r="S81" s="40"/>
      <c r="T81" s="133"/>
      <c r="U81" s="120"/>
    </row>
    <row r="82" spans="1:21" x14ac:dyDescent="0.25">
      <c r="A82" s="264" t="s">
        <v>441</v>
      </c>
      <c r="B82" s="72"/>
      <c r="C82" s="72"/>
      <c r="D82" s="72"/>
      <c r="E82" s="46" t="s">
        <v>442</v>
      </c>
      <c r="F82" s="337">
        <f>'0664'!F82</f>
        <v>0</v>
      </c>
      <c r="G82" s="39" t="s">
        <v>6</v>
      </c>
      <c r="H82" s="131">
        <f>H66</f>
        <v>6.5399999999999996E-4</v>
      </c>
      <c r="I82" s="104">
        <v>24636.61</v>
      </c>
      <c r="N82" s="422" t="s">
        <v>441</v>
      </c>
      <c r="O82" s="48"/>
      <c r="P82" s="48"/>
      <c r="Q82" s="47"/>
      <c r="R82" s="134">
        <f t="shared" si="15"/>
        <v>0</v>
      </c>
      <c r="S82" s="40"/>
      <c r="T82" s="133"/>
      <c r="U82" s="99">
        <f t="shared" si="16"/>
        <v>0</v>
      </c>
    </row>
    <row r="83" spans="1:21" x14ac:dyDescent="0.25">
      <c r="A83" s="264" t="s">
        <v>443</v>
      </c>
      <c r="B83" s="72"/>
      <c r="C83" s="72"/>
      <c r="D83" s="72"/>
      <c r="E83" s="46" t="s">
        <v>442</v>
      </c>
      <c r="F83" s="337">
        <f>'0664'!F83</f>
        <v>0</v>
      </c>
      <c r="G83" s="39" t="s">
        <v>6</v>
      </c>
      <c r="H83" s="131">
        <f>H66</f>
        <v>6.5399999999999996E-4</v>
      </c>
      <c r="I83" s="104">
        <v>11198.46</v>
      </c>
      <c r="N83" s="422" t="s">
        <v>443</v>
      </c>
      <c r="O83" s="48"/>
      <c r="P83" s="48"/>
      <c r="Q83" s="47"/>
      <c r="R83" s="134">
        <f t="shared" si="15"/>
        <v>0</v>
      </c>
      <c r="S83" s="40"/>
      <c r="T83" s="133"/>
      <c r="U83" s="99">
        <f t="shared" si="16"/>
        <v>0</v>
      </c>
    </row>
    <row r="84" spans="1:21" x14ac:dyDescent="0.25">
      <c r="A84" s="420" t="s">
        <v>444</v>
      </c>
      <c r="B84" s="72"/>
      <c r="C84" s="72"/>
      <c r="D84" s="72"/>
      <c r="E84" s="46"/>
      <c r="F84" s="337"/>
      <c r="G84" s="39"/>
      <c r="H84" s="131"/>
      <c r="I84" s="104">
        <f>I82+I83</f>
        <v>35835.07</v>
      </c>
      <c r="N84" s="421" t="s">
        <v>444</v>
      </c>
      <c r="O84" s="48"/>
      <c r="P84" s="48"/>
      <c r="Q84" s="47"/>
      <c r="R84" s="423"/>
      <c r="S84" s="40"/>
      <c r="T84" s="133"/>
      <c r="U84" s="99">
        <f>U82+U83</f>
        <v>0</v>
      </c>
    </row>
    <row r="85" spans="1:21" x14ac:dyDescent="0.25">
      <c r="A85" s="463" t="s">
        <v>398</v>
      </c>
      <c r="B85" s="453"/>
      <c r="C85" s="453"/>
      <c r="D85" s="72"/>
      <c r="E85" s="46" t="s">
        <v>4</v>
      </c>
      <c r="F85" s="337">
        <f>'0664'!F85</f>
        <v>0</v>
      </c>
      <c r="G85" s="39" t="s">
        <v>6</v>
      </c>
      <c r="H85" s="131">
        <f>H66</f>
        <v>6.5399999999999996E-4</v>
      </c>
      <c r="I85" s="104">
        <f t="shared" si="14"/>
        <v>0</v>
      </c>
      <c r="N85" s="478" t="s">
        <v>398</v>
      </c>
      <c r="O85" s="479"/>
      <c r="P85" s="479"/>
      <c r="Q85" s="47"/>
      <c r="R85" s="132">
        <f t="shared" si="15"/>
        <v>0</v>
      </c>
      <c r="S85" s="40" t="s">
        <v>6</v>
      </c>
      <c r="T85" s="133">
        <f>T66</f>
        <v>0</v>
      </c>
      <c r="U85" s="99">
        <f t="shared" si="16"/>
        <v>0</v>
      </c>
    </row>
    <row r="86" spans="1:21" x14ac:dyDescent="0.25">
      <c r="B86" s="72"/>
      <c r="C86" s="72"/>
      <c r="D86" s="72"/>
      <c r="E86" s="46"/>
      <c r="F86" s="136"/>
      <c r="G86" s="39"/>
      <c r="H86" s="131"/>
      <c r="I86" s="104"/>
      <c r="N86" s="48"/>
      <c r="O86" s="48"/>
      <c r="P86" s="48"/>
      <c r="Q86" s="47"/>
      <c r="R86" s="137"/>
      <c r="S86" s="40"/>
      <c r="T86" s="133"/>
      <c r="U86" s="106"/>
    </row>
    <row r="87" spans="1:21" x14ac:dyDescent="0.25">
      <c r="A87" s="463" t="s">
        <v>445</v>
      </c>
      <c r="B87" s="453"/>
      <c r="C87" s="453"/>
      <c r="D87" s="453"/>
      <c r="E87" s="453"/>
      <c r="F87" s="453"/>
      <c r="G87" s="453"/>
      <c r="H87" s="453"/>
      <c r="I87" s="453"/>
      <c r="N87" s="478" t="s">
        <v>429</v>
      </c>
      <c r="O87" s="479"/>
      <c r="P87" s="479"/>
      <c r="Q87" s="479"/>
      <c r="R87" s="479"/>
      <c r="S87" s="479"/>
      <c r="T87" s="479"/>
      <c r="U87" s="479"/>
    </row>
    <row r="88" spans="1:21" x14ac:dyDescent="0.25">
      <c r="B88" s="72"/>
      <c r="C88" s="466" t="s">
        <v>73</v>
      </c>
      <c r="D88" s="466"/>
      <c r="E88" s="72"/>
      <c r="F88" s="41" t="s">
        <v>37</v>
      </c>
      <c r="G88" s="72"/>
      <c r="H88" s="72"/>
      <c r="I88" s="72"/>
      <c r="N88" s="48"/>
      <c r="O88" s="48"/>
      <c r="P88" s="48"/>
      <c r="Q88" s="48"/>
      <c r="R88" s="48"/>
      <c r="S88" s="48"/>
      <c r="T88" s="48"/>
      <c r="U88" s="48"/>
    </row>
    <row r="89" spans="1:21" x14ac:dyDescent="0.25">
      <c r="A89" s="3"/>
      <c r="B89" s="138"/>
      <c r="C89" s="462" t="s">
        <v>144</v>
      </c>
      <c r="D89" s="462"/>
      <c r="E89" s="139" t="s">
        <v>150</v>
      </c>
      <c r="F89" s="140" t="s">
        <v>149</v>
      </c>
      <c r="G89" s="141"/>
      <c r="H89" s="141"/>
      <c r="I89" s="141"/>
      <c r="N89" s="495" t="s">
        <v>46</v>
      </c>
      <c r="O89" s="495"/>
      <c r="P89" s="496" t="s">
        <v>119</v>
      </c>
      <c r="Q89" s="496"/>
      <c r="R89" s="497" t="s">
        <v>40</v>
      </c>
      <c r="S89" s="497"/>
      <c r="T89" s="497"/>
      <c r="U89" s="497"/>
    </row>
    <row r="90" spans="1:21" x14ac:dyDescent="0.25">
      <c r="A90" s="27"/>
      <c r="B90" s="55" t="s">
        <v>148</v>
      </c>
      <c r="C90" s="467">
        <f>H13+H14+H19+H22+H25</f>
        <v>0</v>
      </c>
      <c r="D90" s="467"/>
      <c r="E90" s="49">
        <f>H8</f>
        <v>1.0438000000000001</v>
      </c>
      <c r="F90" s="338">
        <f>'0664'!F90</f>
        <v>957.94</v>
      </c>
      <c r="G90" s="41" t="s">
        <v>13</v>
      </c>
      <c r="H90" s="104">
        <f>ROUND(C90*E90*F90,2)</f>
        <v>0</v>
      </c>
      <c r="I90" s="107"/>
      <c r="N90" s="29" t="s">
        <v>22</v>
      </c>
      <c r="O90" s="50">
        <f>T13+T14+T19+T22+T25</f>
        <v>0</v>
      </c>
      <c r="P90" s="490">
        <f>T8</f>
        <v>1.0438000000000001</v>
      </c>
      <c r="Q90" s="490"/>
      <c r="R90" s="51">
        <f>F90</f>
        <v>957.94</v>
      </c>
      <c r="S90" s="42" t="s">
        <v>13</v>
      </c>
      <c r="T90" s="134">
        <f>ROUND(O90*P90*R90,0)</f>
        <v>0</v>
      </c>
      <c r="U90" s="105"/>
    </row>
    <row r="91" spans="1:21" x14ac:dyDescent="0.25">
      <c r="A91" s="52"/>
      <c r="B91" s="52" t="s">
        <v>147</v>
      </c>
      <c r="C91" s="467">
        <f>H15+H16+H20+H23+H26</f>
        <v>0</v>
      </c>
      <c r="D91" s="467"/>
      <c r="E91" s="49">
        <f>H8</f>
        <v>1.0438000000000001</v>
      </c>
      <c r="F91" s="338">
        <f>'0664'!F91</f>
        <v>914.63</v>
      </c>
      <c r="G91" s="41" t="s">
        <v>13</v>
      </c>
      <c r="H91" s="104">
        <f>ROUND(C91*E91*F91,2)</f>
        <v>0</v>
      </c>
      <c r="N91" s="53" t="s">
        <v>14</v>
      </c>
      <c r="O91" s="50">
        <f>T15+T16+T20+T23+T26</f>
        <v>0</v>
      </c>
      <c r="P91" s="490">
        <f>T8</f>
        <v>1.0438000000000001</v>
      </c>
      <c r="Q91" s="490"/>
      <c r="R91" s="51">
        <f>F91</f>
        <v>914.63</v>
      </c>
      <c r="S91" s="42" t="s">
        <v>13</v>
      </c>
      <c r="T91" s="134">
        <f>ROUND(O91*P91*R91,0)</f>
        <v>0</v>
      </c>
      <c r="U91" s="54"/>
    </row>
    <row r="92" spans="1:21" ht="16.5" thickBot="1" x14ac:dyDescent="0.3">
      <c r="A92" s="55"/>
      <c r="B92" s="55" t="s">
        <v>146</v>
      </c>
      <c r="C92" s="467">
        <f>H17+H18+H21+H24+H27+H28</f>
        <v>141.8389</v>
      </c>
      <c r="D92" s="467"/>
      <c r="E92" s="49">
        <f>H8</f>
        <v>1.0438000000000001</v>
      </c>
      <c r="F92" s="338">
        <f>'0664'!F92</f>
        <v>916.84</v>
      </c>
      <c r="G92" s="41" t="s">
        <v>13</v>
      </c>
      <c r="H92" s="97">
        <f>ROUND(C92*E92*F92,2)</f>
        <v>135739.49</v>
      </c>
      <c r="N92" s="56" t="s">
        <v>15</v>
      </c>
      <c r="O92" s="57">
        <f>T17+T18+T21+T24+T27+T28</f>
        <v>0</v>
      </c>
      <c r="P92" s="490">
        <f>T8</f>
        <v>1.0438000000000001</v>
      </c>
      <c r="Q92" s="490"/>
      <c r="R92" s="51">
        <f>F92</f>
        <v>916.84</v>
      </c>
      <c r="S92" s="42" t="s">
        <v>13</v>
      </c>
      <c r="T92" s="134">
        <f>ROUND(O92*P92*R92,0)</f>
        <v>0</v>
      </c>
      <c r="U92" s="54"/>
    </row>
    <row r="93" spans="1:21" ht="16.5" thickBot="1" x14ac:dyDescent="0.3">
      <c r="A93" s="58"/>
      <c r="B93" s="142" t="s">
        <v>145</v>
      </c>
      <c r="C93" s="469">
        <f>SUM(C90:C92)</f>
        <v>141.8389</v>
      </c>
      <c r="D93" s="469"/>
      <c r="E93" s="143"/>
      <c r="F93" s="143"/>
      <c r="G93" s="143"/>
      <c r="H93" s="144" t="s">
        <v>143</v>
      </c>
      <c r="I93" s="104">
        <f>IF(A1=75,0,H92+H91+H90)</f>
        <v>135739.49</v>
      </c>
      <c r="N93" s="59" t="s">
        <v>120</v>
      </c>
      <c r="O93" s="60">
        <f>SUM(O90:O92)</f>
        <v>0</v>
      </c>
      <c r="P93" s="491" t="s">
        <v>18</v>
      </c>
      <c r="Q93" s="492"/>
      <c r="R93" s="492"/>
      <c r="S93" s="492"/>
      <c r="T93" s="492"/>
      <c r="U93" s="99">
        <f>IF(N1=75,0,T92+T91+T90)</f>
        <v>0</v>
      </c>
    </row>
    <row r="94" spans="1:21" ht="16.5" thickTop="1" x14ac:dyDescent="0.25">
      <c r="A94" s="540" t="s">
        <v>90</v>
      </c>
      <c r="B94" s="540"/>
      <c r="C94" s="540"/>
      <c r="D94" s="540"/>
      <c r="E94" s="540"/>
      <c r="F94" s="540"/>
      <c r="G94" s="540"/>
      <c r="H94" s="540"/>
      <c r="I94" s="540"/>
      <c r="N94" s="493" t="s">
        <v>90</v>
      </c>
      <c r="O94" s="493"/>
      <c r="P94" s="493"/>
      <c r="Q94" s="493"/>
      <c r="R94" s="493"/>
      <c r="S94" s="493"/>
      <c r="T94" s="493"/>
      <c r="U94" s="493"/>
    </row>
    <row r="95" spans="1:21" x14ac:dyDescent="0.25">
      <c r="A95" s="145"/>
      <c r="B95" s="145"/>
      <c r="C95" s="145"/>
      <c r="D95" s="145"/>
      <c r="E95" s="145"/>
      <c r="F95" s="145"/>
      <c r="G95" s="145"/>
      <c r="H95" s="145"/>
      <c r="I95" s="145"/>
      <c r="N95" s="146"/>
      <c r="O95" s="146"/>
      <c r="P95" s="146"/>
      <c r="Q95" s="146"/>
      <c r="R95" s="146"/>
      <c r="S95" s="146"/>
      <c r="T95" s="146"/>
      <c r="U95" s="146"/>
    </row>
    <row r="96" spans="1:21" x14ac:dyDescent="0.25">
      <c r="A96" s="84" t="s">
        <v>446</v>
      </c>
      <c r="C96" s="46"/>
      <c r="D96" s="72"/>
      <c r="E96" s="46" t="s">
        <v>100</v>
      </c>
      <c r="F96" s="471"/>
      <c r="G96" s="471"/>
      <c r="H96" s="471"/>
      <c r="I96" s="471"/>
      <c r="N96" s="478" t="s">
        <v>426</v>
      </c>
      <c r="O96" s="479"/>
      <c r="P96" s="479"/>
      <c r="Q96" s="494"/>
      <c r="R96" s="494"/>
      <c r="S96" s="494"/>
      <c r="T96" s="494"/>
      <c r="U96" s="106"/>
    </row>
    <row r="97" spans="1:21" x14ac:dyDescent="0.25">
      <c r="B97" s="72"/>
      <c r="C97" s="91" t="s">
        <v>409</v>
      </c>
      <c r="D97" s="371" t="s">
        <v>410</v>
      </c>
      <c r="E97" s="92" t="s">
        <v>151</v>
      </c>
      <c r="F97" s="46"/>
      <c r="G97" s="46"/>
      <c r="H97" s="46"/>
      <c r="I97" s="46"/>
      <c r="N97" s="48"/>
      <c r="O97" s="48"/>
      <c r="P97" s="48"/>
      <c r="Q97" s="147"/>
      <c r="R97" s="147"/>
      <c r="S97" s="147"/>
      <c r="T97" s="147"/>
      <c r="U97" s="106"/>
    </row>
    <row r="98" spans="1:21" x14ac:dyDescent="0.25">
      <c r="B98" s="72"/>
      <c r="C98" s="362" t="s">
        <v>2</v>
      </c>
      <c r="D98" s="362" t="s">
        <v>2</v>
      </c>
      <c r="E98" s="362" t="s">
        <v>2</v>
      </c>
      <c r="F98" s="46"/>
      <c r="G98" s="46"/>
      <c r="H98" s="46"/>
      <c r="I98" s="46"/>
      <c r="N98" s="48"/>
      <c r="O98" s="48"/>
      <c r="P98" s="48"/>
      <c r="Q98" s="147"/>
      <c r="R98" s="147"/>
      <c r="S98" s="147"/>
      <c r="T98" s="147"/>
      <c r="U98" s="106"/>
    </row>
    <row r="99" spans="1:21" x14ac:dyDescent="0.25">
      <c r="A99" s="536" t="s">
        <v>470</v>
      </c>
      <c r="B99" s="461"/>
      <c r="C99" s="165">
        <v>33</v>
      </c>
      <c r="D99" s="165">
        <v>0</v>
      </c>
      <c r="E99" s="166">
        <f>C99</f>
        <v>33</v>
      </c>
      <c r="F99" s="148" t="s">
        <v>39</v>
      </c>
      <c r="G99" s="339">
        <f>'0664'!G99</f>
        <v>558</v>
      </c>
      <c r="I99" s="104">
        <f>ROUND(G99*E99,2)</f>
        <v>18414</v>
      </c>
      <c r="N99" s="488" t="s">
        <v>65</v>
      </c>
      <c r="O99" s="488"/>
      <c r="P99" s="489">
        <f>IF(H120=1,E99,0)</f>
        <v>0</v>
      </c>
      <c r="Q99" s="489"/>
      <c r="R99" s="489"/>
      <c r="S99" s="86" t="s">
        <v>39</v>
      </c>
      <c r="T99" s="61">
        <f>G99</f>
        <v>558</v>
      </c>
      <c r="U99" s="99">
        <f>ROUND(T99*P99,0)</f>
        <v>0</v>
      </c>
    </row>
    <row r="100" spans="1:21" x14ac:dyDescent="0.25">
      <c r="A100" s="536" t="s">
        <v>471</v>
      </c>
      <c r="B100" s="461"/>
      <c r="C100" s="165">
        <v>0</v>
      </c>
      <c r="D100" s="165">
        <v>0</v>
      </c>
      <c r="E100" s="166">
        <f>C100</f>
        <v>0</v>
      </c>
      <c r="F100" s="148" t="s">
        <v>39</v>
      </c>
      <c r="G100" s="339">
        <f>'0664'!G100</f>
        <v>1707</v>
      </c>
      <c r="I100" s="104">
        <f>ROUND(G100*E100,2)</f>
        <v>0</v>
      </c>
      <c r="N100" s="488" t="s">
        <v>81</v>
      </c>
      <c r="O100" s="488"/>
      <c r="P100" s="483"/>
      <c r="Q100" s="483"/>
      <c r="R100" s="483"/>
      <c r="S100" s="86" t="s">
        <v>39</v>
      </c>
      <c r="T100" s="61">
        <f>G100</f>
        <v>1707</v>
      </c>
      <c r="U100" s="99">
        <f>ROUND(T100*P100,0)</f>
        <v>0</v>
      </c>
    </row>
    <row r="101" spans="1:21" x14ac:dyDescent="0.25">
      <c r="A101" s="149"/>
      <c r="B101" s="149"/>
      <c r="C101" s="68"/>
      <c r="D101" s="68"/>
      <c r="E101" s="68"/>
      <c r="F101" s="68"/>
      <c r="G101" s="150"/>
      <c r="H101" s="151"/>
      <c r="I101" s="104"/>
      <c r="N101" s="152"/>
      <c r="O101" s="152"/>
      <c r="P101" s="153"/>
      <c r="Q101" s="153"/>
      <c r="R101" s="153"/>
      <c r="S101" s="86"/>
      <c r="T101" s="61"/>
      <c r="U101" s="106"/>
    </row>
    <row r="102" spans="1:21" x14ac:dyDescent="0.25">
      <c r="A102" s="149"/>
      <c r="B102" s="149"/>
      <c r="C102" s="68"/>
      <c r="D102" s="68"/>
      <c r="E102" s="68"/>
      <c r="F102" s="68"/>
      <c r="G102" s="150"/>
      <c r="H102" s="151"/>
      <c r="I102" s="104"/>
      <c r="N102" s="152"/>
      <c r="O102" s="152"/>
      <c r="P102" s="153"/>
      <c r="Q102" s="153"/>
      <c r="R102" s="153"/>
      <c r="S102" s="86"/>
      <c r="T102" s="61"/>
      <c r="U102" s="106"/>
    </row>
    <row r="103" spans="1:21" hidden="1" x14ac:dyDescent="0.25">
      <c r="A103" s="463" t="s">
        <v>447</v>
      </c>
      <c r="B103" s="453"/>
      <c r="C103" s="453"/>
      <c r="D103" s="72"/>
      <c r="E103" s="41" t="s">
        <v>41</v>
      </c>
      <c r="F103" s="466"/>
      <c r="G103" s="466"/>
      <c r="H103" s="466"/>
      <c r="I103" s="466"/>
      <c r="N103" s="478" t="s">
        <v>362</v>
      </c>
      <c r="O103" s="479"/>
      <c r="P103" s="479"/>
      <c r="Q103" s="479"/>
      <c r="R103" s="479"/>
      <c r="S103" s="479"/>
      <c r="T103" s="479"/>
      <c r="U103" s="479"/>
    </row>
    <row r="104" spans="1:21" hidden="1" x14ac:dyDescent="0.25">
      <c r="B104" s="72"/>
      <c r="C104" s="462" t="s">
        <v>91</v>
      </c>
      <c r="D104" s="462"/>
      <c r="E104" s="462"/>
      <c r="F104" s="39"/>
      <c r="G104" s="39"/>
      <c r="H104" s="41" t="s">
        <v>152</v>
      </c>
      <c r="I104" s="39"/>
      <c r="N104" s="48"/>
      <c r="O104" s="48"/>
      <c r="P104" s="48"/>
      <c r="Q104" s="48"/>
      <c r="R104" s="48"/>
      <c r="S104" s="48"/>
      <c r="T104" s="48"/>
      <c r="U104" s="48"/>
    </row>
    <row r="105" spans="1:21" hidden="1" x14ac:dyDescent="0.25">
      <c r="B105" s="72"/>
      <c r="C105" s="91" t="s">
        <v>371</v>
      </c>
      <c r="D105" s="91" t="s">
        <v>351</v>
      </c>
      <c r="E105" s="159" t="s">
        <v>8</v>
      </c>
      <c r="F105" s="464" t="s">
        <v>153</v>
      </c>
      <c r="G105" s="466"/>
      <c r="H105" s="39" t="s">
        <v>38</v>
      </c>
      <c r="I105" s="39"/>
      <c r="N105" s="48"/>
      <c r="O105" s="48"/>
      <c r="P105" s="48"/>
      <c r="Q105" s="48"/>
      <c r="R105" s="48"/>
      <c r="S105" s="48"/>
      <c r="T105" s="48"/>
      <c r="U105" s="48"/>
    </row>
    <row r="106" spans="1:21" hidden="1" x14ac:dyDescent="0.25">
      <c r="A106" s="462" t="s">
        <v>94</v>
      </c>
      <c r="B106" s="462"/>
      <c r="C106" s="93" t="s">
        <v>2</v>
      </c>
      <c r="D106" s="93" t="s">
        <v>2</v>
      </c>
      <c r="E106" s="62" t="s">
        <v>2</v>
      </c>
      <c r="F106" s="462" t="s">
        <v>37</v>
      </c>
      <c r="G106" s="462"/>
      <c r="H106" s="62" t="s">
        <v>37</v>
      </c>
      <c r="I106" s="62" t="s">
        <v>8</v>
      </c>
      <c r="N106" s="484" t="s">
        <v>66</v>
      </c>
      <c r="O106" s="484"/>
      <c r="P106" s="489" t="s">
        <v>91</v>
      </c>
      <c r="Q106" s="489"/>
      <c r="R106" s="484" t="s">
        <v>67</v>
      </c>
      <c r="S106" s="484"/>
      <c r="T106" s="63" t="s">
        <v>68</v>
      </c>
      <c r="U106" s="63" t="s">
        <v>8</v>
      </c>
    </row>
    <row r="107" spans="1:21" hidden="1" x14ac:dyDescent="0.25">
      <c r="A107" s="473" t="s">
        <v>69</v>
      </c>
      <c r="B107" s="473"/>
      <c r="C107" s="163">
        <v>0</v>
      </c>
      <c r="D107" s="163">
        <v>0</v>
      </c>
      <c r="E107" s="164">
        <f>IF(D$59=0,C107*2,C107+D107)</f>
        <v>0</v>
      </c>
      <c r="F107" s="543">
        <v>0</v>
      </c>
      <c r="G107" s="543"/>
      <c r="H107" s="64">
        <f>IF(C107=0,0,125)</f>
        <v>0</v>
      </c>
      <c r="I107" s="104">
        <f>ROUND((H107+F107)*E107,2)</f>
        <v>0</v>
      </c>
      <c r="N107" s="479" t="s">
        <v>69</v>
      </c>
      <c r="O107" s="479"/>
      <c r="P107" s="483">
        <f>IF(H$120=1,C107,0)</f>
        <v>0</v>
      </c>
      <c r="Q107" s="483"/>
      <c r="R107" s="486">
        <f>F107</f>
        <v>0</v>
      </c>
      <c r="S107" s="486"/>
      <c r="T107" s="65">
        <f>H107</f>
        <v>0</v>
      </c>
      <c r="U107" s="99">
        <f>ROUND((T107+R107)*P107,0)</f>
        <v>0</v>
      </c>
    </row>
    <row r="108" spans="1:21" hidden="1" x14ac:dyDescent="0.25">
      <c r="A108" s="456" t="s">
        <v>70</v>
      </c>
      <c r="B108" s="456"/>
      <c r="C108" s="165">
        <v>0</v>
      </c>
      <c r="D108" s="165">
        <v>0</v>
      </c>
      <c r="E108" s="166">
        <f>IF(D$59=0,C108*2,C108+D108)</f>
        <v>0</v>
      </c>
      <c r="F108" s="468">
        <f>ROUND(F107/2,2)</f>
        <v>0</v>
      </c>
      <c r="G108" s="468"/>
      <c r="H108" s="64">
        <f>IF(C108=0,0,62.5)</f>
        <v>0</v>
      </c>
      <c r="I108" s="104">
        <f>ROUND((H108+F108)*E108,2)</f>
        <v>0</v>
      </c>
      <c r="N108" s="479" t="s">
        <v>70</v>
      </c>
      <c r="O108" s="479"/>
      <c r="P108" s="483">
        <f>IF(H$120=1,C108,0)</f>
        <v>0</v>
      </c>
      <c r="Q108" s="483"/>
      <c r="R108" s="487">
        <f>ROUND(R107/2,2)</f>
        <v>0</v>
      </c>
      <c r="S108" s="487"/>
      <c r="T108" s="65">
        <f>H108</f>
        <v>0</v>
      </c>
      <c r="U108" s="99">
        <f>ROUND((T108+R108)*P108,0)</f>
        <v>0</v>
      </c>
    </row>
    <row r="109" spans="1:21" ht="16.5" hidden="1" thickBot="1" x14ac:dyDescent="0.3">
      <c r="A109" s="456" t="s">
        <v>71</v>
      </c>
      <c r="B109" s="456"/>
      <c r="C109" s="165">
        <v>0</v>
      </c>
      <c r="D109" s="165">
        <v>0</v>
      </c>
      <c r="E109" s="166">
        <f>IF(D$59=0,C109*2,C109+D109)</f>
        <v>0</v>
      </c>
      <c r="F109" s="475"/>
      <c r="G109" s="475"/>
      <c r="H109" s="66">
        <f>IF(H107&gt;0,436,0)</f>
        <v>0</v>
      </c>
      <c r="I109" s="104">
        <f>ROUND(H109*E109,2)</f>
        <v>0</v>
      </c>
      <c r="N109" s="482" t="s">
        <v>71</v>
      </c>
      <c r="O109" s="482"/>
      <c r="P109" s="483">
        <f>IF(H$120=1,C109,0)</f>
        <v>0</v>
      </c>
      <c r="Q109" s="483"/>
      <c r="R109" s="484"/>
      <c r="S109" s="484"/>
      <c r="T109" s="67">
        <f>H109</f>
        <v>0</v>
      </c>
      <c r="U109" s="106">
        <f>ROUND(T109*P109,0)</f>
        <v>0</v>
      </c>
    </row>
    <row r="110" spans="1:21" ht="16.5" hidden="1" thickBot="1" x14ac:dyDescent="0.3">
      <c r="A110" s="466" t="s">
        <v>8</v>
      </c>
      <c r="B110" s="466"/>
      <c r="C110" s="68"/>
      <c r="D110" s="68"/>
      <c r="E110" s="68"/>
      <c r="F110" s="68"/>
      <c r="G110" s="68"/>
      <c r="H110" s="68"/>
      <c r="I110" s="100">
        <f>SUM(I107:I109)</f>
        <v>0</v>
      </c>
      <c r="N110" s="485" t="s">
        <v>8</v>
      </c>
      <c r="O110" s="485"/>
      <c r="P110" s="69"/>
      <c r="Q110" s="69"/>
      <c r="R110" s="69"/>
      <c r="S110" s="69"/>
      <c r="T110" s="69"/>
      <c r="U110" s="70">
        <f>SUM(U107:U109)</f>
        <v>0</v>
      </c>
    </row>
    <row r="111" spans="1:21" hidden="1" x14ac:dyDescent="0.25">
      <c r="A111" s="39"/>
      <c r="B111" s="39"/>
      <c r="C111" s="68"/>
      <c r="D111" s="68"/>
      <c r="E111" s="68"/>
      <c r="F111" s="68"/>
      <c r="G111" s="68"/>
      <c r="H111" s="68"/>
      <c r="I111" s="104"/>
      <c r="N111" s="40"/>
      <c r="O111" s="40"/>
      <c r="P111" s="69"/>
      <c r="Q111" s="69"/>
      <c r="R111" s="69"/>
      <c r="S111" s="69"/>
      <c r="T111" s="69"/>
      <c r="U111" s="160"/>
    </row>
    <row r="112" spans="1:21" x14ac:dyDescent="0.25">
      <c r="A112" s="463" t="s">
        <v>448</v>
      </c>
      <c r="B112" s="453"/>
      <c r="C112" s="453"/>
      <c r="D112" s="72"/>
      <c r="E112" s="71" t="s">
        <v>354</v>
      </c>
      <c r="F112" s="472"/>
      <c r="G112" s="472"/>
      <c r="H112" s="472"/>
      <c r="I112" s="125">
        <v>0</v>
      </c>
      <c r="N112" s="478" t="s">
        <v>427</v>
      </c>
      <c r="O112" s="479"/>
      <c r="P112" s="479"/>
      <c r="Q112" s="341"/>
      <c r="R112" s="341"/>
      <c r="S112" s="341"/>
      <c r="T112" s="341"/>
      <c r="U112" s="99">
        <f>IF($H$120=1,I112,0)</f>
        <v>0</v>
      </c>
    </row>
    <row r="113" spans="1:21" x14ac:dyDescent="0.25">
      <c r="A113" s="463" t="s">
        <v>449</v>
      </c>
      <c r="B113" s="453"/>
      <c r="C113" s="453"/>
      <c r="D113" s="72"/>
      <c r="E113" s="71" t="s">
        <v>45</v>
      </c>
      <c r="F113" s="472"/>
      <c r="G113" s="472"/>
      <c r="H113" s="472"/>
      <c r="I113" s="177">
        <v>0</v>
      </c>
      <c r="N113" s="478" t="s">
        <v>428</v>
      </c>
      <c r="O113" s="479"/>
      <c r="P113" s="479"/>
      <c r="Q113" s="341"/>
      <c r="R113" s="341"/>
      <c r="S113" s="341"/>
      <c r="T113" s="341"/>
      <c r="U113" s="99">
        <f>IF($H$120=1,I113,0)</f>
        <v>0</v>
      </c>
    </row>
    <row r="114" spans="1:21" ht="16.5" thickBot="1" x14ac:dyDescent="0.3">
      <c r="B114" s="72"/>
      <c r="C114" s="72"/>
      <c r="D114" s="72"/>
      <c r="E114" s="71"/>
      <c r="F114" s="71"/>
      <c r="G114" s="71"/>
      <c r="H114" s="71"/>
      <c r="I114" s="125"/>
      <c r="N114" s="480" t="s">
        <v>42</v>
      </c>
      <c r="O114" s="480"/>
      <c r="P114" s="480"/>
      <c r="Q114" s="480"/>
      <c r="R114" s="480"/>
      <c r="S114" s="480"/>
      <c r="T114" s="480"/>
      <c r="U114" s="154">
        <f>SUM(U112,U110,U100,U99,U93,U77,U76,U74,U73,U72,U71,U70,U68,U59,U45,U78,U79,U80,U85,U113)</f>
        <v>0</v>
      </c>
    </row>
    <row r="115" spans="1:21" ht="16.5" thickTop="1" x14ac:dyDescent="0.25">
      <c r="A115" s="461" t="s">
        <v>8</v>
      </c>
      <c r="B115" s="461"/>
      <c r="C115" s="461"/>
      <c r="D115" s="461"/>
      <c r="E115" s="461"/>
      <c r="F115" s="461"/>
      <c r="G115" s="461"/>
      <c r="H115" s="461"/>
      <c r="I115" s="97">
        <f>SUM(I113,I112,I110,I100,I99,I93,I85,I84,I80,I79,I78,I77,I76,I74,I73,I72,I71,I70,I68,I59,I45)</f>
        <v>1099152.28</v>
      </c>
      <c r="N115" s="29"/>
      <c r="O115" s="29"/>
      <c r="P115" s="29"/>
      <c r="Q115" s="29"/>
      <c r="R115" s="29"/>
      <c r="S115" s="29"/>
      <c r="T115" s="29"/>
      <c r="U115" s="160"/>
    </row>
    <row r="116" spans="1:21" x14ac:dyDescent="0.25">
      <c r="A116" s="27"/>
      <c r="B116" s="27"/>
      <c r="C116" s="27"/>
      <c r="D116" s="27"/>
      <c r="E116" s="27"/>
      <c r="F116" s="27"/>
      <c r="G116" s="27"/>
      <c r="H116" s="27"/>
      <c r="I116" s="104"/>
      <c r="N116" s="29"/>
      <c r="O116" s="29"/>
      <c r="P116" s="29"/>
      <c r="Q116" s="29"/>
      <c r="R116" s="29"/>
      <c r="S116" s="29"/>
      <c r="T116" s="29"/>
      <c r="U116" s="160"/>
    </row>
    <row r="117" spans="1:21" x14ac:dyDescent="0.25">
      <c r="A117" s="432" t="s">
        <v>467</v>
      </c>
      <c r="B117" s="27"/>
      <c r="C117" s="27"/>
      <c r="D117" s="27"/>
      <c r="E117" s="27"/>
      <c r="F117" s="27"/>
      <c r="G117" s="27"/>
      <c r="H117" s="27"/>
      <c r="I117" s="104">
        <f>I115-I84</f>
        <v>1063317.21</v>
      </c>
      <c r="N117" s="29"/>
      <c r="O117" s="29"/>
      <c r="P117" s="29"/>
      <c r="Q117" s="29"/>
      <c r="R117" s="29"/>
      <c r="S117" s="29"/>
      <c r="T117" s="29"/>
      <c r="U117" s="160"/>
    </row>
    <row r="118" spans="1:21" x14ac:dyDescent="0.25">
      <c r="A118" s="27"/>
      <c r="B118" s="27"/>
      <c r="C118" s="27"/>
      <c r="D118" s="27"/>
      <c r="E118" s="27"/>
      <c r="F118" s="27"/>
      <c r="G118" s="27"/>
      <c r="H118" s="27"/>
      <c r="I118" s="104"/>
      <c r="N118" s="29"/>
      <c r="O118" s="29"/>
      <c r="P118" s="29"/>
      <c r="Q118" s="29"/>
      <c r="R118" s="29"/>
      <c r="S118" s="29"/>
      <c r="T118" s="29"/>
      <c r="U118" s="160"/>
    </row>
    <row r="119" spans="1:21" x14ac:dyDescent="0.25">
      <c r="A119" s="463" t="s">
        <v>468</v>
      </c>
      <c r="B119" s="453"/>
      <c r="C119" s="453"/>
      <c r="D119" s="453"/>
      <c r="E119" s="453"/>
      <c r="F119" s="453"/>
      <c r="G119" s="453"/>
      <c r="H119" s="84" t="s">
        <v>394</v>
      </c>
      <c r="I119" s="156"/>
      <c r="N119" s="481"/>
      <c r="O119" s="481"/>
      <c r="P119" s="481"/>
      <c r="Q119" s="481"/>
      <c r="R119" s="481"/>
      <c r="S119" s="481"/>
      <c r="T119" s="481"/>
      <c r="U119" s="481"/>
    </row>
    <row r="120" spans="1:21" x14ac:dyDescent="0.25">
      <c r="A120" s="453" t="s">
        <v>95</v>
      </c>
      <c r="B120" s="453"/>
      <c r="C120" s="453"/>
      <c r="D120" s="453"/>
      <c r="E120" s="453"/>
      <c r="F120" s="453"/>
      <c r="G120" s="453"/>
      <c r="H120" s="73" t="str">
        <f>IF(E29=0,"",IF((E14+E16+SUM(E18:E24))/E29&gt;0.75,1,""))</f>
        <v/>
      </c>
      <c r="I120" s="125">
        <f>U114</f>
        <v>0</v>
      </c>
      <c r="N120" s="476" t="s">
        <v>7</v>
      </c>
      <c r="O120" s="476"/>
      <c r="P120" s="476"/>
      <c r="Q120" s="476"/>
      <c r="R120" s="476"/>
      <c r="S120" s="476"/>
      <c r="T120" s="476"/>
      <c r="U120" s="476"/>
    </row>
    <row r="121" spans="1:21" x14ac:dyDescent="0.25">
      <c r="B121" s="72"/>
      <c r="C121" s="72"/>
      <c r="D121" s="72"/>
      <c r="E121" s="72"/>
      <c r="F121" s="72"/>
      <c r="G121" s="72"/>
      <c r="H121" s="68"/>
      <c r="I121" s="104"/>
      <c r="N121" s="74" t="s">
        <v>106</v>
      </c>
      <c r="O121" s="74"/>
      <c r="P121" s="74"/>
      <c r="Q121" s="74"/>
      <c r="R121" s="74"/>
      <c r="S121" s="74"/>
      <c r="T121" s="74"/>
      <c r="U121" s="74"/>
    </row>
    <row r="122" spans="1:21" x14ac:dyDescent="0.25">
      <c r="A122" s="3" t="s">
        <v>102</v>
      </c>
      <c r="B122" s="72"/>
      <c r="C122" s="72"/>
      <c r="D122" s="72"/>
      <c r="E122" s="72"/>
      <c r="F122" s="72"/>
      <c r="G122" s="286"/>
      <c r="H122" s="161">
        <f>IF(H120=1,I120,I117)</f>
        <v>1063317.21</v>
      </c>
      <c r="I122" s="97">
        <f>ROUND(IF(E29=0,0,IF(E29&gt;250,-(((250/E29)*H122)*IF(G122="H",0.02,0.05)),IF(G122="H",-0.02*H122,-0.05*H122))),2)</f>
        <v>-53165.86</v>
      </c>
      <c r="N122" s="75" t="s">
        <v>107</v>
      </c>
      <c r="O122" s="74"/>
      <c r="P122" s="74"/>
      <c r="Q122" s="74"/>
      <c r="R122" s="74"/>
      <c r="S122" s="74"/>
      <c r="T122" s="74"/>
      <c r="U122" s="74"/>
    </row>
    <row r="123" spans="1:21" x14ac:dyDescent="0.25">
      <c r="B123" s="72"/>
      <c r="C123" s="72"/>
      <c r="D123" s="72"/>
      <c r="E123" s="72"/>
      <c r="F123" s="72"/>
      <c r="G123" s="72"/>
      <c r="H123" s="68"/>
      <c r="I123" s="104"/>
      <c r="N123" s="76"/>
      <c r="O123" s="76"/>
      <c r="P123" s="76"/>
      <c r="Q123" s="76"/>
      <c r="R123" s="76"/>
      <c r="S123" s="76"/>
      <c r="T123" s="76"/>
      <c r="U123" s="76"/>
    </row>
    <row r="124" spans="1:21" x14ac:dyDescent="0.25">
      <c r="A124" s="345" t="s">
        <v>103</v>
      </c>
      <c r="B124" s="346"/>
      <c r="C124" s="346"/>
      <c r="D124" s="346"/>
      <c r="E124" s="346"/>
      <c r="F124" s="346"/>
      <c r="G124" s="346"/>
      <c r="H124" s="347"/>
      <c r="I124" s="348">
        <f>I115+I122</f>
        <v>1045986.42</v>
      </c>
      <c r="N124" s="76"/>
      <c r="O124" s="76"/>
      <c r="P124" s="76"/>
      <c r="Q124" s="76"/>
      <c r="R124" s="76"/>
      <c r="S124" s="76"/>
      <c r="T124" s="76"/>
      <c r="U124" s="76"/>
    </row>
    <row r="125" spans="1:21" x14ac:dyDescent="0.25">
      <c r="B125" s="72"/>
      <c r="C125" s="72"/>
      <c r="D125" s="72"/>
      <c r="E125" s="72"/>
      <c r="F125" s="72"/>
      <c r="G125" s="72"/>
      <c r="H125" s="68"/>
      <c r="I125" s="104"/>
      <c r="N125" s="76"/>
      <c r="O125" s="76"/>
      <c r="P125" s="76"/>
      <c r="Q125" s="76"/>
      <c r="R125" s="76"/>
      <c r="S125" s="76"/>
      <c r="T125" s="76"/>
      <c r="U125" s="76"/>
    </row>
    <row r="126" spans="1:21" x14ac:dyDescent="0.25">
      <c r="A126" s="3" t="s">
        <v>104</v>
      </c>
      <c r="B126" s="72"/>
      <c r="C126" s="162"/>
      <c r="D126" s="72"/>
      <c r="F126" s="72"/>
      <c r="G126" s="72"/>
      <c r="H126" s="68"/>
      <c r="I126" s="302">
        <v>-769201.25</v>
      </c>
      <c r="N126" s="76"/>
      <c r="O126" s="76"/>
      <c r="P126" s="76"/>
      <c r="Q126" s="76"/>
      <c r="R126" s="76"/>
      <c r="S126" s="76"/>
      <c r="T126" s="76"/>
      <c r="U126" s="76"/>
    </row>
    <row r="127" spans="1:21" x14ac:dyDescent="0.25">
      <c r="B127" s="72"/>
      <c r="C127" s="72"/>
      <c r="D127" s="72"/>
      <c r="E127" s="72"/>
      <c r="F127" s="72"/>
      <c r="G127" s="72"/>
      <c r="H127" s="68"/>
      <c r="I127" s="104"/>
      <c r="N127" s="76"/>
      <c r="O127" s="76"/>
      <c r="P127" s="76"/>
      <c r="Q127" s="76"/>
      <c r="R127" s="76"/>
      <c r="S127" s="76"/>
      <c r="T127" s="76"/>
      <c r="U127" s="76"/>
    </row>
    <row r="128" spans="1:21" x14ac:dyDescent="0.25">
      <c r="A128" s="84" t="s">
        <v>297</v>
      </c>
      <c r="B128" s="72"/>
      <c r="C128" s="72"/>
      <c r="D128" s="72"/>
      <c r="E128" s="72"/>
      <c r="F128" s="72"/>
      <c r="G128" s="72"/>
      <c r="H128" s="68"/>
      <c r="I128" s="104">
        <f>I124+I126</f>
        <v>276785.17000000004</v>
      </c>
      <c r="N128" s="76"/>
      <c r="O128" s="76"/>
      <c r="P128" s="76"/>
      <c r="Q128" s="76"/>
      <c r="R128" s="76"/>
      <c r="S128" s="76"/>
      <c r="T128" s="76"/>
      <c r="U128" s="76"/>
    </row>
    <row r="129" spans="1:21" x14ac:dyDescent="0.25">
      <c r="A129" s="84"/>
      <c r="B129" s="72"/>
      <c r="C129" s="72"/>
      <c r="D129" s="72"/>
      <c r="E129" s="72"/>
      <c r="F129" s="72"/>
      <c r="G129" s="72"/>
      <c r="H129" s="68"/>
      <c r="I129" s="104"/>
      <c r="N129" s="76"/>
      <c r="O129" s="76"/>
      <c r="P129" s="76"/>
      <c r="Q129" s="76"/>
      <c r="R129" s="76"/>
      <c r="S129" s="76"/>
      <c r="T129" s="76"/>
      <c r="U129" s="76"/>
    </row>
    <row r="130" spans="1:21" x14ac:dyDescent="0.25">
      <c r="A130" s="84" t="s">
        <v>298</v>
      </c>
      <c r="B130" s="72"/>
      <c r="C130" s="72"/>
      <c r="D130" s="72"/>
      <c r="E130" s="72"/>
      <c r="F130" s="72"/>
      <c r="G130" s="72"/>
      <c r="H130" s="68"/>
      <c r="I130" s="303">
        <f>'0664'!I130</f>
        <v>3</v>
      </c>
      <c r="N130" s="76"/>
      <c r="O130" s="76"/>
      <c r="P130" s="76"/>
      <c r="Q130" s="76"/>
      <c r="R130" s="76"/>
      <c r="S130" s="76"/>
      <c r="T130" s="76"/>
      <c r="U130" s="76"/>
    </row>
    <row r="131" spans="1:21" x14ac:dyDescent="0.25">
      <c r="B131" s="72"/>
      <c r="C131" s="72"/>
      <c r="D131" s="72"/>
      <c r="E131" s="72"/>
      <c r="F131" s="72"/>
      <c r="G131" s="72"/>
      <c r="H131" s="68"/>
      <c r="I131" s="104"/>
      <c r="N131" s="76"/>
      <c r="O131" s="76"/>
      <c r="P131" s="76"/>
      <c r="Q131" s="76"/>
      <c r="R131" s="76"/>
      <c r="S131" s="76"/>
      <c r="T131" s="76"/>
      <c r="U131" s="76"/>
    </row>
    <row r="132" spans="1:21" ht="16.5" thickBot="1" x14ac:dyDescent="0.3">
      <c r="A132" s="3" t="s">
        <v>105</v>
      </c>
      <c r="B132" s="72"/>
      <c r="C132" s="72"/>
      <c r="D132" s="72"/>
      <c r="E132" s="72"/>
      <c r="F132" s="72"/>
      <c r="G132" s="72"/>
      <c r="H132" s="68"/>
      <c r="I132" s="178">
        <f>ROUND(I128/I130,2)</f>
        <v>92261.72</v>
      </c>
      <c r="N132" s="76"/>
      <c r="O132" s="76"/>
      <c r="P132" s="76"/>
      <c r="Q132" s="76"/>
      <c r="R132" s="76"/>
      <c r="S132" s="76"/>
      <c r="T132" s="76"/>
      <c r="U132" s="76"/>
    </row>
    <row r="133" spans="1:21" ht="16.5" thickTop="1" x14ac:dyDescent="0.25">
      <c r="B133" s="72"/>
      <c r="C133" s="72"/>
      <c r="D133" s="72"/>
      <c r="E133" s="72"/>
      <c r="F133" s="72"/>
      <c r="G133" s="72"/>
      <c r="H133" s="68"/>
      <c r="I133" s="104"/>
      <c r="N133" s="76"/>
      <c r="O133" s="76"/>
      <c r="P133" s="76"/>
      <c r="Q133" s="76"/>
      <c r="R133" s="76"/>
      <c r="S133" s="76"/>
      <c r="T133" s="76"/>
      <c r="U133" s="76"/>
    </row>
    <row r="134" spans="1:21" ht="16.5" thickBot="1" x14ac:dyDescent="0.3">
      <c r="A134" s="3" t="s">
        <v>121</v>
      </c>
      <c r="B134" s="72"/>
      <c r="C134" s="72"/>
      <c r="D134" s="72"/>
      <c r="E134" s="72"/>
      <c r="F134" s="72"/>
      <c r="G134" s="72"/>
      <c r="H134" s="68"/>
      <c r="I134" s="155">
        <f>ROUND(IF(G122="H",(H122*0.02)+I122,(H122*0.05)+I122),2)</f>
        <v>0</v>
      </c>
      <c r="N134" s="76"/>
      <c r="O134" s="76"/>
      <c r="P134" s="76"/>
      <c r="Q134" s="76"/>
      <c r="R134" s="76"/>
      <c r="S134" s="76"/>
      <c r="T134" s="76"/>
      <c r="U134" s="76"/>
    </row>
    <row r="135" spans="1:21" ht="16.5" thickTop="1" x14ac:dyDescent="0.25">
      <c r="B135" s="72"/>
      <c r="C135" s="72"/>
      <c r="D135" s="72"/>
      <c r="E135" s="72"/>
      <c r="F135" s="72"/>
      <c r="G135" s="72"/>
      <c r="H135" s="68"/>
      <c r="I135" s="156"/>
      <c r="N135" s="76"/>
      <c r="O135" s="76"/>
      <c r="P135" s="76"/>
      <c r="Q135" s="76"/>
      <c r="R135" s="76"/>
      <c r="S135" s="76"/>
      <c r="T135" s="76"/>
      <c r="U135" s="76"/>
    </row>
    <row r="136" spans="1:21" x14ac:dyDescent="0.25">
      <c r="B136" s="72"/>
      <c r="C136" s="72"/>
      <c r="D136" s="72"/>
      <c r="E136" s="72"/>
      <c r="F136" s="72"/>
      <c r="G136" s="72"/>
      <c r="H136" s="68"/>
      <c r="I136" s="104"/>
      <c r="N136" s="76"/>
      <c r="O136" s="76"/>
      <c r="P136" s="76"/>
      <c r="Q136" s="76"/>
      <c r="R136" s="76"/>
      <c r="S136" s="76"/>
      <c r="T136" s="76"/>
      <c r="U136" s="76"/>
    </row>
    <row r="137" spans="1:21" x14ac:dyDescent="0.25">
      <c r="B137" s="72"/>
      <c r="C137" s="72"/>
      <c r="D137" s="72"/>
      <c r="E137" s="72"/>
      <c r="F137" s="72"/>
      <c r="G137" s="72"/>
      <c r="H137" s="68"/>
      <c r="I137" s="156"/>
      <c r="N137" s="76"/>
      <c r="O137" s="76"/>
      <c r="P137" s="76"/>
      <c r="Q137" s="76"/>
      <c r="R137" s="76"/>
      <c r="S137" s="76"/>
      <c r="T137" s="76"/>
      <c r="U137" s="76"/>
    </row>
    <row r="138" spans="1:21" x14ac:dyDescent="0.25">
      <c r="A138" s="281" t="s">
        <v>7</v>
      </c>
      <c r="B138" s="281"/>
      <c r="C138" s="281"/>
      <c r="D138" s="281"/>
      <c r="E138" s="281"/>
      <c r="F138" s="281"/>
      <c r="G138" s="281"/>
      <c r="H138" s="281"/>
      <c r="I138" s="281"/>
      <c r="J138" s="156"/>
      <c r="N138" s="76"/>
      <c r="O138" s="76"/>
      <c r="P138" s="76"/>
      <c r="Q138" s="76"/>
      <c r="R138" s="76"/>
      <c r="S138" s="76"/>
      <c r="T138" s="76"/>
      <c r="U138" s="76"/>
    </row>
    <row r="139" spans="1:21" ht="15.75" customHeight="1" x14ac:dyDescent="0.25">
      <c r="A139" s="356" t="str">
        <f>'0664'!A139</f>
        <v>(a) Additional FTE includes FTE earned through Advanced Placement, International Baccalaureate, Advanced International Certificate of Education, Industry Certified Career</v>
      </c>
      <c r="B139" s="357"/>
      <c r="C139" s="357"/>
      <c r="D139" s="357"/>
      <c r="E139" s="357"/>
      <c r="F139" s="357"/>
      <c r="G139" s="357"/>
      <c r="H139" s="357"/>
      <c r="I139" s="357"/>
      <c r="J139" s="80"/>
      <c r="K139" s="79"/>
      <c r="L139" s="79"/>
      <c r="M139" s="79"/>
      <c r="N139" s="477"/>
      <c r="O139" s="477"/>
      <c r="P139" s="477"/>
      <c r="Q139" s="477"/>
      <c r="R139" s="477"/>
      <c r="S139" s="477"/>
      <c r="T139" s="477"/>
      <c r="U139" s="477"/>
    </row>
    <row r="140" spans="1:21" ht="15.75" customHeight="1" x14ac:dyDescent="0.25">
      <c r="A140" s="390" t="str">
        <f>'0664'!A140</f>
        <v xml:space="preserve">Education (CAPE), Early High School Graduation and the small district ESE Supplement, pursuant to s. 1011.62(1)(l-p), F.S. </v>
      </c>
      <c r="B140" s="357"/>
      <c r="C140" s="357"/>
      <c r="D140" s="357"/>
      <c r="E140" s="357"/>
      <c r="F140" s="357"/>
      <c r="G140" s="357"/>
      <c r="H140" s="357"/>
      <c r="I140" s="357"/>
      <c r="J140" s="80"/>
      <c r="K140" s="79"/>
      <c r="L140" s="79"/>
      <c r="M140" s="79"/>
      <c r="N140" s="76"/>
      <c r="O140" s="76"/>
      <c r="P140" s="76"/>
      <c r="Q140" s="76"/>
      <c r="R140" s="76"/>
      <c r="S140" s="76"/>
      <c r="T140" s="76"/>
      <c r="U140" s="76"/>
    </row>
    <row r="141" spans="1:21" x14ac:dyDescent="0.25">
      <c r="A141" s="356" t="str">
        <f>'0664'!A141</f>
        <v>(b) District allocations multiplied by percentage from item 3A.</v>
      </c>
      <c r="B141" s="281"/>
      <c r="C141" s="281"/>
      <c r="D141" s="281"/>
      <c r="E141" s="281"/>
      <c r="F141" s="281"/>
      <c r="G141" s="281"/>
      <c r="H141" s="281"/>
      <c r="I141" s="281"/>
      <c r="J141" s="79"/>
      <c r="K141" s="79"/>
      <c r="L141" s="79"/>
      <c r="M141" s="79"/>
      <c r="N141" s="81"/>
      <c r="O141" s="82"/>
      <c r="P141" s="82"/>
      <c r="Q141" s="82"/>
      <c r="R141" s="82"/>
      <c r="S141" s="82"/>
      <c r="T141" s="82"/>
      <c r="U141" s="82"/>
    </row>
    <row r="142" spans="1:21" s="79" customFormat="1" x14ac:dyDescent="0.2">
      <c r="A142" s="356" t="str">
        <f>'0664'!A142</f>
        <v>(c) District allocations multiplied by percentage from item 3B.</v>
      </c>
      <c r="B142" s="281"/>
      <c r="C142" s="281"/>
      <c r="D142" s="281"/>
      <c r="E142" s="281"/>
      <c r="F142" s="281"/>
      <c r="G142" s="281"/>
      <c r="H142" s="281"/>
      <c r="I142" s="281"/>
      <c r="N142" s="81"/>
    </row>
    <row r="143" spans="1:21" s="79" customFormat="1" ht="15.75" customHeight="1" x14ac:dyDescent="0.2">
      <c r="A143" s="356" t="str">
        <f>'0664'!A143</f>
        <v>(d) The Digital Classroom Allocation is provided pursuant to s. 1011.62(12), F.S.</v>
      </c>
      <c r="B143" s="281"/>
      <c r="C143" s="281"/>
      <c r="D143" s="281"/>
      <c r="E143" s="281"/>
      <c r="F143" s="281"/>
      <c r="G143" s="281"/>
      <c r="H143" s="281"/>
      <c r="I143" s="281"/>
      <c r="N143" s="81"/>
    </row>
    <row r="144" spans="1:21" s="79" customFormat="1" ht="15.75" customHeight="1" x14ac:dyDescent="0.2">
      <c r="A144" s="356" t="str">
        <f>'0664'!A144</f>
        <v>(e) School districts are required to pay for instructional materials used for the instruction of public high school students who are earning credit toward high school</v>
      </c>
      <c r="B144" s="281"/>
      <c r="C144" s="281"/>
      <c r="D144" s="281"/>
      <c r="E144" s="281"/>
      <c r="F144" s="281"/>
      <c r="G144" s="281"/>
      <c r="H144" s="281"/>
      <c r="I144" s="281"/>
      <c r="N144" s="81"/>
    </row>
    <row r="145" spans="1:14" s="79" customFormat="1" ht="15.75" customHeight="1" x14ac:dyDescent="0.2">
      <c r="A145" s="390" t="str">
        <f>'0664'!A145</f>
        <v xml:space="preserve">graduation under the dual enrollment program as provided in s. 1011.62(l)(i), F.S.  </v>
      </c>
      <c r="B145" s="281"/>
      <c r="C145" s="281"/>
      <c r="D145" s="281"/>
      <c r="E145" s="281"/>
      <c r="F145" s="281"/>
      <c r="G145" s="281"/>
      <c r="H145" s="281"/>
      <c r="I145" s="281"/>
      <c r="N145" s="81"/>
    </row>
    <row r="146" spans="1:14" s="79" customFormat="1" x14ac:dyDescent="0.2">
      <c r="A146" s="356" t="str">
        <f>'0664'!A146</f>
        <v>(f) This allocation will be frozen as of the 2021-22 FEFP Second Calculation and will not be recalculated throughout the year. Charter school allocations should be</v>
      </c>
      <c r="B146" s="281"/>
      <c r="C146" s="281"/>
      <c r="D146" s="281"/>
      <c r="E146" s="281"/>
      <c r="F146" s="281"/>
      <c r="G146" s="281"/>
      <c r="H146" s="281"/>
      <c r="I146" s="281"/>
      <c r="N146" s="81"/>
    </row>
    <row r="147" spans="1:14" s="79" customFormat="1" x14ac:dyDescent="0.2">
      <c r="A147" s="358" t="str">
        <f>'0664'!A147</f>
        <v xml:space="preserve">distributed on weighted FTE (or base funding as is done in the FEFP) and should not be recalculated with fluctuations in student enrollment later in the year. </v>
      </c>
      <c r="B147" s="281"/>
      <c r="C147" s="281"/>
      <c r="D147" s="281"/>
      <c r="E147" s="281"/>
      <c r="F147" s="281"/>
      <c r="G147" s="281"/>
      <c r="H147" s="281"/>
      <c r="I147" s="281"/>
      <c r="N147" s="81"/>
    </row>
    <row r="148" spans="1:14" s="79" customFormat="1" x14ac:dyDescent="0.2">
      <c r="A148" s="356" t="str">
        <f>'0664'!A148</f>
        <v>(g) Numbers entered here will be multiplied by the district level transportation funding per rider. "All Adjusted Fundable Riders" should include both basic and ESE Riders.</v>
      </c>
      <c r="B148" s="281"/>
      <c r="C148" s="281"/>
      <c r="D148" s="281"/>
      <c r="E148" s="281"/>
      <c r="F148" s="281"/>
      <c r="G148" s="281"/>
      <c r="H148" s="281"/>
      <c r="I148" s="281"/>
      <c r="N148" s="81"/>
    </row>
    <row r="149" spans="1:14" s="79" customFormat="1" x14ac:dyDescent="0.2">
      <c r="A149" s="390" t="str">
        <f>'0664'!A149</f>
        <v>"All Adjusted ESE Riders" should include only ESE Riders.</v>
      </c>
      <c r="B149" s="281"/>
      <c r="C149" s="281"/>
      <c r="D149" s="281"/>
      <c r="E149" s="281"/>
      <c r="F149" s="281"/>
      <c r="G149" s="281"/>
      <c r="H149" s="281"/>
      <c r="I149" s="281"/>
      <c r="N149" s="81"/>
    </row>
    <row r="150" spans="1:14" s="79" customFormat="1" x14ac:dyDescent="0.2">
      <c r="A150" s="356" t="str">
        <f>'0664'!A150</f>
        <v xml:space="preserve">(h) The Federally Connected Student Supplement provides additional funding for students on federal lands that receive Section 8003 impact aide pursuant to s. 1011.62(13), F.S. </v>
      </c>
      <c r="B150" s="281"/>
      <c r="C150" s="281"/>
      <c r="D150" s="281"/>
      <c r="E150" s="281"/>
      <c r="F150" s="281"/>
      <c r="G150" s="281"/>
      <c r="H150" s="281"/>
      <c r="I150" s="281"/>
      <c r="N150" s="81"/>
    </row>
    <row r="151" spans="1:14" s="79" customFormat="1" x14ac:dyDescent="0.2">
      <c r="A151" s="356" t="str">
        <f>'0664'!A151</f>
        <v>(i) Teacher Classroom Supply Assistance Program allocation pursuant to s. 1012.71, F.S., for certified teachers employed by a public school district or public charter school</v>
      </c>
      <c r="B151" s="281"/>
      <c r="C151" s="281"/>
      <c r="D151" s="281"/>
      <c r="E151" s="281"/>
      <c r="F151" s="281"/>
      <c r="G151" s="281"/>
      <c r="H151" s="281"/>
      <c r="I151" s="281"/>
      <c r="N151" s="81"/>
    </row>
    <row r="152" spans="1:14" s="79" customFormat="1" x14ac:dyDescent="0.2">
      <c r="A152" s="358" t="str">
        <f>'0664'!A152</f>
        <v xml:space="preserve">before September 1 of each year whose full-time or job-share responsibility is the classroom instruction of students in prekindergarten through grade 12, including </v>
      </c>
      <c r="B152" s="281"/>
      <c r="C152" s="281"/>
      <c r="D152" s="281"/>
      <c r="E152" s="281"/>
      <c r="F152" s="281"/>
      <c r="G152" s="281"/>
      <c r="H152" s="281"/>
      <c r="I152" s="281"/>
      <c r="N152" s="81"/>
    </row>
    <row r="153" spans="1:14" s="79" customFormat="1" ht="15.75" customHeight="1" x14ac:dyDescent="0.2">
      <c r="A153" s="358" t="str">
        <f>'0664'!A153</f>
        <v>full-time media specialists and certified school counselors serving students in prekindergarten through grade 12, who are funded through the FEFP.</v>
      </c>
      <c r="B153" s="281"/>
      <c r="C153" s="281"/>
      <c r="D153" s="281"/>
      <c r="E153" s="281"/>
      <c r="F153" s="281"/>
      <c r="G153" s="281"/>
      <c r="H153" s="281"/>
      <c r="I153" s="281"/>
      <c r="N153" s="81"/>
    </row>
    <row r="154" spans="1:14" s="79" customFormat="1" ht="15.75" customHeight="1" x14ac:dyDescent="0.2">
      <c r="A154" s="356" t="str">
        <f>'0664'!A154</f>
        <v xml:space="preserve">(j) Funding based on student eligibility and meals provided, if participating in the National School Lunch Program. </v>
      </c>
      <c r="B154" s="328"/>
      <c r="C154" s="328"/>
      <c r="D154" s="328"/>
      <c r="E154" s="328"/>
      <c r="F154" s="328"/>
      <c r="G154" s="328"/>
      <c r="H154" s="328"/>
      <c r="I154" s="328"/>
      <c r="N154" s="81"/>
    </row>
    <row r="155" spans="1:14" s="79" customFormat="1" ht="15.75" customHeight="1" x14ac:dyDescent="0.2">
      <c r="A155" s="356" t="str">
        <f>'0664'!A155</f>
        <v>(k) Consistent with s. 1002.33(20)(a), F.S., for charter schools with a population of 75% or more ESE students, the administrative fee shall be calculated based on</v>
      </c>
      <c r="B155" s="381"/>
      <c r="C155" s="381"/>
      <c r="D155" s="381"/>
      <c r="E155" s="381"/>
      <c r="F155" s="381"/>
      <c r="G155" s="381"/>
      <c r="H155" s="381"/>
      <c r="I155" s="381"/>
      <c r="N155" s="81"/>
    </row>
    <row r="156" spans="1:14" s="79" customFormat="1" ht="15.75" customHeight="1" x14ac:dyDescent="0.2">
      <c r="A156" s="390" t="str">
        <f>'0664'!A156</f>
        <v xml:space="preserve">unweighted full-time equivalent students. </v>
      </c>
      <c r="B156" s="381"/>
      <c r="C156" s="381"/>
      <c r="D156" s="381"/>
      <c r="E156" s="381"/>
      <c r="F156" s="381"/>
      <c r="G156" s="381"/>
      <c r="H156" s="381"/>
      <c r="I156" s="381"/>
      <c r="N156" s="81"/>
    </row>
    <row r="157" spans="1:14" s="79" customFormat="1" ht="15.75" customHeight="1" x14ac:dyDescent="0.2">
      <c r="A157" s="356"/>
      <c r="B157" s="381"/>
      <c r="C157" s="381"/>
      <c r="D157" s="381"/>
      <c r="E157" s="381"/>
      <c r="F157" s="381"/>
      <c r="G157" s="381"/>
      <c r="H157" s="381"/>
      <c r="I157" s="381"/>
      <c r="N157" s="81"/>
    </row>
    <row r="158" spans="1:14" s="79" customFormat="1" ht="15.75" customHeight="1" x14ac:dyDescent="0.25">
      <c r="A158" s="398" t="str">
        <f>'0664'!A158</f>
        <v>Administrative fees:</v>
      </c>
      <c r="B158" s="328"/>
      <c r="C158" s="328"/>
      <c r="D158" s="328"/>
      <c r="E158" s="328"/>
      <c r="F158" s="328"/>
      <c r="G158" s="328"/>
      <c r="H158" s="328"/>
      <c r="I158" s="328"/>
      <c r="J158" s="3"/>
      <c r="K158" s="3"/>
      <c r="L158" s="3"/>
      <c r="M158" s="3"/>
      <c r="N158" s="81"/>
    </row>
    <row r="159" spans="1:14" s="79" customFormat="1" ht="15.75" customHeight="1" x14ac:dyDescent="0.25">
      <c r="A159" s="399" t="str">
        <f>'0664'!A159</f>
        <v xml:space="preserve">Administrative fees charged by the school district pursuant to s. 1002.33(20)(a), F.S., shall be calculated based upon 5% of available funds from the FEFP and categorical </v>
      </c>
      <c r="B159" s="328"/>
      <c r="C159" s="328"/>
      <c r="D159" s="328"/>
      <c r="E159" s="328"/>
      <c r="F159" s="328"/>
      <c r="G159" s="328"/>
      <c r="H159" s="328"/>
      <c r="I159" s="328"/>
      <c r="J159" s="3"/>
      <c r="K159" s="3"/>
      <c r="L159" s="3"/>
      <c r="M159" s="3"/>
      <c r="N159" s="81"/>
    </row>
    <row r="160" spans="1:14" s="79" customFormat="1" ht="15.75" customHeight="1" x14ac:dyDescent="0.25">
      <c r="A160" s="400" t="str">
        <f>'0664'!A160</f>
        <v>funding for which charter students may be eligible.  To calculate the administrative fee to be withheld for schools with more than 250 students, divide the school</v>
      </c>
      <c r="B160" s="328"/>
      <c r="C160" s="328"/>
      <c r="D160" s="328"/>
      <c r="E160" s="328"/>
      <c r="F160" s="328"/>
      <c r="G160" s="328"/>
      <c r="H160" s="328"/>
      <c r="I160" s="328"/>
      <c r="J160" s="3"/>
      <c r="K160" s="3"/>
      <c r="L160" s="3"/>
      <c r="M160" s="3"/>
      <c r="N160" s="81"/>
    </row>
    <row r="161" spans="1:21" s="79" customFormat="1" ht="15.75" customHeight="1" x14ac:dyDescent="0.25">
      <c r="A161" s="400" t="str">
        <f>'0664'!A161</f>
        <v xml:space="preserve">population into 250. Multiply that fraction times the funds available, then times 5%.  </v>
      </c>
      <c r="B161" s="328"/>
      <c r="C161" s="328"/>
      <c r="D161" s="328"/>
      <c r="E161" s="328"/>
      <c r="F161" s="328"/>
      <c r="G161" s="328"/>
      <c r="H161" s="328"/>
      <c r="I161" s="328"/>
      <c r="J161" s="3"/>
      <c r="K161" s="3"/>
      <c r="L161" s="3"/>
      <c r="M161" s="3"/>
      <c r="N161" s="81"/>
    </row>
    <row r="162" spans="1:21" s="79" customFormat="1" ht="15.75" customHeight="1" x14ac:dyDescent="0.25">
      <c r="A162" s="399"/>
      <c r="B162" s="394"/>
      <c r="C162" s="394"/>
      <c r="D162" s="394"/>
      <c r="E162" s="394"/>
      <c r="F162" s="394"/>
      <c r="G162" s="394"/>
      <c r="H162" s="394"/>
      <c r="I162" s="394"/>
      <c r="N162" s="77"/>
      <c r="O162" s="3"/>
      <c r="P162" s="3"/>
      <c r="Q162" s="3"/>
      <c r="R162" s="3"/>
      <c r="S162" s="3"/>
      <c r="T162" s="3"/>
      <c r="U162" s="3"/>
    </row>
    <row r="163" spans="1:21" ht="15.75" customHeight="1" x14ac:dyDescent="0.25">
      <c r="A163" s="399" t="str">
        <f>'0664'!A163</f>
        <v xml:space="preserve">For high performing charter schools, administrative fees charged by the school district shall be calculated based upon 2% of available funds from the FEFP and categorical </v>
      </c>
      <c r="B163" s="328"/>
      <c r="C163" s="328"/>
      <c r="D163" s="328"/>
      <c r="E163" s="328"/>
      <c r="F163" s="328"/>
      <c r="G163" s="328"/>
      <c r="H163" s="328"/>
      <c r="I163" s="328"/>
      <c r="J163" s="79"/>
      <c r="K163" s="79"/>
      <c r="L163" s="79"/>
      <c r="M163" s="79"/>
      <c r="N163" s="81"/>
      <c r="O163" s="79"/>
      <c r="P163" s="79"/>
      <c r="Q163" s="79"/>
      <c r="R163" s="79"/>
      <c r="S163" s="79"/>
      <c r="T163" s="79"/>
      <c r="U163" s="79"/>
    </row>
    <row r="164" spans="1:21" ht="15.75" customHeight="1" x14ac:dyDescent="0.25">
      <c r="A164" s="400" t="str">
        <f>'0664'!A164</f>
        <v>funding for which charter students may be eligible.  To calculate the administrative fee to be withheld for schools with more than 250 students, divide the school</v>
      </c>
      <c r="B164" s="381"/>
      <c r="C164" s="381"/>
      <c r="D164" s="381"/>
      <c r="E164" s="381"/>
      <c r="F164" s="381"/>
      <c r="G164" s="381"/>
      <c r="H164" s="381"/>
      <c r="I164" s="381"/>
      <c r="J164" s="79"/>
      <c r="K164" s="79"/>
      <c r="L164" s="79"/>
      <c r="M164" s="79"/>
      <c r="N164" s="81"/>
      <c r="O164" s="79"/>
      <c r="P164" s="79"/>
      <c r="Q164" s="79"/>
      <c r="R164" s="79"/>
      <c r="S164" s="79"/>
      <c r="T164" s="79"/>
      <c r="U164" s="79"/>
    </row>
    <row r="165" spans="1:21" s="79" customFormat="1" ht="15.75" customHeight="1" x14ac:dyDescent="0.2">
      <c r="A165" s="400" t="str">
        <f>'0664'!A165</f>
        <v xml:space="preserve">population into 250. Multiply that fraction times the funds available, then times 2%.  </v>
      </c>
      <c r="B165" s="328"/>
      <c r="C165" s="328"/>
      <c r="D165" s="328"/>
      <c r="E165" s="328"/>
      <c r="F165" s="328"/>
      <c r="G165" s="328"/>
      <c r="H165" s="328"/>
      <c r="I165" s="328"/>
      <c r="N165" s="81"/>
    </row>
    <row r="166" spans="1:21" x14ac:dyDescent="0.25">
      <c r="A166" s="356"/>
      <c r="N166" s="77"/>
    </row>
    <row r="167" spans="1:21" x14ac:dyDescent="0.25">
      <c r="A167" s="398" t="str">
        <f>'0664'!A167</f>
        <v>Other:</v>
      </c>
      <c r="N167" s="77"/>
    </row>
    <row r="168" spans="1:21" x14ac:dyDescent="0.25">
      <c r="A168" s="399" t="str">
        <f>'0664'!A168</f>
        <v>FEFP and categorical funding are recalculated during the year to reflect the revised number of full-time equivalent students reported during the survey periods designated</v>
      </c>
      <c r="N168" s="77"/>
    </row>
    <row r="169" spans="1:21" x14ac:dyDescent="0.25">
      <c r="A169" s="402" t="str">
        <f>'0664'!A169</f>
        <v>by the Commissioner of Education.</v>
      </c>
      <c r="N169" s="77"/>
    </row>
    <row r="170" spans="1:21" x14ac:dyDescent="0.25">
      <c r="A170" s="399" t="str">
        <f>'0664'!A170</f>
        <v>Revenues flow to districts from state sources and from county tax collectors on various distribution schedules.</v>
      </c>
      <c r="N170" s="77"/>
    </row>
    <row r="171" spans="1:21" x14ac:dyDescent="0.25">
      <c r="A171" s="77"/>
      <c r="N171" s="77"/>
    </row>
    <row r="172" spans="1:21" x14ac:dyDescent="0.25">
      <c r="A172" s="77"/>
      <c r="N172" s="77"/>
    </row>
    <row r="173" spans="1:21" x14ac:dyDescent="0.25">
      <c r="A173" s="77"/>
      <c r="N173" s="77"/>
    </row>
    <row r="174" spans="1:21" x14ac:dyDescent="0.25">
      <c r="A174" s="77"/>
      <c r="N174" s="77"/>
    </row>
    <row r="175" spans="1:21" x14ac:dyDescent="0.25">
      <c r="A175" s="77"/>
      <c r="N175" s="77"/>
    </row>
    <row r="176" spans="1:21" x14ac:dyDescent="0.25">
      <c r="A176" s="77"/>
      <c r="N176" s="77"/>
    </row>
    <row r="177" spans="1:14" x14ac:dyDescent="0.25">
      <c r="A177" s="77"/>
      <c r="N177" s="77"/>
    </row>
    <row r="178" spans="1:14" x14ac:dyDescent="0.25">
      <c r="A178" s="77"/>
      <c r="N178" s="77"/>
    </row>
    <row r="179" spans="1:14" x14ac:dyDescent="0.25">
      <c r="A179" s="77"/>
      <c r="N179" s="77"/>
    </row>
    <row r="180" spans="1:14" x14ac:dyDescent="0.25">
      <c r="A180" s="77"/>
      <c r="N180" s="77"/>
    </row>
    <row r="181" spans="1:14" x14ac:dyDescent="0.25">
      <c r="A181" s="77"/>
      <c r="N181" s="77"/>
    </row>
    <row r="182" spans="1:14" x14ac:dyDescent="0.25">
      <c r="A182" s="77"/>
      <c r="N182" s="77"/>
    </row>
    <row r="183" spans="1:14" x14ac:dyDescent="0.25">
      <c r="A183" s="77"/>
      <c r="N183" s="77"/>
    </row>
    <row r="184" spans="1:14" x14ac:dyDescent="0.25">
      <c r="A184" s="77"/>
      <c r="N184" s="77"/>
    </row>
    <row r="185" spans="1:14" x14ac:dyDescent="0.25">
      <c r="A185" s="77"/>
      <c r="N185" s="77"/>
    </row>
    <row r="186" spans="1:14" x14ac:dyDescent="0.25">
      <c r="A186" s="77"/>
      <c r="N186" s="77"/>
    </row>
    <row r="187" spans="1:14" x14ac:dyDescent="0.25">
      <c r="A187" s="77"/>
      <c r="N187" s="77"/>
    </row>
    <row r="188" spans="1:14" x14ac:dyDescent="0.25">
      <c r="A188" s="77"/>
    </row>
    <row r="189" spans="1:14" x14ac:dyDescent="0.25">
      <c r="A189" s="77"/>
    </row>
    <row r="190" spans="1:14" x14ac:dyDescent="0.25">
      <c r="A190" s="77"/>
    </row>
    <row r="191" spans="1:14" x14ac:dyDescent="0.25">
      <c r="A191" s="77"/>
    </row>
    <row r="192" spans="1:14" x14ac:dyDescent="0.25">
      <c r="A192" s="77"/>
    </row>
    <row r="193" spans="1:1" x14ac:dyDescent="0.25">
      <c r="A193" s="77"/>
    </row>
    <row r="194" spans="1:1" x14ac:dyDescent="0.25">
      <c r="A194" s="77"/>
    </row>
    <row r="195" spans="1:1" x14ac:dyDescent="0.25">
      <c r="A195" s="77"/>
    </row>
    <row r="196" spans="1:1" x14ac:dyDescent="0.25">
      <c r="A196" s="77"/>
    </row>
    <row r="197" spans="1:1" x14ac:dyDescent="0.25">
      <c r="A197" s="77"/>
    </row>
    <row r="198" spans="1:1" x14ac:dyDescent="0.25">
      <c r="A198" s="77"/>
    </row>
    <row r="199" spans="1:1" x14ac:dyDescent="0.25">
      <c r="A199" s="77"/>
    </row>
    <row r="200" spans="1:1" x14ac:dyDescent="0.25">
      <c r="A200" s="77"/>
    </row>
    <row r="201" spans="1:1" x14ac:dyDescent="0.25">
      <c r="A201" s="77"/>
    </row>
    <row r="202" spans="1:1" x14ac:dyDescent="0.25">
      <c r="A202" s="77"/>
    </row>
    <row r="203" spans="1:1" x14ac:dyDescent="0.25">
      <c r="A203" s="77"/>
    </row>
    <row r="204" spans="1:1" x14ac:dyDescent="0.25">
      <c r="A204" s="77"/>
    </row>
    <row r="205" spans="1:1" x14ac:dyDescent="0.25">
      <c r="A205" s="77"/>
    </row>
    <row r="206" spans="1:1" x14ac:dyDescent="0.25">
      <c r="A206" s="77"/>
    </row>
  </sheetData>
  <mergeCells count="266">
    <mergeCell ref="N139:U139"/>
    <mergeCell ref="N119:U119"/>
    <mergeCell ref="N113:P113"/>
    <mergeCell ref="A113:C113"/>
    <mergeCell ref="F113:H113"/>
    <mergeCell ref="N114:T114"/>
    <mergeCell ref="A115:H115"/>
    <mergeCell ref="A119:G119"/>
    <mergeCell ref="A11:B11"/>
    <mergeCell ref="A120:G120"/>
    <mergeCell ref="A112:C112"/>
    <mergeCell ref="F112:H112"/>
    <mergeCell ref="N112:P112"/>
    <mergeCell ref="N120:U120"/>
    <mergeCell ref="A109:B109"/>
    <mergeCell ref="F109:G109"/>
    <mergeCell ref="N109:O109"/>
    <mergeCell ref="P109:Q109"/>
    <mergeCell ref="R109:S109"/>
    <mergeCell ref="A110:B110"/>
    <mergeCell ref="N110:O110"/>
    <mergeCell ref="A107:B107"/>
    <mergeCell ref="F107:G107"/>
    <mergeCell ref="N107:O107"/>
    <mergeCell ref="P107:Q107"/>
    <mergeCell ref="R107:S107"/>
    <mergeCell ref="A108:B108"/>
    <mergeCell ref="F108:G108"/>
    <mergeCell ref="N108:O108"/>
    <mergeCell ref="P108:Q108"/>
    <mergeCell ref="R108:S108"/>
    <mergeCell ref="A103:C103"/>
    <mergeCell ref="F103:I103"/>
    <mergeCell ref="N103:U103"/>
    <mergeCell ref="C104:E104"/>
    <mergeCell ref="F105:G105"/>
    <mergeCell ref="A106:B106"/>
    <mergeCell ref="F106:G106"/>
    <mergeCell ref="N106:O106"/>
    <mergeCell ref="P106:Q106"/>
    <mergeCell ref="R106:S106"/>
    <mergeCell ref="A99:B99"/>
    <mergeCell ref="N99:O99"/>
    <mergeCell ref="P99:R99"/>
    <mergeCell ref="A100:B100"/>
    <mergeCell ref="N100:O100"/>
    <mergeCell ref="P100:R100"/>
    <mergeCell ref="C91:D91"/>
    <mergeCell ref="P91:Q91"/>
    <mergeCell ref="C92:D92"/>
    <mergeCell ref="P92:Q92"/>
    <mergeCell ref="C93:D93"/>
    <mergeCell ref="P93:T93"/>
    <mergeCell ref="A94:I94"/>
    <mergeCell ref="N94:U94"/>
    <mergeCell ref="F96:I96"/>
    <mergeCell ref="N96:P96"/>
    <mergeCell ref="Q96:T96"/>
    <mergeCell ref="A87:I87"/>
    <mergeCell ref="N87:U87"/>
    <mergeCell ref="C88:D88"/>
    <mergeCell ref="C89:D89"/>
    <mergeCell ref="N89:O89"/>
    <mergeCell ref="P89:Q89"/>
    <mergeCell ref="R89:U89"/>
    <mergeCell ref="C90:D90"/>
    <mergeCell ref="P90:Q90"/>
    <mergeCell ref="A80:C80"/>
    <mergeCell ref="N80:P80"/>
    <mergeCell ref="A85:C85"/>
    <mergeCell ref="N85:P85"/>
    <mergeCell ref="F73:H73"/>
    <mergeCell ref="N73:T73"/>
    <mergeCell ref="N74:T74"/>
    <mergeCell ref="A78:C78"/>
    <mergeCell ref="N78:P78"/>
    <mergeCell ref="A79:C79"/>
    <mergeCell ref="A69:C69"/>
    <mergeCell ref="N69:P69"/>
    <mergeCell ref="N79:P79"/>
    <mergeCell ref="A76:C76"/>
    <mergeCell ref="N76:P76"/>
    <mergeCell ref="A77:C77"/>
    <mergeCell ref="A70:C70"/>
    <mergeCell ref="A71:C71"/>
    <mergeCell ref="N71:P71"/>
    <mergeCell ref="A72:C72"/>
    <mergeCell ref="N77:P77"/>
    <mergeCell ref="N72:P72"/>
    <mergeCell ref="A65:B65"/>
    <mergeCell ref="D65:G65"/>
    <mergeCell ref="N65:O65"/>
    <mergeCell ref="Q65:S65"/>
    <mergeCell ref="T65:U65"/>
    <mergeCell ref="N66:S66"/>
    <mergeCell ref="T66:U66"/>
    <mergeCell ref="A68:C68"/>
    <mergeCell ref="N68:P68"/>
    <mergeCell ref="A62:B62"/>
    <mergeCell ref="D62:G62"/>
    <mergeCell ref="N62:O62"/>
    <mergeCell ref="Q62:S62"/>
    <mergeCell ref="T62:U62"/>
    <mergeCell ref="N63:S63"/>
    <mergeCell ref="T63:U63"/>
    <mergeCell ref="A64:I64"/>
    <mergeCell ref="N64:U64"/>
    <mergeCell ref="A59:B59"/>
    <mergeCell ref="F59:H59"/>
    <mergeCell ref="N59:O59"/>
    <mergeCell ref="P59:Q59"/>
    <mergeCell ref="R59:T59"/>
    <mergeCell ref="A60:I60"/>
    <mergeCell ref="N60:U60"/>
    <mergeCell ref="A61:I61"/>
    <mergeCell ref="N61:U61"/>
    <mergeCell ref="A50:B58"/>
    <mergeCell ref="N50:O58"/>
    <mergeCell ref="P50:Q50"/>
    <mergeCell ref="P51:Q51"/>
    <mergeCell ref="P52:Q52"/>
    <mergeCell ref="P53:Q53"/>
    <mergeCell ref="P54:Q54"/>
    <mergeCell ref="P55:Q55"/>
    <mergeCell ref="P56:Q56"/>
    <mergeCell ref="P57:Q57"/>
    <mergeCell ref="P58:Q58"/>
    <mergeCell ref="A42:B42"/>
    <mergeCell ref="N42:O42"/>
    <mergeCell ref="P42:T42"/>
    <mergeCell ref="N43:Q43"/>
    <mergeCell ref="S43:T43"/>
    <mergeCell ref="N45:Q45"/>
    <mergeCell ref="S45:T45"/>
    <mergeCell ref="N49:O49"/>
    <mergeCell ref="P49:Q49"/>
    <mergeCell ref="A39:B39"/>
    <mergeCell ref="N39:O39"/>
    <mergeCell ref="P39:T39"/>
    <mergeCell ref="A40:B40"/>
    <mergeCell ref="N40:O40"/>
    <mergeCell ref="P40:T40"/>
    <mergeCell ref="A41:B41"/>
    <mergeCell ref="N41:O41"/>
    <mergeCell ref="P41:T41"/>
    <mergeCell ref="F33:H36"/>
    <mergeCell ref="N34:T34"/>
    <mergeCell ref="A36:B36"/>
    <mergeCell ref="N36:O36"/>
    <mergeCell ref="P36:T36"/>
    <mergeCell ref="A37:B37"/>
    <mergeCell ref="N37:O37"/>
    <mergeCell ref="P37:T37"/>
    <mergeCell ref="A38:B38"/>
    <mergeCell ref="N38:O38"/>
    <mergeCell ref="P38:T38"/>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A20:B20"/>
    <mergeCell ref="F20:G20"/>
    <mergeCell ref="N20:O20"/>
    <mergeCell ref="P20:Q20"/>
    <mergeCell ref="R20:S20"/>
    <mergeCell ref="A21:B21"/>
    <mergeCell ref="F21:G21"/>
    <mergeCell ref="N21:O21"/>
    <mergeCell ref="P21:Q21"/>
    <mergeCell ref="R21:S21"/>
    <mergeCell ref="A18:B18"/>
    <mergeCell ref="F18:G18"/>
    <mergeCell ref="N18:O18"/>
    <mergeCell ref="P18:Q18"/>
    <mergeCell ref="R18:S18"/>
    <mergeCell ref="A19:B19"/>
    <mergeCell ref="F19:G19"/>
    <mergeCell ref="N19:O19"/>
    <mergeCell ref="P19:Q19"/>
    <mergeCell ref="R19:S19"/>
    <mergeCell ref="A16:B16"/>
    <mergeCell ref="F16:G16"/>
    <mergeCell ref="N16:O16"/>
    <mergeCell ref="P16:Q16"/>
    <mergeCell ref="R16:S16"/>
    <mergeCell ref="A17:B17"/>
    <mergeCell ref="F17:G17"/>
    <mergeCell ref="N17:O17"/>
    <mergeCell ref="P17:Q17"/>
    <mergeCell ref="R17:S17"/>
    <mergeCell ref="A14:B14"/>
    <mergeCell ref="F14:G14"/>
    <mergeCell ref="N14:O14"/>
    <mergeCell ref="P14:Q14"/>
    <mergeCell ref="R14:S14"/>
    <mergeCell ref="A15:B15"/>
    <mergeCell ref="F15:G15"/>
    <mergeCell ref="N15:O15"/>
    <mergeCell ref="P15:Q15"/>
    <mergeCell ref="R15:S15"/>
    <mergeCell ref="A12:B12"/>
    <mergeCell ref="F12:G12"/>
    <mergeCell ref="N12:O12"/>
    <mergeCell ref="P12:Q12"/>
    <mergeCell ref="R12:S12"/>
    <mergeCell ref="A13:B13"/>
    <mergeCell ref="F13:G13"/>
    <mergeCell ref="N13:O13"/>
    <mergeCell ref="P13:Q13"/>
    <mergeCell ref="R13:S13"/>
    <mergeCell ref="N8:O8"/>
    <mergeCell ref="P8:Q8"/>
    <mergeCell ref="R8:S8"/>
    <mergeCell ref="T8:U8"/>
    <mergeCell ref="F10:G10"/>
    <mergeCell ref="R10:S10"/>
    <mergeCell ref="F11:G11"/>
    <mergeCell ref="N11:O11"/>
    <mergeCell ref="P11:Q11"/>
    <mergeCell ref="R11:S11"/>
    <mergeCell ref="B1:I1"/>
    <mergeCell ref="O1:U1"/>
    <mergeCell ref="N2:U2"/>
    <mergeCell ref="N3:U3"/>
    <mergeCell ref="A4:B4"/>
    <mergeCell ref="C4:E4"/>
    <mergeCell ref="N4:O4"/>
    <mergeCell ref="P4:Q4"/>
    <mergeCell ref="A7:I7"/>
    <mergeCell ref="N7:U7"/>
  </mergeCells>
  <pageMargins left="0.1" right="0.1" top="0.5" bottom="0.5" header="0" footer="0.1"/>
  <pageSetup scale="70" fitToHeight="3" orientation="portrait" r:id="rId1"/>
  <headerFooter alignWithMargins="0">
    <oddFooter>&amp;R&amp;P of &amp;N</oddFooter>
  </headerFooter>
  <rowBreaks count="1" manualBreakCount="1">
    <brk id="138" max="16383" man="1"/>
  </rowBreaks>
  <colBreaks count="1" manualBreakCount="1">
    <brk id="9" max="1048575" man="1"/>
  </colBreaks>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7">
    <tabColor rgb="FFCCFFCC"/>
  </sheetPr>
  <dimension ref="A1:U206"/>
  <sheetViews>
    <sheetView showGridLines="0" zoomScaleNormal="100" workbookViewId="0">
      <pane ySplit="1" topLeftCell="A14" activePane="bottomLeft" state="frozen"/>
      <selection activeCell="I9" sqref="I9"/>
      <selection pane="bottomLeft" activeCell="D50" sqref="D50:D57"/>
    </sheetView>
  </sheetViews>
  <sheetFormatPr defaultRowHeight="15.75" x14ac:dyDescent="0.25"/>
  <cols>
    <col min="1" max="1" width="10.28515625" style="72"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72"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5">
        <v>50</v>
      </c>
      <c r="B1" s="441" t="s">
        <v>17</v>
      </c>
      <c r="C1" s="442"/>
      <c r="D1" s="442"/>
      <c r="E1" s="442"/>
      <c r="F1" s="442"/>
      <c r="G1" s="442"/>
      <c r="H1" s="442"/>
      <c r="I1" s="442"/>
      <c r="J1" s="157"/>
      <c r="K1" s="157"/>
      <c r="L1" s="157"/>
      <c r="N1" s="85">
        <f>A1</f>
        <v>50</v>
      </c>
      <c r="O1" s="527" t="s">
        <v>17</v>
      </c>
      <c r="P1" s="528"/>
      <c r="Q1" s="528"/>
      <c r="R1" s="528"/>
      <c r="S1" s="528"/>
      <c r="T1" s="528"/>
      <c r="U1" s="528"/>
    </row>
    <row r="2" spans="1:21" ht="21" x14ac:dyDescent="0.35">
      <c r="A2" s="1" t="s">
        <v>331</v>
      </c>
      <c r="B2" s="2"/>
      <c r="C2" s="2"/>
      <c r="D2" s="2"/>
      <c r="E2" s="2"/>
      <c r="F2" s="2"/>
      <c r="G2" s="2"/>
      <c r="H2" s="2"/>
      <c r="I2" s="2"/>
      <c r="N2" s="529" t="s">
        <v>23</v>
      </c>
      <c r="O2" s="529"/>
      <c r="P2" s="529"/>
      <c r="Q2" s="529"/>
      <c r="R2" s="529"/>
      <c r="S2" s="529"/>
      <c r="T2" s="529"/>
      <c r="U2" s="529"/>
    </row>
    <row r="3" spans="1:21" x14ac:dyDescent="0.25">
      <c r="A3" s="84" t="str">
        <f>'0664'!A3</f>
        <v>Based on the FLDOE 2022-23 FEFP Third Calculation</v>
      </c>
      <c r="N3" s="485" t="str">
        <f>A3</f>
        <v>Based on the FLDOE 2022-23 FEFP Third Calculation</v>
      </c>
      <c r="O3" s="485"/>
      <c r="P3" s="485"/>
      <c r="Q3" s="485"/>
      <c r="R3" s="485"/>
      <c r="S3" s="485"/>
      <c r="T3" s="485"/>
      <c r="U3" s="485"/>
    </row>
    <row r="4" spans="1:21" x14ac:dyDescent="0.25">
      <c r="A4" s="443" t="s">
        <v>0</v>
      </c>
      <c r="B4" s="443"/>
      <c r="C4" s="444" t="s">
        <v>9</v>
      </c>
      <c r="D4" s="444"/>
      <c r="E4" s="444"/>
      <c r="F4" s="4" t="str">
        <f>'0664'!F4</f>
        <v>Apr 2023</v>
      </c>
      <c r="G4" s="4"/>
      <c r="H4" s="4"/>
      <c r="I4" s="4"/>
      <c r="N4" s="530" t="s">
        <v>0</v>
      </c>
      <c r="O4" s="530"/>
      <c r="P4" s="531" t="str">
        <f>C4</f>
        <v>Palm Beach</v>
      </c>
      <c r="Q4" s="531"/>
      <c r="R4" s="5"/>
      <c r="S4" s="5"/>
      <c r="T4" s="5"/>
      <c r="U4" s="5"/>
    </row>
    <row r="5" spans="1:21" ht="12" customHeight="1" thickBot="1" x14ac:dyDescent="0.3">
      <c r="A5" s="262"/>
      <c r="B5" s="262"/>
      <c r="C5" s="253"/>
      <c r="D5" s="253"/>
      <c r="E5" s="253"/>
      <c r="F5" s="254"/>
      <c r="G5" s="254"/>
      <c r="H5" s="254"/>
      <c r="I5" s="254"/>
      <c r="N5" s="86"/>
      <c r="O5" s="86"/>
      <c r="P5" s="6"/>
      <c r="Q5" s="6"/>
      <c r="R5" s="5"/>
      <c r="S5" s="5"/>
      <c r="T5" s="5"/>
      <c r="U5" s="5"/>
    </row>
    <row r="6" spans="1:21" ht="12" customHeight="1" x14ac:dyDescent="0.25">
      <c r="A6" s="150"/>
      <c r="B6" s="150"/>
      <c r="C6" s="261"/>
      <c r="D6" s="261"/>
      <c r="E6" s="261"/>
      <c r="F6" s="4"/>
      <c r="G6" s="4"/>
      <c r="H6" s="4"/>
      <c r="I6" s="4"/>
      <c r="N6" s="86"/>
      <c r="O6" s="86"/>
      <c r="P6" s="6"/>
      <c r="Q6" s="6"/>
      <c r="R6" s="5"/>
      <c r="S6" s="5"/>
      <c r="T6" s="5"/>
      <c r="U6" s="5"/>
    </row>
    <row r="7" spans="1:21" x14ac:dyDescent="0.25">
      <c r="A7" s="445" t="str">
        <f>'0664'!A7:I7</f>
        <v>1.   2022-23 FEFP State and Local Funding</v>
      </c>
      <c r="B7" s="533"/>
      <c r="C7" s="533"/>
      <c r="D7" s="533"/>
      <c r="E7" s="533"/>
      <c r="F7" s="533"/>
      <c r="G7" s="533"/>
      <c r="H7" s="533"/>
      <c r="I7" s="533"/>
      <c r="N7" s="530" t="s">
        <v>86</v>
      </c>
      <c r="O7" s="530"/>
      <c r="P7" s="530"/>
      <c r="Q7" s="530"/>
      <c r="R7" s="530"/>
      <c r="S7" s="530"/>
      <c r="T7" s="530"/>
      <c r="U7" s="530"/>
    </row>
    <row r="8" spans="1:21" x14ac:dyDescent="0.25">
      <c r="A8" s="87"/>
      <c r="B8" s="88" t="s">
        <v>123</v>
      </c>
      <c r="C8" s="334">
        <f>'0664'!C8</f>
        <v>4587.3999999999996</v>
      </c>
      <c r="D8" s="89"/>
      <c r="E8" s="90"/>
      <c r="F8" s="87"/>
      <c r="G8" s="88" t="s">
        <v>122</v>
      </c>
      <c r="H8" s="320">
        <f>'0664'!H8</f>
        <v>1.0438000000000001</v>
      </c>
      <c r="I8" s="78"/>
      <c r="N8" s="534" t="s">
        <v>10</v>
      </c>
      <c r="O8" s="534"/>
      <c r="P8" s="535">
        <v>4154.45</v>
      </c>
      <c r="Q8" s="535"/>
      <c r="R8" s="518" t="s">
        <v>11</v>
      </c>
      <c r="S8" s="518"/>
      <c r="T8" s="519">
        <f>H8</f>
        <v>1.0438000000000001</v>
      </c>
      <c r="U8" s="519"/>
    </row>
    <row r="9" spans="1:21" x14ac:dyDescent="0.25">
      <c r="A9" s="7"/>
      <c r="B9" s="44" t="s">
        <v>370</v>
      </c>
      <c r="C9" s="372" t="s">
        <v>370</v>
      </c>
      <c r="D9" s="372" t="s">
        <v>370</v>
      </c>
      <c r="E9" s="8"/>
      <c r="F9" s="9"/>
      <c r="G9" s="9"/>
      <c r="H9" s="10"/>
      <c r="I9" s="340" t="str">
        <f>'0664'!I9</f>
        <v>2022-23</v>
      </c>
      <c r="N9" s="12"/>
      <c r="O9" s="12"/>
      <c r="P9" s="13"/>
      <c r="Q9" s="13"/>
      <c r="R9" s="14"/>
      <c r="S9" s="14"/>
      <c r="T9" s="15"/>
      <c r="U9" s="405" t="s">
        <v>405</v>
      </c>
    </row>
    <row r="10" spans="1:21" x14ac:dyDescent="0.25">
      <c r="A10" s="7"/>
      <c r="B10" s="7"/>
      <c r="C10" s="91" t="s">
        <v>463</v>
      </c>
      <c r="D10" s="371" t="s">
        <v>464</v>
      </c>
      <c r="E10" s="92" t="s">
        <v>8</v>
      </c>
      <c r="F10" s="446" t="s">
        <v>1</v>
      </c>
      <c r="G10" s="446"/>
      <c r="H10" s="10" t="s">
        <v>73</v>
      </c>
      <c r="I10" s="11" t="s">
        <v>36</v>
      </c>
      <c r="N10" s="12"/>
      <c r="O10" s="12"/>
      <c r="P10" s="13"/>
      <c r="Q10" s="13"/>
      <c r="R10" s="520" t="s">
        <v>1</v>
      </c>
      <c r="S10" s="520"/>
      <c r="T10" s="15" t="s">
        <v>73</v>
      </c>
      <c r="U10" s="16" t="s">
        <v>36</v>
      </c>
    </row>
    <row r="11" spans="1:21" x14ac:dyDescent="0.25">
      <c r="A11" s="447" t="s">
        <v>1</v>
      </c>
      <c r="B11" s="447"/>
      <c r="C11" s="362" t="s">
        <v>2</v>
      </c>
      <c r="D11" s="362" t="s">
        <v>2</v>
      </c>
      <c r="E11" s="362" t="s">
        <v>2</v>
      </c>
      <c r="F11" s="448" t="s">
        <v>76</v>
      </c>
      <c r="G11" s="448"/>
      <c r="H11" s="17" t="s">
        <v>72</v>
      </c>
      <c r="I11" s="18" t="s">
        <v>75</v>
      </c>
      <c r="N11" s="510" t="s">
        <v>1</v>
      </c>
      <c r="O11" s="510"/>
      <c r="P11" s="521" t="s">
        <v>24</v>
      </c>
      <c r="Q11" s="521"/>
      <c r="R11" s="522" t="s">
        <v>76</v>
      </c>
      <c r="S11" s="522"/>
      <c r="T11" s="19" t="s">
        <v>72</v>
      </c>
      <c r="U11" s="20" t="s">
        <v>75</v>
      </c>
    </row>
    <row r="12" spans="1:21" x14ac:dyDescent="0.25">
      <c r="A12" s="449" t="s">
        <v>47</v>
      </c>
      <c r="B12" s="449"/>
      <c r="C12" s="94"/>
      <c r="D12" s="94"/>
      <c r="E12" s="95" t="s">
        <v>48</v>
      </c>
      <c r="F12" s="450" t="s">
        <v>49</v>
      </c>
      <c r="G12" s="450"/>
      <c r="H12" s="21" t="s">
        <v>50</v>
      </c>
      <c r="I12" s="22" t="s">
        <v>51</v>
      </c>
      <c r="N12" s="523" t="s">
        <v>47</v>
      </c>
      <c r="O12" s="523"/>
      <c r="P12" s="524" t="s">
        <v>48</v>
      </c>
      <c r="Q12" s="524"/>
      <c r="R12" s="525" t="s">
        <v>49</v>
      </c>
      <c r="S12" s="525"/>
      <c r="T12" s="23" t="s">
        <v>50</v>
      </c>
      <c r="U12" s="24" t="s">
        <v>51</v>
      </c>
    </row>
    <row r="13" spans="1:21" x14ac:dyDescent="0.25">
      <c r="A13" s="451" t="s">
        <v>29</v>
      </c>
      <c r="B13" s="451"/>
      <c r="C13" s="165">
        <v>0</v>
      </c>
      <c r="D13" s="163">
        <v>0</v>
      </c>
      <c r="E13" s="210">
        <f>IF(D$29=0,C13*2,C13+D13)</f>
        <v>0</v>
      </c>
      <c r="F13" s="537">
        <f>'0664'!F13:G13</f>
        <v>1.1259999999999999</v>
      </c>
      <c r="G13" s="537"/>
      <c r="H13" s="167">
        <f>ROUND(E13*F13,4)</f>
        <v>0</v>
      </c>
      <c r="I13" s="119">
        <f t="shared" ref="I13:I28" si="0">ROUND(ROUND(H13*$C$8,4)*($H$8),2)</f>
        <v>0</v>
      </c>
      <c r="N13" s="512" t="s">
        <v>29</v>
      </c>
      <c r="O13" s="512"/>
      <c r="P13" s="513">
        <f t="shared" ref="P13:P28" si="1">IF($H$120=1,E13,0)</f>
        <v>0</v>
      </c>
      <c r="Q13" s="513"/>
      <c r="R13" s="526">
        <v>1</v>
      </c>
      <c r="S13" s="526"/>
      <c r="T13" s="98">
        <f>ROUND(P13*R13,4)</f>
        <v>0</v>
      </c>
      <c r="U13" s="99">
        <f t="shared" ref="U13:U28" si="2">ROUND(ROUND(T13*$C$8,4)*($H$8),0)</f>
        <v>0</v>
      </c>
    </row>
    <row r="14" spans="1:21" x14ac:dyDescent="0.25">
      <c r="A14" s="453" t="s">
        <v>30</v>
      </c>
      <c r="B14" s="453"/>
      <c r="C14" s="165">
        <v>0</v>
      </c>
      <c r="D14" s="165">
        <v>0</v>
      </c>
      <c r="E14" s="125">
        <f t="shared" ref="E14:E28" si="3">IF(D$29=0,C14*2,C14+D14)</f>
        <v>0</v>
      </c>
      <c r="F14" s="532">
        <f>'0664'!F14:G14</f>
        <v>1.1259999999999999</v>
      </c>
      <c r="G14" s="532"/>
      <c r="H14" s="83">
        <f t="shared" ref="H14:H28" si="4">ROUND(E14*F14,4)</f>
        <v>0</v>
      </c>
      <c r="I14" s="104">
        <f t="shared" si="0"/>
        <v>0</v>
      </c>
      <c r="J14" s="68" t="str">
        <f>IF(ROUND(E14,2)=ROUND(SUM(E50:E52),2)," ","CHECK PK-3 LINES BELOW")</f>
        <v xml:space="preserve"> </v>
      </c>
      <c r="N14" s="479" t="s">
        <v>30</v>
      </c>
      <c r="O14" s="479"/>
      <c r="P14" s="513">
        <f t="shared" si="1"/>
        <v>0</v>
      </c>
      <c r="Q14" s="513"/>
      <c r="R14" s="517">
        <v>1</v>
      </c>
      <c r="S14" s="517"/>
      <c r="T14" s="98">
        <f t="shared" ref="T14:T28" si="5">ROUND(P14*R14,4)</f>
        <v>0</v>
      </c>
      <c r="U14" s="99">
        <f t="shared" si="2"/>
        <v>0</v>
      </c>
    </row>
    <row r="15" spans="1:21" x14ac:dyDescent="0.25">
      <c r="A15" s="453" t="s">
        <v>31</v>
      </c>
      <c r="B15" s="453"/>
      <c r="C15" s="165">
        <v>138.01</v>
      </c>
      <c r="D15" s="165">
        <v>134.74</v>
      </c>
      <c r="E15" s="125">
        <f t="shared" si="3"/>
        <v>272.75</v>
      </c>
      <c r="F15" s="532">
        <f>'0664'!F15:G15</f>
        <v>1</v>
      </c>
      <c r="G15" s="532"/>
      <c r="H15" s="83">
        <f t="shared" si="4"/>
        <v>272.75</v>
      </c>
      <c r="I15" s="104">
        <f t="shared" si="0"/>
        <v>1306016.49</v>
      </c>
      <c r="N15" s="479" t="s">
        <v>31</v>
      </c>
      <c r="O15" s="479"/>
      <c r="P15" s="513">
        <f t="shared" si="1"/>
        <v>0</v>
      </c>
      <c r="Q15" s="513"/>
      <c r="R15" s="517">
        <v>1</v>
      </c>
      <c r="S15" s="517"/>
      <c r="T15" s="98">
        <f t="shared" si="5"/>
        <v>0</v>
      </c>
      <c r="U15" s="99">
        <f t="shared" si="2"/>
        <v>0</v>
      </c>
    </row>
    <row r="16" spans="1:21" x14ac:dyDescent="0.25">
      <c r="A16" s="453" t="s">
        <v>32</v>
      </c>
      <c r="B16" s="453"/>
      <c r="C16" s="165">
        <v>23.94</v>
      </c>
      <c r="D16" s="165">
        <v>23.41</v>
      </c>
      <c r="E16" s="125">
        <f t="shared" si="3"/>
        <v>47.35</v>
      </c>
      <c r="F16" s="532">
        <f>'0664'!F16:G16</f>
        <v>1</v>
      </c>
      <c r="G16" s="532"/>
      <c r="H16" s="83">
        <f t="shared" si="4"/>
        <v>47.35</v>
      </c>
      <c r="I16" s="104">
        <f t="shared" si="0"/>
        <v>226727.34</v>
      </c>
      <c r="J16" s="68" t="str">
        <f>IF(ROUND(E16,2)=ROUND(SUM(E53:E55),2)," ","CHECK 4-8 LINES BELOW")</f>
        <v xml:space="preserve"> </v>
      </c>
      <c r="N16" s="479" t="s">
        <v>32</v>
      </c>
      <c r="O16" s="479"/>
      <c r="P16" s="513">
        <f t="shared" si="1"/>
        <v>0</v>
      </c>
      <c r="Q16" s="513"/>
      <c r="R16" s="517">
        <v>1</v>
      </c>
      <c r="S16" s="517"/>
      <c r="T16" s="98">
        <f t="shared" si="5"/>
        <v>0</v>
      </c>
      <c r="U16" s="99">
        <f t="shared" si="2"/>
        <v>0</v>
      </c>
    </row>
    <row r="17" spans="1:21" x14ac:dyDescent="0.25">
      <c r="A17" s="453" t="s">
        <v>33</v>
      </c>
      <c r="B17" s="453"/>
      <c r="C17" s="165">
        <v>0</v>
      </c>
      <c r="D17" s="165">
        <v>0</v>
      </c>
      <c r="E17" s="125">
        <f t="shared" si="3"/>
        <v>0</v>
      </c>
      <c r="F17" s="532">
        <f>'0664'!F17:G17</f>
        <v>0.999</v>
      </c>
      <c r="G17" s="532"/>
      <c r="H17" s="83">
        <f t="shared" si="4"/>
        <v>0</v>
      </c>
      <c r="I17" s="104">
        <f t="shared" si="0"/>
        <v>0</v>
      </c>
      <c r="N17" s="479" t="s">
        <v>33</v>
      </c>
      <c r="O17" s="479"/>
      <c r="P17" s="513">
        <f t="shared" si="1"/>
        <v>0</v>
      </c>
      <c r="Q17" s="513"/>
      <c r="R17" s="517">
        <v>1</v>
      </c>
      <c r="S17" s="517"/>
      <c r="T17" s="98">
        <f t="shared" si="5"/>
        <v>0</v>
      </c>
      <c r="U17" s="99">
        <f t="shared" si="2"/>
        <v>0</v>
      </c>
    </row>
    <row r="18" spans="1:21" x14ac:dyDescent="0.25">
      <c r="A18" s="453" t="s">
        <v>34</v>
      </c>
      <c r="B18" s="453"/>
      <c r="C18" s="165">
        <v>0</v>
      </c>
      <c r="D18" s="165">
        <v>0</v>
      </c>
      <c r="E18" s="125">
        <f t="shared" si="3"/>
        <v>0</v>
      </c>
      <c r="F18" s="532">
        <f>'0664'!F18:G18</f>
        <v>0.999</v>
      </c>
      <c r="G18" s="532"/>
      <c r="H18" s="83">
        <f t="shared" si="4"/>
        <v>0</v>
      </c>
      <c r="I18" s="104">
        <f t="shared" si="0"/>
        <v>0</v>
      </c>
      <c r="J18" s="68" t="str">
        <f>IF(ROUND(E18,2)=ROUND(SUM(E56:E58),2)," ","CHECK 4-8 LINES BELOW")</f>
        <v xml:space="preserve"> </v>
      </c>
      <c r="N18" s="479" t="s">
        <v>34</v>
      </c>
      <c r="O18" s="479"/>
      <c r="P18" s="513">
        <f t="shared" si="1"/>
        <v>0</v>
      </c>
      <c r="Q18" s="513"/>
      <c r="R18" s="517">
        <v>1</v>
      </c>
      <c r="S18" s="517"/>
      <c r="T18" s="98">
        <f t="shared" si="5"/>
        <v>0</v>
      </c>
      <c r="U18" s="101">
        <f t="shared" si="2"/>
        <v>0</v>
      </c>
    </row>
    <row r="19" spans="1:21" x14ac:dyDescent="0.25">
      <c r="A19" s="453" t="s">
        <v>108</v>
      </c>
      <c r="B19" s="453"/>
      <c r="C19" s="165">
        <v>0</v>
      </c>
      <c r="D19" s="165">
        <v>0</v>
      </c>
      <c r="E19" s="125">
        <f t="shared" si="3"/>
        <v>0</v>
      </c>
      <c r="F19" s="532">
        <f>'0664'!F19:G19</f>
        <v>3.6739999999999999</v>
      </c>
      <c r="G19" s="532"/>
      <c r="H19" s="83">
        <f t="shared" si="4"/>
        <v>0</v>
      </c>
      <c r="I19" s="104">
        <f t="shared" si="0"/>
        <v>0</v>
      </c>
      <c r="N19" s="479" t="s">
        <v>108</v>
      </c>
      <c r="O19" s="479"/>
      <c r="P19" s="513">
        <f t="shared" si="1"/>
        <v>0</v>
      </c>
      <c r="Q19" s="513"/>
      <c r="R19" s="517">
        <v>1</v>
      </c>
      <c r="S19" s="517"/>
      <c r="T19" s="98">
        <f t="shared" si="5"/>
        <v>0</v>
      </c>
      <c r="U19" s="99">
        <f t="shared" si="2"/>
        <v>0</v>
      </c>
    </row>
    <row r="20" spans="1:21" x14ac:dyDescent="0.25">
      <c r="A20" s="453" t="s">
        <v>109</v>
      </c>
      <c r="B20" s="453"/>
      <c r="C20" s="165">
        <v>0</v>
      </c>
      <c r="D20" s="165">
        <v>0</v>
      </c>
      <c r="E20" s="125">
        <f t="shared" si="3"/>
        <v>0</v>
      </c>
      <c r="F20" s="532">
        <f>'0664'!F20:G20</f>
        <v>3.6739999999999999</v>
      </c>
      <c r="G20" s="532"/>
      <c r="H20" s="83">
        <f t="shared" si="4"/>
        <v>0</v>
      </c>
      <c r="I20" s="104">
        <f t="shared" si="0"/>
        <v>0</v>
      </c>
      <c r="N20" s="479" t="s">
        <v>109</v>
      </c>
      <c r="O20" s="479"/>
      <c r="P20" s="513">
        <f t="shared" si="1"/>
        <v>0</v>
      </c>
      <c r="Q20" s="513"/>
      <c r="R20" s="517">
        <v>1</v>
      </c>
      <c r="S20" s="517"/>
      <c r="T20" s="98">
        <f t="shared" si="5"/>
        <v>0</v>
      </c>
      <c r="U20" s="99">
        <f t="shared" si="2"/>
        <v>0</v>
      </c>
    </row>
    <row r="21" spans="1:21" x14ac:dyDescent="0.25">
      <c r="A21" s="453" t="s">
        <v>110</v>
      </c>
      <c r="B21" s="453"/>
      <c r="C21" s="165">
        <v>0</v>
      </c>
      <c r="D21" s="165">
        <v>0</v>
      </c>
      <c r="E21" s="125">
        <f t="shared" si="3"/>
        <v>0</v>
      </c>
      <c r="F21" s="532">
        <f>'0664'!F21:G21</f>
        <v>3.6739999999999999</v>
      </c>
      <c r="G21" s="532"/>
      <c r="H21" s="83">
        <f t="shared" si="4"/>
        <v>0</v>
      </c>
      <c r="I21" s="104">
        <f t="shared" si="0"/>
        <v>0</v>
      </c>
      <c r="N21" s="479" t="s">
        <v>110</v>
      </c>
      <c r="O21" s="479"/>
      <c r="P21" s="513">
        <f t="shared" si="1"/>
        <v>0</v>
      </c>
      <c r="Q21" s="513"/>
      <c r="R21" s="517">
        <v>1</v>
      </c>
      <c r="S21" s="517"/>
      <c r="T21" s="98">
        <f t="shared" si="5"/>
        <v>0</v>
      </c>
      <c r="U21" s="99">
        <f t="shared" si="2"/>
        <v>0</v>
      </c>
    </row>
    <row r="22" spans="1:21" x14ac:dyDescent="0.25">
      <c r="A22" s="453" t="s">
        <v>111</v>
      </c>
      <c r="B22" s="453"/>
      <c r="C22" s="165">
        <v>0</v>
      </c>
      <c r="D22" s="165">
        <v>0</v>
      </c>
      <c r="E22" s="125">
        <f t="shared" si="3"/>
        <v>0</v>
      </c>
      <c r="F22" s="532">
        <f>'0664'!F22:G22</f>
        <v>5.4009999999999998</v>
      </c>
      <c r="G22" s="532"/>
      <c r="H22" s="83">
        <f t="shared" si="4"/>
        <v>0</v>
      </c>
      <c r="I22" s="104">
        <f t="shared" si="0"/>
        <v>0</v>
      </c>
      <c r="N22" s="479" t="s">
        <v>111</v>
      </c>
      <c r="O22" s="479"/>
      <c r="P22" s="513">
        <f t="shared" si="1"/>
        <v>0</v>
      </c>
      <c r="Q22" s="513"/>
      <c r="R22" s="517">
        <v>1</v>
      </c>
      <c r="S22" s="517"/>
      <c r="T22" s="98">
        <f t="shared" si="5"/>
        <v>0</v>
      </c>
      <c r="U22" s="99">
        <f t="shared" si="2"/>
        <v>0</v>
      </c>
    </row>
    <row r="23" spans="1:21" x14ac:dyDescent="0.25">
      <c r="A23" s="453" t="s">
        <v>112</v>
      </c>
      <c r="B23" s="453"/>
      <c r="C23" s="165">
        <v>0</v>
      </c>
      <c r="D23" s="165">
        <v>0</v>
      </c>
      <c r="E23" s="125">
        <f t="shared" si="3"/>
        <v>0</v>
      </c>
      <c r="F23" s="532">
        <f>'0664'!F23:G23</f>
        <v>5.4009999999999998</v>
      </c>
      <c r="G23" s="532"/>
      <c r="H23" s="83">
        <f t="shared" si="4"/>
        <v>0</v>
      </c>
      <c r="I23" s="104">
        <f t="shared" si="0"/>
        <v>0</v>
      </c>
      <c r="N23" s="479" t="s">
        <v>112</v>
      </c>
      <c r="O23" s="479"/>
      <c r="P23" s="513">
        <f t="shared" si="1"/>
        <v>0</v>
      </c>
      <c r="Q23" s="513"/>
      <c r="R23" s="517">
        <v>1</v>
      </c>
      <c r="S23" s="517"/>
      <c r="T23" s="98">
        <f t="shared" si="5"/>
        <v>0</v>
      </c>
      <c r="U23" s="99">
        <f t="shared" si="2"/>
        <v>0</v>
      </c>
    </row>
    <row r="24" spans="1:21" x14ac:dyDescent="0.25">
      <c r="A24" s="453" t="s">
        <v>113</v>
      </c>
      <c r="B24" s="453"/>
      <c r="C24" s="165">
        <v>0</v>
      </c>
      <c r="D24" s="165">
        <v>0</v>
      </c>
      <c r="E24" s="125">
        <f t="shared" si="3"/>
        <v>0</v>
      </c>
      <c r="F24" s="532">
        <f>'0664'!F24:G24</f>
        <v>5.4009999999999998</v>
      </c>
      <c r="G24" s="532"/>
      <c r="H24" s="83">
        <f t="shared" si="4"/>
        <v>0</v>
      </c>
      <c r="I24" s="104">
        <f t="shared" si="0"/>
        <v>0</v>
      </c>
      <c r="N24" s="479" t="s">
        <v>113</v>
      </c>
      <c r="O24" s="479"/>
      <c r="P24" s="513">
        <f t="shared" si="1"/>
        <v>0</v>
      </c>
      <c r="Q24" s="513"/>
      <c r="R24" s="517">
        <v>1</v>
      </c>
      <c r="S24" s="517"/>
      <c r="T24" s="98">
        <f t="shared" si="5"/>
        <v>0</v>
      </c>
      <c r="U24" s="99">
        <f t="shared" si="2"/>
        <v>0</v>
      </c>
    </row>
    <row r="25" spans="1:21" x14ac:dyDescent="0.25">
      <c r="A25" s="453" t="s">
        <v>114</v>
      </c>
      <c r="B25" s="453"/>
      <c r="C25" s="165">
        <v>0</v>
      </c>
      <c r="D25" s="165">
        <v>0</v>
      </c>
      <c r="E25" s="125">
        <f t="shared" si="3"/>
        <v>0</v>
      </c>
      <c r="F25" s="532">
        <f>'0664'!F25:G25</f>
        <v>1.206</v>
      </c>
      <c r="G25" s="532"/>
      <c r="H25" s="83">
        <f t="shared" si="4"/>
        <v>0</v>
      </c>
      <c r="I25" s="104">
        <f t="shared" si="0"/>
        <v>0</v>
      </c>
      <c r="N25" s="479" t="s">
        <v>114</v>
      </c>
      <c r="O25" s="479"/>
      <c r="P25" s="513">
        <f t="shared" si="1"/>
        <v>0</v>
      </c>
      <c r="Q25" s="513"/>
      <c r="R25" s="517">
        <v>1</v>
      </c>
      <c r="S25" s="517"/>
      <c r="T25" s="98">
        <f t="shared" si="5"/>
        <v>0</v>
      </c>
      <c r="U25" s="99">
        <f t="shared" si="2"/>
        <v>0</v>
      </c>
    </row>
    <row r="26" spans="1:21" x14ac:dyDescent="0.25">
      <c r="A26" s="453" t="s">
        <v>115</v>
      </c>
      <c r="B26" s="453"/>
      <c r="C26" s="165">
        <v>11.93</v>
      </c>
      <c r="D26" s="165">
        <v>12.28</v>
      </c>
      <c r="E26" s="125">
        <f t="shared" si="3"/>
        <v>24.21</v>
      </c>
      <c r="F26" s="532">
        <f>'0664'!F26:G26</f>
        <v>1.206</v>
      </c>
      <c r="G26" s="532"/>
      <c r="H26" s="83">
        <f t="shared" si="4"/>
        <v>29.197299999999998</v>
      </c>
      <c r="I26" s="104">
        <f t="shared" si="0"/>
        <v>139806.25</v>
      </c>
      <c r="N26" s="479" t="s">
        <v>115</v>
      </c>
      <c r="O26" s="479"/>
      <c r="P26" s="513">
        <f t="shared" si="1"/>
        <v>0</v>
      </c>
      <c r="Q26" s="513"/>
      <c r="R26" s="517">
        <v>1</v>
      </c>
      <c r="S26" s="517"/>
      <c r="T26" s="98">
        <f t="shared" si="5"/>
        <v>0</v>
      </c>
      <c r="U26" s="99">
        <f t="shared" si="2"/>
        <v>0</v>
      </c>
    </row>
    <row r="27" spans="1:21" x14ac:dyDescent="0.25">
      <c r="A27" s="453" t="s">
        <v>116</v>
      </c>
      <c r="B27" s="453"/>
      <c r="C27" s="165">
        <v>0</v>
      </c>
      <c r="D27" s="165">
        <v>0</v>
      </c>
      <c r="E27" s="125">
        <f t="shared" si="3"/>
        <v>0</v>
      </c>
      <c r="F27" s="532">
        <f>'0664'!F27:G27</f>
        <v>1.206</v>
      </c>
      <c r="G27" s="532"/>
      <c r="H27" s="83">
        <f t="shared" si="4"/>
        <v>0</v>
      </c>
      <c r="I27" s="104">
        <f t="shared" si="0"/>
        <v>0</v>
      </c>
      <c r="N27" s="479" t="s">
        <v>116</v>
      </c>
      <c r="O27" s="479"/>
      <c r="P27" s="513">
        <f t="shared" si="1"/>
        <v>0</v>
      </c>
      <c r="Q27" s="513"/>
      <c r="R27" s="517">
        <v>1</v>
      </c>
      <c r="S27" s="517"/>
      <c r="T27" s="98">
        <f t="shared" si="5"/>
        <v>0</v>
      </c>
      <c r="U27" s="99">
        <f t="shared" si="2"/>
        <v>0</v>
      </c>
    </row>
    <row r="28" spans="1:21" x14ac:dyDescent="0.25">
      <c r="A28" s="453" t="s">
        <v>117</v>
      </c>
      <c r="B28" s="453"/>
      <c r="C28" s="116">
        <v>0</v>
      </c>
      <c r="D28" s="116">
        <v>0</v>
      </c>
      <c r="E28" s="177">
        <f t="shared" si="3"/>
        <v>0</v>
      </c>
      <c r="F28" s="532">
        <f>'0664'!F28:G28</f>
        <v>0.999</v>
      </c>
      <c r="G28" s="532"/>
      <c r="H28" s="96">
        <f t="shared" si="4"/>
        <v>0</v>
      </c>
      <c r="I28" s="97">
        <f t="shared" si="0"/>
        <v>0</v>
      </c>
      <c r="N28" s="482" t="s">
        <v>117</v>
      </c>
      <c r="O28" s="482"/>
      <c r="P28" s="513">
        <f t="shared" si="1"/>
        <v>0</v>
      </c>
      <c r="Q28" s="513"/>
      <c r="R28" s="514">
        <v>1</v>
      </c>
      <c r="S28" s="514"/>
      <c r="T28" s="98">
        <f t="shared" si="5"/>
        <v>0</v>
      </c>
      <c r="U28" s="99">
        <f t="shared" si="2"/>
        <v>0</v>
      </c>
    </row>
    <row r="29" spans="1:21" x14ac:dyDescent="0.25">
      <c r="A29" s="461" t="s">
        <v>5</v>
      </c>
      <c r="B29" s="461"/>
      <c r="C29" s="97">
        <f>SUM(C13:C28)</f>
        <v>173.88</v>
      </c>
      <c r="D29" s="97">
        <f>SUM(D13:D28)</f>
        <v>170.43</v>
      </c>
      <c r="E29" s="97">
        <f>SUM(E13:E28)</f>
        <v>344.31</v>
      </c>
      <c r="F29" s="457"/>
      <c r="G29" s="457"/>
      <c r="H29" s="102">
        <f>SUM(H13:H28)</f>
        <v>349.29730000000001</v>
      </c>
      <c r="I29" s="97">
        <f>SUM(I13:I28)</f>
        <v>1672550.08</v>
      </c>
      <c r="N29" s="515" t="s">
        <v>5</v>
      </c>
      <c r="O29" s="515"/>
      <c r="P29" s="516">
        <f>SUM(P13:P28)</f>
        <v>0</v>
      </c>
      <c r="Q29" s="516"/>
      <c r="R29" s="508"/>
      <c r="S29" s="508"/>
      <c r="T29" s="103">
        <f>SUM(T13:T28)</f>
        <v>0</v>
      </c>
      <c r="U29" s="99">
        <f>SUM(U13:U28)</f>
        <v>0</v>
      </c>
    </row>
    <row r="30" spans="1:21" x14ac:dyDescent="0.25">
      <c r="A30" s="27"/>
      <c r="B30" s="27"/>
      <c r="C30" s="104"/>
      <c r="D30" s="104"/>
      <c r="E30" s="104"/>
      <c r="F30" s="28"/>
      <c r="G30" s="28"/>
      <c r="H30" s="83"/>
      <c r="I30" s="104"/>
      <c r="N30" s="29"/>
      <c r="O30" s="29"/>
      <c r="P30" s="30"/>
      <c r="Q30" s="30"/>
      <c r="R30" s="31"/>
      <c r="S30" s="31"/>
      <c r="T30" s="105"/>
      <c r="U30" s="106"/>
    </row>
    <row r="31" spans="1:21" x14ac:dyDescent="0.25">
      <c r="A31" s="168" t="s">
        <v>97</v>
      </c>
      <c r="B31" s="27"/>
      <c r="C31" s="104"/>
      <c r="D31" s="104"/>
      <c r="E31" s="104"/>
      <c r="F31" s="28"/>
      <c r="G31" s="28"/>
      <c r="H31" s="83"/>
      <c r="I31" s="104"/>
      <c r="N31" s="29"/>
      <c r="O31" s="29"/>
      <c r="P31" s="30"/>
      <c r="Q31" s="30"/>
      <c r="R31" s="31"/>
      <c r="S31" s="31"/>
      <c r="T31" s="105"/>
      <c r="U31" s="106"/>
    </row>
    <row r="32" spans="1:21" hidden="1" x14ac:dyDescent="0.25">
      <c r="A32" s="168"/>
      <c r="B32" s="27"/>
      <c r="C32" s="104"/>
      <c r="D32" s="104"/>
      <c r="E32" s="104"/>
      <c r="F32" s="28"/>
      <c r="G32" s="28"/>
      <c r="H32" s="83"/>
      <c r="I32" s="104"/>
      <c r="N32" s="29"/>
      <c r="O32" s="29"/>
      <c r="P32" s="30"/>
      <c r="Q32" s="30"/>
      <c r="R32" s="31"/>
      <c r="S32" s="31"/>
      <c r="T32" s="105"/>
      <c r="U32" s="106"/>
    </row>
    <row r="33" spans="1:21" hidden="1" x14ac:dyDescent="0.25">
      <c r="A33" s="168"/>
      <c r="B33" s="27"/>
      <c r="C33" s="104"/>
      <c r="D33" s="104"/>
      <c r="E33" s="104"/>
      <c r="F33" s="541" t="s">
        <v>282</v>
      </c>
      <c r="G33" s="541"/>
      <c r="H33" s="541"/>
      <c r="I33" s="104"/>
      <c r="N33" s="29"/>
      <c r="O33" s="29"/>
      <c r="P33" s="30"/>
      <c r="Q33" s="30"/>
      <c r="R33" s="31"/>
      <c r="S33" s="31"/>
      <c r="T33" s="105"/>
      <c r="U33" s="106"/>
    </row>
    <row r="34" spans="1:21" hidden="1" x14ac:dyDescent="0.25">
      <c r="A34" s="3"/>
      <c r="B34" s="72"/>
      <c r="C34" s="72"/>
      <c r="D34" s="72"/>
      <c r="E34" s="72"/>
      <c r="F34" s="541"/>
      <c r="G34" s="541"/>
      <c r="H34" s="541"/>
      <c r="I34" s="25" t="s">
        <v>74</v>
      </c>
      <c r="N34" s="485" t="s">
        <v>35</v>
      </c>
      <c r="O34" s="485"/>
      <c r="P34" s="485"/>
      <c r="Q34" s="485"/>
      <c r="R34" s="485"/>
      <c r="S34" s="485"/>
      <c r="T34" s="485"/>
      <c r="U34" s="26" t="s">
        <v>74</v>
      </c>
    </row>
    <row r="35" spans="1:21" hidden="1" x14ac:dyDescent="0.25">
      <c r="A35" s="27"/>
      <c r="B35" s="27"/>
      <c r="C35" s="91" t="s">
        <v>124</v>
      </c>
      <c r="D35" s="91" t="s">
        <v>125</v>
      </c>
      <c r="E35" s="92" t="s">
        <v>8</v>
      </c>
      <c r="F35" s="541"/>
      <c r="G35" s="541"/>
      <c r="H35" s="541"/>
      <c r="I35" s="25" t="s">
        <v>36</v>
      </c>
      <c r="N35" s="29"/>
      <c r="O35" s="29"/>
      <c r="P35" s="30"/>
      <c r="Q35" s="30"/>
      <c r="R35" s="31"/>
      <c r="S35" s="31"/>
      <c r="T35" s="105"/>
      <c r="U35" s="26" t="s">
        <v>36</v>
      </c>
    </row>
    <row r="36" spans="1:21" hidden="1" x14ac:dyDescent="0.25">
      <c r="A36" s="447" t="s">
        <v>63</v>
      </c>
      <c r="B36" s="447"/>
      <c r="C36" s="93" t="s">
        <v>2</v>
      </c>
      <c r="D36" s="93" t="s">
        <v>2</v>
      </c>
      <c r="E36" s="93" t="s">
        <v>2</v>
      </c>
      <c r="F36" s="542"/>
      <c r="G36" s="542"/>
      <c r="H36" s="542"/>
      <c r="I36" s="32" t="s">
        <v>75</v>
      </c>
      <c r="N36" s="510" t="s">
        <v>63</v>
      </c>
      <c r="O36" s="510"/>
      <c r="P36" s="511" t="s">
        <v>24</v>
      </c>
      <c r="Q36" s="511"/>
      <c r="R36" s="511"/>
      <c r="S36" s="511"/>
      <c r="T36" s="511"/>
      <c r="U36" s="20" t="s">
        <v>75</v>
      </c>
    </row>
    <row r="37" spans="1:21" hidden="1" x14ac:dyDescent="0.25">
      <c r="A37" s="451" t="s">
        <v>56</v>
      </c>
      <c r="B37" s="451"/>
      <c r="C37" s="169">
        <v>0</v>
      </c>
      <c r="D37" s="169">
        <v>0</v>
      </c>
      <c r="E37" s="164">
        <f t="shared" ref="E37:E42" si="6">IF(D$43=0,C37*2,C37+D37)</f>
        <v>0</v>
      </c>
      <c r="F37" s="170"/>
      <c r="G37" s="170"/>
      <c r="H37" s="170"/>
      <c r="I37" s="119">
        <f t="shared" ref="I37:I42" si="7">ROUND(ROUND(E37*$C$8,4)*($H$8),2)</f>
        <v>0</v>
      </c>
      <c r="N37" s="512" t="s">
        <v>56</v>
      </c>
      <c r="O37" s="512"/>
      <c r="P37" s="483">
        <f t="shared" ref="P37:P42" si="8">IF($H$120=1,E37,0)</f>
        <v>0</v>
      </c>
      <c r="Q37" s="483"/>
      <c r="R37" s="483"/>
      <c r="S37" s="483"/>
      <c r="T37" s="483"/>
      <c r="U37" s="101">
        <f t="shared" ref="U37:U42" si="9">ROUND(ROUND(P37*$C$8,4)*($H$8),0)</f>
        <v>0</v>
      </c>
    </row>
    <row r="38" spans="1:21" hidden="1" x14ac:dyDescent="0.25">
      <c r="A38" s="453" t="s">
        <v>57</v>
      </c>
      <c r="B38" s="453"/>
      <c r="C38" s="172">
        <v>0</v>
      </c>
      <c r="D38" s="172">
        <v>0</v>
      </c>
      <c r="E38" s="166">
        <f t="shared" si="6"/>
        <v>0</v>
      </c>
      <c r="F38" s="173"/>
      <c r="G38" s="173"/>
      <c r="H38" s="173"/>
      <c r="I38" s="104">
        <f t="shared" si="7"/>
        <v>0</v>
      </c>
      <c r="N38" s="479" t="s">
        <v>57</v>
      </c>
      <c r="O38" s="479"/>
      <c r="P38" s="483">
        <f t="shared" si="8"/>
        <v>0</v>
      </c>
      <c r="Q38" s="483"/>
      <c r="R38" s="483"/>
      <c r="S38" s="483"/>
      <c r="T38" s="483"/>
      <c r="U38" s="101">
        <f t="shared" si="9"/>
        <v>0</v>
      </c>
    </row>
    <row r="39" spans="1:21" hidden="1" x14ac:dyDescent="0.25">
      <c r="A39" s="458" t="s">
        <v>58</v>
      </c>
      <c r="B39" s="458"/>
      <c r="C39" s="172">
        <v>0</v>
      </c>
      <c r="D39" s="172">
        <v>0</v>
      </c>
      <c r="E39" s="166">
        <f t="shared" si="6"/>
        <v>0</v>
      </c>
      <c r="F39" s="173"/>
      <c r="G39" s="173"/>
      <c r="H39" s="173"/>
      <c r="I39" s="104">
        <f t="shared" si="7"/>
        <v>0</v>
      </c>
      <c r="N39" s="509" t="s">
        <v>58</v>
      </c>
      <c r="O39" s="509"/>
      <c r="P39" s="483">
        <f t="shared" si="8"/>
        <v>0</v>
      </c>
      <c r="Q39" s="483"/>
      <c r="R39" s="483"/>
      <c r="S39" s="483"/>
      <c r="T39" s="483"/>
      <c r="U39" s="101">
        <f t="shared" si="9"/>
        <v>0</v>
      </c>
    </row>
    <row r="40" spans="1:21" hidden="1" x14ac:dyDescent="0.25">
      <c r="A40" s="453" t="s">
        <v>59</v>
      </c>
      <c r="B40" s="453"/>
      <c r="C40" s="172">
        <v>0</v>
      </c>
      <c r="D40" s="172">
        <v>0</v>
      </c>
      <c r="E40" s="166">
        <f t="shared" si="6"/>
        <v>0</v>
      </c>
      <c r="F40" s="173"/>
      <c r="G40" s="173"/>
      <c r="H40" s="173"/>
      <c r="I40" s="104">
        <f t="shared" si="7"/>
        <v>0</v>
      </c>
      <c r="N40" s="479" t="s">
        <v>59</v>
      </c>
      <c r="O40" s="479"/>
      <c r="P40" s="483">
        <f t="shared" si="8"/>
        <v>0</v>
      </c>
      <c r="Q40" s="483"/>
      <c r="R40" s="483"/>
      <c r="S40" s="483"/>
      <c r="T40" s="483"/>
      <c r="U40" s="101">
        <f t="shared" si="9"/>
        <v>0</v>
      </c>
    </row>
    <row r="41" spans="1:21" hidden="1" x14ac:dyDescent="0.25">
      <c r="A41" s="453" t="s">
        <v>60</v>
      </c>
      <c r="B41" s="453"/>
      <c r="C41" s="172">
        <v>0</v>
      </c>
      <c r="D41" s="172">
        <v>0</v>
      </c>
      <c r="E41" s="166">
        <f t="shared" si="6"/>
        <v>0</v>
      </c>
      <c r="F41" s="173"/>
      <c r="G41" s="173"/>
      <c r="H41" s="173"/>
      <c r="I41" s="104">
        <f t="shared" si="7"/>
        <v>0</v>
      </c>
      <c r="N41" s="479" t="s">
        <v>60</v>
      </c>
      <c r="O41" s="479"/>
      <c r="P41" s="483">
        <f t="shared" si="8"/>
        <v>0</v>
      </c>
      <c r="Q41" s="483"/>
      <c r="R41" s="483"/>
      <c r="S41" s="483"/>
      <c r="T41" s="483"/>
      <c r="U41" s="101">
        <f t="shared" si="9"/>
        <v>0</v>
      </c>
    </row>
    <row r="42" spans="1:21" hidden="1" x14ac:dyDescent="0.25">
      <c r="A42" s="453" t="s">
        <v>52</v>
      </c>
      <c r="B42" s="453"/>
      <c r="C42" s="171">
        <v>0</v>
      </c>
      <c r="D42" s="171">
        <v>0</v>
      </c>
      <c r="E42" s="158">
        <f t="shared" si="6"/>
        <v>0</v>
      </c>
      <c r="F42" s="173"/>
      <c r="G42" s="173"/>
      <c r="H42" s="173"/>
      <c r="I42" s="97">
        <f t="shared" si="7"/>
        <v>0</v>
      </c>
      <c r="N42" s="482" t="s">
        <v>52</v>
      </c>
      <c r="O42" s="482"/>
      <c r="P42" s="483">
        <f t="shared" si="8"/>
        <v>0</v>
      </c>
      <c r="Q42" s="483"/>
      <c r="R42" s="483"/>
      <c r="S42" s="483"/>
      <c r="T42" s="483"/>
      <c r="U42" s="101">
        <f t="shared" si="9"/>
        <v>0</v>
      </c>
    </row>
    <row r="43" spans="1:21" hidden="1" x14ac:dyDescent="0.25">
      <c r="A43" s="3"/>
      <c r="B43" s="55" t="s">
        <v>126</v>
      </c>
      <c r="C43" s="100">
        <f>SUM(C37:C42)</f>
        <v>0</v>
      </c>
      <c r="D43" s="100">
        <f>SUM(D37:D42)</f>
        <v>0</v>
      </c>
      <c r="E43" s="100">
        <f>SUM(E37:E42)</f>
        <v>0</v>
      </c>
      <c r="F43" s="33"/>
      <c r="G43" s="109"/>
      <c r="H43" s="110" t="s">
        <v>128</v>
      </c>
      <c r="I43" s="100">
        <f>SUM(I37:I42)</f>
        <v>0</v>
      </c>
      <c r="N43" s="480" t="s">
        <v>54</v>
      </c>
      <c r="O43" s="480"/>
      <c r="P43" s="480"/>
      <c r="Q43" s="480"/>
      <c r="R43" s="34">
        <f>SUM(P37:R42)</f>
        <v>0</v>
      </c>
      <c r="S43" s="508" t="s">
        <v>64</v>
      </c>
      <c r="T43" s="508"/>
      <c r="U43" s="106">
        <f>SUM(U37:U42)</f>
        <v>0</v>
      </c>
    </row>
    <row r="44" spans="1:21" hidden="1" x14ac:dyDescent="0.25">
      <c r="A44" s="3"/>
      <c r="B44" s="55"/>
      <c r="C44" s="104"/>
      <c r="D44" s="104"/>
      <c r="E44" s="119"/>
      <c r="F44" s="33"/>
      <c r="G44" s="109"/>
      <c r="H44" s="110"/>
      <c r="I44" s="104"/>
      <c r="N44" s="29"/>
      <c r="O44" s="29"/>
      <c r="P44" s="29"/>
      <c r="Q44" s="29"/>
      <c r="R44" s="34"/>
      <c r="S44" s="31"/>
      <c r="T44" s="31"/>
      <c r="U44" s="106"/>
    </row>
    <row r="45" spans="1:21" ht="16.5" hidden="1" thickBot="1" x14ac:dyDescent="0.3">
      <c r="A45" s="3"/>
      <c r="B45" s="55" t="s">
        <v>127</v>
      </c>
      <c r="E45" s="174">
        <f>H29+E43</f>
        <v>349.29730000000001</v>
      </c>
      <c r="F45" s="35"/>
      <c r="G45" s="109"/>
      <c r="H45" s="110" t="s">
        <v>129</v>
      </c>
      <c r="I45" s="97">
        <f>SUM(I43,I29)</f>
        <v>1672550.08</v>
      </c>
      <c r="N45" s="480" t="s">
        <v>55</v>
      </c>
      <c r="O45" s="480"/>
      <c r="P45" s="480"/>
      <c r="Q45" s="480"/>
      <c r="R45" s="36">
        <f>R43+T29</f>
        <v>0</v>
      </c>
      <c r="S45" s="508" t="s">
        <v>53</v>
      </c>
      <c r="T45" s="508"/>
      <c r="U45" s="111">
        <f>SUM(U43,U29)</f>
        <v>0</v>
      </c>
    </row>
    <row r="46" spans="1:21" hidden="1" x14ac:dyDescent="0.25">
      <c r="A46" s="27"/>
      <c r="B46" s="27"/>
      <c r="C46" s="27"/>
      <c r="D46" s="27"/>
      <c r="E46" s="27"/>
      <c r="F46" s="35"/>
      <c r="G46" s="28"/>
      <c r="H46" s="28"/>
      <c r="I46" s="104"/>
      <c r="N46" s="29"/>
      <c r="O46" s="29"/>
      <c r="P46" s="29"/>
      <c r="Q46" s="29"/>
      <c r="R46" s="36"/>
      <c r="S46" s="31"/>
      <c r="T46" s="31"/>
      <c r="U46" s="106"/>
    </row>
    <row r="47" spans="1:21" x14ac:dyDescent="0.25">
      <c r="A47" s="27"/>
      <c r="B47" s="55" t="s">
        <v>370</v>
      </c>
      <c r="C47" s="372" t="s">
        <v>370</v>
      </c>
      <c r="D47" s="372" t="s">
        <v>370</v>
      </c>
      <c r="E47" s="27"/>
      <c r="F47" s="35"/>
      <c r="G47" s="28"/>
      <c r="H47" s="28"/>
      <c r="I47" s="104"/>
      <c r="N47" s="29"/>
      <c r="O47" s="29"/>
      <c r="P47" s="29"/>
      <c r="Q47" s="29"/>
      <c r="R47" s="36"/>
      <c r="S47" s="31"/>
      <c r="T47" s="31"/>
      <c r="U47" s="106"/>
    </row>
    <row r="48" spans="1:21" x14ac:dyDescent="0.25">
      <c r="A48" s="27"/>
      <c r="B48" s="27"/>
      <c r="C48" s="91" t="s">
        <v>463</v>
      </c>
      <c r="D48" s="371" t="s">
        <v>464</v>
      </c>
      <c r="E48" s="92" t="s">
        <v>8</v>
      </c>
      <c r="F48" s="49" t="s">
        <v>130</v>
      </c>
      <c r="G48" s="112" t="s">
        <v>132</v>
      </c>
      <c r="H48" s="113" t="s">
        <v>133</v>
      </c>
      <c r="I48" s="104"/>
      <c r="N48" s="29"/>
      <c r="O48" s="29"/>
      <c r="P48" s="29"/>
      <c r="Q48" s="29"/>
      <c r="R48" s="36"/>
      <c r="S48" s="31"/>
      <c r="T48" s="31"/>
      <c r="U48" s="106"/>
    </row>
    <row r="49" spans="1:21" x14ac:dyDescent="0.25">
      <c r="A49" s="37" t="s">
        <v>87</v>
      </c>
      <c r="B49" s="37"/>
      <c r="C49" s="362" t="s">
        <v>2</v>
      </c>
      <c r="D49" s="362" t="s">
        <v>2</v>
      </c>
      <c r="E49" s="362" t="s">
        <v>2</v>
      </c>
      <c r="F49" s="95" t="s">
        <v>131</v>
      </c>
      <c r="G49" s="62" t="s">
        <v>131</v>
      </c>
      <c r="H49" s="114" t="s">
        <v>134</v>
      </c>
      <c r="I49" s="37"/>
      <c r="N49" s="482" t="s">
        <v>87</v>
      </c>
      <c r="O49" s="482"/>
      <c r="P49" s="503" t="s">
        <v>2</v>
      </c>
      <c r="Q49" s="503"/>
      <c r="R49" s="38" t="s">
        <v>25</v>
      </c>
      <c r="S49" s="63" t="s">
        <v>26</v>
      </c>
      <c r="T49" s="115" t="s">
        <v>27</v>
      </c>
      <c r="U49" s="38"/>
    </row>
    <row r="50" spans="1:21" x14ac:dyDescent="0.25">
      <c r="A50" s="459" t="s">
        <v>98</v>
      </c>
      <c r="B50" s="459"/>
      <c r="C50" s="165">
        <v>0</v>
      </c>
      <c r="D50" s="165">
        <v>0</v>
      </c>
      <c r="E50" s="125">
        <f>IF(D$59=0,C50*2,C50+D50)</f>
        <v>0</v>
      </c>
      <c r="F50" s="39" t="s">
        <v>21</v>
      </c>
      <c r="G50" s="39">
        <v>251</v>
      </c>
      <c r="H50" s="321">
        <f>'0664'!H50</f>
        <v>1047</v>
      </c>
      <c r="I50" s="104">
        <f>ROUND(E50*H50,2)</f>
        <v>0</v>
      </c>
      <c r="N50" s="504" t="s">
        <v>28</v>
      </c>
      <c r="O50" s="504"/>
      <c r="P50" s="505"/>
      <c r="Q50" s="505"/>
      <c r="R50" s="40" t="s">
        <v>21</v>
      </c>
      <c r="S50" s="40">
        <v>251</v>
      </c>
      <c r="T50" s="117">
        <f>H50</f>
        <v>1047</v>
      </c>
      <c r="U50" s="118">
        <f>ROUND(P50*T50,0)</f>
        <v>0</v>
      </c>
    </row>
    <row r="51" spans="1:21" x14ac:dyDescent="0.25">
      <c r="A51" s="460"/>
      <c r="B51" s="460"/>
      <c r="C51" s="165">
        <v>0</v>
      </c>
      <c r="D51" s="165">
        <v>0</v>
      </c>
      <c r="E51" s="125">
        <f t="shared" ref="E51:E58" si="10">IF(D$59=0,C51*2,C51+D51)</f>
        <v>0</v>
      </c>
      <c r="F51" s="39" t="s">
        <v>21</v>
      </c>
      <c r="G51" s="39">
        <v>252</v>
      </c>
      <c r="H51" s="321">
        <f>'0664'!H51</f>
        <v>3380</v>
      </c>
      <c r="I51" s="104">
        <f t="shared" ref="I51:I58" si="11">ROUND(E51*H51,2)</f>
        <v>0</v>
      </c>
      <c r="N51" s="504"/>
      <c r="O51" s="504"/>
      <c r="P51" s="506"/>
      <c r="Q51" s="506"/>
      <c r="R51" s="40" t="s">
        <v>21</v>
      </c>
      <c r="S51" s="40">
        <v>252</v>
      </c>
      <c r="T51" s="117">
        <f t="shared" ref="T51:T58" si="12">H51</f>
        <v>3380</v>
      </c>
      <c r="U51" s="118">
        <f t="shared" ref="U51:U58" si="13">ROUND(P51*T51,0)</f>
        <v>0</v>
      </c>
    </row>
    <row r="52" spans="1:21" x14ac:dyDescent="0.25">
      <c r="A52" s="460"/>
      <c r="B52" s="460"/>
      <c r="C52" s="165">
        <v>0</v>
      </c>
      <c r="D52" s="165">
        <v>0</v>
      </c>
      <c r="E52" s="125">
        <f t="shared" si="10"/>
        <v>0</v>
      </c>
      <c r="F52" s="39" t="s">
        <v>21</v>
      </c>
      <c r="G52" s="39">
        <v>253</v>
      </c>
      <c r="H52" s="321">
        <f>'0664'!H52</f>
        <v>6896</v>
      </c>
      <c r="I52" s="104">
        <f t="shared" si="11"/>
        <v>0</v>
      </c>
      <c r="N52" s="504"/>
      <c r="O52" s="504"/>
      <c r="P52" s="506"/>
      <c r="Q52" s="506"/>
      <c r="R52" s="40" t="s">
        <v>21</v>
      </c>
      <c r="S52" s="40">
        <v>253</v>
      </c>
      <c r="T52" s="117">
        <f t="shared" si="12"/>
        <v>6896</v>
      </c>
      <c r="U52" s="118">
        <f t="shared" si="13"/>
        <v>0</v>
      </c>
    </row>
    <row r="53" spans="1:21" x14ac:dyDescent="0.25">
      <c r="A53" s="460"/>
      <c r="B53" s="460"/>
      <c r="C53" s="165">
        <v>22.94</v>
      </c>
      <c r="D53" s="165">
        <v>22.43</v>
      </c>
      <c r="E53" s="125">
        <f t="shared" si="10"/>
        <v>45.370000000000005</v>
      </c>
      <c r="F53" s="41" t="s">
        <v>14</v>
      </c>
      <c r="G53" s="39">
        <v>251</v>
      </c>
      <c r="H53" s="321">
        <f>'0664'!H53</f>
        <v>1173</v>
      </c>
      <c r="I53" s="104">
        <f t="shared" si="11"/>
        <v>53219.01</v>
      </c>
      <c r="N53" s="504"/>
      <c r="O53" s="504"/>
      <c r="P53" s="506"/>
      <c r="Q53" s="506"/>
      <c r="R53" s="42" t="s">
        <v>14</v>
      </c>
      <c r="S53" s="40">
        <v>251</v>
      </c>
      <c r="T53" s="117">
        <f t="shared" si="12"/>
        <v>1173</v>
      </c>
      <c r="U53" s="118">
        <f t="shared" si="13"/>
        <v>0</v>
      </c>
    </row>
    <row r="54" spans="1:21" x14ac:dyDescent="0.25">
      <c r="A54" s="460"/>
      <c r="B54" s="460"/>
      <c r="C54" s="165">
        <v>1</v>
      </c>
      <c r="D54" s="165">
        <v>0.98</v>
      </c>
      <c r="E54" s="125">
        <f t="shared" si="10"/>
        <v>1.98</v>
      </c>
      <c r="F54" s="41" t="s">
        <v>14</v>
      </c>
      <c r="G54" s="39">
        <v>252</v>
      </c>
      <c r="H54" s="321">
        <f>'0664'!H54</f>
        <v>3506</v>
      </c>
      <c r="I54" s="104">
        <f t="shared" si="11"/>
        <v>6941.88</v>
      </c>
      <c r="N54" s="504"/>
      <c r="O54" s="504"/>
      <c r="P54" s="506"/>
      <c r="Q54" s="506"/>
      <c r="R54" s="42" t="s">
        <v>14</v>
      </c>
      <c r="S54" s="40">
        <v>252</v>
      </c>
      <c r="T54" s="117">
        <f t="shared" si="12"/>
        <v>3506</v>
      </c>
      <c r="U54" s="118">
        <f t="shared" si="13"/>
        <v>0</v>
      </c>
    </row>
    <row r="55" spans="1:21" x14ac:dyDescent="0.25">
      <c r="A55" s="460"/>
      <c r="B55" s="460"/>
      <c r="C55" s="165">
        <v>0</v>
      </c>
      <c r="D55" s="165">
        <v>0</v>
      </c>
      <c r="E55" s="125">
        <f t="shared" si="10"/>
        <v>0</v>
      </c>
      <c r="F55" s="41" t="s">
        <v>14</v>
      </c>
      <c r="G55" s="39">
        <v>253</v>
      </c>
      <c r="H55" s="321">
        <f>'0664'!H55</f>
        <v>7023</v>
      </c>
      <c r="I55" s="104">
        <f t="shared" si="11"/>
        <v>0</v>
      </c>
      <c r="N55" s="504"/>
      <c r="O55" s="504"/>
      <c r="P55" s="506"/>
      <c r="Q55" s="506"/>
      <c r="R55" s="42" t="s">
        <v>14</v>
      </c>
      <c r="S55" s="40">
        <v>253</v>
      </c>
      <c r="T55" s="117">
        <f t="shared" si="12"/>
        <v>7023</v>
      </c>
      <c r="U55" s="118">
        <f t="shared" si="13"/>
        <v>0</v>
      </c>
    </row>
    <row r="56" spans="1:21" x14ac:dyDescent="0.25">
      <c r="A56" s="460"/>
      <c r="B56" s="460"/>
      <c r="C56" s="165">
        <v>0</v>
      </c>
      <c r="D56" s="165">
        <v>0</v>
      </c>
      <c r="E56" s="125">
        <f t="shared" si="10"/>
        <v>0</v>
      </c>
      <c r="F56" s="41" t="s">
        <v>15</v>
      </c>
      <c r="G56" s="39">
        <v>251</v>
      </c>
      <c r="H56" s="321">
        <f>'0664'!H56</f>
        <v>835</v>
      </c>
      <c r="I56" s="104">
        <f t="shared" si="11"/>
        <v>0</v>
      </c>
      <c r="N56" s="504"/>
      <c r="O56" s="504"/>
      <c r="P56" s="506"/>
      <c r="Q56" s="506"/>
      <c r="R56" s="42" t="s">
        <v>15</v>
      </c>
      <c r="S56" s="40">
        <v>251</v>
      </c>
      <c r="T56" s="117">
        <f t="shared" si="12"/>
        <v>835</v>
      </c>
      <c r="U56" s="118">
        <f t="shared" si="13"/>
        <v>0</v>
      </c>
    </row>
    <row r="57" spans="1:21" x14ac:dyDescent="0.25">
      <c r="A57" s="460"/>
      <c r="B57" s="460"/>
      <c r="C57" s="165">
        <v>0</v>
      </c>
      <c r="D57" s="165">
        <v>0</v>
      </c>
      <c r="E57" s="125">
        <f t="shared" si="10"/>
        <v>0</v>
      </c>
      <c r="F57" s="41" t="s">
        <v>15</v>
      </c>
      <c r="G57" s="39">
        <v>252</v>
      </c>
      <c r="H57" s="321">
        <f>'0664'!H57</f>
        <v>3168</v>
      </c>
      <c r="I57" s="104">
        <f t="shared" si="11"/>
        <v>0</v>
      </c>
      <c r="N57" s="504"/>
      <c r="O57" s="504"/>
      <c r="P57" s="506"/>
      <c r="Q57" s="506"/>
      <c r="R57" s="42" t="s">
        <v>15</v>
      </c>
      <c r="S57" s="40">
        <v>252</v>
      </c>
      <c r="T57" s="117">
        <f t="shared" si="12"/>
        <v>3168</v>
      </c>
      <c r="U57" s="118">
        <f t="shared" si="13"/>
        <v>0</v>
      </c>
    </row>
    <row r="58" spans="1:21" ht="16.5" thickBot="1" x14ac:dyDescent="0.3">
      <c r="A58" s="460"/>
      <c r="B58" s="460"/>
      <c r="C58" s="165">
        <v>0</v>
      </c>
      <c r="D58" s="165">
        <v>0</v>
      </c>
      <c r="E58" s="125">
        <f t="shared" si="10"/>
        <v>0</v>
      </c>
      <c r="F58" s="41" t="s">
        <v>15</v>
      </c>
      <c r="G58" s="39">
        <v>253</v>
      </c>
      <c r="H58" s="321">
        <f>'0664'!H58</f>
        <v>6685</v>
      </c>
      <c r="I58" s="104">
        <f t="shared" si="11"/>
        <v>0</v>
      </c>
      <c r="N58" s="504"/>
      <c r="O58" s="504"/>
      <c r="P58" s="507"/>
      <c r="Q58" s="507"/>
      <c r="R58" s="42" t="s">
        <v>15</v>
      </c>
      <c r="S58" s="40">
        <v>253</v>
      </c>
      <c r="T58" s="117">
        <f t="shared" si="12"/>
        <v>6685</v>
      </c>
      <c r="U58" s="120">
        <f t="shared" si="13"/>
        <v>0</v>
      </c>
    </row>
    <row r="59" spans="1:21" ht="16.5" thickBot="1" x14ac:dyDescent="0.3">
      <c r="A59" s="461" t="s">
        <v>16</v>
      </c>
      <c r="B59" s="461"/>
      <c r="C59" s="100">
        <f>SUM(C50:C58)</f>
        <v>23.94</v>
      </c>
      <c r="D59" s="100">
        <f>SUM(D50:D58)</f>
        <v>23.41</v>
      </c>
      <c r="E59" s="100">
        <f>SUM(E50:E58)</f>
        <v>47.35</v>
      </c>
      <c r="F59" s="461" t="s">
        <v>77</v>
      </c>
      <c r="G59" s="461"/>
      <c r="H59" s="461"/>
      <c r="I59" s="100">
        <f>SUM(I50:I58)</f>
        <v>60160.89</v>
      </c>
      <c r="N59" s="480" t="s">
        <v>16</v>
      </c>
      <c r="O59" s="480"/>
      <c r="P59" s="502">
        <f>SUM(P50:P58)</f>
        <v>0</v>
      </c>
      <c r="Q59" s="502"/>
      <c r="R59" s="480" t="s">
        <v>77</v>
      </c>
      <c r="S59" s="480"/>
      <c r="T59" s="480"/>
      <c r="U59" s="111">
        <f>SUM(U50:U58)</f>
        <v>0</v>
      </c>
    </row>
    <row r="60" spans="1:21" x14ac:dyDescent="0.25">
      <c r="A60" s="462"/>
      <c r="B60" s="462"/>
      <c r="C60" s="462"/>
      <c r="D60" s="462"/>
      <c r="E60" s="462"/>
      <c r="F60" s="462"/>
      <c r="G60" s="462"/>
      <c r="H60" s="462"/>
      <c r="I60" s="462"/>
      <c r="N60" s="484"/>
      <c r="O60" s="484"/>
      <c r="P60" s="484"/>
      <c r="Q60" s="484"/>
      <c r="R60" s="484"/>
      <c r="S60" s="484"/>
      <c r="T60" s="484"/>
      <c r="U60" s="484"/>
    </row>
    <row r="61" spans="1:21" x14ac:dyDescent="0.25">
      <c r="A61" s="463" t="s">
        <v>136</v>
      </c>
      <c r="B61" s="453"/>
      <c r="C61" s="453"/>
      <c r="D61" s="453"/>
      <c r="E61" s="453"/>
      <c r="F61" s="453"/>
      <c r="G61" s="453"/>
      <c r="H61" s="453"/>
      <c r="I61" s="453"/>
      <c r="N61" s="479" t="s">
        <v>88</v>
      </c>
      <c r="O61" s="479"/>
      <c r="P61" s="479"/>
      <c r="Q61" s="479"/>
      <c r="R61" s="479"/>
      <c r="S61" s="479"/>
      <c r="T61" s="479"/>
      <c r="U61" s="479"/>
    </row>
    <row r="62" spans="1:21" x14ac:dyDescent="0.25">
      <c r="A62" s="463" t="s">
        <v>138</v>
      </c>
      <c r="B62" s="453"/>
      <c r="C62" s="121">
        <f>E29</f>
        <v>344.31</v>
      </c>
      <c r="D62" s="464" t="s">
        <v>135</v>
      </c>
      <c r="E62" s="464"/>
      <c r="F62" s="464"/>
      <c r="G62" s="464"/>
      <c r="H62" s="335">
        <f>'0664'!H62</f>
        <v>193340.76</v>
      </c>
      <c r="I62" s="122"/>
      <c r="N62" s="478" t="s">
        <v>312</v>
      </c>
      <c r="O62" s="479"/>
      <c r="P62" s="43">
        <f>P29</f>
        <v>0</v>
      </c>
      <c r="Q62" s="498" t="s">
        <v>78</v>
      </c>
      <c r="R62" s="498"/>
      <c r="S62" s="498"/>
      <c r="T62" s="497">
        <f>H62</f>
        <v>193340.76</v>
      </c>
      <c r="U62" s="497"/>
    </row>
    <row r="63" spans="1:21" x14ac:dyDescent="0.25">
      <c r="B63" s="72"/>
      <c r="G63" s="44" t="s">
        <v>13</v>
      </c>
      <c r="H63" s="123">
        <f>ROUND(C62/H62,6)</f>
        <v>1.781E-3</v>
      </c>
      <c r="I63" s="124"/>
      <c r="N63" s="479" t="s">
        <v>19</v>
      </c>
      <c r="O63" s="479"/>
      <c r="P63" s="479"/>
      <c r="Q63" s="479"/>
      <c r="R63" s="479"/>
      <c r="S63" s="479"/>
      <c r="T63" s="501">
        <f>ROUND(P62/T62,6)</f>
        <v>0</v>
      </c>
      <c r="U63" s="501"/>
    </row>
    <row r="64" spans="1:21" x14ac:dyDescent="0.25">
      <c r="A64" s="463" t="s">
        <v>137</v>
      </c>
      <c r="B64" s="453"/>
      <c r="C64" s="453"/>
      <c r="D64" s="453"/>
      <c r="E64" s="453"/>
      <c r="F64" s="453"/>
      <c r="G64" s="453"/>
      <c r="H64" s="453"/>
      <c r="I64" s="453"/>
      <c r="N64" s="479" t="s">
        <v>89</v>
      </c>
      <c r="O64" s="479"/>
      <c r="P64" s="479"/>
      <c r="Q64" s="479"/>
      <c r="R64" s="479"/>
      <c r="S64" s="479"/>
      <c r="T64" s="479"/>
      <c r="U64" s="479"/>
    </row>
    <row r="65" spans="1:21" x14ac:dyDescent="0.25">
      <c r="A65" s="463" t="s">
        <v>139</v>
      </c>
      <c r="B65" s="453"/>
      <c r="C65" s="121">
        <f>E45</f>
        <v>349.29730000000001</v>
      </c>
      <c r="D65" s="464" t="s">
        <v>140</v>
      </c>
      <c r="E65" s="464"/>
      <c r="F65" s="464"/>
      <c r="G65" s="464"/>
      <c r="H65" s="336">
        <f>'0664'!H65</f>
        <v>216845.88</v>
      </c>
      <c r="I65" s="125"/>
      <c r="N65" s="479" t="s">
        <v>80</v>
      </c>
      <c r="O65" s="479"/>
      <c r="P65" s="43">
        <f>R45</f>
        <v>0</v>
      </c>
      <c r="Q65" s="498" t="s">
        <v>79</v>
      </c>
      <c r="R65" s="498"/>
      <c r="S65" s="498"/>
      <c r="T65" s="497">
        <f>H65</f>
        <v>216845.88</v>
      </c>
      <c r="U65" s="497"/>
    </row>
    <row r="66" spans="1:21" s="37" customFormat="1" x14ac:dyDescent="0.25">
      <c r="A66" s="126"/>
      <c r="G66" s="45" t="s">
        <v>13</v>
      </c>
      <c r="H66" s="127">
        <f>ROUND(C65/H65,6)</f>
        <v>1.611E-3</v>
      </c>
      <c r="I66" s="127"/>
      <c r="N66" s="482" t="s">
        <v>20</v>
      </c>
      <c r="O66" s="482"/>
      <c r="P66" s="482"/>
      <c r="Q66" s="482"/>
      <c r="R66" s="482"/>
      <c r="S66" s="482"/>
      <c r="T66" s="500">
        <f>ROUND(P65/T65,6)</f>
        <v>0</v>
      </c>
      <c r="U66" s="500"/>
    </row>
    <row r="67" spans="1:21" x14ac:dyDescent="0.25">
      <c r="G67" s="44"/>
      <c r="H67" s="123"/>
      <c r="I67" s="123"/>
      <c r="N67" s="48"/>
      <c r="O67" s="48"/>
      <c r="P67" s="48"/>
      <c r="Q67" s="48"/>
      <c r="R67" s="128"/>
      <c r="S67" s="48"/>
      <c r="T67" s="129"/>
      <c r="U67" s="130"/>
    </row>
    <row r="68" spans="1:21" x14ac:dyDescent="0.25">
      <c r="A68" s="453" t="s">
        <v>85</v>
      </c>
      <c r="B68" s="453"/>
      <c r="C68" s="453"/>
      <c r="D68" s="72"/>
      <c r="E68" s="46" t="s">
        <v>3</v>
      </c>
      <c r="F68" s="337">
        <f>'0664'!F68</f>
        <v>42465042</v>
      </c>
      <c r="G68" s="39" t="s">
        <v>6</v>
      </c>
      <c r="H68" s="131">
        <f>H63</f>
        <v>1.781E-3</v>
      </c>
      <c r="I68" s="104">
        <f>ROUND(F68*H68,2)</f>
        <v>75630.240000000005</v>
      </c>
      <c r="N68" s="479" t="s">
        <v>85</v>
      </c>
      <c r="O68" s="479"/>
      <c r="P68" s="479"/>
      <c r="Q68" s="47"/>
      <c r="R68" s="132">
        <f>F68</f>
        <v>42465042</v>
      </c>
      <c r="S68" s="40" t="s">
        <v>6</v>
      </c>
      <c r="T68" s="133">
        <f>T63</f>
        <v>0</v>
      </c>
      <c r="U68" s="99">
        <f>ROUND(R68*T68,0)</f>
        <v>0</v>
      </c>
    </row>
    <row r="69" spans="1:21" x14ac:dyDescent="0.25">
      <c r="A69" s="458" t="s">
        <v>96</v>
      </c>
      <c r="B69" s="453"/>
      <c r="C69" s="453"/>
      <c r="D69" s="72"/>
      <c r="E69" s="46"/>
      <c r="F69" s="175"/>
      <c r="G69" s="39"/>
      <c r="H69" s="131"/>
      <c r="I69" s="104"/>
      <c r="N69" s="479" t="s">
        <v>84</v>
      </c>
      <c r="O69" s="479"/>
      <c r="P69" s="479"/>
      <c r="Q69" s="54"/>
      <c r="R69" s="54"/>
      <c r="S69" s="54"/>
      <c r="T69" s="54"/>
      <c r="U69" s="54"/>
    </row>
    <row r="70" spans="1:21" x14ac:dyDescent="0.25">
      <c r="A70" s="465" t="s">
        <v>141</v>
      </c>
      <c r="B70" s="453"/>
      <c r="C70" s="453"/>
      <c r="D70" s="72"/>
      <c r="E70" s="46" t="s">
        <v>3</v>
      </c>
      <c r="F70" s="337">
        <f>'0664'!F70</f>
        <v>0</v>
      </c>
      <c r="G70" s="39" t="s">
        <v>6</v>
      </c>
      <c r="H70" s="131">
        <f>H63</f>
        <v>1.781E-3</v>
      </c>
      <c r="I70" s="104">
        <f>ROUND(F70*H70,2)</f>
        <v>0</v>
      </c>
      <c r="N70" s="48"/>
      <c r="O70" s="48"/>
      <c r="P70" s="48"/>
      <c r="Q70" s="47"/>
      <c r="R70" s="132">
        <f>F70</f>
        <v>0</v>
      </c>
      <c r="S70" s="40" t="s">
        <v>6</v>
      </c>
      <c r="T70" s="133">
        <f>T63</f>
        <v>0</v>
      </c>
      <c r="U70" s="99">
        <f>ROUND(R70*T70,0)</f>
        <v>0</v>
      </c>
    </row>
    <row r="71" spans="1:21" x14ac:dyDescent="0.25">
      <c r="A71" s="463" t="s">
        <v>433</v>
      </c>
      <c r="B71" s="453"/>
      <c r="C71" s="453"/>
      <c r="D71" s="72"/>
      <c r="E71" s="46" t="s">
        <v>3</v>
      </c>
      <c r="F71" s="337">
        <f>'0664'!F71</f>
        <v>13414654</v>
      </c>
      <c r="G71" s="39" t="s">
        <v>6</v>
      </c>
      <c r="H71" s="131">
        <f>H63</f>
        <v>1.781E-3</v>
      </c>
      <c r="I71" s="104">
        <f>ROUND(F71*H71,2)</f>
        <v>23891.5</v>
      </c>
      <c r="N71" s="479" t="s">
        <v>83</v>
      </c>
      <c r="O71" s="479"/>
      <c r="P71" s="479"/>
      <c r="Q71" s="47"/>
      <c r="R71" s="132">
        <f>F71</f>
        <v>13414654</v>
      </c>
      <c r="S71" s="40" t="s">
        <v>6</v>
      </c>
      <c r="T71" s="133">
        <f>T63</f>
        <v>0</v>
      </c>
      <c r="U71" s="99">
        <f>ROUND(R71*T71,0)</f>
        <v>0</v>
      </c>
    </row>
    <row r="72" spans="1:21" x14ac:dyDescent="0.25">
      <c r="A72" s="463" t="s">
        <v>434</v>
      </c>
      <c r="B72" s="453"/>
      <c r="C72" s="453"/>
      <c r="D72" s="72"/>
      <c r="E72" s="46" t="s">
        <v>3</v>
      </c>
      <c r="F72" s="337">
        <f>'0664'!F72</f>
        <v>14708421</v>
      </c>
      <c r="G72" s="39" t="s">
        <v>6</v>
      </c>
      <c r="H72" s="131">
        <f>H63</f>
        <v>1.781E-3</v>
      </c>
      <c r="I72" s="104">
        <f>ROUND(F72*H72,2)</f>
        <v>26195.7</v>
      </c>
      <c r="N72" s="479" t="s">
        <v>82</v>
      </c>
      <c r="O72" s="479"/>
      <c r="P72" s="479"/>
      <c r="Q72" s="47"/>
      <c r="R72" s="134">
        <f>F72</f>
        <v>14708421</v>
      </c>
      <c r="S72" s="40" t="s">
        <v>6</v>
      </c>
      <c r="T72" s="133">
        <f>T63</f>
        <v>0</v>
      </c>
      <c r="U72" s="99">
        <f>ROUND(R72*T72,0)</f>
        <v>0</v>
      </c>
    </row>
    <row r="73" spans="1:21" x14ac:dyDescent="0.25">
      <c r="A73" s="263" t="s">
        <v>99</v>
      </c>
      <c r="D73" s="72"/>
      <c r="E73" s="41" t="s">
        <v>353</v>
      </c>
      <c r="F73" s="466"/>
      <c r="G73" s="466"/>
      <c r="H73" s="466"/>
      <c r="I73" s="104">
        <v>0</v>
      </c>
      <c r="N73" s="499" t="s">
        <v>118</v>
      </c>
      <c r="O73" s="499"/>
      <c r="P73" s="499"/>
      <c r="Q73" s="499"/>
      <c r="R73" s="499"/>
      <c r="S73" s="499"/>
      <c r="T73" s="499"/>
      <c r="U73" s="99">
        <f>IF($H$120=1,I73,0)</f>
        <v>0</v>
      </c>
    </row>
    <row r="74" spans="1:21" x14ac:dyDescent="0.25">
      <c r="A74" s="264" t="s">
        <v>142</v>
      </c>
      <c r="I74" s="104"/>
      <c r="N74" s="499" t="s">
        <v>43</v>
      </c>
      <c r="O74" s="499"/>
      <c r="P74" s="499"/>
      <c r="Q74" s="499"/>
      <c r="R74" s="499"/>
      <c r="S74" s="499"/>
      <c r="T74" s="499"/>
      <c r="U74" s="99">
        <f>IF($H$120=1,I74,0)</f>
        <v>0</v>
      </c>
    </row>
    <row r="75" spans="1:21" x14ac:dyDescent="0.25">
      <c r="A75" s="324" t="s">
        <v>101</v>
      </c>
      <c r="B75" s="72"/>
      <c r="C75" s="72"/>
      <c r="D75" s="72"/>
      <c r="E75" s="72"/>
      <c r="F75" s="72"/>
      <c r="G75" s="72"/>
      <c r="H75" s="72"/>
      <c r="I75" s="135"/>
      <c r="N75" s="382" t="s">
        <v>44</v>
      </c>
      <c r="O75" s="48"/>
      <c r="P75" s="48"/>
      <c r="Q75" s="48"/>
      <c r="R75" s="48"/>
      <c r="S75" s="48"/>
      <c r="T75" s="48"/>
      <c r="U75" s="106"/>
    </row>
    <row r="76" spans="1:21" x14ac:dyDescent="0.25">
      <c r="A76" s="463" t="s">
        <v>435</v>
      </c>
      <c r="B76" s="453"/>
      <c r="C76" s="453"/>
      <c r="D76" s="72"/>
      <c r="E76" s="46" t="s">
        <v>3</v>
      </c>
      <c r="F76" s="337">
        <f>'0664'!F76</f>
        <v>8720092</v>
      </c>
      <c r="G76" s="39" t="s">
        <v>6</v>
      </c>
      <c r="H76" s="131">
        <f>H63</f>
        <v>1.781E-3</v>
      </c>
      <c r="I76" s="104">
        <f t="shared" ref="I76:I85" si="14">ROUND(F76*H76,2)</f>
        <v>15530.48</v>
      </c>
      <c r="N76" s="478" t="s">
        <v>366</v>
      </c>
      <c r="O76" s="479"/>
      <c r="P76" s="479"/>
      <c r="Q76" s="47"/>
      <c r="R76" s="134">
        <f t="shared" ref="R76:R85" si="15">F76</f>
        <v>8720092</v>
      </c>
      <c r="S76" s="40" t="s">
        <v>6</v>
      </c>
      <c r="T76" s="133">
        <f>T63</f>
        <v>0</v>
      </c>
      <c r="U76" s="99">
        <f t="shared" ref="U76:U85" si="16">ROUND(R76*T76,0)</f>
        <v>0</v>
      </c>
    </row>
    <row r="77" spans="1:21" x14ac:dyDescent="0.25">
      <c r="A77" s="463" t="s">
        <v>436</v>
      </c>
      <c r="B77" s="453"/>
      <c r="C77" s="453"/>
      <c r="D77" s="72"/>
      <c r="E77" s="46" t="s">
        <v>3</v>
      </c>
      <c r="F77" s="337">
        <f>'0664'!F77</f>
        <v>0</v>
      </c>
      <c r="G77" s="39" t="s">
        <v>6</v>
      </c>
      <c r="H77" s="131">
        <f>H63</f>
        <v>1.781E-3</v>
      </c>
      <c r="I77" s="104">
        <f t="shared" si="14"/>
        <v>0</v>
      </c>
      <c r="N77" s="479" t="s">
        <v>367</v>
      </c>
      <c r="O77" s="479"/>
      <c r="P77" s="479"/>
      <c r="Q77" s="47"/>
      <c r="R77" s="134">
        <f t="shared" si="15"/>
        <v>0</v>
      </c>
      <c r="S77" s="40" t="s">
        <v>6</v>
      </c>
      <c r="T77" s="133">
        <f>T63</f>
        <v>0</v>
      </c>
      <c r="U77" s="99">
        <f t="shared" si="16"/>
        <v>0</v>
      </c>
    </row>
    <row r="78" spans="1:21" x14ac:dyDescent="0.25">
      <c r="A78" s="463" t="s">
        <v>437</v>
      </c>
      <c r="B78" s="453"/>
      <c r="C78" s="453"/>
      <c r="D78" s="72"/>
      <c r="E78" s="46" t="s">
        <v>4</v>
      </c>
      <c r="F78" s="337">
        <f>'0664'!F78</f>
        <v>0</v>
      </c>
      <c r="G78" s="39" t="s">
        <v>6</v>
      </c>
      <c r="H78" s="131">
        <f>H66</f>
        <v>1.611E-3</v>
      </c>
      <c r="I78" s="104">
        <f t="shared" si="14"/>
        <v>0</v>
      </c>
      <c r="N78" s="478" t="s">
        <v>392</v>
      </c>
      <c r="O78" s="479"/>
      <c r="P78" s="479"/>
      <c r="Q78" s="47"/>
      <c r="R78" s="134">
        <f t="shared" si="15"/>
        <v>0</v>
      </c>
      <c r="S78" s="40" t="s">
        <v>6</v>
      </c>
      <c r="T78" s="133">
        <f>T66</f>
        <v>0</v>
      </c>
      <c r="U78" s="99">
        <f t="shared" si="16"/>
        <v>0</v>
      </c>
    </row>
    <row r="79" spans="1:21" x14ac:dyDescent="0.25">
      <c r="A79" s="463" t="s">
        <v>438</v>
      </c>
      <c r="B79" s="453"/>
      <c r="C79" s="453"/>
      <c r="D79" s="72"/>
      <c r="E79" s="46" t="s">
        <v>4</v>
      </c>
      <c r="F79" s="337">
        <f>'0664'!F79</f>
        <v>11278687</v>
      </c>
      <c r="G79" s="39" t="s">
        <v>6</v>
      </c>
      <c r="H79" s="131">
        <f>H66</f>
        <v>1.611E-3</v>
      </c>
      <c r="I79" s="104">
        <f t="shared" si="14"/>
        <v>18169.96</v>
      </c>
      <c r="N79" s="478" t="s">
        <v>393</v>
      </c>
      <c r="O79" s="479"/>
      <c r="P79" s="479"/>
      <c r="Q79" s="47"/>
      <c r="R79" s="134">
        <f t="shared" si="15"/>
        <v>11278687</v>
      </c>
      <c r="S79" s="40" t="s">
        <v>6</v>
      </c>
      <c r="T79" s="133">
        <f>T66</f>
        <v>0</v>
      </c>
      <c r="U79" s="99">
        <f t="shared" si="16"/>
        <v>0</v>
      </c>
    </row>
    <row r="80" spans="1:21" x14ac:dyDescent="0.25">
      <c r="A80" s="463" t="s">
        <v>439</v>
      </c>
      <c r="B80" s="453"/>
      <c r="C80" s="453"/>
      <c r="D80" s="72"/>
      <c r="E80" s="46" t="s">
        <v>4</v>
      </c>
      <c r="F80" s="337">
        <f>'0664'!F80</f>
        <v>206284749</v>
      </c>
      <c r="G80" s="39" t="s">
        <v>6</v>
      </c>
      <c r="H80" s="131">
        <f>H66</f>
        <v>1.611E-3</v>
      </c>
      <c r="I80" s="104">
        <f t="shared" si="14"/>
        <v>332324.73</v>
      </c>
      <c r="N80" s="478" t="s">
        <v>397</v>
      </c>
      <c r="O80" s="479"/>
      <c r="P80" s="479"/>
      <c r="Q80" s="47"/>
      <c r="R80" s="134">
        <f t="shared" si="15"/>
        <v>206284749</v>
      </c>
      <c r="S80" s="40" t="s">
        <v>6</v>
      </c>
      <c r="T80" s="133">
        <f>T66</f>
        <v>0</v>
      </c>
      <c r="U80" s="99">
        <f t="shared" si="16"/>
        <v>0</v>
      </c>
    </row>
    <row r="81" spans="1:21" x14ac:dyDescent="0.25">
      <c r="A81" s="84" t="s">
        <v>440</v>
      </c>
      <c r="B81" s="72"/>
      <c r="C81" s="72"/>
      <c r="D81" s="72"/>
      <c r="E81" s="46"/>
      <c r="F81" s="337"/>
      <c r="G81" s="39"/>
      <c r="H81" s="131"/>
      <c r="I81" s="104"/>
      <c r="N81" s="419" t="s">
        <v>440</v>
      </c>
      <c r="O81" s="48"/>
      <c r="P81" s="48"/>
      <c r="Q81" s="47"/>
      <c r="R81" s="423"/>
      <c r="S81" s="40"/>
      <c r="T81" s="133"/>
      <c r="U81" s="120"/>
    </row>
    <row r="82" spans="1:21" x14ac:dyDescent="0.25">
      <c r="A82" s="264" t="s">
        <v>441</v>
      </c>
      <c r="B82" s="72"/>
      <c r="C82" s="72"/>
      <c r="D82" s="72"/>
      <c r="E82" s="46" t="s">
        <v>442</v>
      </c>
      <c r="F82" s="337">
        <f>'0664'!F82</f>
        <v>0</v>
      </c>
      <c r="G82" s="39" t="s">
        <v>6</v>
      </c>
      <c r="H82" s="131">
        <f>H66</f>
        <v>1.611E-3</v>
      </c>
      <c r="I82" s="104">
        <v>63335.54</v>
      </c>
      <c r="N82" s="422" t="s">
        <v>441</v>
      </c>
      <c r="O82" s="48"/>
      <c r="P82" s="48"/>
      <c r="Q82" s="47"/>
      <c r="R82" s="134">
        <f t="shared" si="15"/>
        <v>0</v>
      </c>
      <c r="S82" s="40"/>
      <c r="T82" s="133"/>
      <c r="U82" s="99">
        <f t="shared" si="16"/>
        <v>0</v>
      </c>
    </row>
    <row r="83" spans="1:21" x14ac:dyDescent="0.25">
      <c r="A83" s="264" t="s">
        <v>443</v>
      </c>
      <c r="B83" s="72"/>
      <c r="C83" s="72"/>
      <c r="D83" s="72"/>
      <c r="E83" s="46" t="s">
        <v>442</v>
      </c>
      <c r="F83" s="337">
        <f>'0664'!F83</f>
        <v>0</v>
      </c>
      <c r="G83" s="39" t="s">
        <v>6</v>
      </c>
      <c r="H83" s="131">
        <f>H66</f>
        <v>1.611E-3</v>
      </c>
      <c r="I83" s="104">
        <v>28788.880000000001</v>
      </c>
      <c r="N83" s="422" t="s">
        <v>443</v>
      </c>
      <c r="O83" s="48"/>
      <c r="P83" s="48"/>
      <c r="Q83" s="47"/>
      <c r="R83" s="134">
        <f t="shared" si="15"/>
        <v>0</v>
      </c>
      <c r="S83" s="40"/>
      <c r="T83" s="133"/>
      <c r="U83" s="99">
        <f t="shared" si="16"/>
        <v>0</v>
      </c>
    </row>
    <row r="84" spans="1:21" x14ac:dyDescent="0.25">
      <c r="A84" s="420" t="s">
        <v>444</v>
      </c>
      <c r="B84" s="72"/>
      <c r="C84" s="72"/>
      <c r="D84" s="72"/>
      <c r="E84" s="46"/>
      <c r="F84" s="337"/>
      <c r="G84" s="39"/>
      <c r="H84" s="131"/>
      <c r="I84" s="104">
        <f>I82+I83</f>
        <v>92124.42</v>
      </c>
      <c r="N84" s="421" t="s">
        <v>444</v>
      </c>
      <c r="O84" s="48"/>
      <c r="P84" s="48"/>
      <c r="Q84" s="47"/>
      <c r="R84" s="423"/>
      <c r="S84" s="40"/>
      <c r="T84" s="133"/>
      <c r="U84" s="99">
        <f>U82+U83</f>
        <v>0</v>
      </c>
    </row>
    <row r="85" spans="1:21" x14ac:dyDescent="0.25">
      <c r="A85" s="463" t="s">
        <v>398</v>
      </c>
      <c r="B85" s="453"/>
      <c r="C85" s="453"/>
      <c r="D85" s="72"/>
      <c r="E85" s="46" t="s">
        <v>4</v>
      </c>
      <c r="F85" s="337">
        <f>'0664'!F85</f>
        <v>0</v>
      </c>
      <c r="G85" s="39" t="s">
        <v>6</v>
      </c>
      <c r="H85" s="131">
        <f>H66</f>
        <v>1.611E-3</v>
      </c>
      <c r="I85" s="104">
        <f t="shared" si="14"/>
        <v>0</v>
      </c>
      <c r="N85" s="478" t="s">
        <v>398</v>
      </c>
      <c r="O85" s="479"/>
      <c r="P85" s="479"/>
      <c r="Q85" s="47"/>
      <c r="R85" s="132">
        <f t="shared" si="15"/>
        <v>0</v>
      </c>
      <c r="S85" s="40" t="s">
        <v>6</v>
      </c>
      <c r="T85" s="133">
        <f>T66</f>
        <v>0</v>
      </c>
      <c r="U85" s="99">
        <f t="shared" si="16"/>
        <v>0</v>
      </c>
    </row>
    <row r="86" spans="1:21" x14ac:dyDescent="0.25">
      <c r="B86" s="72"/>
      <c r="C86" s="72"/>
      <c r="D86" s="72"/>
      <c r="E86" s="46"/>
      <c r="F86" s="136"/>
      <c r="G86" s="39"/>
      <c r="H86" s="131"/>
      <c r="I86" s="104"/>
      <c r="N86" s="48"/>
      <c r="O86" s="48"/>
      <c r="P86" s="48"/>
      <c r="Q86" s="47"/>
      <c r="R86" s="137"/>
      <c r="S86" s="40"/>
      <c r="T86" s="133"/>
      <c r="U86" s="106"/>
    </row>
    <row r="87" spans="1:21" x14ac:dyDescent="0.25">
      <c r="A87" s="463" t="s">
        <v>445</v>
      </c>
      <c r="B87" s="453"/>
      <c r="C87" s="453"/>
      <c r="D87" s="453"/>
      <c r="E87" s="453"/>
      <c r="F87" s="453"/>
      <c r="G87" s="453"/>
      <c r="H87" s="453"/>
      <c r="I87" s="453"/>
      <c r="N87" s="478" t="s">
        <v>429</v>
      </c>
      <c r="O87" s="479"/>
      <c r="P87" s="479"/>
      <c r="Q87" s="479"/>
      <c r="R87" s="479"/>
      <c r="S87" s="479"/>
      <c r="T87" s="479"/>
      <c r="U87" s="479"/>
    </row>
    <row r="88" spans="1:21" x14ac:dyDescent="0.25">
      <c r="B88" s="72"/>
      <c r="C88" s="466" t="s">
        <v>73</v>
      </c>
      <c r="D88" s="466"/>
      <c r="E88" s="72"/>
      <c r="F88" s="41" t="s">
        <v>37</v>
      </c>
      <c r="G88" s="72"/>
      <c r="H88" s="72"/>
      <c r="I88" s="72"/>
      <c r="N88" s="48"/>
      <c r="O88" s="48"/>
      <c r="P88" s="48"/>
      <c r="Q88" s="48"/>
      <c r="R88" s="48"/>
      <c r="S88" s="48"/>
      <c r="T88" s="48"/>
      <c r="U88" s="48"/>
    </row>
    <row r="89" spans="1:21" x14ac:dyDescent="0.25">
      <c r="A89" s="3"/>
      <c r="B89" s="138"/>
      <c r="C89" s="462" t="s">
        <v>144</v>
      </c>
      <c r="D89" s="462"/>
      <c r="E89" s="139" t="s">
        <v>150</v>
      </c>
      <c r="F89" s="140" t="s">
        <v>149</v>
      </c>
      <c r="G89" s="141"/>
      <c r="H89" s="141"/>
      <c r="I89" s="141"/>
      <c r="N89" s="495" t="s">
        <v>46</v>
      </c>
      <c r="O89" s="495"/>
      <c r="P89" s="496" t="s">
        <v>119</v>
      </c>
      <c r="Q89" s="496"/>
      <c r="R89" s="497" t="s">
        <v>40</v>
      </c>
      <c r="S89" s="497"/>
      <c r="T89" s="497"/>
      <c r="U89" s="497"/>
    </row>
    <row r="90" spans="1:21" x14ac:dyDescent="0.25">
      <c r="A90" s="27"/>
      <c r="B90" s="55" t="s">
        <v>148</v>
      </c>
      <c r="C90" s="467">
        <f>H13+H14+H19+H22+H25</f>
        <v>0</v>
      </c>
      <c r="D90" s="467"/>
      <c r="E90" s="49">
        <f>H8</f>
        <v>1.0438000000000001</v>
      </c>
      <c r="F90" s="338">
        <f>'0664'!F90</f>
        <v>957.94</v>
      </c>
      <c r="G90" s="41" t="s">
        <v>13</v>
      </c>
      <c r="H90" s="104">
        <f>ROUND(C90*E90*F90,2)</f>
        <v>0</v>
      </c>
      <c r="I90" s="107"/>
      <c r="N90" s="29" t="s">
        <v>22</v>
      </c>
      <c r="O90" s="50">
        <f>T13+T14+T19+T22+T25</f>
        <v>0</v>
      </c>
      <c r="P90" s="490">
        <f>T8</f>
        <v>1.0438000000000001</v>
      </c>
      <c r="Q90" s="490"/>
      <c r="R90" s="51">
        <f>F90</f>
        <v>957.94</v>
      </c>
      <c r="S90" s="42" t="s">
        <v>13</v>
      </c>
      <c r="T90" s="134">
        <f>ROUND(O90*P90*R90,0)</f>
        <v>0</v>
      </c>
      <c r="U90" s="105"/>
    </row>
    <row r="91" spans="1:21" x14ac:dyDescent="0.25">
      <c r="A91" s="52"/>
      <c r="B91" s="52" t="s">
        <v>147</v>
      </c>
      <c r="C91" s="467">
        <f>H15+H16+H20+H23+H26</f>
        <v>349.29730000000001</v>
      </c>
      <c r="D91" s="467"/>
      <c r="E91" s="49">
        <f>H8</f>
        <v>1.0438000000000001</v>
      </c>
      <c r="F91" s="338">
        <f>'0664'!F91</f>
        <v>914.63</v>
      </c>
      <c r="G91" s="41" t="s">
        <v>13</v>
      </c>
      <c r="H91" s="104">
        <f>ROUND(C91*E91*F91,2)</f>
        <v>333470.92</v>
      </c>
      <c r="N91" s="53" t="s">
        <v>14</v>
      </c>
      <c r="O91" s="50">
        <f>T15+T16+T20+T23+T26</f>
        <v>0</v>
      </c>
      <c r="P91" s="490">
        <f>T8</f>
        <v>1.0438000000000001</v>
      </c>
      <c r="Q91" s="490"/>
      <c r="R91" s="51">
        <f>F91</f>
        <v>914.63</v>
      </c>
      <c r="S91" s="42" t="s">
        <v>13</v>
      </c>
      <c r="T91" s="134">
        <f>ROUND(O91*P91*R91,0)</f>
        <v>0</v>
      </c>
      <c r="U91" s="54"/>
    </row>
    <row r="92" spans="1:21" ht="16.5" thickBot="1" x14ac:dyDescent="0.3">
      <c r="A92" s="55"/>
      <c r="B92" s="55" t="s">
        <v>146</v>
      </c>
      <c r="C92" s="467">
        <f>H17+H18+H21+H24+H27+H28</f>
        <v>0</v>
      </c>
      <c r="D92" s="467"/>
      <c r="E92" s="49">
        <f>H8</f>
        <v>1.0438000000000001</v>
      </c>
      <c r="F92" s="338">
        <f>'0664'!F92</f>
        <v>916.84</v>
      </c>
      <c r="G92" s="41" t="s">
        <v>13</v>
      </c>
      <c r="H92" s="97">
        <f>ROUND(C92*E92*F92,2)</f>
        <v>0</v>
      </c>
      <c r="N92" s="56" t="s">
        <v>15</v>
      </c>
      <c r="O92" s="57">
        <f>T17+T18+T21+T24+T27+T28</f>
        <v>0</v>
      </c>
      <c r="P92" s="490">
        <f>T8</f>
        <v>1.0438000000000001</v>
      </c>
      <c r="Q92" s="490"/>
      <c r="R92" s="51">
        <f>F92</f>
        <v>916.84</v>
      </c>
      <c r="S92" s="42" t="s">
        <v>13</v>
      </c>
      <c r="T92" s="134">
        <f>ROUND(O92*P92*R92,0)</f>
        <v>0</v>
      </c>
      <c r="U92" s="54"/>
    </row>
    <row r="93" spans="1:21" ht="16.5" thickBot="1" x14ac:dyDescent="0.3">
      <c r="A93" s="58"/>
      <c r="B93" s="142" t="s">
        <v>145</v>
      </c>
      <c r="C93" s="469">
        <f>SUM(C90:C92)</f>
        <v>349.29730000000001</v>
      </c>
      <c r="D93" s="469"/>
      <c r="E93" s="143"/>
      <c r="F93" s="143"/>
      <c r="G93" s="143"/>
      <c r="H93" s="144" t="s">
        <v>143</v>
      </c>
      <c r="I93" s="104">
        <f>IF(A1=75,0,H92+H91+H90)</f>
        <v>333470.92</v>
      </c>
      <c r="N93" s="59" t="s">
        <v>120</v>
      </c>
      <c r="O93" s="60">
        <f>SUM(O90:O92)</f>
        <v>0</v>
      </c>
      <c r="P93" s="491" t="s">
        <v>18</v>
      </c>
      <c r="Q93" s="492"/>
      <c r="R93" s="492"/>
      <c r="S93" s="492"/>
      <c r="T93" s="492"/>
      <c r="U93" s="99">
        <f>IF(N1=75,0,T92+T91+T90)</f>
        <v>0</v>
      </c>
    </row>
    <row r="94" spans="1:21" ht="16.5" thickTop="1" x14ac:dyDescent="0.25">
      <c r="A94" s="540" t="s">
        <v>90</v>
      </c>
      <c r="B94" s="540"/>
      <c r="C94" s="540"/>
      <c r="D94" s="540"/>
      <c r="E94" s="540"/>
      <c r="F94" s="540"/>
      <c r="G94" s="540"/>
      <c r="H94" s="540"/>
      <c r="I94" s="540"/>
      <c r="N94" s="493" t="s">
        <v>90</v>
      </c>
      <c r="O94" s="493"/>
      <c r="P94" s="493"/>
      <c r="Q94" s="493"/>
      <c r="R94" s="493"/>
      <c r="S94" s="493"/>
      <c r="T94" s="493"/>
      <c r="U94" s="493"/>
    </row>
    <row r="95" spans="1:21" x14ac:dyDescent="0.25">
      <c r="A95" s="145"/>
      <c r="B95" s="145"/>
      <c r="C95" s="145"/>
      <c r="D95" s="145"/>
      <c r="E95" s="145"/>
      <c r="F95" s="145"/>
      <c r="G95" s="145"/>
      <c r="H95" s="145"/>
      <c r="I95" s="145"/>
      <c r="N95" s="146"/>
      <c r="O95" s="146"/>
      <c r="P95" s="146"/>
      <c r="Q95" s="146"/>
      <c r="R95" s="146"/>
      <c r="S95" s="146"/>
      <c r="T95" s="146"/>
      <c r="U95" s="146"/>
    </row>
    <row r="96" spans="1:21" x14ac:dyDescent="0.25">
      <c r="A96" s="84" t="s">
        <v>446</v>
      </c>
      <c r="C96" s="46"/>
      <c r="D96" s="72"/>
      <c r="E96" s="46" t="s">
        <v>100</v>
      </c>
      <c r="F96" s="471"/>
      <c r="G96" s="471"/>
      <c r="H96" s="471"/>
      <c r="I96" s="471"/>
      <c r="N96" s="478" t="s">
        <v>426</v>
      </c>
      <c r="O96" s="479"/>
      <c r="P96" s="479"/>
      <c r="Q96" s="494"/>
      <c r="R96" s="494"/>
      <c r="S96" s="494"/>
      <c r="T96" s="494"/>
      <c r="U96" s="106"/>
    </row>
    <row r="97" spans="1:21" x14ac:dyDescent="0.25">
      <c r="B97" s="72"/>
      <c r="C97" s="91" t="s">
        <v>409</v>
      </c>
      <c r="D97" s="371" t="s">
        <v>410</v>
      </c>
      <c r="E97" s="92" t="s">
        <v>151</v>
      </c>
      <c r="F97" s="46"/>
      <c r="G97" s="46"/>
      <c r="H97" s="46"/>
      <c r="I97" s="46"/>
      <c r="N97" s="48"/>
      <c r="O97" s="48"/>
      <c r="P97" s="48"/>
      <c r="Q97" s="147"/>
      <c r="R97" s="147"/>
      <c r="S97" s="147"/>
      <c r="T97" s="147"/>
      <c r="U97" s="106"/>
    </row>
    <row r="98" spans="1:21" x14ac:dyDescent="0.25">
      <c r="B98" s="72"/>
      <c r="C98" s="362" t="s">
        <v>2</v>
      </c>
      <c r="D98" s="362" t="s">
        <v>2</v>
      </c>
      <c r="E98" s="362" t="s">
        <v>2</v>
      </c>
      <c r="F98" s="46"/>
      <c r="G98" s="46"/>
      <c r="H98" s="46"/>
      <c r="I98" s="46"/>
      <c r="N98" s="48"/>
      <c r="O98" s="48"/>
      <c r="P98" s="48"/>
      <c r="Q98" s="147"/>
      <c r="R98" s="147"/>
      <c r="S98" s="147"/>
      <c r="T98" s="147"/>
      <c r="U98" s="106"/>
    </row>
    <row r="99" spans="1:21" x14ac:dyDescent="0.25">
      <c r="A99" s="536" t="s">
        <v>470</v>
      </c>
      <c r="B99" s="461"/>
      <c r="C99" s="165">
        <v>1</v>
      </c>
      <c r="D99" s="165">
        <v>0</v>
      </c>
      <c r="E99" s="166">
        <f>C99</f>
        <v>1</v>
      </c>
      <c r="F99" s="148" t="s">
        <v>39</v>
      </c>
      <c r="G99" s="339">
        <f>'0664'!G99</f>
        <v>558</v>
      </c>
      <c r="I99" s="104">
        <f>ROUND(G99*E99,2)</f>
        <v>558</v>
      </c>
      <c r="N99" s="488" t="s">
        <v>65</v>
      </c>
      <c r="O99" s="488"/>
      <c r="P99" s="489">
        <f>IF(H120=1,E99,0)</f>
        <v>0</v>
      </c>
      <c r="Q99" s="489"/>
      <c r="R99" s="489"/>
      <c r="S99" s="86" t="s">
        <v>39</v>
      </c>
      <c r="T99" s="61">
        <f>G99</f>
        <v>558</v>
      </c>
      <c r="U99" s="99">
        <f>ROUND(T99*P99,0)</f>
        <v>0</v>
      </c>
    </row>
    <row r="100" spans="1:21" x14ac:dyDescent="0.25">
      <c r="A100" s="536" t="s">
        <v>471</v>
      </c>
      <c r="B100" s="461"/>
      <c r="C100" s="165">
        <v>0</v>
      </c>
      <c r="D100" s="165">
        <v>0</v>
      </c>
      <c r="E100" s="166">
        <f>C100</f>
        <v>0</v>
      </c>
      <c r="F100" s="148" t="s">
        <v>39</v>
      </c>
      <c r="G100" s="339">
        <f>'0664'!G100</f>
        <v>1707</v>
      </c>
      <c r="I100" s="104">
        <f>ROUND(G100*E100,2)</f>
        <v>0</v>
      </c>
      <c r="N100" s="488" t="s">
        <v>81</v>
      </c>
      <c r="O100" s="488"/>
      <c r="P100" s="483"/>
      <c r="Q100" s="483"/>
      <c r="R100" s="483"/>
      <c r="S100" s="86" t="s">
        <v>39</v>
      </c>
      <c r="T100" s="61">
        <f>G100</f>
        <v>1707</v>
      </c>
      <c r="U100" s="99">
        <f>ROUND(T100*P100,0)</f>
        <v>0</v>
      </c>
    </row>
    <row r="101" spans="1:21" x14ac:dyDescent="0.25">
      <c r="A101" s="149"/>
      <c r="B101" s="149"/>
      <c r="C101" s="68"/>
      <c r="D101" s="68"/>
      <c r="E101" s="68"/>
      <c r="F101" s="68"/>
      <c r="G101" s="150"/>
      <c r="H101" s="151"/>
      <c r="I101" s="104"/>
      <c r="N101" s="152"/>
      <c r="O101" s="152"/>
      <c r="P101" s="153"/>
      <c r="Q101" s="153"/>
      <c r="R101" s="153"/>
      <c r="S101" s="86"/>
      <c r="T101" s="61"/>
      <c r="U101" s="106"/>
    </row>
    <row r="102" spans="1:21" x14ac:dyDescent="0.25">
      <c r="A102" s="149"/>
      <c r="B102" s="149"/>
      <c r="C102" s="68"/>
      <c r="D102" s="68"/>
      <c r="E102" s="68"/>
      <c r="F102" s="68"/>
      <c r="G102" s="150"/>
      <c r="H102" s="151"/>
      <c r="I102" s="104"/>
      <c r="N102" s="152"/>
      <c r="O102" s="152"/>
      <c r="P102" s="153"/>
      <c r="Q102" s="153"/>
      <c r="R102" s="153"/>
      <c r="S102" s="86"/>
      <c r="T102" s="61"/>
      <c r="U102" s="106"/>
    </row>
    <row r="103" spans="1:21" hidden="1" x14ac:dyDescent="0.25">
      <c r="A103" s="463" t="s">
        <v>447</v>
      </c>
      <c r="B103" s="453"/>
      <c r="C103" s="453"/>
      <c r="D103" s="72"/>
      <c r="E103" s="41" t="s">
        <v>41</v>
      </c>
      <c r="F103" s="466"/>
      <c r="G103" s="466"/>
      <c r="H103" s="466"/>
      <c r="I103" s="466"/>
      <c r="N103" s="478" t="s">
        <v>362</v>
      </c>
      <c r="O103" s="479"/>
      <c r="P103" s="479"/>
      <c r="Q103" s="479"/>
      <c r="R103" s="479"/>
      <c r="S103" s="479"/>
      <c r="T103" s="479"/>
      <c r="U103" s="479"/>
    </row>
    <row r="104" spans="1:21" hidden="1" x14ac:dyDescent="0.25">
      <c r="B104" s="72"/>
      <c r="C104" s="462" t="s">
        <v>91</v>
      </c>
      <c r="D104" s="462"/>
      <c r="E104" s="462"/>
      <c r="F104" s="39"/>
      <c r="G104" s="39"/>
      <c r="H104" s="41" t="s">
        <v>152</v>
      </c>
      <c r="I104" s="39"/>
      <c r="N104" s="48"/>
      <c r="O104" s="48"/>
      <c r="P104" s="48"/>
      <c r="Q104" s="48"/>
      <c r="R104" s="48"/>
      <c r="S104" s="48"/>
      <c r="T104" s="48"/>
      <c r="U104" s="48"/>
    </row>
    <row r="105" spans="1:21" hidden="1" x14ac:dyDescent="0.25">
      <c r="B105" s="72"/>
      <c r="C105" s="91" t="s">
        <v>371</v>
      </c>
      <c r="D105" s="91" t="s">
        <v>351</v>
      </c>
      <c r="E105" s="159" t="s">
        <v>8</v>
      </c>
      <c r="F105" s="464" t="s">
        <v>153</v>
      </c>
      <c r="G105" s="466"/>
      <c r="H105" s="39" t="s">
        <v>38</v>
      </c>
      <c r="I105" s="39"/>
      <c r="N105" s="48"/>
      <c r="O105" s="48"/>
      <c r="P105" s="48"/>
      <c r="Q105" s="48"/>
      <c r="R105" s="48"/>
      <c r="S105" s="48"/>
      <c r="T105" s="48"/>
      <c r="U105" s="48"/>
    </row>
    <row r="106" spans="1:21" hidden="1" x14ac:dyDescent="0.25">
      <c r="A106" s="462" t="s">
        <v>94</v>
      </c>
      <c r="B106" s="462"/>
      <c r="C106" s="93" t="s">
        <v>2</v>
      </c>
      <c r="D106" s="93" t="s">
        <v>2</v>
      </c>
      <c r="E106" s="62" t="s">
        <v>2</v>
      </c>
      <c r="F106" s="462" t="s">
        <v>37</v>
      </c>
      <c r="G106" s="462"/>
      <c r="H106" s="62" t="s">
        <v>37</v>
      </c>
      <c r="I106" s="62" t="s">
        <v>8</v>
      </c>
      <c r="N106" s="484" t="s">
        <v>66</v>
      </c>
      <c r="O106" s="484"/>
      <c r="P106" s="489" t="s">
        <v>91</v>
      </c>
      <c r="Q106" s="489"/>
      <c r="R106" s="484" t="s">
        <v>67</v>
      </c>
      <c r="S106" s="484"/>
      <c r="T106" s="63" t="s">
        <v>68</v>
      </c>
      <c r="U106" s="63" t="s">
        <v>8</v>
      </c>
    </row>
    <row r="107" spans="1:21" hidden="1" x14ac:dyDescent="0.25">
      <c r="A107" s="473" t="s">
        <v>69</v>
      </c>
      <c r="B107" s="473"/>
      <c r="C107" s="163">
        <v>0</v>
      </c>
      <c r="D107" s="163">
        <v>0</v>
      </c>
      <c r="E107" s="164">
        <f>IF(D$59=0,C107*2,C107+D107)</f>
        <v>0</v>
      </c>
      <c r="F107" s="543">
        <v>0</v>
      </c>
      <c r="G107" s="543"/>
      <c r="H107" s="64">
        <f>IF(C107=0,0,125)</f>
        <v>0</v>
      </c>
      <c r="I107" s="104">
        <f>ROUND((H107+F107)*E107,2)</f>
        <v>0</v>
      </c>
      <c r="N107" s="479" t="s">
        <v>69</v>
      </c>
      <c r="O107" s="479"/>
      <c r="P107" s="483">
        <f>IF(H$120=1,C107,0)</f>
        <v>0</v>
      </c>
      <c r="Q107" s="483"/>
      <c r="R107" s="486">
        <f>F107</f>
        <v>0</v>
      </c>
      <c r="S107" s="486"/>
      <c r="T107" s="65">
        <f>H107</f>
        <v>0</v>
      </c>
      <c r="U107" s="99">
        <f>ROUND((T107+R107)*P107,0)</f>
        <v>0</v>
      </c>
    </row>
    <row r="108" spans="1:21" hidden="1" x14ac:dyDescent="0.25">
      <c r="A108" s="456" t="s">
        <v>70</v>
      </c>
      <c r="B108" s="456"/>
      <c r="C108" s="165">
        <v>0</v>
      </c>
      <c r="D108" s="165">
        <v>0</v>
      </c>
      <c r="E108" s="166">
        <f>IF(D$59=0,C108*2,C108+D108)</f>
        <v>0</v>
      </c>
      <c r="F108" s="468">
        <f>ROUND(F107/2,2)</f>
        <v>0</v>
      </c>
      <c r="G108" s="468"/>
      <c r="H108" s="64">
        <f>IF(C108=0,0,62.5)</f>
        <v>0</v>
      </c>
      <c r="I108" s="104">
        <f>ROUND((H108+F108)*E108,2)</f>
        <v>0</v>
      </c>
      <c r="N108" s="479" t="s">
        <v>70</v>
      </c>
      <c r="O108" s="479"/>
      <c r="P108" s="483">
        <f>IF(H$120=1,C108,0)</f>
        <v>0</v>
      </c>
      <c r="Q108" s="483"/>
      <c r="R108" s="487">
        <f>ROUND(R107/2,2)</f>
        <v>0</v>
      </c>
      <c r="S108" s="487"/>
      <c r="T108" s="65">
        <f>H108</f>
        <v>0</v>
      </c>
      <c r="U108" s="99">
        <f>ROUND((T108+R108)*P108,0)</f>
        <v>0</v>
      </c>
    </row>
    <row r="109" spans="1:21" ht="16.5" hidden="1" thickBot="1" x14ac:dyDescent="0.3">
      <c r="A109" s="456" t="s">
        <v>71</v>
      </c>
      <c r="B109" s="456"/>
      <c r="C109" s="165">
        <v>0</v>
      </c>
      <c r="D109" s="165">
        <v>0</v>
      </c>
      <c r="E109" s="166">
        <f>IF(D$59=0,C109*2,C109+D109)</f>
        <v>0</v>
      </c>
      <c r="F109" s="475"/>
      <c r="G109" s="475"/>
      <c r="H109" s="66">
        <f>IF(H107&gt;0,436,0)</f>
        <v>0</v>
      </c>
      <c r="I109" s="104">
        <f>ROUND(H109*E109,2)</f>
        <v>0</v>
      </c>
      <c r="N109" s="482" t="s">
        <v>71</v>
      </c>
      <c r="O109" s="482"/>
      <c r="P109" s="483">
        <f>IF(H$120=1,C109,0)</f>
        <v>0</v>
      </c>
      <c r="Q109" s="483"/>
      <c r="R109" s="484"/>
      <c r="S109" s="484"/>
      <c r="T109" s="67">
        <f>H109</f>
        <v>0</v>
      </c>
      <c r="U109" s="106">
        <f>ROUND(T109*P109,0)</f>
        <v>0</v>
      </c>
    </row>
    <row r="110" spans="1:21" ht="16.5" hidden="1" thickBot="1" x14ac:dyDescent="0.3">
      <c r="A110" s="466" t="s">
        <v>8</v>
      </c>
      <c r="B110" s="466"/>
      <c r="C110" s="68"/>
      <c r="D110" s="68"/>
      <c r="E110" s="68"/>
      <c r="F110" s="68"/>
      <c r="G110" s="68"/>
      <c r="H110" s="68"/>
      <c r="I110" s="100">
        <f>SUM(I107:I109)</f>
        <v>0</v>
      </c>
      <c r="N110" s="485" t="s">
        <v>8</v>
      </c>
      <c r="O110" s="485"/>
      <c r="P110" s="69"/>
      <c r="Q110" s="69"/>
      <c r="R110" s="69"/>
      <c r="S110" s="69"/>
      <c r="T110" s="69"/>
      <c r="U110" s="70">
        <f>SUM(U107:U109)</f>
        <v>0</v>
      </c>
    </row>
    <row r="111" spans="1:21" hidden="1" x14ac:dyDescent="0.25">
      <c r="A111" s="39"/>
      <c r="B111" s="39"/>
      <c r="C111" s="68"/>
      <c r="D111" s="68"/>
      <c r="E111" s="68"/>
      <c r="F111" s="68"/>
      <c r="G111" s="68"/>
      <c r="H111" s="68"/>
      <c r="I111" s="104"/>
      <c r="N111" s="40"/>
      <c r="O111" s="40"/>
      <c r="P111" s="69"/>
      <c r="Q111" s="69"/>
      <c r="R111" s="69"/>
      <c r="S111" s="69"/>
      <c r="T111" s="69"/>
      <c r="U111" s="160"/>
    </row>
    <row r="112" spans="1:21" x14ac:dyDescent="0.25">
      <c r="A112" s="463" t="s">
        <v>448</v>
      </c>
      <c r="B112" s="453"/>
      <c r="C112" s="453"/>
      <c r="D112" s="72"/>
      <c r="E112" s="71" t="s">
        <v>354</v>
      </c>
      <c r="F112" s="472"/>
      <c r="G112" s="472"/>
      <c r="H112" s="472"/>
      <c r="I112" s="125">
        <v>0</v>
      </c>
      <c r="N112" s="478" t="s">
        <v>427</v>
      </c>
      <c r="O112" s="479"/>
      <c r="P112" s="479"/>
      <c r="Q112" s="341"/>
      <c r="R112" s="341"/>
      <c r="S112" s="341"/>
      <c r="T112" s="341"/>
      <c r="U112" s="99">
        <f>IF($H$120=1,I112,0)</f>
        <v>0</v>
      </c>
    </row>
    <row r="113" spans="1:21" x14ac:dyDescent="0.25">
      <c r="A113" s="463" t="s">
        <v>449</v>
      </c>
      <c r="B113" s="453"/>
      <c r="C113" s="453"/>
      <c r="D113" s="72"/>
      <c r="E113" s="71" t="s">
        <v>45</v>
      </c>
      <c r="F113" s="472"/>
      <c r="G113" s="472"/>
      <c r="H113" s="472"/>
      <c r="I113" s="177">
        <v>0</v>
      </c>
      <c r="N113" s="478" t="s">
        <v>428</v>
      </c>
      <c r="O113" s="479"/>
      <c r="P113" s="479"/>
      <c r="Q113" s="341"/>
      <c r="R113" s="341"/>
      <c r="S113" s="341"/>
      <c r="T113" s="341"/>
      <c r="U113" s="99">
        <f>IF($H$120=1,I113,0)</f>
        <v>0</v>
      </c>
    </row>
    <row r="114" spans="1:21" ht="16.5" thickBot="1" x14ac:dyDescent="0.3">
      <c r="B114" s="72"/>
      <c r="C114" s="72"/>
      <c r="D114" s="72"/>
      <c r="E114" s="71"/>
      <c r="F114" s="71"/>
      <c r="G114" s="71"/>
      <c r="H114" s="71"/>
      <c r="I114" s="125"/>
      <c r="N114" s="480" t="s">
        <v>42</v>
      </c>
      <c r="O114" s="480"/>
      <c r="P114" s="480"/>
      <c r="Q114" s="480"/>
      <c r="R114" s="480"/>
      <c r="S114" s="480"/>
      <c r="T114" s="480"/>
      <c r="U114" s="154">
        <f>SUM(U112,U110,U100,U99,U93,U77,U76,U74,U73,U72,U71,U70,U68,U59,U45,U78,U79,U80,U85,U113)</f>
        <v>0</v>
      </c>
    </row>
    <row r="115" spans="1:21" ht="16.5" thickTop="1" x14ac:dyDescent="0.25">
      <c r="A115" s="461" t="s">
        <v>8</v>
      </c>
      <c r="B115" s="461"/>
      <c r="C115" s="461"/>
      <c r="D115" s="461"/>
      <c r="E115" s="461"/>
      <c r="F115" s="461"/>
      <c r="G115" s="461"/>
      <c r="H115" s="461"/>
      <c r="I115" s="97">
        <f>SUM(I113,I112,I110,I100,I99,I93,I85,I84,I80,I79,I78,I77,I76,I74,I73,I72,I71,I70,I68,I59,I45)</f>
        <v>2650606.92</v>
      </c>
      <c r="N115" s="29"/>
      <c r="O115" s="29"/>
      <c r="P115" s="29"/>
      <c r="Q115" s="29"/>
      <c r="R115" s="29"/>
      <c r="S115" s="29"/>
      <c r="T115" s="29"/>
      <c r="U115" s="160"/>
    </row>
    <row r="116" spans="1:21" x14ac:dyDescent="0.25">
      <c r="A116" s="27"/>
      <c r="B116" s="27"/>
      <c r="C116" s="27"/>
      <c r="D116" s="27"/>
      <c r="E116" s="27"/>
      <c r="F116" s="27"/>
      <c r="G116" s="27"/>
      <c r="H116" s="27"/>
      <c r="I116" s="104"/>
      <c r="N116" s="29"/>
      <c r="O116" s="29"/>
      <c r="P116" s="29"/>
      <c r="Q116" s="29"/>
      <c r="R116" s="29"/>
      <c r="S116" s="29"/>
      <c r="T116" s="29"/>
      <c r="U116" s="160"/>
    </row>
    <row r="117" spans="1:21" x14ac:dyDescent="0.25">
      <c r="A117" s="432" t="s">
        <v>467</v>
      </c>
      <c r="B117" s="27"/>
      <c r="C117" s="27"/>
      <c r="D117" s="27"/>
      <c r="E117" s="27"/>
      <c r="F117" s="27"/>
      <c r="G117" s="27"/>
      <c r="H117" s="27"/>
      <c r="I117" s="104">
        <f>I115-I84</f>
        <v>2558482.5</v>
      </c>
      <c r="N117" s="29"/>
      <c r="O117" s="29"/>
      <c r="P117" s="29"/>
      <c r="Q117" s="29"/>
      <c r="R117" s="29"/>
      <c r="S117" s="29"/>
      <c r="T117" s="29"/>
      <c r="U117" s="160"/>
    </row>
    <row r="118" spans="1:21" x14ac:dyDescent="0.25">
      <c r="A118" s="27"/>
      <c r="B118" s="27"/>
      <c r="C118" s="27"/>
      <c r="D118" s="27"/>
      <c r="E118" s="27"/>
      <c r="F118" s="27"/>
      <c r="G118" s="27"/>
      <c r="H118" s="27"/>
      <c r="I118" s="104"/>
      <c r="N118" s="29"/>
      <c r="O118" s="29"/>
      <c r="P118" s="29"/>
      <c r="Q118" s="29"/>
      <c r="R118" s="29"/>
      <c r="S118" s="29"/>
      <c r="T118" s="29"/>
      <c r="U118" s="160"/>
    </row>
    <row r="119" spans="1:21" x14ac:dyDescent="0.25">
      <c r="A119" s="463" t="s">
        <v>468</v>
      </c>
      <c r="B119" s="453"/>
      <c r="C119" s="453"/>
      <c r="D119" s="453"/>
      <c r="E119" s="453"/>
      <c r="F119" s="453"/>
      <c r="G119" s="453"/>
      <c r="H119" s="84" t="s">
        <v>394</v>
      </c>
      <c r="I119" s="156"/>
      <c r="N119" s="481"/>
      <c r="O119" s="481"/>
      <c r="P119" s="481"/>
      <c r="Q119" s="481"/>
      <c r="R119" s="481"/>
      <c r="S119" s="481"/>
      <c r="T119" s="481"/>
      <c r="U119" s="481"/>
    </row>
    <row r="120" spans="1:21" x14ac:dyDescent="0.25">
      <c r="A120" s="453" t="s">
        <v>95</v>
      </c>
      <c r="B120" s="453"/>
      <c r="C120" s="453"/>
      <c r="D120" s="453"/>
      <c r="E120" s="453"/>
      <c r="F120" s="453"/>
      <c r="G120" s="453"/>
      <c r="H120" s="73" t="str">
        <f>IF(E29=0,"",IF((E14+E16+SUM(E18:E24))/E29&gt;0.75,1,""))</f>
        <v/>
      </c>
      <c r="I120" s="125">
        <f>U114</f>
        <v>0</v>
      </c>
      <c r="N120" s="476" t="s">
        <v>7</v>
      </c>
      <c r="O120" s="476"/>
      <c r="P120" s="476"/>
      <c r="Q120" s="476"/>
      <c r="R120" s="476"/>
      <c r="S120" s="476"/>
      <c r="T120" s="476"/>
      <c r="U120" s="476"/>
    </row>
    <row r="121" spans="1:21" x14ac:dyDescent="0.25">
      <c r="B121" s="72"/>
      <c r="C121" s="72"/>
      <c r="D121" s="72"/>
      <c r="E121" s="72"/>
      <c r="F121" s="72"/>
      <c r="G121" s="72"/>
      <c r="H121" s="68"/>
      <c r="I121" s="104"/>
      <c r="N121" s="74" t="s">
        <v>106</v>
      </c>
      <c r="O121" s="74"/>
      <c r="P121" s="74"/>
      <c r="Q121" s="74"/>
      <c r="R121" s="74"/>
      <c r="S121" s="74"/>
      <c r="T121" s="74"/>
      <c r="U121" s="74"/>
    </row>
    <row r="122" spans="1:21" x14ac:dyDescent="0.25">
      <c r="A122" s="3" t="s">
        <v>102</v>
      </c>
      <c r="B122" s="72"/>
      <c r="C122" s="72"/>
      <c r="D122" s="72"/>
      <c r="E122" s="72"/>
      <c r="F122" s="72"/>
      <c r="G122" s="286"/>
      <c r="H122" s="161">
        <f>IF(H120=1,I120,I117)</f>
        <v>2558482.5</v>
      </c>
      <c r="I122" s="97">
        <f>ROUND(IF(E29=0,0,IF(E29&gt;250,-(((250/E29)*H122)*IF(G122="H",0.02,0.05)),IF(G122="H",-0.02*H122,-0.05*H122))),2)</f>
        <v>-92884.41</v>
      </c>
      <c r="N122" s="75" t="s">
        <v>107</v>
      </c>
      <c r="O122" s="74"/>
      <c r="P122" s="74"/>
      <c r="Q122" s="74"/>
      <c r="R122" s="74"/>
      <c r="S122" s="74"/>
      <c r="T122" s="74"/>
      <c r="U122" s="74"/>
    </row>
    <row r="123" spans="1:21" x14ac:dyDescent="0.25">
      <c r="B123" s="72"/>
      <c r="C123" s="72"/>
      <c r="D123" s="72"/>
      <c r="E123" s="72"/>
      <c r="F123" s="72"/>
      <c r="G123" s="72"/>
      <c r="H123" s="68"/>
      <c r="I123" s="104"/>
      <c r="N123" s="76"/>
      <c r="O123" s="76"/>
      <c r="P123" s="76"/>
      <c r="Q123" s="76"/>
      <c r="R123" s="76"/>
      <c r="S123" s="76"/>
      <c r="T123" s="76"/>
      <c r="U123" s="76"/>
    </row>
    <row r="124" spans="1:21" x14ac:dyDescent="0.25">
      <c r="A124" s="345" t="s">
        <v>103</v>
      </c>
      <c r="B124" s="346"/>
      <c r="C124" s="346"/>
      <c r="D124" s="346"/>
      <c r="E124" s="346"/>
      <c r="F124" s="346"/>
      <c r="G124" s="346"/>
      <c r="H124" s="347"/>
      <c r="I124" s="348">
        <f>I115+I122</f>
        <v>2557722.5099999998</v>
      </c>
      <c r="N124" s="76"/>
      <c r="O124" s="76"/>
      <c r="P124" s="76"/>
      <c r="Q124" s="76"/>
      <c r="R124" s="76"/>
      <c r="S124" s="76"/>
      <c r="T124" s="76"/>
      <c r="U124" s="76"/>
    </row>
    <row r="125" spans="1:21" x14ac:dyDescent="0.25">
      <c r="B125" s="72"/>
      <c r="C125" s="72"/>
      <c r="D125" s="72"/>
      <c r="E125" s="72"/>
      <c r="F125" s="72"/>
      <c r="G125" s="72"/>
      <c r="H125" s="68"/>
      <c r="I125" s="104"/>
      <c r="N125" s="76"/>
      <c r="O125" s="76"/>
      <c r="P125" s="76"/>
      <c r="Q125" s="76"/>
      <c r="R125" s="76"/>
      <c r="S125" s="76"/>
      <c r="T125" s="76"/>
      <c r="U125" s="76"/>
    </row>
    <row r="126" spans="1:21" x14ac:dyDescent="0.25">
      <c r="A126" s="3" t="s">
        <v>104</v>
      </c>
      <c r="B126" s="72"/>
      <c r="C126" s="162"/>
      <c r="D126" s="72"/>
      <c r="F126" s="72"/>
      <c r="G126" s="72"/>
      <c r="H126" s="68"/>
      <c r="I126" s="302">
        <v>-1948934.77</v>
      </c>
      <c r="N126" s="76"/>
      <c r="O126" s="76"/>
      <c r="P126" s="76"/>
      <c r="Q126" s="76"/>
      <c r="R126" s="76"/>
      <c r="S126" s="76"/>
      <c r="T126" s="76"/>
      <c r="U126" s="76"/>
    </row>
    <row r="127" spans="1:21" x14ac:dyDescent="0.25">
      <c r="B127" s="72"/>
      <c r="C127" s="72"/>
      <c r="D127" s="72"/>
      <c r="E127" s="72"/>
      <c r="F127" s="72"/>
      <c r="G127" s="72"/>
      <c r="H127" s="68"/>
      <c r="I127" s="104"/>
      <c r="N127" s="76"/>
      <c r="O127" s="76"/>
      <c r="P127" s="76"/>
      <c r="Q127" s="76"/>
      <c r="R127" s="76"/>
      <c r="S127" s="76"/>
      <c r="T127" s="76"/>
      <c r="U127" s="76"/>
    </row>
    <row r="128" spans="1:21" x14ac:dyDescent="0.25">
      <c r="A128" s="84" t="s">
        <v>297</v>
      </c>
      <c r="B128" s="72"/>
      <c r="C128" s="72"/>
      <c r="D128" s="72"/>
      <c r="E128" s="72"/>
      <c r="F128" s="72"/>
      <c r="G128" s="72"/>
      <c r="H128" s="68"/>
      <c r="I128" s="104">
        <f>I124+I126</f>
        <v>608787.73999999976</v>
      </c>
      <c r="N128" s="76"/>
      <c r="O128" s="76"/>
      <c r="P128" s="76"/>
      <c r="Q128" s="76"/>
      <c r="R128" s="76"/>
      <c r="S128" s="76"/>
      <c r="T128" s="76"/>
      <c r="U128" s="76"/>
    </row>
    <row r="129" spans="1:21" x14ac:dyDescent="0.25">
      <c r="A129" s="84"/>
      <c r="B129" s="72"/>
      <c r="C129" s="72"/>
      <c r="D129" s="72"/>
      <c r="E129" s="72"/>
      <c r="F129" s="72"/>
      <c r="G129" s="72"/>
      <c r="H129" s="68"/>
      <c r="I129" s="104"/>
      <c r="N129" s="76"/>
      <c r="O129" s="76"/>
      <c r="P129" s="76"/>
      <c r="Q129" s="76"/>
      <c r="R129" s="76"/>
      <c r="S129" s="76"/>
      <c r="T129" s="76"/>
      <c r="U129" s="76"/>
    </row>
    <row r="130" spans="1:21" x14ac:dyDescent="0.25">
      <c r="A130" s="84" t="s">
        <v>298</v>
      </c>
      <c r="B130" s="72"/>
      <c r="C130" s="72"/>
      <c r="D130" s="72"/>
      <c r="E130" s="72"/>
      <c r="F130" s="72"/>
      <c r="G130" s="72"/>
      <c r="H130" s="68"/>
      <c r="I130" s="303">
        <f>'0664'!I130</f>
        <v>3</v>
      </c>
      <c r="N130" s="76"/>
      <c r="O130" s="76"/>
      <c r="P130" s="76"/>
      <c r="Q130" s="76"/>
      <c r="R130" s="76"/>
      <c r="S130" s="76"/>
      <c r="T130" s="76"/>
      <c r="U130" s="76"/>
    </row>
    <row r="131" spans="1:21" x14ac:dyDescent="0.25">
      <c r="B131" s="72"/>
      <c r="C131" s="72"/>
      <c r="D131" s="72"/>
      <c r="E131" s="72"/>
      <c r="F131" s="72"/>
      <c r="G131" s="72"/>
      <c r="H131" s="68"/>
      <c r="I131" s="104"/>
      <c r="N131" s="76"/>
      <c r="O131" s="76"/>
      <c r="P131" s="76"/>
      <c r="Q131" s="76"/>
      <c r="R131" s="76"/>
      <c r="S131" s="76"/>
      <c r="T131" s="76"/>
      <c r="U131" s="76"/>
    </row>
    <row r="132" spans="1:21" ht="16.5" thickBot="1" x14ac:dyDescent="0.3">
      <c r="A132" s="3" t="s">
        <v>105</v>
      </c>
      <c r="B132" s="72"/>
      <c r="C132" s="72"/>
      <c r="D132" s="72"/>
      <c r="E132" s="72"/>
      <c r="F132" s="72"/>
      <c r="G132" s="72"/>
      <c r="H132" s="68"/>
      <c r="I132" s="178">
        <f>ROUND(I128/I130,2)</f>
        <v>202929.25</v>
      </c>
      <c r="N132" s="76"/>
      <c r="O132" s="76"/>
      <c r="P132" s="76"/>
      <c r="Q132" s="76"/>
      <c r="R132" s="76"/>
      <c r="S132" s="76"/>
      <c r="T132" s="76"/>
      <c r="U132" s="76"/>
    </row>
    <row r="133" spans="1:21" ht="16.5" thickTop="1" x14ac:dyDescent="0.25">
      <c r="B133" s="72"/>
      <c r="C133" s="72"/>
      <c r="D133" s="72"/>
      <c r="E133" s="72"/>
      <c r="F133" s="72"/>
      <c r="G133" s="72"/>
      <c r="H133" s="68"/>
      <c r="I133" s="104"/>
      <c r="N133" s="76"/>
      <c r="O133" s="76"/>
      <c r="P133" s="76"/>
      <c r="Q133" s="76"/>
      <c r="R133" s="76"/>
      <c r="S133" s="76"/>
      <c r="T133" s="76"/>
      <c r="U133" s="76"/>
    </row>
    <row r="134" spans="1:21" ht="16.5" thickBot="1" x14ac:dyDescent="0.3">
      <c r="A134" s="3" t="s">
        <v>121</v>
      </c>
      <c r="B134" s="72"/>
      <c r="C134" s="72"/>
      <c r="D134" s="72"/>
      <c r="E134" s="72"/>
      <c r="F134" s="72"/>
      <c r="G134" s="72"/>
      <c r="H134" s="68"/>
      <c r="I134" s="155">
        <f>ROUND(IF(G122="H",(H122*0.02)+I122,(H122*0.05)+I122),2)</f>
        <v>35039.72</v>
      </c>
      <c r="N134" s="76"/>
      <c r="O134" s="76"/>
      <c r="P134" s="76"/>
      <c r="Q134" s="76"/>
      <c r="R134" s="76"/>
      <c r="S134" s="76"/>
      <c r="T134" s="76"/>
      <c r="U134" s="76"/>
    </row>
    <row r="135" spans="1:21" ht="16.5" thickTop="1" x14ac:dyDescent="0.25">
      <c r="B135" s="72"/>
      <c r="C135" s="72"/>
      <c r="D135" s="72"/>
      <c r="E135" s="72"/>
      <c r="F135" s="72"/>
      <c r="G135" s="72"/>
      <c r="H135" s="68"/>
      <c r="I135" s="156"/>
      <c r="N135" s="76"/>
      <c r="O135" s="76"/>
      <c r="P135" s="76"/>
      <c r="Q135" s="76"/>
      <c r="R135" s="76"/>
      <c r="S135" s="76"/>
      <c r="T135" s="76"/>
      <c r="U135" s="76"/>
    </row>
    <row r="136" spans="1:21" x14ac:dyDescent="0.25">
      <c r="B136" s="72"/>
      <c r="C136" s="72"/>
      <c r="D136" s="72"/>
      <c r="E136" s="72"/>
      <c r="F136" s="72"/>
      <c r="G136" s="72"/>
      <c r="H136" s="68"/>
      <c r="I136" s="104"/>
      <c r="N136" s="76"/>
      <c r="O136" s="76"/>
      <c r="P136" s="76"/>
      <c r="Q136" s="76"/>
      <c r="R136" s="76"/>
      <c r="S136" s="76"/>
      <c r="T136" s="76"/>
      <c r="U136" s="76"/>
    </row>
    <row r="137" spans="1:21" x14ac:dyDescent="0.25">
      <c r="B137" s="72"/>
      <c r="C137" s="72"/>
      <c r="D137" s="72"/>
      <c r="E137" s="72"/>
      <c r="F137" s="72"/>
      <c r="G137" s="72"/>
      <c r="H137" s="68"/>
      <c r="I137" s="156"/>
      <c r="N137" s="76"/>
      <c r="O137" s="76"/>
      <c r="P137" s="76"/>
      <c r="Q137" s="76"/>
      <c r="R137" s="76"/>
      <c r="S137" s="76"/>
      <c r="T137" s="76"/>
      <c r="U137" s="76"/>
    </row>
    <row r="138" spans="1:21" x14ac:dyDescent="0.25">
      <c r="A138" s="281" t="s">
        <v>7</v>
      </c>
      <c r="B138" s="281"/>
      <c r="C138" s="281"/>
      <c r="D138" s="281"/>
      <c r="E138" s="281"/>
      <c r="F138" s="281"/>
      <c r="G138" s="281"/>
      <c r="H138" s="281"/>
      <c r="I138" s="281"/>
      <c r="J138" s="156"/>
      <c r="N138" s="76"/>
      <c r="O138" s="76"/>
      <c r="P138" s="76"/>
      <c r="Q138" s="76"/>
      <c r="R138" s="76"/>
      <c r="S138" s="76"/>
      <c r="T138" s="76"/>
      <c r="U138" s="76"/>
    </row>
    <row r="139" spans="1:21" ht="15.75" customHeight="1" x14ac:dyDescent="0.25">
      <c r="A139" s="356" t="str">
        <f>'0664'!A139</f>
        <v>(a) Additional FTE includes FTE earned through Advanced Placement, International Baccalaureate, Advanced International Certificate of Education, Industry Certified Career</v>
      </c>
      <c r="B139" s="357"/>
      <c r="C139" s="357"/>
      <c r="D139" s="357"/>
      <c r="E139" s="357"/>
      <c r="F139" s="357"/>
      <c r="G139" s="357"/>
      <c r="H139" s="357"/>
      <c r="I139" s="357"/>
      <c r="J139" s="80"/>
      <c r="K139" s="79"/>
      <c r="L139" s="79"/>
      <c r="M139" s="79"/>
      <c r="N139" s="477"/>
      <c r="O139" s="477"/>
      <c r="P139" s="477"/>
      <c r="Q139" s="477"/>
      <c r="R139" s="477"/>
      <c r="S139" s="477"/>
      <c r="T139" s="477"/>
      <c r="U139" s="477"/>
    </row>
    <row r="140" spans="1:21" ht="15.75" customHeight="1" x14ac:dyDescent="0.25">
      <c r="A140" s="390" t="str">
        <f>'0664'!A140</f>
        <v xml:space="preserve">Education (CAPE), Early High School Graduation and the small district ESE Supplement, pursuant to s. 1011.62(1)(l-p), F.S. </v>
      </c>
      <c r="B140" s="357"/>
      <c r="C140" s="357"/>
      <c r="D140" s="357"/>
      <c r="E140" s="357"/>
      <c r="F140" s="357"/>
      <c r="G140" s="357"/>
      <c r="H140" s="357"/>
      <c r="I140" s="357"/>
      <c r="J140" s="80"/>
      <c r="K140" s="79"/>
      <c r="L140" s="79"/>
      <c r="M140" s="79"/>
      <c r="N140" s="76"/>
      <c r="O140" s="76"/>
      <c r="P140" s="76"/>
      <c r="Q140" s="76"/>
      <c r="R140" s="76"/>
      <c r="S140" s="76"/>
      <c r="T140" s="76"/>
      <c r="U140" s="76"/>
    </row>
    <row r="141" spans="1:21" x14ac:dyDescent="0.25">
      <c r="A141" s="356" t="str">
        <f>'0664'!A141</f>
        <v>(b) District allocations multiplied by percentage from item 3A.</v>
      </c>
      <c r="B141" s="281"/>
      <c r="C141" s="281"/>
      <c r="D141" s="281"/>
      <c r="E141" s="281"/>
      <c r="F141" s="281"/>
      <c r="G141" s="281"/>
      <c r="H141" s="281"/>
      <c r="I141" s="281"/>
      <c r="J141" s="79"/>
      <c r="K141" s="79"/>
      <c r="L141" s="79"/>
      <c r="M141" s="79"/>
      <c r="N141" s="81"/>
      <c r="O141" s="82"/>
      <c r="P141" s="82"/>
      <c r="Q141" s="82"/>
      <c r="R141" s="82"/>
      <c r="S141" s="82"/>
      <c r="T141" s="82"/>
      <c r="U141" s="82"/>
    </row>
    <row r="142" spans="1:21" s="79" customFormat="1" x14ac:dyDescent="0.2">
      <c r="A142" s="356" t="str">
        <f>'0664'!A142</f>
        <v>(c) District allocations multiplied by percentage from item 3B.</v>
      </c>
      <c r="B142" s="281"/>
      <c r="C142" s="281"/>
      <c r="D142" s="281"/>
      <c r="E142" s="281"/>
      <c r="F142" s="281"/>
      <c r="G142" s="281"/>
      <c r="H142" s="281"/>
      <c r="I142" s="281"/>
      <c r="N142" s="81"/>
    </row>
    <row r="143" spans="1:21" s="79" customFormat="1" ht="15.75" customHeight="1" x14ac:dyDescent="0.2">
      <c r="A143" s="356" t="str">
        <f>'0664'!A143</f>
        <v>(d) The Digital Classroom Allocation is provided pursuant to s. 1011.62(12), F.S.</v>
      </c>
      <c r="B143" s="281"/>
      <c r="C143" s="281"/>
      <c r="D143" s="281"/>
      <c r="E143" s="281"/>
      <c r="F143" s="281"/>
      <c r="G143" s="281"/>
      <c r="H143" s="281"/>
      <c r="I143" s="281"/>
      <c r="N143" s="81"/>
    </row>
    <row r="144" spans="1:21" s="79" customFormat="1" ht="15.75" customHeight="1" x14ac:dyDescent="0.2">
      <c r="A144" s="356" t="str">
        <f>'0664'!A144</f>
        <v>(e) School districts are required to pay for instructional materials used for the instruction of public high school students who are earning credit toward high school</v>
      </c>
      <c r="B144" s="281"/>
      <c r="C144" s="281"/>
      <c r="D144" s="281"/>
      <c r="E144" s="281"/>
      <c r="F144" s="281"/>
      <c r="G144" s="281"/>
      <c r="H144" s="281"/>
      <c r="I144" s="281"/>
      <c r="N144" s="81"/>
    </row>
    <row r="145" spans="1:14" s="79" customFormat="1" ht="15.75" customHeight="1" x14ac:dyDescent="0.2">
      <c r="A145" s="390" t="str">
        <f>'0664'!A145</f>
        <v xml:space="preserve">graduation under the dual enrollment program as provided in s. 1011.62(l)(i), F.S.  </v>
      </c>
      <c r="B145" s="281"/>
      <c r="C145" s="281"/>
      <c r="D145" s="281"/>
      <c r="E145" s="281"/>
      <c r="F145" s="281"/>
      <c r="G145" s="281"/>
      <c r="H145" s="281"/>
      <c r="I145" s="281"/>
      <c r="N145" s="81"/>
    </row>
    <row r="146" spans="1:14" s="79" customFormat="1" x14ac:dyDescent="0.2">
      <c r="A146" s="356" t="str">
        <f>'0664'!A146</f>
        <v>(f) This allocation will be frozen as of the 2021-22 FEFP Second Calculation and will not be recalculated throughout the year. Charter school allocations should be</v>
      </c>
      <c r="B146" s="281"/>
      <c r="C146" s="281"/>
      <c r="D146" s="281"/>
      <c r="E146" s="281"/>
      <c r="F146" s="281"/>
      <c r="G146" s="281"/>
      <c r="H146" s="281"/>
      <c r="I146" s="281"/>
      <c r="N146" s="81"/>
    </row>
    <row r="147" spans="1:14" s="79" customFormat="1" x14ac:dyDescent="0.2">
      <c r="A147" s="358" t="str">
        <f>'0664'!A147</f>
        <v xml:space="preserve">distributed on weighted FTE (or base funding as is done in the FEFP) and should not be recalculated with fluctuations in student enrollment later in the year. </v>
      </c>
      <c r="B147" s="281"/>
      <c r="C147" s="281"/>
      <c r="D147" s="281"/>
      <c r="E147" s="281"/>
      <c r="F147" s="281"/>
      <c r="G147" s="281"/>
      <c r="H147" s="281"/>
      <c r="I147" s="281"/>
      <c r="N147" s="81"/>
    </row>
    <row r="148" spans="1:14" s="79" customFormat="1" x14ac:dyDescent="0.2">
      <c r="A148" s="356" t="str">
        <f>'0664'!A148</f>
        <v>(g) Numbers entered here will be multiplied by the district level transportation funding per rider. "All Adjusted Fundable Riders" should include both basic and ESE Riders.</v>
      </c>
      <c r="B148" s="281"/>
      <c r="C148" s="281"/>
      <c r="D148" s="281"/>
      <c r="E148" s="281"/>
      <c r="F148" s="281"/>
      <c r="G148" s="281"/>
      <c r="H148" s="281"/>
      <c r="I148" s="281"/>
      <c r="N148" s="81"/>
    </row>
    <row r="149" spans="1:14" s="79" customFormat="1" x14ac:dyDescent="0.2">
      <c r="A149" s="390" t="str">
        <f>'0664'!A149</f>
        <v>"All Adjusted ESE Riders" should include only ESE Riders.</v>
      </c>
      <c r="B149" s="281"/>
      <c r="C149" s="281"/>
      <c r="D149" s="281"/>
      <c r="E149" s="281"/>
      <c r="F149" s="281"/>
      <c r="G149" s="281"/>
      <c r="H149" s="281"/>
      <c r="I149" s="281"/>
      <c r="N149" s="81"/>
    </row>
    <row r="150" spans="1:14" s="79" customFormat="1" x14ac:dyDescent="0.2">
      <c r="A150" s="356" t="str">
        <f>'0664'!A150</f>
        <v xml:space="preserve">(h) The Federally Connected Student Supplement provides additional funding for students on federal lands that receive Section 8003 impact aide pursuant to s. 1011.62(13), F.S. </v>
      </c>
      <c r="B150" s="281"/>
      <c r="C150" s="281"/>
      <c r="D150" s="281"/>
      <c r="E150" s="281"/>
      <c r="F150" s="281"/>
      <c r="G150" s="281"/>
      <c r="H150" s="281"/>
      <c r="I150" s="281"/>
      <c r="N150" s="81"/>
    </row>
    <row r="151" spans="1:14" s="79" customFormat="1" x14ac:dyDescent="0.2">
      <c r="A151" s="356" t="str">
        <f>'0664'!A151</f>
        <v>(i) Teacher Classroom Supply Assistance Program allocation pursuant to s. 1012.71, F.S., for certified teachers employed by a public school district or public charter school</v>
      </c>
      <c r="B151" s="281"/>
      <c r="C151" s="281"/>
      <c r="D151" s="281"/>
      <c r="E151" s="281"/>
      <c r="F151" s="281"/>
      <c r="G151" s="281"/>
      <c r="H151" s="281"/>
      <c r="I151" s="281"/>
      <c r="N151" s="81"/>
    </row>
    <row r="152" spans="1:14" s="79" customFormat="1" x14ac:dyDescent="0.2">
      <c r="A152" s="358" t="str">
        <f>'0664'!A152</f>
        <v xml:space="preserve">before September 1 of each year whose full-time or job-share responsibility is the classroom instruction of students in prekindergarten through grade 12, including </v>
      </c>
      <c r="B152" s="281"/>
      <c r="C152" s="281"/>
      <c r="D152" s="281"/>
      <c r="E152" s="281"/>
      <c r="F152" s="281"/>
      <c r="G152" s="281"/>
      <c r="H152" s="281"/>
      <c r="I152" s="281"/>
      <c r="N152" s="81"/>
    </row>
    <row r="153" spans="1:14" s="79" customFormat="1" ht="15.75" customHeight="1" x14ac:dyDescent="0.2">
      <c r="A153" s="358" t="str">
        <f>'0664'!A153</f>
        <v>full-time media specialists and certified school counselors serving students in prekindergarten through grade 12, who are funded through the FEFP.</v>
      </c>
      <c r="B153" s="281"/>
      <c r="C153" s="281"/>
      <c r="D153" s="281"/>
      <c r="E153" s="281"/>
      <c r="F153" s="281"/>
      <c r="G153" s="281"/>
      <c r="H153" s="281"/>
      <c r="I153" s="281"/>
      <c r="N153" s="81"/>
    </row>
    <row r="154" spans="1:14" s="79" customFormat="1" ht="15.75" customHeight="1" x14ac:dyDescent="0.2">
      <c r="A154" s="356" t="str">
        <f>'0664'!A154</f>
        <v xml:space="preserve">(j) Funding based on student eligibility and meals provided, if participating in the National School Lunch Program. </v>
      </c>
      <c r="B154" s="328"/>
      <c r="C154" s="328"/>
      <c r="D154" s="328"/>
      <c r="E154" s="328"/>
      <c r="F154" s="328"/>
      <c r="G154" s="328"/>
      <c r="H154" s="328"/>
      <c r="I154" s="328"/>
      <c r="N154" s="81"/>
    </row>
    <row r="155" spans="1:14" s="79" customFormat="1" ht="15.75" customHeight="1" x14ac:dyDescent="0.2">
      <c r="A155" s="356" t="str">
        <f>'0664'!A155</f>
        <v>(k) Consistent with s. 1002.33(20)(a), F.S., for charter schools with a population of 75% or more ESE students, the administrative fee shall be calculated based on</v>
      </c>
      <c r="B155" s="381"/>
      <c r="C155" s="381"/>
      <c r="D155" s="381"/>
      <c r="E155" s="381"/>
      <c r="F155" s="381"/>
      <c r="G155" s="381"/>
      <c r="H155" s="381"/>
      <c r="I155" s="381"/>
      <c r="N155" s="81"/>
    </row>
    <row r="156" spans="1:14" s="79" customFormat="1" ht="15.75" customHeight="1" x14ac:dyDescent="0.2">
      <c r="A156" s="390" t="str">
        <f>'0664'!A156</f>
        <v xml:space="preserve">unweighted full-time equivalent students. </v>
      </c>
      <c r="B156" s="381"/>
      <c r="C156" s="381"/>
      <c r="D156" s="381"/>
      <c r="E156" s="381"/>
      <c r="F156" s="381"/>
      <c r="G156" s="381"/>
      <c r="H156" s="381"/>
      <c r="I156" s="381"/>
      <c r="N156" s="81"/>
    </row>
    <row r="157" spans="1:14" s="79" customFormat="1" ht="15.75" customHeight="1" x14ac:dyDescent="0.2">
      <c r="A157" s="356"/>
      <c r="B157" s="381"/>
      <c r="C157" s="381"/>
      <c r="D157" s="381"/>
      <c r="E157" s="381"/>
      <c r="F157" s="381"/>
      <c r="G157" s="381"/>
      <c r="H157" s="381"/>
      <c r="I157" s="381"/>
      <c r="N157" s="81"/>
    </row>
    <row r="158" spans="1:14" s="79" customFormat="1" ht="15.75" customHeight="1" x14ac:dyDescent="0.25">
      <c r="A158" s="398" t="str">
        <f>'0664'!A158</f>
        <v>Administrative fees:</v>
      </c>
      <c r="B158" s="328"/>
      <c r="C158" s="328"/>
      <c r="D158" s="328"/>
      <c r="E158" s="328"/>
      <c r="F158" s="328"/>
      <c r="G158" s="328"/>
      <c r="H158" s="328"/>
      <c r="I158" s="328"/>
      <c r="J158" s="3"/>
      <c r="K158" s="3"/>
      <c r="L158" s="3"/>
      <c r="M158" s="3"/>
      <c r="N158" s="81"/>
    </row>
    <row r="159" spans="1:14" s="79" customFormat="1" ht="15.75" customHeight="1" x14ac:dyDescent="0.25">
      <c r="A159" s="399" t="str">
        <f>'0664'!A159</f>
        <v xml:space="preserve">Administrative fees charged by the school district pursuant to s. 1002.33(20)(a), F.S., shall be calculated based upon 5% of available funds from the FEFP and categorical </v>
      </c>
      <c r="B159" s="328"/>
      <c r="C159" s="328"/>
      <c r="D159" s="328"/>
      <c r="E159" s="328"/>
      <c r="F159" s="328"/>
      <c r="G159" s="328"/>
      <c r="H159" s="328"/>
      <c r="I159" s="328"/>
      <c r="J159" s="3"/>
      <c r="K159" s="3"/>
      <c r="L159" s="3"/>
      <c r="M159" s="3"/>
      <c r="N159" s="81"/>
    </row>
    <row r="160" spans="1:14" s="79" customFormat="1" ht="15.75" customHeight="1" x14ac:dyDescent="0.25">
      <c r="A160" s="400" t="str">
        <f>'0664'!A160</f>
        <v>funding for which charter students may be eligible.  To calculate the administrative fee to be withheld for schools with more than 250 students, divide the school</v>
      </c>
      <c r="B160" s="328"/>
      <c r="C160" s="328"/>
      <c r="D160" s="328"/>
      <c r="E160" s="328"/>
      <c r="F160" s="328"/>
      <c r="G160" s="328"/>
      <c r="H160" s="328"/>
      <c r="I160" s="328"/>
      <c r="J160" s="3"/>
      <c r="K160" s="3"/>
      <c r="L160" s="3"/>
      <c r="M160" s="3"/>
      <c r="N160" s="81"/>
    </row>
    <row r="161" spans="1:21" s="79" customFormat="1" ht="15.75" customHeight="1" x14ac:dyDescent="0.25">
      <c r="A161" s="400" t="str">
        <f>'0664'!A161</f>
        <v xml:space="preserve">population into 250. Multiply that fraction times the funds available, then times 5%.  </v>
      </c>
      <c r="B161" s="328"/>
      <c r="C161" s="328"/>
      <c r="D161" s="328"/>
      <c r="E161" s="328"/>
      <c r="F161" s="328"/>
      <c r="G161" s="328"/>
      <c r="H161" s="328"/>
      <c r="I161" s="328"/>
      <c r="J161" s="3"/>
      <c r="K161" s="3"/>
      <c r="L161" s="3"/>
      <c r="M161" s="3"/>
      <c r="N161" s="81"/>
    </row>
    <row r="162" spans="1:21" s="79" customFormat="1" ht="15.75" customHeight="1" x14ac:dyDescent="0.25">
      <c r="A162" s="399"/>
      <c r="B162" s="394"/>
      <c r="C162" s="394"/>
      <c r="D162" s="394"/>
      <c r="E162" s="394"/>
      <c r="F162" s="394"/>
      <c r="G162" s="394"/>
      <c r="H162" s="394"/>
      <c r="I162" s="394"/>
      <c r="N162" s="77"/>
      <c r="O162" s="3"/>
      <c r="P162" s="3"/>
      <c r="Q162" s="3"/>
      <c r="R162" s="3"/>
      <c r="S162" s="3"/>
      <c r="T162" s="3"/>
      <c r="U162" s="3"/>
    </row>
    <row r="163" spans="1:21" ht="15.75" customHeight="1" x14ac:dyDescent="0.25">
      <c r="A163" s="399" t="str">
        <f>'0664'!A163</f>
        <v xml:space="preserve">For high performing charter schools, administrative fees charged by the school district shall be calculated based upon 2% of available funds from the FEFP and categorical </v>
      </c>
      <c r="B163" s="328"/>
      <c r="C163" s="328"/>
      <c r="D163" s="328"/>
      <c r="E163" s="328"/>
      <c r="F163" s="328"/>
      <c r="G163" s="328"/>
      <c r="H163" s="328"/>
      <c r="I163" s="328"/>
      <c r="J163" s="79"/>
      <c r="K163" s="79"/>
      <c r="L163" s="79"/>
      <c r="M163" s="79"/>
      <c r="N163" s="81"/>
      <c r="O163" s="79"/>
      <c r="P163" s="79"/>
      <c r="Q163" s="79"/>
      <c r="R163" s="79"/>
      <c r="S163" s="79"/>
      <c r="T163" s="79"/>
      <c r="U163" s="79"/>
    </row>
    <row r="164" spans="1:21" ht="15.75" customHeight="1" x14ac:dyDescent="0.25">
      <c r="A164" s="400" t="str">
        <f>'0664'!A164</f>
        <v>funding for which charter students may be eligible.  To calculate the administrative fee to be withheld for schools with more than 250 students, divide the school</v>
      </c>
      <c r="B164" s="381"/>
      <c r="C164" s="381"/>
      <c r="D164" s="381"/>
      <c r="E164" s="381"/>
      <c r="F164" s="381"/>
      <c r="G164" s="381"/>
      <c r="H164" s="381"/>
      <c r="I164" s="381"/>
      <c r="J164" s="79"/>
      <c r="K164" s="79"/>
      <c r="L164" s="79"/>
      <c r="M164" s="79"/>
      <c r="N164" s="81"/>
      <c r="O164" s="79"/>
      <c r="P164" s="79"/>
      <c r="Q164" s="79"/>
      <c r="R164" s="79"/>
      <c r="S164" s="79"/>
      <c r="T164" s="79"/>
      <c r="U164" s="79"/>
    </row>
    <row r="165" spans="1:21" s="79" customFormat="1" ht="15.75" customHeight="1" x14ac:dyDescent="0.2">
      <c r="A165" s="400" t="str">
        <f>'0664'!A165</f>
        <v xml:space="preserve">population into 250. Multiply that fraction times the funds available, then times 2%.  </v>
      </c>
      <c r="B165" s="328"/>
      <c r="C165" s="328"/>
      <c r="D165" s="328"/>
      <c r="E165" s="328"/>
      <c r="F165" s="328"/>
      <c r="G165" s="328"/>
      <c r="H165" s="328"/>
      <c r="I165" s="328"/>
      <c r="N165" s="81"/>
    </row>
    <row r="166" spans="1:21" x14ac:dyDescent="0.25">
      <c r="A166" s="356"/>
      <c r="N166" s="77"/>
    </row>
    <row r="167" spans="1:21" x14ac:dyDescent="0.25">
      <c r="A167" s="398" t="str">
        <f>'0664'!A167</f>
        <v>Other:</v>
      </c>
      <c r="N167" s="77"/>
    </row>
    <row r="168" spans="1:21" x14ac:dyDescent="0.25">
      <c r="A168" s="399" t="str">
        <f>'0664'!A168</f>
        <v>FEFP and categorical funding are recalculated during the year to reflect the revised number of full-time equivalent students reported during the survey periods designated</v>
      </c>
      <c r="N168" s="77"/>
    </row>
    <row r="169" spans="1:21" x14ac:dyDescent="0.25">
      <c r="A169" s="402" t="str">
        <f>'0664'!A169</f>
        <v>by the Commissioner of Education.</v>
      </c>
      <c r="N169" s="77"/>
    </row>
    <row r="170" spans="1:21" x14ac:dyDescent="0.25">
      <c r="A170" s="399" t="str">
        <f>'0664'!A170</f>
        <v>Revenues flow to districts from state sources and from county tax collectors on various distribution schedules.</v>
      </c>
      <c r="N170" s="77"/>
    </row>
    <row r="171" spans="1:21" x14ac:dyDescent="0.25">
      <c r="A171" s="77"/>
      <c r="N171" s="77"/>
    </row>
    <row r="172" spans="1:21" x14ac:dyDescent="0.25">
      <c r="A172" s="77"/>
      <c r="N172" s="77"/>
    </row>
    <row r="173" spans="1:21" x14ac:dyDescent="0.25">
      <c r="A173" s="77"/>
      <c r="N173" s="77"/>
    </row>
    <row r="174" spans="1:21" x14ac:dyDescent="0.25">
      <c r="A174" s="77"/>
      <c r="N174" s="77"/>
    </row>
    <row r="175" spans="1:21" x14ac:dyDescent="0.25">
      <c r="A175" s="77"/>
      <c r="N175" s="77"/>
    </row>
    <row r="176" spans="1:21" x14ac:dyDescent="0.25">
      <c r="A176" s="77"/>
      <c r="N176" s="77"/>
    </row>
    <row r="177" spans="1:14" x14ac:dyDescent="0.25">
      <c r="A177" s="77"/>
      <c r="N177" s="77"/>
    </row>
    <row r="178" spans="1:14" x14ac:dyDescent="0.25">
      <c r="A178" s="77"/>
      <c r="N178" s="77"/>
    </row>
    <row r="179" spans="1:14" x14ac:dyDescent="0.25">
      <c r="A179" s="77"/>
      <c r="N179" s="77"/>
    </row>
    <row r="180" spans="1:14" x14ac:dyDescent="0.25">
      <c r="A180" s="77"/>
      <c r="N180" s="77"/>
    </row>
    <row r="181" spans="1:14" x14ac:dyDescent="0.25">
      <c r="A181" s="77"/>
      <c r="N181" s="77"/>
    </row>
    <row r="182" spans="1:14" x14ac:dyDescent="0.25">
      <c r="A182" s="77"/>
      <c r="N182" s="77"/>
    </row>
    <row r="183" spans="1:14" x14ac:dyDescent="0.25">
      <c r="A183" s="77"/>
      <c r="N183" s="77"/>
    </row>
    <row r="184" spans="1:14" x14ac:dyDescent="0.25">
      <c r="A184" s="77"/>
      <c r="N184" s="77"/>
    </row>
    <row r="185" spans="1:14" x14ac:dyDescent="0.25">
      <c r="A185" s="77"/>
      <c r="N185" s="77"/>
    </row>
    <row r="186" spans="1:14" x14ac:dyDescent="0.25">
      <c r="A186" s="77"/>
      <c r="N186" s="77"/>
    </row>
    <row r="187" spans="1:14" x14ac:dyDescent="0.25">
      <c r="A187" s="77"/>
      <c r="N187" s="77"/>
    </row>
    <row r="188" spans="1:14" x14ac:dyDescent="0.25">
      <c r="A188" s="77"/>
    </row>
    <row r="189" spans="1:14" x14ac:dyDescent="0.25">
      <c r="A189" s="77"/>
    </row>
    <row r="190" spans="1:14" x14ac:dyDescent="0.25">
      <c r="A190" s="77"/>
    </row>
    <row r="191" spans="1:14" x14ac:dyDescent="0.25">
      <c r="A191" s="77"/>
    </row>
    <row r="192" spans="1:14" x14ac:dyDescent="0.25">
      <c r="A192" s="77"/>
    </row>
    <row r="193" spans="1:1" x14ac:dyDescent="0.25">
      <c r="A193" s="77"/>
    </row>
    <row r="194" spans="1:1" x14ac:dyDescent="0.25">
      <c r="A194" s="77"/>
    </row>
    <row r="195" spans="1:1" x14ac:dyDescent="0.25">
      <c r="A195" s="77"/>
    </row>
    <row r="196" spans="1:1" x14ac:dyDescent="0.25">
      <c r="A196" s="77"/>
    </row>
    <row r="197" spans="1:1" x14ac:dyDescent="0.25">
      <c r="A197" s="77"/>
    </row>
    <row r="198" spans="1:1" x14ac:dyDescent="0.25">
      <c r="A198" s="77"/>
    </row>
    <row r="199" spans="1:1" x14ac:dyDescent="0.25">
      <c r="A199" s="77"/>
    </row>
    <row r="200" spans="1:1" x14ac:dyDescent="0.25">
      <c r="A200" s="77"/>
    </row>
    <row r="201" spans="1:1" x14ac:dyDescent="0.25">
      <c r="A201" s="77"/>
    </row>
    <row r="202" spans="1:1" x14ac:dyDescent="0.25">
      <c r="A202" s="77"/>
    </row>
    <row r="203" spans="1:1" x14ac:dyDescent="0.25">
      <c r="A203" s="77"/>
    </row>
    <row r="204" spans="1:1" x14ac:dyDescent="0.25">
      <c r="A204" s="77"/>
    </row>
    <row r="205" spans="1:1" x14ac:dyDescent="0.25">
      <c r="A205" s="77"/>
    </row>
    <row r="206" spans="1:1" x14ac:dyDescent="0.25">
      <c r="A206" s="77"/>
    </row>
  </sheetData>
  <mergeCells count="266">
    <mergeCell ref="N139:U139"/>
    <mergeCell ref="A112:C112"/>
    <mergeCell ref="F112:H112"/>
    <mergeCell ref="N112:P112"/>
    <mergeCell ref="A113:C113"/>
    <mergeCell ref="F113:H113"/>
    <mergeCell ref="N114:T114"/>
    <mergeCell ref="A115:H115"/>
    <mergeCell ref="A119:G119"/>
    <mergeCell ref="N119:U119"/>
    <mergeCell ref="A108:B108"/>
    <mergeCell ref="F108:G108"/>
    <mergeCell ref="N108:O108"/>
    <mergeCell ref="P108:Q108"/>
    <mergeCell ref="R108:S108"/>
    <mergeCell ref="A120:G120"/>
    <mergeCell ref="N120:U120"/>
    <mergeCell ref="N113:P113"/>
    <mergeCell ref="A109:B109"/>
    <mergeCell ref="F109:G109"/>
    <mergeCell ref="N109:O109"/>
    <mergeCell ref="P109:Q109"/>
    <mergeCell ref="R109:S109"/>
    <mergeCell ref="A110:B110"/>
    <mergeCell ref="N110:O110"/>
    <mergeCell ref="C104:E104"/>
    <mergeCell ref="F105:G105"/>
    <mergeCell ref="A106:B106"/>
    <mergeCell ref="F106:G106"/>
    <mergeCell ref="N106:O106"/>
    <mergeCell ref="P106:Q106"/>
    <mergeCell ref="R106:S106"/>
    <mergeCell ref="A107:B107"/>
    <mergeCell ref="F107:G107"/>
    <mergeCell ref="N107:O107"/>
    <mergeCell ref="P107:Q107"/>
    <mergeCell ref="R107:S107"/>
    <mergeCell ref="A99:B99"/>
    <mergeCell ref="N99:O99"/>
    <mergeCell ref="P99:R99"/>
    <mergeCell ref="A100:B100"/>
    <mergeCell ref="N100:O100"/>
    <mergeCell ref="P100:R100"/>
    <mergeCell ref="A103:C103"/>
    <mergeCell ref="F103:I103"/>
    <mergeCell ref="N103:U103"/>
    <mergeCell ref="C91:D91"/>
    <mergeCell ref="P91:Q91"/>
    <mergeCell ref="C92:D92"/>
    <mergeCell ref="P92:Q92"/>
    <mergeCell ref="C93:D93"/>
    <mergeCell ref="P93:T93"/>
    <mergeCell ref="A94:I94"/>
    <mergeCell ref="N94:U94"/>
    <mergeCell ref="F96:I96"/>
    <mergeCell ref="N96:P96"/>
    <mergeCell ref="Q96:T96"/>
    <mergeCell ref="A87:I87"/>
    <mergeCell ref="N87:U87"/>
    <mergeCell ref="C88:D88"/>
    <mergeCell ref="C89:D89"/>
    <mergeCell ref="N89:O89"/>
    <mergeCell ref="P89:Q89"/>
    <mergeCell ref="R89:U89"/>
    <mergeCell ref="C90:D90"/>
    <mergeCell ref="P90:Q90"/>
    <mergeCell ref="A80:C80"/>
    <mergeCell ref="N80:P80"/>
    <mergeCell ref="A85:C85"/>
    <mergeCell ref="N85:P85"/>
    <mergeCell ref="F73:H73"/>
    <mergeCell ref="N73:T73"/>
    <mergeCell ref="N74:T74"/>
    <mergeCell ref="A78:C78"/>
    <mergeCell ref="N78:P78"/>
    <mergeCell ref="A79:C79"/>
    <mergeCell ref="A69:C69"/>
    <mergeCell ref="N69:P69"/>
    <mergeCell ref="N79:P79"/>
    <mergeCell ref="A76:C76"/>
    <mergeCell ref="N76:P76"/>
    <mergeCell ref="A77:C77"/>
    <mergeCell ref="A70:C70"/>
    <mergeCell ref="A71:C71"/>
    <mergeCell ref="N71:P71"/>
    <mergeCell ref="A72:C72"/>
    <mergeCell ref="N77:P77"/>
    <mergeCell ref="N72:P72"/>
    <mergeCell ref="A65:B65"/>
    <mergeCell ref="D65:G65"/>
    <mergeCell ref="N65:O65"/>
    <mergeCell ref="Q65:S65"/>
    <mergeCell ref="T65:U65"/>
    <mergeCell ref="N66:S66"/>
    <mergeCell ref="T66:U66"/>
    <mergeCell ref="A68:C68"/>
    <mergeCell ref="N68:P68"/>
    <mergeCell ref="A62:B62"/>
    <mergeCell ref="D62:G62"/>
    <mergeCell ref="N62:O62"/>
    <mergeCell ref="Q62:S62"/>
    <mergeCell ref="T62:U62"/>
    <mergeCell ref="N63:S63"/>
    <mergeCell ref="T63:U63"/>
    <mergeCell ref="A64:I64"/>
    <mergeCell ref="N64:U64"/>
    <mergeCell ref="A59:B59"/>
    <mergeCell ref="F59:H59"/>
    <mergeCell ref="N59:O59"/>
    <mergeCell ref="P59:Q59"/>
    <mergeCell ref="R59:T59"/>
    <mergeCell ref="A60:I60"/>
    <mergeCell ref="N60:U60"/>
    <mergeCell ref="A61:I61"/>
    <mergeCell ref="N61:U61"/>
    <mergeCell ref="A50:B58"/>
    <mergeCell ref="N50:O58"/>
    <mergeCell ref="P50:Q50"/>
    <mergeCell ref="P51:Q51"/>
    <mergeCell ref="P52:Q52"/>
    <mergeCell ref="P53:Q53"/>
    <mergeCell ref="P54:Q54"/>
    <mergeCell ref="P55:Q55"/>
    <mergeCell ref="P56:Q56"/>
    <mergeCell ref="P57:Q57"/>
    <mergeCell ref="P58:Q58"/>
    <mergeCell ref="A42:B42"/>
    <mergeCell ref="N42:O42"/>
    <mergeCell ref="P42:T42"/>
    <mergeCell ref="N43:Q43"/>
    <mergeCell ref="S43:T43"/>
    <mergeCell ref="N45:Q45"/>
    <mergeCell ref="S45:T45"/>
    <mergeCell ref="N49:O49"/>
    <mergeCell ref="P49:Q49"/>
    <mergeCell ref="A39:B39"/>
    <mergeCell ref="N39:O39"/>
    <mergeCell ref="P39:T39"/>
    <mergeCell ref="A40:B40"/>
    <mergeCell ref="N40:O40"/>
    <mergeCell ref="P40:T40"/>
    <mergeCell ref="A41:B41"/>
    <mergeCell ref="N41:O41"/>
    <mergeCell ref="P41:T41"/>
    <mergeCell ref="F33:H36"/>
    <mergeCell ref="N34:T34"/>
    <mergeCell ref="A36:B36"/>
    <mergeCell ref="N36:O36"/>
    <mergeCell ref="P36:T36"/>
    <mergeCell ref="A37:B37"/>
    <mergeCell ref="N37:O37"/>
    <mergeCell ref="P37:T37"/>
    <mergeCell ref="A38:B38"/>
    <mergeCell ref="N38:O38"/>
    <mergeCell ref="P38:T38"/>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A20:B20"/>
    <mergeCell ref="F20:G20"/>
    <mergeCell ref="N20:O20"/>
    <mergeCell ref="P20:Q20"/>
    <mergeCell ref="R20:S20"/>
    <mergeCell ref="A21:B21"/>
    <mergeCell ref="F21:G21"/>
    <mergeCell ref="N21:O21"/>
    <mergeCell ref="P21:Q21"/>
    <mergeCell ref="R21:S21"/>
    <mergeCell ref="A18:B18"/>
    <mergeCell ref="F18:G18"/>
    <mergeCell ref="N18:O18"/>
    <mergeCell ref="P18:Q18"/>
    <mergeCell ref="R18:S18"/>
    <mergeCell ref="A19:B19"/>
    <mergeCell ref="F19:G19"/>
    <mergeCell ref="N19:O19"/>
    <mergeCell ref="P19:Q19"/>
    <mergeCell ref="R19:S19"/>
    <mergeCell ref="A16:B16"/>
    <mergeCell ref="F16:G16"/>
    <mergeCell ref="N16:O16"/>
    <mergeCell ref="P16:Q16"/>
    <mergeCell ref="R16:S16"/>
    <mergeCell ref="A17:B17"/>
    <mergeCell ref="F17:G17"/>
    <mergeCell ref="N17:O17"/>
    <mergeCell ref="P17:Q17"/>
    <mergeCell ref="R17:S17"/>
    <mergeCell ref="A14:B14"/>
    <mergeCell ref="F14:G14"/>
    <mergeCell ref="N14:O14"/>
    <mergeCell ref="P14:Q14"/>
    <mergeCell ref="R14:S14"/>
    <mergeCell ref="A15:B15"/>
    <mergeCell ref="F15:G15"/>
    <mergeCell ref="N15:O15"/>
    <mergeCell ref="P15:Q15"/>
    <mergeCell ref="R15:S15"/>
    <mergeCell ref="A12:B12"/>
    <mergeCell ref="F12:G12"/>
    <mergeCell ref="N12:O12"/>
    <mergeCell ref="P12:Q12"/>
    <mergeCell ref="R12:S12"/>
    <mergeCell ref="A13:B13"/>
    <mergeCell ref="F13:G13"/>
    <mergeCell ref="N13:O13"/>
    <mergeCell ref="P13:Q13"/>
    <mergeCell ref="R13:S13"/>
    <mergeCell ref="N8:O8"/>
    <mergeCell ref="P8:Q8"/>
    <mergeCell ref="R8:S8"/>
    <mergeCell ref="T8:U8"/>
    <mergeCell ref="F10:G10"/>
    <mergeCell ref="R10:S10"/>
    <mergeCell ref="A11:B11"/>
    <mergeCell ref="F11:G11"/>
    <mergeCell ref="N11:O11"/>
    <mergeCell ref="P11:Q11"/>
    <mergeCell ref="R11:S11"/>
    <mergeCell ref="B1:I1"/>
    <mergeCell ref="O1:U1"/>
    <mergeCell ref="N2:U2"/>
    <mergeCell ref="N3:U3"/>
    <mergeCell ref="A4:B4"/>
    <mergeCell ref="C4:E4"/>
    <mergeCell ref="N4:O4"/>
    <mergeCell ref="P4:Q4"/>
    <mergeCell ref="A7:I7"/>
    <mergeCell ref="N7:U7"/>
  </mergeCells>
  <pageMargins left="0.1" right="0.1" top="0.5" bottom="0.5" header="0" footer="0.1"/>
  <pageSetup scale="70" fitToHeight="3" orientation="portrait" r:id="rId1"/>
  <headerFooter alignWithMargins="0">
    <oddFooter>&amp;R&amp;P of &amp;N</oddFooter>
  </headerFooter>
  <rowBreaks count="1" manualBreakCount="1">
    <brk id="138" max="16383" man="1"/>
  </rowBreaks>
  <colBreaks count="1" manualBreakCount="1">
    <brk id="9" max="1048575" man="1"/>
  </colBreaks>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8">
    <tabColor rgb="FFCCFFCC"/>
  </sheetPr>
  <dimension ref="A1:U206"/>
  <sheetViews>
    <sheetView showGridLines="0" zoomScaleNormal="100" workbookViewId="0">
      <pane ySplit="1" topLeftCell="A12" activePane="bottomLeft" state="frozen"/>
      <selection activeCell="I9" sqref="I9"/>
      <selection pane="bottomLeft" activeCell="D50" sqref="D50:D56"/>
    </sheetView>
  </sheetViews>
  <sheetFormatPr defaultRowHeight="15.75" x14ac:dyDescent="0.25"/>
  <cols>
    <col min="1" max="1" width="10.28515625" style="72"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72"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5">
        <v>50</v>
      </c>
      <c r="B1" s="441" t="s">
        <v>17</v>
      </c>
      <c r="C1" s="442"/>
      <c r="D1" s="442"/>
      <c r="E1" s="442"/>
      <c r="F1" s="442"/>
      <c r="G1" s="442"/>
      <c r="H1" s="442"/>
      <c r="I1" s="442"/>
      <c r="J1" s="157"/>
      <c r="K1" s="157"/>
      <c r="L1" s="157"/>
      <c r="N1" s="85">
        <f>A1</f>
        <v>50</v>
      </c>
      <c r="O1" s="527" t="s">
        <v>17</v>
      </c>
      <c r="P1" s="528"/>
      <c r="Q1" s="528"/>
      <c r="R1" s="528"/>
      <c r="S1" s="528"/>
      <c r="T1" s="528"/>
      <c r="U1" s="528"/>
    </row>
    <row r="2" spans="1:21" ht="21" x14ac:dyDescent="0.35">
      <c r="A2" s="1" t="s">
        <v>330</v>
      </c>
      <c r="B2" s="2"/>
      <c r="C2" s="2"/>
      <c r="D2" s="2"/>
      <c r="E2" s="2"/>
      <c r="F2" s="2"/>
      <c r="G2" s="2"/>
      <c r="H2" s="2"/>
      <c r="I2" s="2"/>
      <c r="N2" s="529" t="s">
        <v>23</v>
      </c>
      <c r="O2" s="529"/>
      <c r="P2" s="529"/>
      <c r="Q2" s="529"/>
      <c r="R2" s="529"/>
      <c r="S2" s="529"/>
      <c r="T2" s="529"/>
      <c r="U2" s="529"/>
    </row>
    <row r="3" spans="1:21" x14ac:dyDescent="0.25">
      <c r="A3" s="84" t="str">
        <f>'0664'!A3</f>
        <v>Based on the FLDOE 2022-23 FEFP Third Calculation</v>
      </c>
      <c r="N3" s="485" t="str">
        <f>A3</f>
        <v>Based on the FLDOE 2022-23 FEFP Third Calculation</v>
      </c>
      <c r="O3" s="485"/>
      <c r="P3" s="485"/>
      <c r="Q3" s="485"/>
      <c r="R3" s="485"/>
      <c r="S3" s="485"/>
      <c r="T3" s="485"/>
      <c r="U3" s="485"/>
    </row>
    <row r="4" spans="1:21" x14ac:dyDescent="0.25">
      <c r="A4" s="443" t="s">
        <v>0</v>
      </c>
      <c r="B4" s="443"/>
      <c r="C4" s="444" t="s">
        <v>9</v>
      </c>
      <c r="D4" s="444"/>
      <c r="E4" s="444"/>
      <c r="F4" s="4" t="str">
        <f>'0664'!F4</f>
        <v>Apr 2023</v>
      </c>
      <c r="G4" s="4"/>
      <c r="H4" s="4"/>
      <c r="I4" s="4"/>
      <c r="N4" s="530" t="s">
        <v>0</v>
      </c>
      <c r="O4" s="530"/>
      <c r="P4" s="531" t="str">
        <f>C4</f>
        <v>Palm Beach</v>
      </c>
      <c r="Q4" s="531"/>
      <c r="R4" s="5"/>
      <c r="S4" s="5"/>
      <c r="T4" s="5"/>
      <c r="U4" s="5"/>
    </row>
    <row r="5" spans="1:21" ht="12" customHeight="1" thickBot="1" x14ac:dyDescent="0.3">
      <c r="A5" s="262"/>
      <c r="B5" s="262"/>
      <c r="C5" s="253"/>
      <c r="D5" s="253"/>
      <c r="E5" s="253"/>
      <c r="F5" s="254"/>
      <c r="G5" s="254"/>
      <c r="H5" s="254"/>
      <c r="I5" s="254"/>
      <c r="N5" s="86"/>
      <c r="O5" s="86"/>
      <c r="P5" s="6"/>
      <c r="Q5" s="6"/>
      <c r="R5" s="5"/>
      <c r="S5" s="5"/>
      <c r="T5" s="5"/>
      <c r="U5" s="5"/>
    </row>
    <row r="6" spans="1:21" ht="12" customHeight="1" x14ac:dyDescent="0.25">
      <c r="A6" s="150"/>
      <c r="B6" s="150"/>
      <c r="C6" s="261"/>
      <c r="D6" s="261"/>
      <c r="E6" s="261"/>
      <c r="F6" s="4"/>
      <c r="G6" s="4"/>
      <c r="H6" s="4"/>
      <c r="I6" s="4"/>
      <c r="N6" s="86"/>
      <c r="O6" s="86"/>
      <c r="P6" s="6"/>
      <c r="Q6" s="6"/>
      <c r="R6" s="5"/>
      <c r="S6" s="5"/>
      <c r="T6" s="5"/>
      <c r="U6" s="5"/>
    </row>
    <row r="7" spans="1:21" x14ac:dyDescent="0.25">
      <c r="A7" s="445" t="str">
        <f>'0664'!A7:I7</f>
        <v>1.   2022-23 FEFP State and Local Funding</v>
      </c>
      <c r="B7" s="533"/>
      <c r="C7" s="533"/>
      <c r="D7" s="533"/>
      <c r="E7" s="533"/>
      <c r="F7" s="533"/>
      <c r="G7" s="533"/>
      <c r="H7" s="533"/>
      <c r="I7" s="533"/>
      <c r="N7" s="530" t="s">
        <v>86</v>
      </c>
      <c r="O7" s="530"/>
      <c r="P7" s="530"/>
      <c r="Q7" s="530"/>
      <c r="R7" s="530"/>
      <c r="S7" s="530"/>
      <c r="T7" s="530"/>
      <c r="U7" s="530"/>
    </row>
    <row r="8" spans="1:21" x14ac:dyDescent="0.25">
      <c r="A8" s="87"/>
      <c r="B8" s="88" t="s">
        <v>123</v>
      </c>
      <c r="C8" s="334">
        <f>'0664'!C8</f>
        <v>4587.3999999999996</v>
      </c>
      <c r="D8" s="89"/>
      <c r="E8" s="90"/>
      <c r="F8" s="87"/>
      <c r="G8" s="88" t="s">
        <v>122</v>
      </c>
      <c r="H8" s="320">
        <f>'0664'!H8</f>
        <v>1.0438000000000001</v>
      </c>
      <c r="I8" s="78"/>
      <c r="N8" s="534" t="s">
        <v>10</v>
      </c>
      <c r="O8" s="534"/>
      <c r="P8" s="535">
        <v>4154.45</v>
      </c>
      <c r="Q8" s="535"/>
      <c r="R8" s="518" t="s">
        <v>11</v>
      </c>
      <c r="S8" s="518"/>
      <c r="T8" s="519">
        <f>H8</f>
        <v>1.0438000000000001</v>
      </c>
      <c r="U8" s="519"/>
    </row>
    <row r="9" spans="1:21" x14ac:dyDescent="0.25">
      <c r="A9" s="7"/>
      <c r="B9" s="44" t="s">
        <v>370</v>
      </c>
      <c r="C9" s="372" t="s">
        <v>370</v>
      </c>
      <c r="D9" s="372" t="s">
        <v>370</v>
      </c>
      <c r="E9" s="8"/>
      <c r="F9" s="9"/>
      <c r="G9" s="9"/>
      <c r="H9" s="10"/>
      <c r="I9" s="340" t="str">
        <f>'0664'!I9</f>
        <v>2022-23</v>
      </c>
      <c r="N9" s="12"/>
      <c r="O9" s="12"/>
      <c r="P9" s="13"/>
      <c r="Q9" s="13"/>
      <c r="R9" s="14"/>
      <c r="S9" s="14"/>
      <c r="T9" s="15"/>
      <c r="U9" s="405" t="s">
        <v>405</v>
      </c>
    </row>
    <row r="10" spans="1:21" x14ac:dyDescent="0.25">
      <c r="A10" s="7"/>
      <c r="B10" s="7"/>
      <c r="C10" s="91" t="s">
        <v>463</v>
      </c>
      <c r="D10" s="371" t="s">
        <v>464</v>
      </c>
      <c r="E10" s="92" t="s">
        <v>8</v>
      </c>
      <c r="F10" s="446" t="s">
        <v>1</v>
      </c>
      <c r="G10" s="446"/>
      <c r="H10" s="10" t="s">
        <v>73</v>
      </c>
      <c r="I10" s="11" t="s">
        <v>36</v>
      </c>
      <c r="N10" s="12"/>
      <c r="O10" s="12"/>
      <c r="P10" s="13"/>
      <c r="Q10" s="13"/>
      <c r="R10" s="520" t="s">
        <v>1</v>
      </c>
      <c r="S10" s="520"/>
      <c r="T10" s="15" t="s">
        <v>73</v>
      </c>
      <c r="U10" s="16" t="s">
        <v>36</v>
      </c>
    </row>
    <row r="11" spans="1:21" x14ac:dyDescent="0.25">
      <c r="A11" s="447" t="s">
        <v>1</v>
      </c>
      <c r="B11" s="447"/>
      <c r="C11" s="362" t="s">
        <v>2</v>
      </c>
      <c r="D11" s="362" t="s">
        <v>2</v>
      </c>
      <c r="E11" s="362" t="s">
        <v>2</v>
      </c>
      <c r="F11" s="448" t="s">
        <v>76</v>
      </c>
      <c r="G11" s="448"/>
      <c r="H11" s="17" t="s">
        <v>72</v>
      </c>
      <c r="I11" s="18" t="s">
        <v>75</v>
      </c>
      <c r="N11" s="510" t="s">
        <v>1</v>
      </c>
      <c r="O11" s="510"/>
      <c r="P11" s="521" t="s">
        <v>24</v>
      </c>
      <c r="Q11" s="521"/>
      <c r="R11" s="522" t="s">
        <v>76</v>
      </c>
      <c r="S11" s="522"/>
      <c r="T11" s="19" t="s">
        <v>72</v>
      </c>
      <c r="U11" s="20" t="s">
        <v>75</v>
      </c>
    </row>
    <row r="12" spans="1:21" x14ac:dyDescent="0.25">
      <c r="A12" s="449" t="s">
        <v>47</v>
      </c>
      <c r="B12" s="449"/>
      <c r="C12" s="94"/>
      <c r="D12" s="94"/>
      <c r="E12" s="95" t="s">
        <v>48</v>
      </c>
      <c r="F12" s="450" t="s">
        <v>49</v>
      </c>
      <c r="G12" s="450"/>
      <c r="H12" s="21" t="s">
        <v>50</v>
      </c>
      <c r="I12" s="22" t="s">
        <v>51</v>
      </c>
      <c r="N12" s="523" t="s">
        <v>47</v>
      </c>
      <c r="O12" s="523"/>
      <c r="P12" s="524" t="s">
        <v>48</v>
      </c>
      <c r="Q12" s="524"/>
      <c r="R12" s="525" t="s">
        <v>49</v>
      </c>
      <c r="S12" s="525"/>
      <c r="T12" s="23" t="s">
        <v>50</v>
      </c>
      <c r="U12" s="24" t="s">
        <v>51</v>
      </c>
    </row>
    <row r="13" spans="1:21" x14ac:dyDescent="0.25">
      <c r="A13" s="451" t="s">
        <v>29</v>
      </c>
      <c r="B13" s="451"/>
      <c r="C13" s="165">
        <v>100.87</v>
      </c>
      <c r="D13" s="163">
        <v>102.03</v>
      </c>
      <c r="E13" s="210">
        <f>IF(D$29=0,C13*2,C13+D13)</f>
        <v>202.9</v>
      </c>
      <c r="F13" s="537">
        <f>'0664'!F13:G13</f>
        <v>1.1259999999999999</v>
      </c>
      <c r="G13" s="537"/>
      <c r="H13" s="167">
        <f>ROUND(E13*F13,4)</f>
        <v>228.46539999999999</v>
      </c>
      <c r="I13" s="119">
        <f t="shared" ref="I13:I28" si="0">ROUND(ROUND(H13*$C$8,4)*($H$8),2)</f>
        <v>1093967.3</v>
      </c>
      <c r="N13" s="512" t="s">
        <v>29</v>
      </c>
      <c r="O13" s="512"/>
      <c r="P13" s="513">
        <f t="shared" ref="P13:P28" si="1">IF($H$120=1,E13,0)</f>
        <v>0</v>
      </c>
      <c r="Q13" s="513"/>
      <c r="R13" s="526">
        <v>1</v>
      </c>
      <c r="S13" s="526"/>
      <c r="T13" s="98">
        <f>ROUND(P13*R13,4)</f>
        <v>0</v>
      </c>
      <c r="U13" s="99">
        <f t="shared" ref="U13:U28" si="2">ROUND(ROUND(T13*$C$8,4)*($H$8),0)</f>
        <v>0</v>
      </c>
    </row>
    <row r="14" spans="1:21" x14ac:dyDescent="0.25">
      <c r="A14" s="453" t="s">
        <v>30</v>
      </c>
      <c r="B14" s="453"/>
      <c r="C14" s="165">
        <v>7</v>
      </c>
      <c r="D14" s="165">
        <v>7.08</v>
      </c>
      <c r="E14" s="125">
        <f t="shared" ref="E14:E28" si="3">IF(D$29=0,C14*2,C14+D14)</f>
        <v>14.08</v>
      </c>
      <c r="F14" s="532">
        <f>'0664'!F14:G14</f>
        <v>1.1259999999999999</v>
      </c>
      <c r="G14" s="532"/>
      <c r="H14" s="83">
        <f t="shared" ref="H14:H28" si="4">ROUND(E14*F14,4)</f>
        <v>15.854100000000001</v>
      </c>
      <c r="I14" s="104">
        <f t="shared" si="0"/>
        <v>75914.63</v>
      </c>
      <c r="J14" s="68" t="str">
        <f>IF(ROUND(E14,2)=ROUND(SUM(E50:E52),2)," ","CHECK PK-3 LINES BELOW")</f>
        <v xml:space="preserve"> </v>
      </c>
      <c r="N14" s="479" t="s">
        <v>30</v>
      </c>
      <c r="O14" s="479"/>
      <c r="P14" s="513">
        <f t="shared" si="1"/>
        <v>0</v>
      </c>
      <c r="Q14" s="513"/>
      <c r="R14" s="517">
        <v>1</v>
      </c>
      <c r="S14" s="517"/>
      <c r="T14" s="98">
        <f t="shared" ref="T14:T28" si="5">ROUND(P14*R14,4)</f>
        <v>0</v>
      </c>
      <c r="U14" s="99">
        <f t="shared" si="2"/>
        <v>0</v>
      </c>
    </row>
    <row r="15" spans="1:21" x14ac:dyDescent="0.25">
      <c r="A15" s="453" t="s">
        <v>31</v>
      </c>
      <c r="B15" s="453"/>
      <c r="C15" s="165">
        <v>50.64</v>
      </c>
      <c r="D15" s="165">
        <v>48.63</v>
      </c>
      <c r="E15" s="125">
        <f t="shared" si="3"/>
        <v>99.27000000000001</v>
      </c>
      <c r="F15" s="532">
        <f>'0664'!F15:G15</f>
        <v>1</v>
      </c>
      <c r="G15" s="532"/>
      <c r="H15" s="83">
        <f t="shared" si="4"/>
        <v>99.27</v>
      </c>
      <c r="I15" s="104">
        <f t="shared" si="0"/>
        <v>475337.33</v>
      </c>
      <c r="N15" s="479" t="s">
        <v>31</v>
      </c>
      <c r="O15" s="479"/>
      <c r="P15" s="513">
        <f t="shared" si="1"/>
        <v>0</v>
      </c>
      <c r="Q15" s="513"/>
      <c r="R15" s="517">
        <v>1</v>
      </c>
      <c r="S15" s="517"/>
      <c r="T15" s="98">
        <f t="shared" si="5"/>
        <v>0</v>
      </c>
      <c r="U15" s="99">
        <f t="shared" si="2"/>
        <v>0</v>
      </c>
    </row>
    <row r="16" spans="1:21" x14ac:dyDescent="0.25">
      <c r="A16" s="453" t="s">
        <v>32</v>
      </c>
      <c r="B16" s="453"/>
      <c r="C16" s="165">
        <v>10</v>
      </c>
      <c r="D16" s="165">
        <v>9.09</v>
      </c>
      <c r="E16" s="125">
        <f t="shared" si="3"/>
        <v>19.09</v>
      </c>
      <c r="F16" s="532">
        <f>'0664'!F16:G16</f>
        <v>1</v>
      </c>
      <c r="G16" s="532"/>
      <c r="H16" s="83">
        <f t="shared" si="4"/>
        <v>19.09</v>
      </c>
      <c r="I16" s="104">
        <f t="shared" si="0"/>
        <v>91409.18</v>
      </c>
      <c r="J16" s="68" t="str">
        <f>IF(ROUND(E16,2)=ROUND(SUM(E53:E55),2)," ","CHECK 4-8 LINES BELOW")</f>
        <v xml:space="preserve"> </v>
      </c>
      <c r="N16" s="479" t="s">
        <v>32</v>
      </c>
      <c r="O16" s="479"/>
      <c r="P16" s="513">
        <f t="shared" si="1"/>
        <v>0</v>
      </c>
      <c r="Q16" s="513"/>
      <c r="R16" s="517">
        <v>1</v>
      </c>
      <c r="S16" s="517"/>
      <c r="T16" s="98">
        <f t="shared" si="5"/>
        <v>0</v>
      </c>
      <c r="U16" s="99">
        <f t="shared" si="2"/>
        <v>0</v>
      </c>
    </row>
    <row r="17" spans="1:21" x14ac:dyDescent="0.25">
      <c r="A17" s="453" t="s">
        <v>33</v>
      </c>
      <c r="B17" s="453"/>
      <c r="C17" s="165">
        <v>0</v>
      </c>
      <c r="D17" s="165">
        <v>0</v>
      </c>
      <c r="E17" s="125">
        <f t="shared" si="3"/>
        <v>0</v>
      </c>
      <c r="F17" s="532">
        <f>'0664'!F17:G17</f>
        <v>0.999</v>
      </c>
      <c r="G17" s="532"/>
      <c r="H17" s="83">
        <f t="shared" si="4"/>
        <v>0</v>
      </c>
      <c r="I17" s="104">
        <f t="shared" si="0"/>
        <v>0</v>
      </c>
      <c r="N17" s="479" t="s">
        <v>33</v>
      </c>
      <c r="O17" s="479"/>
      <c r="P17" s="513">
        <f t="shared" si="1"/>
        <v>0</v>
      </c>
      <c r="Q17" s="513"/>
      <c r="R17" s="517">
        <v>1</v>
      </c>
      <c r="S17" s="517"/>
      <c r="T17" s="98">
        <f t="shared" si="5"/>
        <v>0</v>
      </c>
      <c r="U17" s="99">
        <f t="shared" si="2"/>
        <v>0</v>
      </c>
    </row>
    <row r="18" spans="1:21" x14ac:dyDescent="0.25">
      <c r="A18" s="453" t="s">
        <v>34</v>
      </c>
      <c r="B18" s="453"/>
      <c r="C18" s="165">
        <v>0</v>
      </c>
      <c r="D18" s="165">
        <v>0</v>
      </c>
      <c r="E18" s="125">
        <f t="shared" si="3"/>
        <v>0</v>
      </c>
      <c r="F18" s="532">
        <f>'0664'!F18:G18</f>
        <v>0.999</v>
      </c>
      <c r="G18" s="532"/>
      <c r="H18" s="83">
        <f t="shared" si="4"/>
        <v>0</v>
      </c>
      <c r="I18" s="104">
        <f t="shared" si="0"/>
        <v>0</v>
      </c>
      <c r="J18" s="68" t="str">
        <f>IF(ROUND(E18,2)=ROUND(SUM(E56:E58),2)," ","CHECK 4-8 LINES BELOW")</f>
        <v xml:space="preserve"> </v>
      </c>
      <c r="N18" s="479" t="s">
        <v>34</v>
      </c>
      <c r="O18" s="479"/>
      <c r="P18" s="513">
        <f t="shared" si="1"/>
        <v>0</v>
      </c>
      <c r="Q18" s="513"/>
      <c r="R18" s="517">
        <v>1</v>
      </c>
      <c r="S18" s="517"/>
      <c r="T18" s="98">
        <f t="shared" si="5"/>
        <v>0</v>
      </c>
      <c r="U18" s="101">
        <f t="shared" si="2"/>
        <v>0</v>
      </c>
    </row>
    <row r="19" spans="1:21" x14ac:dyDescent="0.25">
      <c r="A19" s="453" t="s">
        <v>108</v>
      </c>
      <c r="B19" s="453"/>
      <c r="C19" s="165">
        <v>0</v>
      </c>
      <c r="D19" s="165">
        <v>0</v>
      </c>
      <c r="E19" s="125">
        <f t="shared" si="3"/>
        <v>0</v>
      </c>
      <c r="F19" s="532">
        <f>'0664'!F19:G19</f>
        <v>3.6739999999999999</v>
      </c>
      <c r="G19" s="532"/>
      <c r="H19" s="83">
        <f t="shared" si="4"/>
        <v>0</v>
      </c>
      <c r="I19" s="104">
        <f t="shared" si="0"/>
        <v>0</v>
      </c>
      <c r="N19" s="479" t="s">
        <v>108</v>
      </c>
      <c r="O19" s="479"/>
      <c r="P19" s="513">
        <f t="shared" si="1"/>
        <v>0</v>
      </c>
      <c r="Q19" s="513"/>
      <c r="R19" s="517">
        <v>1</v>
      </c>
      <c r="S19" s="517"/>
      <c r="T19" s="98">
        <f t="shared" si="5"/>
        <v>0</v>
      </c>
      <c r="U19" s="99">
        <f t="shared" si="2"/>
        <v>0</v>
      </c>
    </row>
    <row r="20" spans="1:21" x14ac:dyDescent="0.25">
      <c r="A20" s="453" t="s">
        <v>109</v>
      </c>
      <c r="B20" s="453"/>
      <c r="C20" s="165">
        <v>0</v>
      </c>
      <c r="D20" s="165">
        <v>0</v>
      </c>
      <c r="E20" s="125">
        <f t="shared" si="3"/>
        <v>0</v>
      </c>
      <c r="F20" s="532">
        <f>'0664'!F20:G20</f>
        <v>3.6739999999999999</v>
      </c>
      <c r="G20" s="532"/>
      <c r="H20" s="83">
        <f t="shared" si="4"/>
        <v>0</v>
      </c>
      <c r="I20" s="104">
        <f t="shared" si="0"/>
        <v>0</v>
      </c>
      <c r="N20" s="479" t="s">
        <v>109</v>
      </c>
      <c r="O20" s="479"/>
      <c r="P20" s="513">
        <f t="shared" si="1"/>
        <v>0</v>
      </c>
      <c r="Q20" s="513"/>
      <c r="R20" s="517">
        <v>1</v>
      </c>
      <c r="S20" s="517"/>
      <c r="T20" s="98">
        <f t="shared" si="5"/>
        <v>0</v>
      </c>
      <c r="U20" s="99">
        <f t="shared" si="2"/>
        <v>0</v>
      </c>
    </row>
    <row r="21" spans="1:21" x14ac:dyDescent="0.25">
      <c r="A21" s="453" t="s">
        <v>110</v>
      </c>
      <c r="B21" s="453"/>
      <c r="C21" s="165">
        <v>0</v>
      </c>
      <c r="D21" s="165">
        <v>0</v>
      </c>
      <c r="E21" s="125">
        <f t="shared" si="3"/>
        <v>0</v>
      </c>
      <c r="F21" s="532">
        <f>'0664'!F21:G21</f>
        <v>3.6739999999999999</v>
      </c>
      <c r="G21" s="532"/>
      <c r="H21" s="83">
        <f t="shared" si="4"/>
        <v>0</v>
      </c>
      <c r="I21" s="104">
        <f t="shared" si="0"/>
        <v>0</v>
      </c>
      <c r="N21" s="479" t="s">
        <v>110</v>
      </c>
      <c r="O21" s="479"/>
      <c r="P21" s="513">
        <f t="shared" si="1"/>
        <v>0</v>
      </c>
      <c r="Q21" s="513"/>
      <c r="R21" s="517">
        <v>1</v>
      </c>
      <c r="S21" s="517"/>
      <c r="T21" s="98">
        <f t="shared" si="5"/>
        <v>0</v>
      </c>
      <c r="U21" s="99">
        <f t="shared" si="2"/>
        <v>0</v>
      </c>
    </row>
    <row r="22" spans="1:21" x14ac:dyDescent="0.25">
      <c r="A22" s="453" t="s">
        <v>111</v>
      </c>
      <c r="B22" s="453"/>
      <c r="C22" s="165">
        <v>0</v>
      </c>
      <c r="D22" s="165">
        <v>0</v>
      </c>
      <c r="E22" s="125">
        <f t="shared" si="3"/>
        <v>0</v>
      </c>
      <c r="F22" s="532">
        <f>'0664'!F22:G22</f>
        <v>5.4009999999999998</v>
      </c>
      <c r="G22" s="532"/>
      <c r="H22" s="83">
        <f t="shared" si="4"/>
        <v>0</v>
      </c>
      <c r="I22" s="104">
        <f t="shared" si="0"/>
        <v>0</v>
      </c>
      <c r="N22" s="479" t="s">
        <v>111</v>
      </c>
      <c r="O22" s="479"/>
      <c r="P22" s="513">
        <f t="shared" si="1"/>
        <v>0</v>
      </c>
      <c r="Q22" s="513"/>
      <c r="R22" s="517">
        <v>1</v>
      </c>
      <c r="S22" s="517"/>
      <c r="T22" s="98">
        <f t="shared" si="5"/>
        <v>0</v>
      </c>
      <c r="U22" s="99">
        <f t="shared" si="2"/>
        <v>0</v>
      </c>
    </row>
    <row r="23" spans="1:21" x14ac:dyDescent="0.25">
      <c r="A23" s="453" t="s">
        <v>112</v>
      </c>
      <c r="B23" s="453"/>
      <c r="C23" s="165">
        <v>0</v>
      </c>
      <c r="D23" s="165">
        <v>0</v>
      </c>
      <c r="E23" s="125">
        <f t="shared" si="3"/>
        <v>0</v>
      </c>
      <c r="F23" s="532">
        <f>'0664'!F23:G23</f>
        <v>5.4009999999999998</v>
      </c>
      <c r="G23" s="532"/>
      <c r="H23" s="83">
        <f t="shared" si="4"/>
        <v>0</v>
      </c>
      <c r="I23" s="104">
        <f t="shared" si="0"/>
        <v>0</v>
      </c>
      <c r="N23" s="479" t="s">
        <v>112</v>
      </c>
      <c r="O23" s="479"/>
      <c r="P23" s="513">
        <f t="shared" si="1"/>
        <v>0</v>
      </c>
      <c r="Q23" s="513"/>
      <c r="R23" s="517">
        <v>1</v>
      </c>
      <c r="S23" s="517"/>
      <c r="T23" s="98">
        <f t="shared" si="5"/>
        <v>0</v>
      </c>
      <c r="U23" s="99">
        <f t="shared" si="2"/>
        <v>0</v>
      </c>
    </row>
    <row r="24" spans="1:21" x14ac:dyDescent="0.25">
      <c r="A24" s="453" t="s">
        <v>113</v>
      </c>
      <c r="B24" s="453"/>
      <c r="C24" s="165">
        <v>0</v>
      </c>
      <c r="D24" s="165">
        <v>0</v>
      </c>
      <c r="E24" s="125">
        <f t="shared" si="3"/>
        <v>0</v>
      </c>
      <c r="F24" s="532">
        <f>'0664'!F24:G24</f>
        <v>5.4009999999999998</v>
      </c>
      <c r="G24" s="532"/>
      <c r="H24" s="83">
        <f t="shared" si="4"/>
        <v>0</v>
      </c>
      <c r="I24" s="104">
        <f t="shared" si="0"/>
        <v>0</v>
      </c>
      <c r="N24" s="479" t="s">
        <v>113</v>
      </c>
      <c r="O24" s="479"/>
      <c r="P24" s="513">
        <f t="shared" si="1"/>
        <v>0</v>
      </c>
      <c r="Q24" s="513"/>
      <c r="R24" s="517">
        <v>1</v>
      </c>
      <c r="S24" s="517"/>
      <c r="T24" s="98">
        <f t="shared" si="5"/>
        <v>0</v>
      </c>
      <c r="U24" s="99">
        <f t="shared" si="2"/>
        <v>0</v>
      </c>
    </row>
    <row r="25" spans="1:21" x14ac:dyDescent="0.25">
      <c r="A25" s="453" t="s">
        <v>114</v>
      </c>
      <c r="B25" s="453"/>
      <c r="C25" s="165">
        <v>32.869999999999997</v>
      </c>
      <c r="D25" s="165">
        <v>31.69</v>
      </c>
      <c r="E25" s="125">
        <f t="shared" si="3"/>
        <v>64.56</v>
      </c>
      <c r="F25" s="532">
        <f>'0664'!F25:G25</f>
        <v>1.206</v>
      </c>
      <c r="G25" s="532"/>
      <c r="H25" s="83">
        <f t="shared" si="4"/>
        <v>77.859399999999994</v>
      </c>
      <c r="I25" s="104">
        <f t="shared" si="0"/>
        <v>372816.35</v>
      </c>
      <c r="N25" s="479" t="s">
        <v>114</v>
      </c>
      <c r="O25" s="479"/>
      <c r="P25" s="513">
        <f t="shared" si="1"/>
        <v>0</v>
      </c>
      <c r="Q25" s="513"/>
      <c r="R25" s="517">
        <v>1</v>
      </c>
      <c r="S25" s="517"/>
      <c r="T25" s="98">
        <f t="shared" si="5"/>
        <v>0</v>
      </c>
      <c r="U25" s="99">
        <f t="shared" si="2"/>
        <v>0</v>
      </c>
    </row>
    <row r="26" spans="1:21" x14ac:dyDescent="0.25">
      <c r="A26" s="453" t="s">
        <v>115</v>
      </c>
      <c r="B26" s="453"/>
      <c r="C26" s="165">
        <v>6.86</v>
      </c>
      <c r="D26" s="165">
        <v>6.41</v>
      </c>
      <c r="E26" s="125">
        <f t="shared" si="3"/>
        <v>13.27</v>
      </c>
      <c r="F26" s="532">
        <f>'0664'!F26:G26</f>
        <v>1.206</v>
      </c>
      <c r="G26" s="532"/>
      <c r="H26" s="83">
        <f t="shared" si="4"/>
        <v>16.003599999999999</v>
      </c>
      <c r="I26" s="104">
        <f t="shared" si="0"/>
        <v>76630.490000000005</v>
      </c>
      <c r="N26" s="479" t="s">
        <v>115</v>
      </c>
      <c r="O26" s="479"/>
      <c r="P26" s="513">
        <f t="shared" si="1"/>
        <v>0</v>
      </c>
      <c r="Q26" s="513"/>
      <c r="R26" s="517">
        <v>1</v>
      </c>
      <c r="S26" s="517"/>
      <c r="T26" s="98">
        <f t="shared" si="5"/>
        <v>0</v>
      </c>
      <c r="U26" s="99">
        <f t="shared" si="2"/>
        <v>0</v>
      </c>
    </row>
    <row r="27" spans="1:21" x14ac:dyDescent="0.25">
      <c r="A27" s="453" t="s">
        <v>116</v>
      </c>
      <c r="B27" s="453"/>
      <c r="C27" s="165">
        <v>0</v>
      </c>
      <c r="D27" s="165">
        <v>0</v>
      </c>
      <c r="E27" s="125">
        <f t="shared" si="3"/>
        <v>0</v>
      </c>
      <c r="F27" s="532">
        <f>'0664'!F27:G27</f>
        <v>1.206</v>
      </c>
      <c r="G27" s="532"/>
      <c r="H27" s="83">
        <f t="shared" si="4"/>
        <v>0</v>
      </c>
      <c r="I27" s="104">
        <f t="shared" si="0"/>
        <v>0</v>
      </c>
      <c r="N27" s="479" t="s">
        <v>116</v>
      </c>
      <c r="O27" s="479"/>
      <c r="P27" s="513">
        <f t="shared" si="1"/>
        <v>0</v>
      </c>
      <c r="Q27" s="513"/>
      <c r="R27" s="517">
        <v>1</v>
      </c>
      <c r="S27" s="517"/>
      <c r="T27" s="98">
        <f t="shared" si="5"/>
        <v>0</v>
      </c>
      <c r="U27" s="99">
        <f t="shared" si="2"/>
        <v>0</v>
      </c>
    </row>
    <row r="28" spans="1:21" x14ac:dyDescent="0.25">
      <c r="A28" s="453" t="s">
        <v>117</v>
      </c>
      <c r="B28" s="453"/>
      <c r="C28" s="116">
        <v>0</v>
      </c>
      <c r="D28" s="116">
        <v>0</v>
      </c>
      <c r="E28" s="177">
        <f t="shared" si="3"/>
        <v>0</v>
      </c>
      <c r="F28" s="532">
        <f>'0664'!F28:G28</f>
        <v>0.999</v>
      </c>
      <c r="G28" s="532"/>
      <c r="H28" s="96">
        <f t="shared" si="4"/>
        <v>0</v>
      </c>
      <c r="I28" s="97">
        <f t="shared" si="0"/>
        <v>0</v>
      </c>
      <c r="N28" s="482" t="s">
        <v>117</v>
      </c>
      <c r="O28" s="482"/>
      <c r="P28" s="513">
        <f t="shared" si="1"/>
        <v>0</v>
      </c>
      <c r="Q28" s="513"/>
      <c r="R28" s="514">
        <v>1</v>
      </c>
      <c r="S28" s="514"/>
      <c r="T28" s="98">
        <f t="shared" si="5"/>
        <v>0</v>
      </c>
      <c r="U28" s="99">
        <f t="shared" si="2"/>
        <v>0</v>
      </c>
    </row>
    <row r="29" spans="1:21" x14ac:dyDescent="0.25">
      <c r="A29" s="461" t="s">
        <v>5</v>
      </c>
      <c r="B29" s="461"/>
      <c r="C29" s="97">
        <f>SUM(C13:C28)</f>
        <v>208.24</v>
      </c>
      <c r="D29" s="97">
        <f>SUM(D13:D28)</f>
        <v>204.93</v>
      </c>
      <c r="E29" s="97">
        <f>SUM(E13:E28)</f>
        <v>413.16999999999996</v>
      </c>
      <c r="F29" s="457"/>
      <c r="G29" s="457"/>
      <c r="H29" s="102">
        <f>SUM(H13:H28)</f>
        <v>456.54249999999996</v>
      </c>
      <c r="I29" s="97">
        <f>SUM(I13:I28)</f>
        <v>2186075.2800000003</v>
      </c>
      <c r="N29" s="515" t="s">
        <v>5</v>
      </c>
      <c r="O29" s="515"/>
      <c r="P29" s="516">
        <f>SUM(P13:P28)</f>
        <v>0</v>
      </c>
      <c r="Q29" s="516"/>
      <c r="R29" s="508"/>
      <c r="S29" s="508"/>
      <c r="T29" s="103">
        <f>SUM(T13:T28)</f>
        <v>0</v>
      </c>
      <c r="U29" s="99">
        <f>SUM(U13:U28)</f>
        <v>0</v>
      </c>
    </row>
    <row r="30" spans="1:21" x14ac:dyDescent="0.25">
      <c r="A30" s="27"/>
      <c r="B30" s="27"/>
      <c r="C30" s="104"/>
      <c r="D30" s="104"/>
      <c r="E30" s="104"/>
      <c r="F30" s="28"/>
      <c r="G30" s="28"/>
      <c r="H30" s="83"/>
      <c r="I30" s="104"/>
      <c r="N30" s="29"/>
      <c r="O30" s="29"/>
      <c r="P30" s="30"/>
      <c r="Q30" s="30"/>
      <c r="R30" s="31"/>
      <c r="S30" s="31"/>
      <c r="T30" s="105"/>
      <c r="U30" s="106"/>
    </row>
    <row r="31" spans="1:21" x14ac:dyDescent="0.25">
      <c r="A31" s="168" t="s">
        <v>97</v>
      </c>
      <c r="B31" s="27"/>
      <c r="C31" s="104"/>
      <c r="D31" s="104"/>
      <c r="E31" s="104"/>
      <c r="F31" s="28"/>
      <c r="G31" s="28"/>
      <c r="H31" s="83"/>
      <c r="I31" s="104"/>
      <c r="N31" s="29"/>
      <c r="O31" s="29"/>
      <c r="P31" s="30"/>
      <c r="Q31" s="30"/>
      <c r="R31" s="31"/>
      <c r="S31" s="31"/>
      <c r="T31" s="105"/>
      <c r="U31" s="106"/>
    </row>
    <row r="32" spans="1:21" x14ac:dyDescent="0.25">
      <c r="A32" s="168"/>
      <c r="B32" s="27"/>
      <c r="C32" s="104"/>
      <c r="D32" s="104"/>
      <c r="E32" s="104"/>
      <c r="F32" s="28"/>
      <c r="G32" s="28"/>
      <c r="H32" s="83"/>
      <c r="I32" s="104"/>
      <c r="N32" s="29"/>
      <c r="O32" s="29"/>
      <c r="P32" s="30"/>
      <c r="Q32" s="30"/>
      <c r="R32" s="31"/>
      <c r="S32" s="31"/>
      <c r="T32" s="105"/>
      <c r="U32" s="106"/>
    </row>
    <row r="33" spans="1:21" hidden="1" x14ac:dyDescent="0.25">
      <c r="A33" s="168"/>
      <c r="B33" s="27"/>
      <c r="C33" s="104"/>
      <c r="D33" s="104"/>
      <c r="E33" s="104"/>
      <c r="F33" s="541" t="s">
        <v>282</v>
      </c>
      <c r="G33" s="541"/>
      <c r="H33" s="541"/>
      <c r="I33" s="104"/>
      <c r="N33" s="29"/>
      <c r="O33" s="29"/>
      <c r="P33" s="30"/>
      <c r="Q33" s="30"/>
      <c r="R33" s="31"/>
      <c r="S33" s="31"/>
      <c r="T33" s="105"/>
      <c r="U33" s="106"/>
    </row>
    <row r="34" spans="1:21" hidden="1" x14ac:dyDescent="0.25">
      <c r="A34" s="3"/>
      <c r="B34" s="72"/>
      <c r="C34" s="72"/>
      <c r="D34" s="72"/>
      <c r="E34" s="72"/>
      <c r="F34" s="541"/>
      <c r="G34" s="541"/>
      <c r="H34" s="541"/>
      <c r="I34" s="25" t="s">
        <v>74</v>
      </c>
      <c r="N34" s="485" t="s">
        <v>35</v>
      </c>
      <c r="O34" s="485"/>
      <c r="P34" s="485"/>
      <c r="Q34" s="485"/>
      <c r="R34" s="485"/>
      <c r="S34" s="485"/>
      <c r="T34" s="485"/>
      <c r="U34" s="26" t="s">
        <v>74</v>
      </c>
    </row>
    <row r="35" spans="1:21" hidden="1" x14ac:dyDescent="0.25">
      <c r="A35" s="27"/>
      <c r="B35" s="27"/>
      <c r="C35" s="91" t="s">
        <v>124</v>
      </c>
      <c r="D35" s="91" t="s">
        <v>125</v>
      </c>
      <c r="E35" s="92" t="s">
        <v>8</v>
      </c>
      <c r="F35" s="541"/>
      <c r="G35" s="541"/>
      <c r="H35" s="541"/>
      <c r="I35" s="25" t="s">
        <v>36</v>
      </c>
      <c r="N35" s="29"/>
      <c r="O35" s="29"/>
      <c r="P35" s="30"/>
      <c r="Q35" s="30"/>
      <c r="R35" s="31"/>
      <c r="S35" s="31"/>
      <c r="T35" s="105"/>
      <c r="U35" s="26" t="s">
        <v>36</v>
      </c>
    </row>
    <row r="36" spans="1:21" hidden="1" x14ac:dyDescent="0.25">
      <c r="A36" s="447" t="s">
        <v>63</v>
      </c>
      <c r="B36" s="447"/>
      <c r="C36" s="93" t="s">
        <v>2</v>
      </c>
      <c r="D36" s="93" t="s">
        <v>2</v>
      </c>
      <c r="E36" s="93" t="s">
        <v>2</v>
      </c>
      <c r="F36" s="542"/>
      <c r="G36" s="542"/>
      <c r="H36" s="542"/>
      <c r="I36" s="32" t="s">
        <v>75</v>
      </c>
      <c r="N36" s="510" t="s">
        <v>63</v>
      </c>
      <c r="O36" s="510"/>
      <c r="P36" s="511" t="s">
        <v>24</v>
      </c>
      <c r="Q36" s="511"/>
      <c r="R36" s="511"/>
      <c r="S36" s="511"/>
      <c r="T36" s="511"/>
      <c r="U36" s="20" t="s">
        <v>75</v>
      </c>
    </row>
    <row r="37" spans="1:21" hidden="1" x14ac:dyDescent="0.25">
      <c r="A37" s="451" t="s">
        <v>56</v>
      </c>
      <c r="B37" s="451"/>
      <c r="C37" s="169">
        <v>0</v>
      </c>
      <c r="D37" s="169">
        <v>0</v>
      </c>
      <c r="E37" s="164">
        <f t="shared" ref="E37:E42" si="6">IF(D$43=0,C37*2,C37+D37)</f>
        <v>0</v>
      </c>
      <c r="F37" s="170"/>
      <c r="G37" s="170"/>
      <c r="H37" s="170"/>
      <c r="I37" s="119">
        <f t="shared" ref="I37:I42" si="7">ROUND(ROUND(E37*$C$8,4)*($H$8),2)</f>
        <v>0</v>
      </c>
      <c r="N37" s="512" t="s">
        <v>56</v>
      </c>
      <c r="O37" s="512"/>
      <c r="P37" s="483">
        <f t="shared" ref="P37:P42" si="8">IF($H$120=1,E37,0)</f>
        <v>0</v>
      </c>
      <c r="Q37" s="483"/>
      <c r="R37" s="483"/>
      <c r="S37" s="483"/>
      <c r="T37" s="483"/>
      <c r="U37" s="101">
        <f t="shared" ref="U37:U42" si="9">ROUND(ROUND(P37*$C$8,4)*($H$8),0)</f>
        <v>0</v>
      </c>
    </row>
    <row r="38" spans="1:21" hidden="1" x14ac:dyDescent="0.25">
      <c r="A38" s="453" t="s">
        <v>57</v>
      </c>
      <c r="B38" s="453"/>
      <c r="C38" s="172">
        <v>0</v>
      </c>
      <c r="D38" s="172">
        <v>0</v>
      </c>
      <c r="E38" s="166">
        <f t="shared" si="6"/>
        <v>0</v>
      </c>
      <c r="F38" s="173"/>
      <c r="G38" s="173"/>
      <c r="H38" s="173"/>
      <c r="I38" s="104">
        <f t="shared" si="7"/>
        <v>0</v>
      </c>
      <c r="N38" s="479" t="s">
        <v>57</v>
      </c>
      <c r="O38" s="479"/>
      <c r="P38" s="483">
        <f t="shared" si="8"/>
        <v>0</v>
      </c>
      <c r="Q38" s="483"/>
      <c r="R38" s="483"/>
      <c r="S38" s="483"/>
      <c r="T38" s="483"/>
      <c r="U38" s="101">
        <f t="shared" si="9"/>
        <v>0</v>
      </c>
    </row>
    <row r="39" spans="1:21" hidden="1" x14ac:dyDescent="0.25">
      <c r="A39" s="458" t="s">
        <v>58</v>
      </c>
      <c r="B39" s="458"/>
      <c r="C39" s="172">
        <v>0</v>
      </c>
      <c r="D39" s="172">
        <v>0</v>
      </c>
      <c r="E39" s="166">
        <f t="shared" si="6"/>
        <v>0</v>
      </c>
      <c r="F39" s="173"/>
      <c r="G39" s="173"/>
      <c r="H39" s="173"/>
      <c r="I39" s="104">
        <f t="shared" si="7"/>
        <v>0</v>
      </c>
      <c r="N39" s="509" t="s">
        <v>58</v>
      </c>
      <c r="O39" s="509"/>
      <c r="P39" s="483">
        <f t="shared" si="8"/>
        <v>0</v>
      </c>
      <c r="Q39" s="483"/>
      <c r="R39" s="483"/>
      <c r="S39" s="483"/>
      <c r="T39" s="483"/>
      <c r="U39" s="101">
        <f t="shared" si="9"/>
        <v>0</v>
      </c>
    </row>
    <row r="40" spans="1:21" hidden="1" x14ac:dyDescent="0.25">
      <c r="A40" s="453" t="s">
        <v>59</v>
      </c>
      <c r="B40" s="453"/>
      <c r="C40" s="172">
        <v>0</v>
      </c>
      <c r="D40" s="172">
        <v>0</v>
      </c>
      <c r="E40" s="166">
        <f t="shared" si="6"/>
        <v>0</v>
      </c>
      <c r="F40" s="173"/>
      <c r="G40" s="173"/>
      <c r="H40" s="173"/>
      <c r="I40" s="104">
        <f t="shared" si="7"/>
        <v>0</v>
      </c>
      <c r="N40" s="479" t="s">
        <v>59</v>
      </c>
      <c r="O40" s="479"/>
      <c r="P40" s="483">
        <f t="shared" si="8"/>
        <v>0</v>
      </c>
      <c r="Q40" s="483"/>
      <c r="R40" s="483"/>
      <c r="S40" s="483"/>
      <c r="T40" s="483"/>
      <c r="U40" s="101">
        <f t="shared" si="9"/>
        <v>0</v>
      </c>
    </row>
    <row r="41" spans="1:21" hidden="1" x14ac:dyDescent="0.25">
      <c r="A41" s="453" t="s">
        <v>60</v>
      </c>
      <c r="B41" s="453"/>
      <c r="C41" s="172">
        <v>0</v>
      </c>
      <c r="D41" s="172">
        <v>0</v>
      </c>
      <c r="E41" s="166">
        <f t="shared" si="6"/>
        <v>0</v>
      </c>
      <c r="F41" s="173"/>
      <c r="G41" s="173"/>
      <c r="H41" s="173"/>
      <c r="I41" s="104">
        <f t="shared" si="7"/>
        <v>0</v>
      </c>
      <c r="N41" s="479" t="s">
        <v>60</v>
      </c>
      <c r="O41" s="479"/>
      <c r="P41" s="483">
        <f t="shared" si="8"/>
        <v>0</v>
      </c>
      <c r="Q41" s="483"/>
      <c r="R41" s="483"/>
      <c r="S41" s="483"/>
      <c r="T41" s="483"/>
      <c r="U41" s="101">
        <f t="shared" si="9"/>
        <v>0</v>
      </c>
    </row>
    <row r="42" spans="1:21" hidden="1" x14ac:dyDescent="0.25">
      <c r="A42" s="453" t="s">
        <v>52</v>
      </c>
      <c r="B42" s="453"/>
      <c r="C42" s="171">
        <v>0</v>
      </c>
      <c r="D42" s="171">
        <v>0</v>
      </c>
      <c r="E42" s="158">
        <f t="shared" si="6"/>
        <v>0</v>
      </c>
      <c r="F42" s="173"/>
      <c r="G42" s="173"/>
      <c r="H42" s="173"/>
      <c r="I42" s="97">
        <f t="shared" si="7"/>
        <v>0</v>
      </c>
      <c r="N42" s="482" t="s">
        <v>52</v>
      </c>
      <c r="O42" s="482"/>
      <c r="P42" s="483">
        <f t="shared" si="8"/>
        <v>0</v>
      </c>
      <c r="Q42" s="483"/>
      <c r="R42" s="483"/>
      <c r="S42" s="483"/>
      <c r="T42" s="483"/>
      <c r="U42" s="101">
        <f t="shared" si="9"/>
        <v>0</v>
      </c>
    </row>
    <row r="43" spans="1:21" hidden="1" x14ac:dyDescent="0.25">
      <c r="A43" s="3"/>
      <c r="B43" s="55" t="s">
        <v>126</v>
      </c>
      <c r="C43" s="100">
        <f>SUM(C37:C42)</f>
        <v>0</v>
      </c>
      <c r="D43" s="100">
        <f>SUM(D37:D42)</f>
        <v>0</v>
      </c>
      <c r="E43" s="100">
        <f>SUM(E37:E42)</f>
        <v>0</v>
      </c>
      <c r="F43" s="33"/>
      <c r="G43" s="109"/>
      <c r="H43" s="110" t="s">
        <v>128</v>
      </c>
      <c r="I43" s="100">
        <f>SUM(I37:I42)</f>
        <v>0</v>
      </c>
      <c r="N43" s="480" t="s">
        <v>54</v>
      </c>
      <c r="O43" s="480"/>
      <c r="P43" s="480"/>
      <c r="Q43" s="480"/>
      <c r="R43" s="34">
        <f>SUM(P37:R42)</f>
        <v>0</v>
      </c>
      <c r="S43" s="508" t="s">
        <v>64</v>
      </c>
      <c r="T43" s="508"/>
      <c r="U43" s="106">
        <f>SUM(U37:U42)</f>
        <v>0</v>
      </c>
    </row>
    <row r="44" spans="1:21" hidden="1" x14ac:dyDescent="0.25">
      <c r="A44" s="3"/>
      <c r="B44" s="55"/>
      <c r="C44" s="104"/>
      <c r="D44" s="104"/>
      <c r="E44" s="119"/>
      <c r="F44" s="33"/>
      <c r="G44" s="109"/>
      <c r="H44" s="110"/>
      <c r="I44" s="104"/>
      <c r="N44" s="29"/>
      <c r="O44" s="29"/>
      <c r="P44" s="29"/>
      <c r="Q44" s="29"/>
      <c r="R44" s="34"/>
      <c r="S44" s="31"/>
      <c r="T44" s="31"/>
      <c r="U44" s="106"/>
    </row>
    <row r="45" spans="1:21" ht="16.5" hidden="1" thickBot="1" x14ac:dyDescent="0.3">
      <c r="A45" s="3"/>
      <c r="B45" s="55" t="s">
        <v>127</v>
      </c>
      <c r="E45" s="174">
        <f>H29+E43</f>
        <v>456.54249999999996</v>
      </c>
      <c r="F45" s="35"/>
      <c r="G45" s="109"/>
      <c r="H45" s="110" t="s">
        <v>129</v>
      </c>
      <c r="I45" s="97">
        <f>SUM(I43,I29)</f>
        <v>2186075.2800000003</v>
      </c>
      <c r="N45" s="480" t="s">
        <v>55</v>
      </c>
      <c r="O45" s="480"/>
      <c r="P45" s="480"/>
      <c r="Q45" s="480"/>
      <c r="R45" s="36">
        <f>R43+T29</f>
        <v>0</v>
      </c>
      <c r="S45" s="508" t="s">
        <v>53</v>
      </c>
      <c r="T45" s="508"/>
      <c r="U45" s="111">
        <f>SUM(U43,U29)</f>
        <v>0</v>
      </c>
    </row>
    <row r="46" spans="1:21" hidden="1" x14ac:dyDescent="0.25">
      <c r="A46" s="27"/>
      <c r="B46" s="27"/>
      <c r="C46" s="27"/>
      <c r="D46" s="27"/>
      <c r="E46" s="27"/>
      <c r="F46" s="35"/>
      <c r="G46" s="28"/>
      <c r="H46" s="28"/>
      <c r="I46" s="104"/>
      <c r="N46" s="29"/>
      <c r="O46" s="29"/>
      <c r="P46" s="29"/>
      <c r="Q46" s="29"/>
      <c r="R46" s="36"/>
      <c r="S46" s="31"/>
      <c r="T46" s="31"/>
      <c r="U46" s="106"/>
    </row>
    <row r="47" spans="1:21" x14ac:dyDescent="0.25">
      <c r="A47" s="27"/>
      <c r="B47" s="55" t="s">
        <v>370</v>
      </c>
      <c r="C47" s="372" t="s">
        <v>370</v>
      </c>
      <c r="D47" s="372" t="s">
        <v>370</v>
      </c>
      <c r="E47" s="27"/>
      <c r="F47" s="35"/>
      <c r="G47" s="28"/>
      <c r="H47" s="28"/>
      <c r="I47" s="104"/>
      <c r="N47" s="29"/>
      <c r="O47" s="29"/>
      <c r="P47" s="29"/>
      <c r="Q47" s="29"/>
      <c r="R47" s="36"/>
      <c r="S47" s="31"/>
      <c r="T47" s="31"/>
      <c r="U47" s="106"/>
    </row>
    <row r="48" spans="1:21" x14ac:dyDescent="0.25">
      <c r="A48" s="27"/>
      <c r="B48" s="27"/>
      <c r="C48" s="91" t="s">
        <v>463</v>
      </c>
      <c r="D48" s="371" t="s">
        <v>464</v>
      </c>
      <c r="E48" s="92" t="s">
        <v>8</v>
      </c>
      <c r="F48" s="49" t="s">
        <v>130</v>
      </c>
      <c r="G48" s="112" t="s">
        <v>132</v>
      </c>
      <c r="H48" s="113" t="s">
        <v>133</v>
      </c>
      <c r="I48" s="104"/>
      <c r="N48" s="29"/>
      <c r="O48" s="29"/>
      <c r="P48" s="29"/>
      <c r="Q48" s="29"/>
      <c r="R48" s="36"/>
      <c r="S48" s="31"/>
      <c r="T48" s="31"/>
      <c r="U48" s="106"/>
    </row>
    <row r="49" spans="1:21" x14ac:dyDescent="0.25">
      <c r="A49" s="37" t="s">
        <v>87</v>
      </c>
      <c r="B49" s="37"/>
      <c r="C49" s="362" t="s">
        <v>2</v>
      </c>
      <c r="D49" s="362" t="s">
        <v>2</v>
      </c>
      <c r="E49" s="362" t="s">
        <v>2</v>
      </c>
      <c r="F49" s="95" t="s">
        <v>131</v>
      </c>
      <c r="G49" s="62" t="s">
        <v>131</v>
      </c>
      <c r="H49" s="114" t="s">
        <v>134</v>
      </c>
      <c r="I49" s="37"/>
      <c r="N49" s="482" t="s">
        <v>87</v>
      </c>
      <c r="O49" s="482"/>
      <c r="P49" s="503" t="s">
        <v>2</v>
      </c>
      <c r="Q49" s="503"/>
      <c r="R49" s="38" t="s">
        <v>25</v>
      </c>
      <c r="S49" s="63" t="s">
        <v>26</v>
      </c>
      <c r="T49" s="115" t="s">
        <v>27</v>
      </c>
      <c r="U49" s="38"/>
    </row>
    <row r="50" spans="1:21" x14ac:dyDescent="0.25">
      <c r="A50" s="459" t="s">
        <v>98</v>
      </c>
      <c r="B50" s="459"/>
      <c r="C50" s="165">
        <v>6.5</v>
      </c>
      <c r="D50" s="165">
        <v>6.57</v>
      </c>
      <c r="E50" s="125">
        <f>IF(D$59=0,C50*2,C50+D50)</f>
        <v>13.07</v>
      </c>
      <c r="F50" s="39" t="s">
        <v>21</v>
      </c>
      <c r="G50" s="39">
        <v>251</v>
      </c>
      <c r="H50" s="321">
        <f>'0664'!H50</f>
        <v>1047</v>
      </c>
      <c r="I50" s="104">
        <f>ROUND(E50*H50,2)</f>
        <v>13684.29</v>
      </c>
      <c r="N50" s="504" t="s">
        <v>28</v>
      </c>
      <c r="O50" s="504"/>
      <c r="P50" s="505"/>
      <c r="Q50" s="505"/>
      <c r="R50" s="40" t="s">
        <v>21</v>
      </c>
      <c r="S50" s="40">
        <v>251</v>
      </c>
      <c r="T50" s="117">
        <f>H50</f>
        <v>1047</v>
      </c>
      <c r="U50" s="118">
        <f>ROUND(P50*T50,0)</f>
        <v>0</v>
      </c>
    </row>
    <row r="51" spans="1:21" x14ac:dyDescent="0.25">
      <c r="A51" s="460"/>
      <c r="B51" s="460"/>
      <c r="C51" s="165">
        <v>0.5</v>
      </c>
      <c r="D51" s="165">
        <v>0.51</v>
      </c>
      <c r="E51" s="125">
        <f t="shared" ref="E51:E58" si="10">IF(D$59=0,C51*2,C51+D51)</f>
        <v>1.01</v>
      </c>
      <c r="F51" s="39" t="s">
        <v>21</v>
      </c>
      <c r="G51" s="39">
        <v>252</v>
      </c>
      <c r="H51" s="321">
        <f>'0664'!H51</f>
        <v>3380</v>
      </c>
      <c r="I51" s="104">
        <f t="shared" ref="I51:I58" si="11">ROUND(E51*H51,2)</f>
        <v>3413.8</v>
      </c>
      <c r="N51" s="504"/>
      <c r="O51" s="504"/>
      <c r="P51" s="506"/>
      <c r="Q51" s="506"/>
      <c r="R51" s="40" t="s">
        <v>21</v>
      </c>
      <c r="S51" s="40">
        <v>252</v>
      </c>
      <c r="T51" s="117">
        <f t="shared" ref="T51:T58" si="12">H51</f>
        <v>3380</v>
      </c>
      <c r="U51" s="118">
        <f t="shared" ref="U51:U58" si="13">ROUND(P51*T51,0)</f>
        <v>0</v>
      </c>
    </row>
    <row r="52" spans="1:21" x14ac:dyDescent="0.25">
      <c r="A52" s="460"/>
      <c r="B52" s="460"/>
      <c r="C52" s="165">
        <v>0</v>
      </c>
      <c r="D52" s="165">
        <v>0</v>
      </c>
      <c r="E52" s="125">
        <f t="shared" si="10"/>
        <v>0</v>
      </c>
      <c r="F52" s="39" t="s">
        <v>21</v>
      </c>
      <c r="G52" s="39">
        <v>253</v>
      </c>
      <c r="H52" s="321">
        <f>'0664'!H52</f>
        <v>6896</v>
      </c>
      <c r="I52" s="104">
        <f t="shared" si="11"/>
        <v>0</v>
      </c>
      <c r="N52" s="504"/>
      <c r="O52" s="504"/>
      <c r="P52" s="506"/>
      <c r="Q52" s="506"/>
      <c r="R52" s="40" t="s">
        <v>21</v>
      </c>
      <c r="S52" s="40">
        <v>253</v>
      </c>
      <c r="T52" s="117">
        <f t="shared" si="12"/>
        <v>6896</v>
      </c>
      <c r="U52" s="118">
        <f t="shared" si="13"/>
        <v>0</v>
      </c>
    </row>
    <row r="53" spans="1:21" x14ac:dyDescent="0.25">
      <c r="A53" s="460"/>
      <c r="B53" s="460"/>
      <c r="C53" s="165">
        <v>9.5</v>
      </c>
      <c r="D53" s="165">
        <v>8.64</v>
      </c>
      <c r="E53" s="125">
        <f t="shared" si="10"/>
        <v>18.14</v>
      </c>
      <c r="F53" s="41" t="s">
        <v>14</v>
      </c>
      <c r="G53" s="39">
        <v>251</v>
      </c>
      <c r="H53" s="321">
        <f>'0664'!H53</f>
        <v>1173</v>
      </c>
      <c r="I53" s="104">
        <f t="shared" si="11"/>
        <v>21278.22</v>
      </c>
      <c r="N53" s="504"/>
      <c r="O53" s="504"/>
      <c r="P53" s="506"/>
      <c r="Q53" s="506"/>
      <c r="R53" s="42" t="s">
        <v>14</v>
      </c>
      <c r="S53" s="40">
        <v>251</v>
      </c>
      <c r="T53" s="117">
        <f t="shared" si="12"/>
        <v>1173</v>
      </c>
      <c r="U53" s="118">
        <f t="shared" si="13"/>
        <v>0</v>
      </c>
    </row>
    <row r="54" spans="1:21" x14ac:dyDescent="0.25">
      <c r="A54" s="460"/>
      <c r="B54" s="460"/>
      <c r="C54" s="165">
        <v>0.5</v>
      </c>
      <c r="D54" s="165">
        <v>0.45</v>
      </c>
      <c r="E54" s="125">
        <f t="shared" si="10"/>
        <v>0.95</v>
      </c>
      <c r="F54" s="41" t="s">
        <v>14</v>
      </c>
      <c r="G54" s="39">
        <v>252</v>
      </c>
      <c r="H54" s="321">
        <f>'0664'!H54</f>
        <v>3506</v>
      </c>
      <c r="I54" s="104">
        <f t="shared" si="11"/>
        <v>3330.7</v>
      </c>
      <c r="N54" s="504"/>
      <c r="O54" s="504"/>
      <c r="P54" s="506"/>
      <c r="Q54" s="506"/>
      <c r="R54" s="42" t="s">
        <v>14</v>
      </c>
      <c r="S54" s="40">
        <v>252</v>
      </c>
      <c r="T54" s="117">
        <f t="shared" si="12"/>
        <v>3506</v>
      </c>
      <c r="U54" s="118">
        <f t="shared" si="13"/>
        <v>0</v>
      </c>
    </row>
    <row r="55" spans="1:21" x14ac:dyDescent="0.25">
      <c r="A55" s="460"/>
      <c r="B55" s="460"/>
      <c r="C55" s="165">
        <v>0</v>
      </c>
      <c r="D55" s="165">
        <v>0</v>
      </c>
      <c r="E55" s="125">
        <f t="shared" si="10"/>
        <v>0</v>
      </c>
      <c r="F55" s="41" t="s">
        <v>14</v>
      </c>
      <c r="G55" s="39">
        <v>253</v>
      </c>
      <c r="H55" s="321">
        <f>'0664'!H55</f>
        <v>7023</v>
      </c>
      <c r="I55" s="104">
        <f t="shared" si="11"/>
        <v>0</v>
      </c>
      <c r="N55" s="504"/>
      <c r="O55" s="504"/>
      <c r="P55" s="506"/>
      <c r="Q55" s="506"/>
      <c r="R55" s="42" t="s">
        <v>14</v>
      </c>
      <c r="S55" s="40">
        <v>253</v>
      </c>
      <c r="T55" s="117">
        <f t="shared" si="12"/>
        <v>7023</v>
      </c>
      <c r="U55" s="118">
        <f t="shared" si="13"/>
        <v>0</v>
      </c>
    </row>
    <row r="56" spans="1:21" x14ac:dyDescent="0.25">
      <c r="A56" s="460"/>
      <c r="B56" s="460"/>
      <c r="C56" s="165">
        <v>0</v>
      </c>
      <c r="D56" s="165">
        <v>0</v>
      </c>
      <c r="E56" s="125">
        <f t="shared" si="10"/>
        <v>0</v>
      </c>
      <c r="F56" s="41" t="s">
        <v>15</v>
      </c>
      <c r="G56" s="39">
        <v>251</v>
      </c>
      <c r="H56" s="321">
        <f>'0664'!H56</f>
        <v>835</v>
      </c>
      <c r="I56" s="104">
        <f t="shared" si="11"/>
        <v>0</v>
      </c>
      <c r="N56" s="504"/>
      <c r="O56" s="504"/>
      <c r="P56" s="506"/>
      <c r="Q56" s="506"/>
      <c r="R56" s="42" t="s">
        <v>15</v>
      </c>
      <c r="S56" s="40">
        <v>251</v>
      </c>
      <c r="T56" s="117">
        <f t="shared" si="12"/>
        <v>835</v>
      </c>
      <c r="U56" s="118">
        <f t="shared" si="13"/>
        <v>0</v>
      </c>
    </row>
    <row r="57" spans="1:21" x14ac:dyDescent="0.25">
      <c r="A57" s="460"/>
      <c r="B57" s="460"/>
      <c r="C57" s="165">
        <v>0</v>
      </c>
      <c r="D57" s="165">
        <v>0</v>
      </c>
      <c r="E57" s="125">
        <f t="shared" si="10"/>
        <v>0</v>
      </c>
      <c r="F57" s="41" t="s">
        <v>15</v>
      </c>
      <c r="G57" s="39">
        <v>252</v>
      </c>
      <c r="H57" s="321">
        <f>'0664'!H57</f>
        <v>3168</v>
      </c>
      <c r="I57" s="104">
        <f t="shared" si="11"/>
        <v>0</v>
      </c>
      <c r="N57" s="504"/>
      <c r="O57" s="504"/>
      <c r="P57" s="506"/>
      <c r="Q57" s="506"/>
      <c r="R57" s="42" t="s">
        <v>15</v>
      </c>
      <c r="S57" s="40">
        <v>252</v>
      </c>
      <c r="T57" s="117">
        <f t="shared" si="12"/>
        <v>3168</v>
      </c>
      <c r="U57" s="118">
        <f t="shared" si="13"/>
        <v>0</v>
      </c>
    </row>
    <row r="58" spans="1:21" ht="16.5" thickBot="1" x14ac:dyDescent="0.3">
      <c r="A58" s="460"/>
      <c r="B58" s="460"/>
      <c r="C58" s="165">
        <v>0</v>
      </c>
      <c r="D58" s="165">
        <v>0</v>
      </c>
      <c r="E58" s="125">
        <f t="shared" si="10"/>
        <v>0</v>
      </c>
      <c r="F58" s="41" t="s">
        <v>15</v>
      </c>
      <c r="G58" s="39">
        <v>253</v>
      </c>
      <c r="H58" s="321">
        <f>'0664'!H58</f>
        <v>6685</v>
      </c>
      <c r="I58" s="104">
        <f t="shared" si="11"/>
        <v>0</v>
      </c>
      <c r="N58" s="504"/>
      <c r="O58" s="504"/>
      <c r="P58" s="507"/>
      <c r="Q58" s="507"/>
      <c r="R58" s="42" t="s">
        <v>15</v>
      </c>
      <c r="S58" s="40">
        <v>253</v>
      </c>
      <c r="T58" s="117">
        <f t="shared" si="12"/>
        <v>6685</v>
      </c>
      <c r="U58" s="120">
        <f t="shared" si="13"/>
        <v>0</v>
      </c>
    </row>
    <row r="59" spans="1:21" ht="16.5" thickBot="1" x14ac:dyDescent="0.3">
      <c r="A59" s="461" t="s">
        <v>16</v>
      </c>
      <c r="B59" s="461"/>
      <c r="C59" s="100">
        <f>SUM(C50:C58)</f>
        <v>17</v>
      </c>
      <c r="D59" s="100">
        <f>SUM(D50:D58)</f>
        <v>16.170000000000002</v>
      </c>
      <c r="E59" s="100">
        <f>SUM(E50:E58)</f>
        <v>33.17</v>
      </c>
      <c r="F59" s="461" t="s">
        <v>77</v>
      </c>
      <c r="G59" s="461"/>
      <c r="H59" s="461"/>
      <c r="I59" s="100">
        <f>SUM(I50:I58)</f>
        <v>41707.009999999995</v>
      </c>
      <c r="N59" s="480" t="s">
        <v>16</v>
      </c>
      <c r="O59" s="480"/>
      <c r="P59" s="502">
        <f>SUM(P50:P58)</f>
        <v>0</v>
      </c>
      <c r="Q59" s="502"/>
      <c r="R59" s="480" t="s">
        <v>77</v>
      </c>
      <c r="S59" s="480"/>
      <c r="T59" s="480"/>
      <c r="U59" s="111">
        <f>SUM(U50:U58)</f>
        <v>0</v>
      </c>
    </row>
    <row r="60" spans="1:21" x14ac:dyDescent="0.25">
      <c r="A60" s="462"/>
      <c r="B60" s="462"/>
      <c r="C60" s="462"/>
      <c r="D60" s="462"/>
      <c r="E60" s="462"/>
      <c r="F60" s="462"/>
      <c r="G60" s="462"/>
      <c r="H60" s="462"/>
      <c r="I60" s="462"/>
      <c r="N60" s="484"/>
      <c r="O60" s="484"/>
      <c r="P60" s="484"/>
      <c r="Q60" s="484"/>
      <c r="R60" s="484"/>
      <c r="S60" s="484"/>
      <c r="T60" s="484"/>
      <c r="U60" s="484"/>
    </row>
    <row r="61" spans="1:21" x14ac:dyDescent="0.25">
      <c r="A61" s="463" t="s">
        <v>136</v>
      </c>
      <c r="B61" s="453"/>
      <c r="C61" s="453"/>
      <c r="D61" s="453"/>
      <c r="E61" s="453"/>
      <c r="F61" s="453"/>
      <c r="G61" s="453"/>
      <c r="H61" s="453"/>
      <c r="I61" s="453"/>
      <c r="N61" s="479" t="s">
        <v>88</v>
      </c>
      <c r="O61" s="479"/>
      <c r="P61" s="479"/>
      <c r="Q61" s="479"/>
      <c r="R61" s="479"/>
      <c r="S61" s="479"/>
      <c r="T61" s="479"/>
      <c r="U61" s="479"/>
    </row>
    <row r="62" spans="1:21" x14ac:dyDescent="0.25">
      <c r="A62" s="463" t="s">
        <v>138</v>
      </c>
      <c r="B62" s="453"/>
      <c r="C62" s="121">
        <f>E29</f>
        <v>413.16999999999996</v>
      </c>
      <c r="D62" s="464" t="s">
        <v>135</v>
      </c>
      <c r="E62" s="464"/>
      <c r="F62" s="464"/>
      <c r="G62" s="464"/>
      <c r="H62" s="335">
        <f>'0664'!H62</f>
        <v>193340.76</v>
      </c>
      <c r="I62" s="122"/>
      <c r="N62" s="478" t="s">
        <v>312</v>
      </c>
      <c r="O62" s="479"/>
      <c r="P62" s="43">
        <f>P29</f>
        <v>0</v>
      </c>
      <c r="Q62" s="498" t="s">
        <v>78</v>
      </c>
      <c r="R62" s="498"/>
      <c r="S62" s="498"/>
      <c r="T62" s="497">
        <f>H62</f>
        <v>193340.76</v>
      </c>
      <c r="U62" s="497"/>
    </row>
    <row r="63" spans="1:21" x14ac:dyDescent="0.25">
      <c r="B63" s="72"/>
      <c r="G63" s="44" t="s">
        <v>13</v>
      </c>
      <c r="H63" s="123">
        <f>ROUND(C62/H62,6)</f>
        <v>2.137E-3</v>
      </c>
      <c r="I63" s="124"/>
      <c r="N63" s="479" t="s">
        <v>19</v>
      </c>
      <c r="O63" s="479"/>
      <c r="P63" s="479"/>
      <c r="Q63" s="479"/>
      <c r="R63" s="479"/>
      <c r="S63" s="479"/>
      <c r="T63" s="501">
        <f>ROUND(P62/T62,6)</f>
        <v>0</v>
      </c>
      <c r="U63" s="501"/>
    </row>
    <row r="64" spans="1:21" x14ac:dyDescent="0.25">
      <c r="A64" s="463" t="s">
        <v>137</v>
      </c>
      <c r="B64" s="453"/>
      <c r="C64" s="453"/>
      <c r="D64" s="453"/>
      <c r="E64" s="453"/>
      <c r="F64" s="453"/>
      <c r="G64" s="453"/>
      <c r="H64" s="453"/>
      <c r="I64" s="453"/>
      <c r="N64" s="479" t="s">
        <v>89</v>
      </c>
      <c r="O64" s="479"/>
      <c r="P64" s="479"/>
      <c r="Q64" s="479"/>
      <c r="R64" s="479"/>
      <c r="S64" s="479"/>
      <c r="T64" s="479"/>
      <c r="U64" s="479"/>
    </row>
    <row r="65" spans="1:21" x14ac:dyDescent="0.25">
      <c r="A65" s="463" t="s">
        <v>139</v>
      </c>
      <c r="B65" s="453"/>
      <c r="C65" s="121">
        <f>E45</f>
        <v>456.54249999999996</v>
      </c>
      <c r="D65" s="464" t="s">
        <v>140</v>
      </c>
      <c r="E65" s="464"/>
      <c r="F65" s="464"/>
      <c r="G65" s="464"/>
      <c r="H65" s="336">
        <f>'0664'!H65</f>
        <v>216845.88</v>
      </c>
      <c r="I65" s="125"/>
      <c r="N65" s="479" t="s">
        <v>80</v>
      </c>
      <c r="O65" s="479"/>
      <c r="P65" s="43">
        <f>R45</f>
        <v>0</v>
      </c>
      <c r="Q65" s="498" t="s">
        <v>79</v>
      </c>
      <c r="R65" s="498"/>
      <c r="S65" s="498"/>
      <c r="T65" s="497">
        <f>H65</f>
        <v>216845.88</v>
      </c>
      <c r="U65" s="497"/>
    </row>
    <row r="66" spans="1:21" s="37" customFormat="1" x14ac:dyDescent="0.25">
      <c r="A66" s="126"/>
      <c r="G66" s="45" t="s">
        <v>13</v>
      </c>
      <c r="H66" s="127">
        <f>ROUND(C65/H65,6)</f>
        <v>2.1050000000000001E-3</v>
      </c>
      <c r="I66" s="127"/>
      <c r="N66" s="482" t="s">
        <v>20</v>
      </c>
      <c r="O66" s="482"/>
      <c r="P66" s="482"/>
      <c r="Q66" s="482"/>
      <c r="R66" s="482"/>
      <c r="S66" s="482"/>
      <c r="T66" s="500">
        <f>ROUND(P65/T65,6)</f>
        <v>0</v>
      </c>
      <c r="U66" s="500"/>
    </row>
    <row r="67" spans="1:21" x14ac:dyDescent="0.25">
      <c r="G67" s="44"/>
      <c r="H67" s="123"/>
      <c r="I67" s="123"/>
      <c r="N67" s="48"/>
      <c r="O67" s="48"/>
      <c r="P67" s="48"/>
      <c r="Q67" s="48"/>
      <c r="R67" s="128"/>
      <c r="S67" s="48"/>
      <c r="T67" s="129"/>
      <c r="U67" s="130"/>
    </row>
    <row r="68" spans="1:21" x14ac:dyDescent="0.25">
      <c r="A68" s="453" t="s">
        <v>85</v>
      </c>
      <c r="B68" s="453"/>
      <c r="C68" s="453"/>
      <c r="D68" s="72"/>
      <c r="E68" s="46" t="s">
        <v>3</v>
      </c>
      <c r="F68" s="337">
        <f>'0664'!F68</f>
        <v>42465042</v>
      </c>
      <c r="G68" s="39" t="s">
        <v>6</v>
      </c>
      <c r="H68" s="131">
        <f>H63</f>
        <v>2.137E-3</v>
      </c>
      <c r="I68" s="104">
        <f>ROUND(F68*H68,2)</f>
        <v>90747.79</v>
      </c>
      <c r="N68" s="479" t="s">
        <v>85</v>
      </c>
      <c r="O68" s="479"/>
      <c r="P68" s="479"/>
      <c r="Q68" s="47"/>
      <c r="R68" s="132">
        <f>F68</f>
        <v>42465042</v>
      </c>
      <c r="S68" s="40" t="s">
        <v>6</v>
      </c>
      <c r="T68" s="133">
        <f>T63</f>
        <v>0</v>
      </c>
      <c r="U68" s="99">
        <f>ROUND(R68*T68,0)</f>
        <v>0</v>
      </c>
    </row>
    <row r="69" spans="1:21" x14ac:dyDescent="0.25">
      <c r="A69" s="458" t="s">
        <v>96</v>
      </c>
      <c r="B69" s="453"/>
      <c r="C69" s="453"/>
      <c r="D69" s="72"/>
      <c r="E69" s="46"/>
      <c r="F69" s="175"/>
      <c r="G69" s="39"/>
      <c r="H69" s="131"/>
      <c r="I69" s="104"/>
      <c r="N69" s="479" t="s">
        <v>84</v>
      </c>
      <c r="O69" s="479"/>
      <c r="P69" s="479"/>
      <c r="Q69" s="54"/>
      <c r="R69" s="54"/>
      <c r="S69" s="54"/>
      <c r="T69" s="54"/>
      <c r="U69" s="54"/>
    </row>
    <row r="70" spans="1:21" x14ac:dyDescent="0.25">
      <c r="A70" s="465" t="s">
        <v>141</v>
      </c>
      <c r="B70" s="453"/>
      <c r="C70" s="453"/>
      <c r="D70" s="72"/>
      <c r="E70" s="46" t="s">
        <v>3</v>
      </c>
      <c r="F70" s="337">
        <f>'0664'!F70</f>
        <v>0</v>
      </c>
      <c r="G70" s="39" t="s">
        <v>6</v>
      </c>
      <c r="H70" s="131">
        <f>H63</f>
        <v>2.137E-3</v>
      </c>
      <c r="I70" s="104">
        <f>ROUND(F70*H70,2)</f>
        <v>0</v>
      </c>
      <c r="N70" s="48"/>
      <c r="O70" s="48"/>
      <c r="P70" s="48"/>
      <c r="Q70" s="47"/>
      <c r="R70" s="132">
        <f>F70</f>
        <v>0</v>
      </c>
      <c r="S70" s="40" t="s">
        <v>6</v>
      </c>
      <c r="T70" s="133">
        <f>T63</f>
        <v>0</v>
      </c>
      <c r="U70" s="99">
        <f>ROUND(R70*T70,0)</f>
        <v>0</v>
      </c>
    </row>
    <row r="71" spans="1:21" x14ac:dyDescent="0.25">
      <c r="A71" s="463" t="s">
        <v>433</v>
      </c>
      <c r="B71" s="453"/>
      <c r="C71" s="453"/>
      <c r="D71" s="72"/>
      <c r="E71" s="46" t="s">
        <v>3</v>
      </c>
      <c r="F71" s="337">
        <f>'0664'!F71</f>
        <v>13414654</v>
      </c>
      <c r="G71" s="39" t="s">
        <v>6</v>
      </c>
      <c r="H71" s="131">
        <f>H63</f>
        <v>2.137E-3</v>
      </c>
      <c r="I71" s="104">
        <f>ROUND(F71*H71,2)</f>
        <v>28667.119999999999</v>
      </c>
      <c r="N71" s="479" t="s">
        <v>83</v>
      </c>
      <c r="O71" s="479"/>
      <c r="P71" s="479"/>
      <c r="Q71" s="47"/>
      <c r="R71" s="132">
        <f>F71</f>
        <v>13414654</v>
      </c>
      <c r="S71" s="40" t="s">
        <v>6</v>
      </c>
      <c r="T71" s="133">
        <f>T63</f>
        <v>0</v>
      </c>
      <c r="U71" s="99">
        <f>ROUND(R71*T71,0)</f>
        <v>0</v>
      </c>
    </row>
    <row r="72" spans="1:21" x14ac:dyDescent="0.25">
      <c r="A72" s="463" t="s">
        <v>434</v>
      </c>
      <c r="B72" s="453"/>
      <c r="C72" s="453"/>
      <c r="D72" s="72"/>
      <c r="E72" s="46" t="s">
        <v>3</v>
      </c>
      <c r="F72" s="337">
        <f>'0664'!F72</f>
        <v>14708421</v>
      </c>
      <c r="G72" s="39" t="s">
        <v>6</v>
      </c>
      <c r="H72" s="131">
        <f>H63</f>
        <v>2.137E-3</v>
      </c>
      <c r="I72" s="104">
        <f>ROUND(F72*H72,2)</f>
        <v>31431.9</v>
      </c>
      <c r="N72" s="479" t="s">
        <v>82</v>
      </c>
      <c r="O72" s="479"/>
      <c r="P72" s="479"/>
      <c r="Q72" s="47"/>
      <c r="R72" s="134">
        <f>F72</f>
        <v>14708421</v>
      </c>
      <c r="S72" s="40" t="s">
        <v>6</v>
      </c>
      <c r="T72" s="133">
        <f>T63</f>
        <v>0</v>
      </c>
      <c r="U72" s="99">
        <f>ROUND(R72*T72,0)</f>
        <v>0</v>
      </c>
    </row>
    <row r="73" spans="1:21" x14ac:dyDescent="0.25">
      <c r="A73" s="263" t="s">
        <v>99</v>
      </c>
      <c r="D73" s="72"/>
      <c r="E73" s="41" t="s">
        <v>353</v>
      </c>
      <c r="F73" s="466"/>
      <c r="G73" s="466"/>
      <c r="H73" s="466"/>
      <c r="I73" s="104">
        <v>0</v>
      </c>
      <c r="N73" s="499" t="s">
        <v>118</v>
      </c>
      <c r="O73" s="499"/>
      <c r="P73" s="499"/>
      <c r="Q73" s="499"/>
      <c r="R73" s="499"/>
      <c r="S73" s="499"/>
      <c r="T73" s="499"/>
      <c r="U73" s="99">
        <f>IF($H$120=1,I73,0)</f>
        <v>0</v>
      </c>
    </row>
    <row r="74" spans="1:21" x14ac:dyDescent="0.25">
      <c r="A74" s="264" t="s">
        <v>142</v>
      </c>
      <c r="I74" s="104"/>
      <c r="N74" s="499" t="s">
        <v>43</v>
      </c>
      <c r="O74" s="499"/>
      <c r="P74" s="499"/>
      <c r="Q74" s="499"/>
      <c r="R74" s="499"/>
      <c r="S74" s="499"/>
      <c r="T74" s="499"/>
      <c r="U74" s="99">
        <f>IF($H$120=1,I74,0)</f>
        <v>0</v>
      </c>
    </row>
    <row r="75" spans="1:21" x14ac:dyDescent="0.25">
      <c r="A75" s="324" t="s">
        <v>101</v>
      </c>
      <c r="B75" s="72"/>
      <c r="C75" s="72"/>
      <c r="D75" s="72"/>
      <c r="E75" s="72"/>
      <c r="F75" s="72"/>
      <c r="G75" s="72"/>
      <c r="H75" s="72"/>
      <c r="I75" s="135"/>
      <c r="N75" s="382" t="s">
        <v>44</v>
      </c>
      <c r="O75" s="48"/>
      <c r="P75" s="48"/>
      <c r="Q75" s="48"/>
      <c r="R75" s="48"/>
      <c r="S75" s="48"/>
      <c r="T75" s="48"/>
      <c r="U75" s="106"/>
    </row>
    <row r="76" spans="1:21" x14ac:dyDescent="0.25">
      <c r="A76" s="463" t="s">
        <v>435</v>
      </c>
      <c r="B76" s="453"/>
      <c r="C76" s="453"/>
      <c r="D76" s="72"/>
      <c r="E76" s="46" t="s">
        <v>3</v>
      </c>
      <c r="F76" s="337">
        <f>'0664'!F76</f>
        <v>8720092</v>
      </c>
      <c r="G76" s="39" t="s">
        <v>6</v>
      </c>
      <c r="H76" s="131">
        <f>H63</f>
        <v>2.137E-3</v>
      </c>
      <c r="I76" s="104">
        <f t="shared" ref="I76:I85" si="14">ROUND(F76*H76,2)</f>
        <v>18634.84</v>
      </c>
      <c r="N76" s="478" t="s">
        <v>366</v>
      </c>
      <c r="O76" s="479"/>
      <c r="P76" s="479"/>
      <c r="Q76" s="47"/>
      <c r="R76" s="134">
        <f t="shared" ref="R76:R85" si="15">F76</f>
        <v>8720092</v>
      </c>
      <c r="S76" s="40" t="s">
        <v>6</v>
      </c>
      <c r="T76" s="133">
        <f>T63</f>
        <v>0</v>
      </c>
      <c r="U76" s="99">
        <f t="shared" ref="U76:U85" si="16">ROUND(R76*T76,0)</f>
        <v>0</v>
      </c>
    </row>
    <row r="77" spans="1:21" x14ac:dyDescent="0.25">
      <c r="A77" s="463" t="s">
        <v>436</v>
      </c>
      <c r="B77" s="453"/>
      <c r="C77" s="453"/>
      <c r="D77" s="72"/>
      <c r="E77" s="46" t="s">
        <v>3</v>
      </c>
      <c r="F77" s="337">
        <f>'0664'!F77</f>
        <v>0</v>
      </c>
      <c r="G77" s="39" t="s">
        <v>6</v>
      </c>
      <c r="H77" s="131">
        <f>H63</f>
        <v>2.137E-3</v>
      </c>
      <c r="I77" s="104">
        <f t="shared" si="14"/>
        <v>0</v>
      </c>
      <c r="N77" s="479" t="s">
        <v>367</v>
      </c>
      <c r="O77" s="479"/>
      <c r="P77" s="479"/>
      <c r="Q77" s="47"/>
      <c r="R77" s="134">
        <f t="shared" si="15"/>
        <v>0</v>
      </c>
      <c r="S77" s="40" t="s">
        <v>6</v>
      </c>
      <c r="T77" s="133">
        <f>T63</f>
        <v>0</v>
      </c>
      <c r="U77" s="99">
        <f t="shared" si="16"/>
        <v>0</v>
      </c>
    </row>
    <row r="78" spans="1:21" x14ac:dyDescent="0.25">
      <c r="A78" s="463" t="s">
        <v>437</v>
      </c>
      <c r="B78" s="453"/>
      <c r="C78" s="453"/>
      <c r="D78" s="72"/>
      <c r="E78" s="46" t="s">
        <v>4</v>
      </c>
      <c r="F78" s="337">
        <f>'0664'!F78</f>
        <v>0</v>
      </c>
      <c r="G78" s="39" t="s">
        <v>6</v>
      </c>
      <c r="H78" s="131">
        <f>H66</f>
        <v>2.1050000000000001E-3</v>
      </c>
      <c r="I78" s="104">
        <f t="shared" si="14"/>
        <v>0</v>
      </c>
      <c r="N78" s="478" t="s">
        <v>392</v>
      </c>
      <c r="O78" s="479"/>
      <c r="P78" s="479"/>
      <c r="Q78" s="47"/>
      <c r="R78" s="134">
        <f t="shared" si="15"/>
        <v>0</v>
      </c>
      <c r="S78" s="40" t="s">
        <v>6</v>
      </c>
      <c r="T78" s="133">
        <f>T66</f>
        <v>0</v>
      </c>
      <c r="U78" s="99">
        <f t="shared" si="16"/>
        <v>0</v>
      </c>
    </row>
    <row r="79" spans="1:21" x14ac:dyDescent="0.25">
      <c r="A79" s="463" t="s">
        <v>438</v>
      </c>
      <c r="B79" s="453"/>
      <c r="C79" s="453"/>
      <c r="D79" s="72"/>
      <c r="E79" s="46" t="s">
        <v>4</v>
      </c>
      <c r="F79" s="337">
        <f>'0664'!F79</f>
        <v>11278687</v>
      </c>
      <c r="G79" s="39" t="s">
        <v>6</v>
      </c>
      <c r="H79" s="131">
        <f>H66</f>
        <v>2.1050000000000001E-3</v>
      </c>
      <c r="I79" s="104">
        <f t="shared" si="14"/>
        <v>23741.64</v>
      </c>
      <c r="N79" s="478" t="s">
        <v>393</v>
      </c>
      <c r="O79" s="479"/>
      <c r="P79" s="479"/>
      <c r="Q79" s="47"/>
      <c r="R79" s="134">
        <f t="shared" si="15"/>
        <v>11278687</v>
      </c>
      <c r="S79" s="40" t="s">
        <v>6</v>
      </c>
      <c r="T79" s="133">
        <f>T66</f>
        <v>0</v>
      </c>
      <c r="U79" s="99">
        <f t="shared" si="16"/>
        <v>0</v>
      </c>
    </row>
    <row r="80" spans="1:21" x14ac:dyDescent="0.25">
      <c r="A80" s="463" t="s">
        <v>439</v>
      </c>
      <c r="B80" s="453"/>
      <c r="C80" s="453"/>
      <c r="D80" s="72"/>
      <c r="E80" s="46" t="s">
        <v>4</v>
      </c>
      <c r="F80" s="337">
        <f>'0664'!F80</f>
        <v>206284749</v>
      </c>
      <c r="G80" s="39" t="s">
        <v>6</v>
      </c>
      <c r="H80" s="131">
        <f>H66</f>
        <v>2.1050000000000001E-3</v>
      </c>
      <c r="I80" s="104">
        <f t="shared" si="14"/>
        <v>434229.4</v>
      </c>
      <c r="N80" s="478" t="s">
        <v>397</v>
      </c>
      <c r="O80" s="479"/>
      <c r="P80" s="479"/>
      <c r="Q80" s="47"/>
      <c r="R80" s="134">
        <f t="shared" si="15"/>
        <v>206284749</v>
      </c>
      <c r="S80" s="40" t="s">
        <v>6</v>
      </c>
      <c r="T80" s="133">
        <f>T66</f>
        <v>0</v>
      </c>
      <c r="U80" s="99">
        <f t="shared" si="16"/>
        <v>0</v>
      </c>
    </row>
    <row r="81" spans="1:21" x14ac:dyDescent="0.25">
      <c r="A81" s="84" t="s">
        <v>440</v>
      </c>
      <c r="B81" s="72"/>
      <c r="C81" s="72"/>
      <c r="D81" s="72"/>
      <c r="E81" s="46"/>
      <c r="F81" s="337"/>
      <c r="G81" s="39"/>
      <c r="H81" s="131"/>
      <c r="I81" s="104"/>
      <c r="N81" s="419" t="s">
        <v>440</v>
      </c>
      <c r="O81" s="48"/>
      <c r="P81" s="48"/>
      <c r="Q81" s="47"/>
      <c r="R81" s="423"/>
      <c r="S81" s="40"/>
      <c r="T81" s="133"/>
      <c r="U81" s="120"/>
    </row>
    <row r="82" spans="1:21" x14ac:dyDescent="0.25">
      <c r="A82" s="264" t="s">
        <v>441</v>
      </c>
      <c r="B82" s="72"/>
      <c r="C82" s="72"/>
      <c r="D82" s="72"/>
      <c r="E82" s="46" t="s">
        <v>442</v>
      </c>
      <c r="F82" s="337">
        <f>'0664'!F82</f>
        <v>0</v>
      </c>
      <c r="G82" s="39" t="s">
        <v>6</v>
      </c>
      <c r="H82" s="131">
        <f>H66</f>
        <v>2.1050000000000001E-3</v>
      </c>
      <c r="I82" s="104">
        <v>79211.88</v>
      </c>
      <c r="N82" s="422" t="s">
        <v>441</v>
      </c>
      <c r="O82" s="48"/>
      <c r="P82" s="48"/>
      <c r="Q82" s="47"/>
      <c r="R82" s="134">
        <f t="shared" si="15"/>
        <v>0</v>
      </c>
      <c r="S82" s="40"/>
      <c r="T82" s="133"/>
      <c r="U82" s="99">
        <f t="shared" si="16"/>
        <v>0</v>
      </c>
    </row>
    <row r="83" spans="1:21" x14ac:dyDescent="0.25">
      <c r="A83" s="264" t="s">
        <v>443</v>
      </c>
      <c r="B83" s="72"/>
      <c r="C83" s="72"/>
      <c r="D83" s="72"/>
      <c r="E83" s="46" t="s">
        <v>442</v>
      </c>
      <c r="F83" s="337">
        <f>'0664'!F83</f>
        <v>0</v>
      </c>
      <c r="G83" s="39" t="s">
        <v>6</v>
      </c>
      <c r="H83" s="131">
        <f>H66</f>
        <v>2.1050000000000001E-3</v>
      </c>
      <c r="I83" s="104">
        <v>36005.4</v>
      </c>
      <c r="N83" s="422" t="s">
        <v>443</v>
      </c>
      <c r="O83" s="48"/>
      <c r="P83" s="48"/>
      <c r="Q83" s="47"/>
      <c r="R83" s="134">
        <f t="shared" si="15"/>
        <v>0</v>
      </c>
      <c r="S83" s="40"/>
      <c r="T83" s="133"/>
      <c r="U83" s="99">
        <f t="shared" si="16"/>
        <v>0</v>
      </c>
    </row>
    <row r="84" spans="1:21" x14ac:dyDescent="0.25">
      <c r="A84" s="420" t="s">
        <v>444</v>
      </c>
      <c r="B84" s="72"/>
      <c r="C84" s="72"/>
      <c r="D84" s="72"/>
      <c r="E84" s="46"/>
      <c r="F84" s="337"/>
      <c r="G84" s="39"/>
      <c r="H84" s="131"/>
      <c r="I84" s="104">
        <f>I82+I83</f>
        <v>115217.28</v>
      </c>
      <c r="N84" s="421" t="s">
        <v>444</v>
      </c>
      <c r="O84" s="48"/>
      <c r="P84" s="48"/>
      <c r="Q84" s="47"/>
      <c r="R84" s="423"/>
      <c r="S84" s="40"/>
      <c r="T84" s="133"/>
      <c r="U84" s="99">
        <f>U82+U83</f>
        <v>0</v>
      </c>
    </row>
    <row r="85" spans="1:21" x14ac:dyDescent="0.25">
      <c r="A85" s="463" t="s">
        <v>398</v>
      </c>
      <c r="B85" s="453"/>
      <c r="C85" s="453"/>
      <c r="D85" s="72"/>
      <c r="E85" s="46" t="s">
        <v>4</v>
      </c>
      <c r="F85" s="337">
        <f>'0664'!F85</f>
        <v>0</v>
      </c>
      <c r="G85" s="39" t="s">
        <v>6</v>
      </c>
      <c r="H85" s="131">
        <f>H66</f>
        <v>2.1050000000000001E-3</v>
      </c>
      <c r="I85" s="104">
        <f t="shared" si="14"/>
        <v>0</v>
      </c>
      <c r="N85" s="478" t="s">
        <v>398</v>
      </c>
      <c r="O85" s="479"/>
      <c r="P85" s="479"/>
      <c r="Q85" s="47"/>
      <c r="R85" s="132">
        <f t="shared" si="15"/>
        <v>0</v>
      </c>
      <c r="S85" s="40" t="s">
        <v>6</v>
      </c>
      <c r="T85" s="133">
        <f>T66</f>
        <v>0</v>
      </c>
      <c r="U85" s="99">
        <f t="shared" si="16"/>
        <v>0</v>
      </c>
    </row>
    <row r="86" spans="1:21" x14ac:dyDescent="0.25">
      <c r="B86" s="72"/>
      <c r="C86" s="72"/>
      <c r="D86" s="72"/>
      <c r="E86" s="46"/>
      <c r="F86" s="136"/>
      <c r="G86" s="39"/>
      <c r="H86" s="131"/>
      <c r="I86" s="104"/>
      <c r="N86" s="48"/>
      <c r="O86" s="48"/>
      <c r="P86" s="48"/>
      <c r="Q86" s="47"/>
      <c r="R86" s="137"/>
      <c r="S86" s="40"/>
      <c r="T86" s="133"/>
      <c r="U86" s="106"/>
    </row>
    <row r="87" spans="1:21" x14ac:dyDescent="0.25">
      <c r="A87" s="463" t="s">
        <v>445</v>
      </c>
      <c r="B87" s="453"/>
      <c r="C87" s="453"/>
      <c r="D87" s="453"/>
      <c r="E87" s="453"/>
      <c r="F87" s="453"/>
      <c r="G87" s="453"/>
      <c r="H87" s="453"/>
      <c r="I87" s="453"/>
      <c r="N87" s="478" t="s">
        <v>429</v>
      </c>
      <c r="O87" s="479"/>
      <c r="P87" s="479"/>
      <c r="Q87" s="479"/>
      <c r="R87" s="479"/>
      <c r="S87" s="479"/>
      <c r="T87" s="479"/>
      <c r="U87" s="479"/>
    </row>
    <row r="88" spans="1:21" x14ac:dyDescent="0.25">
      <c r="B88" s="72"/>
      <c r="C88" s="466" t="s">
        <v>73</v>
      </c>
      <c r="D88" s="466"/>
      <c r="E88" s="72"/>
      <c r="F88" s="41" t="s">
        <v>37</v>
      </c>
      <c r="G88" s="72"/>
      <c r="H88" s="72"/>
      <c r="I88" s="72"/>
      <c r="N88" s="48"/>
      <c r="O88" s="48"/>
      <c r="P88" s="48"/>
      <c r="Q88" s="48"/>
      <c r="R88" s="48"/>
      <c r="S88" s="48"/>
      <c r="T88" s="48"/>
      <c r="U88" s="48"/>
    </row>
    <row r="89" spans="1:21" x14ac:dyDescent="0.25">
      <c r="A89" s="3"/>
      <c r="B89" s="138"/>
      <c r="C89" s="462" t="s">
        <v>144</v>
      </c>
      <c r="D89" s="462"/>
      <c r="E89" s="139" t="s">
        <v>150</v>
      </c>
      <c r="F89" s="140" t="s">
        <v>149</v>
      </c>
      <c r="G89" s="141"/>
      <c r="H89" s="141"/>
      <c r="I89" s="141"/>
      <c r="N89" s="495" t="s">
        <v>46</v>
      </c>
      <c r="O89" s="495"/>
      <c r="P89" s="496" t="s">
        <v>119</v>
      </c>
      <c r="Q89" s="496"/>
      <c r="R89" s="497" t="s">
        <v>40</v>
      </c>
      <c r="S89" s="497"/>
      <c r="T89" s="497"/>
      <c r="U89" s="497"/>
    </row>
    <row r="90" spans="1:21" x14ac:dyDescent="0.25">
      <c r="A90" s="27"/>
      <c r="B90" s="55" t="s">
        <v>148</v>
      </c>
      <c r="C90" s="467">
        <f>H13+H14+H19+H22+H25</f>
        <v>322.1789</v>
      </c>
      <c r="D90" s="467"/>
      <c r="E90" s="49">
        <f>H8</f>
        <v>1.0438000000000001</v>
      </c>
      <c r="F90" s="338">
        <f>'0664'!F90</f>
        <v>957.94</v>
      </c>
      <c r="G90" s="41" t="s">
        <v>13</v>
      </c>
      <c r="H90" s="104">
        <f>ROUND(C90*E90*F90,2)</f>
        <v>322145.96000000002</v>
      </c>
      <c r="I90" s="107"/>
      <c r="N90" s="29" t="s">
        <v>22</v>
      </c>
      <c r="O90" s="50">
        <f>T13+T14+T19+T22+T25</f>
        <v>0</v>
      </c>
      <c r="P90" s="490">
        <f>T8</f>
        <v>1.0438000000000001</v>
      </c>
      <c r="Q90" s="490"/>
      <c r="R90" s="51">
        <f>F90</f>
        <v>957.94</v>
      </c>
      <c r="S90" s="42" t="s">
        <v>13</v>
      </c>
      <c r="T90" s="134">
        <f>ROUND(O90*P90*R90,0)</f>
        <v>0</v>
      </c>
      <c r="U90" s="105"/>
    </row>
    <row r="91" spans="1:21" x14ac:dyDescent="0.25">
      <c r="A91" s="52"/>
      <c r="B91" s="52" t="s">
        <v>147</v>
      </c>
      <c r="C91" s="467">
        <f>H15+H16+H20+H23+H26</f>
        <v>134.36359999999999</v>
      </c>
      <c r="D91" s="467"/>
      <c r="E91" s="49">
        <f>H8</f>
        <v>1.0438000000000001</v>
      </c>
      <c r="F91" s="338">
        <f>'0664'!F91</f>
        <v>914.63</v>
      </c>
      <c r="G91" s="41" t="s">
        <v>13</v>
      </c>
      <c r="H91" s="104">
        <f>ROUND(C91*E91*F91,2)</f>
        <v>128275.69</v>
      </c>
      <c r="N91" s="53" t="s">
        <v>14</v>
      </c>
      <c r="O91" s="50">
        <f>T15+T16+T20+T23+T26</f>
        <v>0</v>
      </c>
      <c r="P91" s="490">
        <f>T8</f>
        <v>1.0438000000000001</v>
      </c>
      <c r="Q91" s="490"/>
      <c r="R91" s="51">
        <f>F91</f>
        <v>914.63</v>
      </c>
      <c r="S91" s="42" t="s">
        <v>13</v>
      </c>
      <c r="T91" s="134">
        <f>ROUND(O91*P91*R91,0)</f>
        <v>0</v>
      </c>
      <c r="U91" s="54"/>
    </row>
    <row r="92" spans="1:21" ht="16.5" thickBot="1" x14ac:dyDescent="0.3">
      <c r="A92" s="55"/>
      <c r="B92" s="55" t="s">
        <v>146</v>
      </c>
      <c r="C92" s="467">
        <f>H17+H18+H21+H24+H27+H28</f>
        <v>0</v>
      </c>
      <c r="D92" s="467"/>
      <c r="E92" s="49">
        <f>H8</f>
        <v>1.0438000000000001</v>
      </c>
      <c r="F92" s="338">
        <f>'0664'!F92</f>
        <v>916.84</v>
      </c>
      <c r="G92" s="41" t="s">
        <v>13</v>
      </c>
      <c r="H92" s="97">
        <f>ROUND(C92*E92*F92,2)</f>
        <v>0</v>
      </c>
      <c r="N92" s="56" t="s">
        <v>15</v>
      </c>
      <c r="O92" s="57">
        <f>T17+T18+T21+T24+T27+T28</f>
        <v>0</v>
      </c>
      <c r="P92" s="490">
        <f>T8</f>
        <v>1.0438000000000001</v>
      </c>
      <c r="Q92" s="490"/>
      <c r="R92" s="51">
        <f>F92</f>
        <v>916.84</v>
      </c>
      <c r="S92" s="42" t="s">
        <v>13</v>
      </c>
      <c r="T92" s="134">
        <f>ROUND(O92*P92*R92,0)</f>
        <v>0</v>
      </c>
      <c r="U92" s="54"/>
    </row>
    <row r="93" spans="1:21" ht="16.5" thickBot="1" x14ac:dyDescent="0.3">
      <c r="A93" s="58"/>
      <c r="B93" s="142" t="s">
        <v>145</v>
      </c>
      <c r="C93" s="469">
        <f>SUM(C90:C92)</f>
        <v>456.54250000000002</v>
      </c>
      <c r="D93" s="469"/>
      <c r="E93" s="143"/>
      <c r="F93" s="143"/>
      <c r="G93" s="143"/>
      <c r="H93" s="144" t="s">
        <v>143</v>
      </c>
      <c r="I93" s="104">
        <f>IF(A1=75,0,H92+H91+H90)</f>
        <v>450421.65</v>
      </c>
      <c r="N93" s="59" t="s">
        <v>120</v>
      </c>
      <c r="O93" s="60">
        <f>SUM(O90:O92)</f>
        <v>0</v>
      </c>
      <c r="P93" s="491" t="s">
        <v>18</v>
      </c>
      <c r="Q93" s="492"/>
      <c r="R93" s="492"/>
      <c r="S93" s="492"/>
      <c r="T93" s="492"/>
      <c r="U93" s="99">
        <f>IF(N1=75,0,T92+T91+T90)</f>
        <v>0</v>
      </c>
    </row>
    <row r="94" spans="1:21" ht="16.5" thickTop="1" x14ac:dyDescent="0.25">
      <c r="A94" s="540" t="s">
        <v>90</v>
      </c>
      <c r="B94" s="540"/>
      <c r="C94" s="540"/>
      <c r="D94" s="540"/>
      <c r="E94" s="540"/>
      <c r="F94" s="540"/>
      <c r="G94" s="540"/>
      <c r="H94" s="540"/>
      <c r="I94" s="540"/>
      <c r="N94" s="493" t="s">
        <v>90</v>
      </c>
      <c r="O94" s="493"/>
      <c r="P94" s="493"/>
      <c r="Q94" s="493"/>
      <c r="R94" s="493"/>
      <c r="S94" s="493"/>
      <c r="T94" s="493"/>
      <c r="U94" s="493"/>
    </row>
    <row r="95" spans="1:21" x14ac:dyDescent="0.25">
      <c r="A95" s="145"/>
      <c r="B95" s="145"/>
      <c r="C95" s="145"/>
      <c r="D95" s="145"/>
      <c r="E95" s="145"/>
      <c r="F95" s="145"/>
      <c r="G95" s="145"/>
      <c r="H95" s="145"/>
      <c r="I95" s="145"/>
      <c r="N95" s="146"/>
      <c r="O95" s="146"/>
      <c r="P95" s="146"/>
      <c r="Q95" s="146"/>
      <c r="R95" s="146"/>
      <c r="S95" s="146"/>
      <c r="T95" s="146"/>
      <c r="U95" s="146"/>
    </row>
    <row r="96" spans="1:21" x14ac:dyDescent="0.25">
      <c r="A96" s="84" t="s">
        <v>446</v>
      </c>
      <c r="C96" s="46"/>
      <c r="D96" s="72"/>
      <c r="E96" s="46" t="s">
        <v>100</v>
      </c>
      <c r="F96" s="471"/>
      <c r="G96" s="471"/>
      <c r="H96" s="471"/>
      <c r="I96" s="471"/>
      <c r="N96" s="478" t="s">
        <v>426</v>
      </c>
      <c r="O96" s="479"/>
      <c r="P96" s="479"/>
      <c r="Q96" s="494"/>
      <c r="R96" s="494"/>
      <c r="S96" s="494"/>
      <c r="T96" s="494"/>
      <c r="U96" s="106"/>
    </row>
    <row r="97" spans="1:21" x14ac:dyDescent="0.25">
      <c r="B97" s="72"/>
      <c r="C97" s="91" t="s">
        <v>409</v>
      </c>
      <c r="D97" s="371" t="s">
        <v>410</v>
      </c>
      <c r="E97" s="92" t="s">
        <v>151</v>
      </c>
      <c r="F97" s="46"/>
      <c r="G97" s="46"/>
      <c r="H97" s="46"/>
      <c r="I97" s="46"/>
      <c r="N97" s="48"/>
      <c r="O97" s="48"/>
      <c r="P97" s="48"/>
      <c r="Q97" s="147"/>
      <c r="R97" s="147"/>
      <c r="S97" s="147"/>
      <c r="T97" s="147"/>
      <c r="U97" s="106"/>
    </row>
    <row r="98" spans="1:21" x14ac:dyDescent="0.25">
      <c r="B98" s="72"/>
      <c r="C98" s="362" t="s">
        <v>2</v>
      </c>
      <c r="D98" s="362" t="s">
        <v>2</v>
      </c>
      <c r="E98" s="362" t="s">
        <v>2</v>
      </c>
      <c r="F98" s="46"/>
      <c r="G98" s="46"/>
      <c r="H98" s="46"/>
      <c r="I98" s="46"/>
      <c r="N98" s="48"/>
      <c r="O98" s="48"/>
      <c r="P98" s="48"/>
      <c r="Q98" s="147"/>
      <c r="R98" s="147"/>
      <c r="S98" s="147"/>
      <c r="T98" s="147"/>
      <c r="U98" s="106"/>
    </row>
    <row r="99" spans="1:21" x14ac:dyDescent="0.25">
      <c r="A99" s="536" t="s">
        <v>470</v>
      </c>
      <c r="B99" s="461"/>
      <c r="C99" s="165">
        <v>0</v>
      </c>
      <c r="D99" s="165">
        <v>0</v>
      </c>
      <c r="E99" s="166">
        <f>C99</f>
        <v>0</v>
      </c>
      <c r="F99" s="148" t="s">
        <v>39</v>
      </c>
      <c r="G99" s="339">
        <f>'0664'!G99</f>
        <v>558</v>
      </c>
      <c r="I99" s="104">
        <f>ROUND(G99*E99,2)</f>
        <v>0</v>
      </c>
      <c r="N99" s="488" t="s">
        <v>65</v>
      </c>
      <c r="O99" s="488"/>
      <c r="P99" s="489">
        <f>IF(H120=1,E99,0)</f>
        <v>0</v>
      </c>
      <c r="Q99" s="489"/>
      <c r="R99" s="489"/>
      <c r="S99" s="86" t="s">
        <v>39</v>
      </c>
      <c r="T99" s="61">
        <f>G99</f>
        <v>558</v>
      </c>
      <c r="U99" s="99">
        <f>ROUND(T99*P99,0)</f>
        <v>0</v>
      </c>
    </row>
    <row r="100" spans="1:21" x14ac:dyDescent="0.25">
      <c r="A100" s="536" t="s">
        <v>471</v>
      </c>
      <c r="B100" s="461"/>
      <c r="C100" s="165">
        <v>0</v>
      </c>
      <c r="D100" s="165">
        <v>0</v>
      </c>
      <c r="E100" s="166">
        <f>C100</f>
        <v>0</v>
      </c>
      <c r="F100" s="148" t="s">
        <v>39</v>
      </c>
      <c r="G100" s="339">
        <f>'0664'!G100</f>
        <v>1707</v>
      </c>
      <c r="I100" s="104">
        <f>ROUND(G100*E100,2)</f>
        <v>0</v>
      </c>
      <c r="N100" s="488" t="s">
        <v>81</v>
      </c>
      <c r="O100" s="488"/>
      <c r="P100" s="483"/>
      <c r="Q100" s="483"/>
      <c r="R100" s="483"/>
      <c r="S100" s="86" t="s">
        <v>39</v>
      </c>
      <c r="T100" s="61">
        <f>G100</f>
        <v>1707</v>
      </c>
      <c r="U100" s="99">
        <f>ROUND(T100*P100,0)</f>
        <v>0</v>
      </c>
    </row>
    <row r="101" spans="1:21" x14ac:dyDescent="0.25">
      <c r="A101" s="149"/>
      <c r="B101" s="149"/>
      <c r="C101" s="68"/>
      <c r="D101" s="68"/>
      <c r="E101" s="68"/>
      <c r="F101" s="68"/>
      <c r="G101" s="150"/>
      <c r="H101" s="151"/>
      <c r="I101" s="104"/>
      <c r="N101" s="152"/>
      <c r="O101" s="152"/>
      <c r="P101" s="153"/>
      <c r="Q101" s="153"/>
      <c r="R101" s="153"/>
      <c r="S101" s="86"/>
      <c r="T101" s="61"/>
      <c r="U101" s="106"/>
    </row>
    <row r="102" spans="1:21" x14ac:dyDescent="0.25">
      <c r="A102" s="149"/>
      <c r="B102" s="149"/>
      <c r="C102" s="68"/>
      <c r="D102" s="68"/>
      <c r="E102" s="68"/>
      <c r="F102" s="68"/>
      <c r="G102" s="150"/>
      <c r="H102" s="151"/>
      <c r="I102" s="104"/>
      <c r="N102" s="152"/>
      <c r="O102" s="152"/>
      <c r="P102" s="153"/>
      <c r="Q102" s="153"/>
      <c r="R102" s="153"/>
      <c r="S102" s="86"/>
      <c r="T102" s="61"/>
      <c r="U102" s="106"/>
    </row>
    <row r="103" spans="1:21" hidden="1" x14ac:dyDescent="0.25">
      <c r="A103" s="463" t="s">
        <v>447</v>
      </c>
      <c r="B103" s="453"/>
      <c r="C103" s="453"/>
      <c r="D103" s="72"/>
      <c r="E103" s="41" t="s">
        <v>41</v>
      </c>
      <c r="F103" s="466"/>
      <c r="G103" s="466"/>
      <c r="H103" s="466"/>
      <c r="I103" s="466"/>
      <c r="N103" s="478" t="s">
        <v>362</v>
      </c>
      <c r="O103" s="479"/>
      <c r="P103" s="479"/>
      <c r="Q103" s="479"/>
      <c r="R103" s="479"/>
      <c r="S103" s="479"/>
      <c r="T103" s="479"/>
      <c r="U103" s="479"/>
    </row>
    <row r="104" spans="1:21" hidden="1" x14ac:dyDescent="0.25">
      <c r="B104" s="72"/>
      <c r="C104" s="462" t="s">
        <v>91</v>
      </c>
      <c r="D104" s="462"/>
      <c r="E104" s="462"/>
      <c r="F104" s="39"/>
      <c r="G104" s="39"/>
      <c r="H104" s="41" t="s">
        <v>152</v>
      </c>
      <c r="I104" s="39"/>
      <c r="N104" s="48"/>
      <c r="O104" s="48"/>
      <c r="P104" s="48"/>
      <c r="Q104" s="48"/>
      <c r="R104" s="48"/>
      <c r="S104" s="48"/>
      <c r="T104" s="48"/>
      <c r="U104" s="48"/>
    </row>
    <row r="105" spans="1:21" hidden="1" x14ac:dyDescent="0.25">
      <c r="B105" s="72"/>
      <c r="C105" s="91" t="s">
        <v>371</v>
      </c>
      <c r="D105" s="91" t="s">
        <v>351</v>
      </c>
      <c r="E105" s="159" t="s">
        <v>8</v>
      </c>
      <c r="F105" s="464" t="s">
        <v>153</v>
      </c>
      <c r="G105" s="466"/>
      <c r="H105" s="39" t="s">
        <v>38</v>
      </c>
      <c r="I105" s="39"/>
      <c r="N105" s="48"/>
      <c r="O105" s="48"/>
      <c r="P105" s="48"/>
      <c r="Q105" s="48"/>
      <c r="R105" s="48"/>
      <c r="S105" s="48"/>
      <c r="T105" s="48"/>
      <c r="U105" s="48"/>
    </row>
    <row r="106" spans="1:21" hidden="1" x14ac:dyDescent="0.25">
      <c r="A106" s="462" t="s">
        <v>94</v>
      </c>
      <c r="B106" s="462"/>
      <c r="C106" s="93" t="s">
        <v>2</v>
      </c>
      <c r="D106" s="93" t="s">
        <v>2</v>
      </c>
      <c r="E106" s="62" t="s">
        <v>2</v>
      </c>
      <c r="F106" s="462" t="s">
        <v>37</v>
      </c>
      <c r="G106" s="462"/>
      <c r="H106" s="62" t="s">
        <v>37</v>
      </c>
      <c r="I106" s="62" t="s">
        <v>8</v>
      </c>
      <c r="N106" s="484" t="s">
        <v>66</v>
      </c>
      <c r="O106" s="484"/>
      <c r="P106" s="489" t="s">
        <v>91</v>
      </c>
      <c r="Q106" s="489"/>
      <c r="R106" s="484" t="s">
        <v>67</v>
      </c>
      <c r="S106" s="484"/>
      <c r="T106" s="63" t="s">
        <v>68</v>
      </c>
      <c r="U106" s="63" t="s">
        <v>8</v>
      </c>
    </row>
    <row r="107" spans="1:21" hidden="1" x14ac:dyDescent="0.25">
      <c r="A107" s="473" t="s">
        <v>69</v>
      </c>
      <c r="B107" s="473"/>
      <c r="C107" s="163">
        <v>0</v>
      </c>
      <c r="D107" s="163">
        <v>0</v>
      </c>
      <c r="E107" s="164">
        <f>IF(D$59=0,C107*2,C107+D107)</f>
        <v>0</v>
      </c>
      <c r="F107" s="543">
        <v>0</v>
      </c>
      <c r="G107" s="543"/>
      <c r="H107" s="64">
        <f>IF(C107=0,0,125)</f>
        <v>0</v>
      </c>
      <c r="I107" s="104">
        <f>ROUND((H107+F107)*E107,2)</f>
        <v>0</v>
      </c>
      <c r="N107" s="479" t="s">
        <v>69</v>
      </c>
      <c r="O107" s="479"/>
      <c r="P107" s="483">
        <f>IF(H$120=1,C107,0)</f>
        <v>0</v>
      </c>
      <c r="Q107" s="483"/>
      <c r="R107" s="486">
        <f>F107</f>
        <v>0</v>
      </c>
      <c r="S107" s="486"/>
      <c r="T107" s="65">
        <f>H107</f>
        <v>0</v>
      </c>
      <c r="U107" s="99">
        <f>ROUND((T107+R107)*P107,0)</f>
        <v>0</v>
      </c>
    </row>
    <row r="108" spans="1:21" hidden="1" x14ac:dyDescent="0.25">
      <c r="A108" s="456" t="s">
        <v>70</v>
      </c>
      <c r="B108" s="456"/>
      <c r="C108" s="165">
        <v>0</v>
      </c>
      <c r="D108" s="165">
        <v>0</v>
      </c>
      <c r="E108" s="166">
        <f>IF(D$59=0,C108*2,C108+D108)</f>
        <v>0</v>
      </c>
      <c r="F108" s="468">
        <f>ROUND(F107/2,2)</f>
        <v>0</v>
      </c>
      <c r="G108" s="468"/>
      <c r="H108" s="64">
        <f>IF(C108=0,0,62.5)</f>
        <v>0</v>
      </c>
      <c r="I108" s="104">
        <f>ROUND((H108+F108)*E108,2)</f>
        <v>0</v>
      </c>
      <c r="N108" s="479" t="s">
        <v>70</v>
      </c>
      <c r="O108" s="479"/>
      <c r="P108" s="483">
        <f>IF(H$120=1,C108,0)</f>
        <v>0</v>
      </c>
      <c r="Q108" s="483"/>
      <c r="R108" s="487">
        <f>ROUND(R107/2,2)</f>
        <v>0</v>
      </c>
      <c r="S108" s="487"/>
      <c r="T108" s="65">
        <f>H108</f>
        <v>0</v>
      </c>
      <c r="U108" s="99">
        <f>ROUND((T108+R108)*P108,0)</f>
        <v>0</v>
      </c>
    </row>
    <row r="109" spans="1:21" ht="16.5" hidden="1" thickBot="1" x14ac:dyDescent="0.3">
      <c r="A109" s="456" t="s">
        <v>71</v>
      </c>
      <c r="B109" s="456"/>
      <c r="C109" s="165">
        <v>0</v>
      </c>
      <c r="D109" s="165">
        <v>0</v>
      </c>
      <c r="E109" s="166">
        <f>IF(D$59=0,C109*2,C109+D109)</f>
        <v>0</v>
      </c>
      <c r="F109" s="475"/>
      <c r="G109" s="475"/>
      <c r="H109" s="66">
        <f>IF(H107&gt;0,436,0)</f>
        <v>0</v>
      </c>
      <c r="I109" s="104">
        <f>ROUND(H109*E109,2)</f>
        <v>0</v>
      </c>
      <c r="N109" s="482" t="s">
        <v>71</v>
      </c>
      <c r="O109" s="482"/>
      <c r="P109" s="483">
        <f>IF(H$120=1,C109,0)</f>
        <v>0</v>
      </c>
      <c r="Q109" s="483"/>
      <c r="R109" s="484"/>
      <c r="S109" s="484"/>
      <c r="T109" s="67">
        <f>H109</f>
        <v>0</v>
      </c>
      <c r="U109" s="106">
        <f>ROUND(T109*P109,0)</f>
        <v>0</v>
      </c>
    </row>
    <row r="110" spans="1:21" ht="16.5" hidden="1" thickBot="1" x14ac:dyDescent="0.3">
      <c r="A110" s="466" t="s">
        <v>8</v>
      </c>
      <c r="B110" s="466"/>
      <c r="C110" s="68"/>
      <c r="D110" s="68"/>
      <c r="E110" s="68"/>
      <c r="F110" s="68"/>
      <c r="G110" s="68"/>
      <c r="H110" s="68"/>
      <c r="I110" s="100">
        <f>SUM(I107:I109)</f>
        <v>0</v>
      </c>
      <c r="N110" s="485" t="s">
        <v>8</v>
      </c>
      <c r="O110" s="485"/>
      <c r="P110" s="69"/>
      <c r="Q110" s="69"/>
      <c r="R110" s="69"/>
      <c r="S110" s="69"/>
      <c r="T110" s="69"/>
      <c r="U110" s="70">
        <f>SUM(U107:U109)</f>
        <v>0</v>
      </c>
    </row>
    <row r="111" spans="1:21" hidden="1" x14ac:dyDescent="0.25">
      <c r="A111" s="39"/>
      <c r="B111" s="39"/>
      <c r="C111" s="68"/>
      <c r="D111" s="68"/>
      <c r="E111" s="68"/>
      <c r="F111" s="68"/>
      <c r="G111" s="68"/>
      <c r="H111" s="68"/>
      <c r="I111" s="104"/>
      <c r="N111" s="40"/>
      <c r="O111" s="40"/>
      <c r="P111" s="69"/>
      <c r="Q111" s="69"/>
      <c r="R111" s="69"/>
      <c r="S111" s="69"/>
      <c r="T111" s="69"/>
      <c r="U111" s="160"/>
    </row>
    <row r="112" spans="1:21" x14ac:dyDescent="0.25">
      <c r="A112" s="463" t="s">
        <v>448</v>
      </c>
      <c r="B112" s="453"/>
      <c r="C112" s="453"/>
      <c r="D112" s="72"/>
      <c r="E112" s="71" t="s">
        <v>354</v>
      </c>
      <c r="F112" s="472"/>
      <c r="G112" s="472"/>
      <c r="H112" s="472"/>
      <c r="I112" s="125">
        <v>0</v>
      </c>
      <c r="N112" s="478" t="s">
        <v>427</v>
      </c>
      <c r="O112" s="479"/>
      <c r="P112" s="479"/>
      <c r="Q112" s="341"/>
      <c r="R112" s="341"/>
      <c r="S112" s="341"/>
      <c r="T112" s="341"/>
      <c r="U112" s="99">
        <f>IF($H$120=1,I112,0)</f>
        <v>0</v>
      </c>
    </row>
    <row r="113" spans="1:21" x14ac:dyDescent="0.25">
      <c r="A113" s="463" t="s">
        <v>449</v>
      </c>
      <c r="B113" s="453"/>
      <c r="C113" s="453"/>
      <c r="D113" s="72"/>
      <c r="E113" s="71" t="s">
        <v>45</v>
      </c>
      <c r="F113" s="472"/>
      <c r="G113" s="472"/>
      <c r="H113" s="472"/>
      <c r="I113" s="177">
        <v>0</v>
      </c>
      <c r="N113" s="478" t="s">
        <v>428</v>
      </c>
      <c r="O113" s="479"/>
      <c r="P113" s="479"/>
      <c r="Q113" s="341"/>
      <c r="R113" s="341"/>
      <c r="S113" s="341"/>
      <c r="T113" s="341"/>
      <c r="U113" s="99">
        <f>IF($H$120=1,I113,0)</f>
        <v>0</v>
      </c>
    </row>
    <row r="114" spans="1:21" ht="16.5" thickBot="1" x14ac:dyDescent="0.3">
      <c r="B114" s="72"/>
      <c r="C114" s="72"/>
      <c r="D114" s="72"/>
      <c r="E114" s="71"/>
      <c r="F114" s="71"/>
      <c r="G114" s="71"/>
      <c r="H114" s="71"/>
      <c r="I114" s="125"/>
      <c r="N114" s="480" t="s">
        <v>42</v>
      </c>
      <c r="O114" s="480"/>
      <c r="P114" s="480"/>
      <c r="Q114" s="480"/>
      <c r="R114" s="480"/>
      <c r="S114" s="480"/>
      <c r="T114" s="480"/>
      <c r="U114" s="154">
        <f>SUM(U112,U110,U100,U99,U93,U77,U76,U74,U73,U72,U71,U70,U68,U59,U45,U78,U79,U80,U85,U113)</f>
        <v>0</v>
      </c>
    </row>
    <row r="115" spans="1:21" ht="16.5" thickTop="1" x14ac:dyDescent="0.25">
      <c r="A115" s="461" t="s">
        <v>8</v>
      </c>
      <c r="B115" s="461"/>
      <c r="C115" s="461"/>
      <c r="D115" s="461"/>
      <c r="E115" s="461"/>
      <c r="F115" s="461"/>
      <c r="G115" s="461"/>
      <c r="H115" s="461"/>
      <c r="I115" s="97">
        <f>SUM(I113,I112,I110,I100,I99,I93,I85,I84,I80,I79,I78,I77,I76,I74,I73,I72,I71,I70,I68,I59,I45)</f>
        <v>3420873.91</v>
      </c>
      <c r="N115" s="29"/>
      <c r="O115" s="29"/>
      <c r="P115" s="29"/>
      <c r="Q115" s="29"/>
      <c r="R115" s="29"/>
      <c r="S115" s="29"/>
      <c r="T115" s="29"/>
      <c r="U115" s="160"/>
    </row>
    <row r="116" spans="1:21" x14ac:dyDescent="0.25">
      <c r="A116" s="27"/>
      <c r="B116" s="27"/>
      <c r="C116" s="27"/>
      <c r="D116" s="27"/>
      <c r="E116" s="27"/>
      <c r="F116" s="27"/>
      <c r="G116" s="27"/>
      <c r="H116" s="27"/>
      <c r="I116" s="104"/>
      <c r="N116" s="29"/>
      <c r="O116" s="29"/>
      <c r="P116" s="29"/>
      <c r="Q116" s="29"/>
      <c r="R116" s="29"/>
      <c r="S116" s="29"/>
      <c r="T116" s="29"/>
      <c r="U116" s="160"/>
    </row>
    <row r="117" spans="1:21" x14ac:dyDescent="0.25">
      <c r="A117" s="432" t="s">
        <v>467</v>
      </c>
      <c r="B117" s="27"/>
      <c r="C117" s="27"/>
      <c r="D117" s="27"/>
      <c r="E117" s="27"/>
      <c r="F117" s="27"/>
      <c r="G117" s="27"/>
      <c r="H117" s="27"/>
      <c r="I117" s="104">
        <f>I115-I84</f>
        <v>3305656.6300000004</v>
      </c>
      <c r="N117" s="29"/>
      <c r="O117" s="29"/>
      <c r="P117" s="29"/>
      <c r="Q117" s="29"/>
      <c r="R117" s="29"/>
      <c r="S117" s="29"/>
      <c r="T117" s="29"/>
      <c r="U117" s="160"/>
    </row>
    <row r="118" spans="1:21" x14ac:dyDescent="0.25">
      <c r="A118" s="27"/>
      <c r="B118" s="27"/>
      <c r="C118" s="27"/>
      <c r="D118" s="27"/>
      <c r="E118" s="27"/>
      <c r="F118" s="27"/>
      <c r="G118" s="27"/>
      <c r="H118" s="27"/>
      <c r="I118" s="104"/>
      <c r="N118" s="29"/>
      <c r="O118" s="29"/>
      <c r="P118" s="29"/>
      <c r="Q118" s="29"/>
      <c r="R118" s="29"/>
      <c r="S118" s="29"/>
      <c r="T118" s="29"/>
      <c r="U118" s="160"/>
    </row>
    <row r="119" spans="1:21" x14ac:dyDescent="0.25">
      <c r="A119" s="463" t="s">
        <v>468</v>
      </c>
      <c r="B119" s="453"/>
      <c r="C119" s="453"/>
      <c r="D119" s="453"/>
      <c r="E119" s="453"/>
      <c r="F119" s="453"/>
      <c r="G119" s="453"/>
      <c r="H119" s="84" t="s">
        <v>394</v>
      </c>
      <c r="I119" s="156"/>
      <c r="N119" s="481"/>
      <c r="O119" s="481"/>
      <c r="P119" s="481"/>
      <c r="Q119" s="481"/>
      <c r="R119" s="481"/>
      <c r="S119" s="481"/>
      <c r="T119" s="481"/>
      <c r="U119" s="481"/>
    </row>
    <row r="120" spans="1:21" x14ac:dyDescent="0.25">
      <c r="A120" s="453" t="s">
        <v>95</v>
      </c>
      <c r="B120" s="453"/>
      <c r="C120" s="453"/>
      <c r="D120" s="453"/>
      <c r="E120" s="453"/>
      <c r="F120" s="453"/>
      <c r="G120" s="453"/>
      <c r="H120" s="73" t="str">
        <f>IF(E29=0,"",IF((E14+E16+SUM(E18:E24))/E29&gt;0.75,1,""))</f>
        <v/>
      </c>
      <c r="I120" s="125">
        <f>U114</f>
        <v>0</v>
      </c>
      <c r="N120" s="476" t="s">
        <v>7</v>
      </c>
      <c r="O120" s="476"/>
      <c r="P120" s="476"/>
      <c r="Q120" s="476"/>
      <c r="R120" s="476"/>
      <c r="S120" s="476"/>
      <c r="T120" s="476"/>
      <c r="U120" s="476"/>
    </row>
    <row r="121" spans="1:21" x14ac:dyDescent="0.25">
      <c r="B121" s="72"/>
      <c r="C121" s="72"/>
      <c r="D121" s="72"/>
      <c r="E121" s="72"/>
      <c r="F121" s="72"/>
      <c r="G121" s="72"/>
      <c r="H121" s="68"/>
      <c r="I121" s="104"/>
      <c r="N121" s="74" t="s">
        <v>106</v>
      </c>
      <c r="O121" s="74"/>
      <c r="P121" s="74"/>
      <c r="Q121" s="74"/>
      <c r="R121" s="74"/>
      <c r="S121" s="74"/>
      <c r="T121" s="74"/>
      <c r="U121" s="74"/>
    </row>
    <row r="122" spans="1:21" x14ac:dyDescent="0.25">
      <c r="A122" s="3" t="s">
        <v>102</v>
      </c>
      <c r="B122" s="72"/>
      <c r="C122" s="72"/>
      <c r="D122" s="72"/>
      <c r="E122" s="72"/>
      <c r="F122" s="72"/>
      <c r="G122" s="286"/>
      <c r="H122" s="161">
        <f>IF(H120=1,I120,I117)</f>
        <v>3305656.6300000004</v>
      </c>
      <c r="I122" s="97">
        <f>ROUND(IF(E29=0,0,IF(E29&gt;250,-(((250/E29)*H122)*IF(G122="H",0.02,0.05)),IF(G122="H",-0.02*H122,-0.05*H122))),2)</f>
        <v>-100008.97</v>
      </c>
      <c r="N122" s="75" t="s">
        <v>107</v>
      </c>
      <c r="O122" s="74"/>
      <c r="P122" s="74"/>
      <c r="Q122" s="74"/>
      <c r="R122" s="74"/>
      <c r="S122" s="74"/>
      <c r="T122" s="74"/>
      <c r="U122" s="74"/>
    </row>
    <row r="123" spans="1:21" x14ac:dyDescent="0.25">
      <c r="B123" s="72"/>
      <c r="C123" s="72"/>
      <c r="D123" s="72"/>
      <c r="E123" s="72"/>
      <c r="F123" s="72"/>
      <c r="G123" s="72"/>
      <c r="H123" s="68"/>
      <c r="I123" s="104"/>
      <c r="N123" s="76"/>
      <c r="O123" s="76"/>
      <c r="P123" s="76"/>
      <c r="Q123" s="76"/>
      <c r="R123" s="76"/>
      <c r="S123" s="76"/>
      <c r="T123" s="76"/>
      <c r="U123" s="76"/>
    </row>
    <row r="124" spans="1:21" x14ac:dyDescent="0.25">
      <c r="A124" s="345" t="s">
        <v>103</v>
      </c>
      <c r="B124" s="346"/>
      <c r="C124" s="346"/>
      <c r="D124" s="346"/>
      <c r="E124" s="346"/>
      <c r="F124" s="346"/>
      <c r="G124" s="346"/>
      <c r="H124" s="347"/>
      <c r="I124" s="348">
        <f>I115+I122</f>
        <v>3320864.94</v>
      </c>
      <c r="N124" s="76"/>
      <c r="O124" s="76"/>
      <c r="P124" s="76"/>
      <c r="Q124" s="76"/>
      <c r="R124" s="76"/>
      <c r="S124" s="76"/>
      <c r="T124" s="76"/>
      <c r="U124" s="76"/>
    </row>
    <row r="125" spans="1:21" x14ac:dyDescent="0.25">
      <c r="B125" s="72"/>
      <c r="C125" s="72"/>
      <c r="D125" s="72"/>
      <c r="E125" s="72"/>
      <c r="F125" s="72"/>
      <c r="G125" s="72"/>
      <c r="H125" s="68"/>
      <c r="I125" s="104"/>
      <c r="N125" s="76"/>
      <c r="O125" s="76"/>
      <c r="P125" s="76"/>
      <c r="Q125" s="76"/>
      <c r="R125" s="76"/>
      <c r="S125" s="76"/>
      <c r="T125" s="76"/>
      <c r="U125" s="76"/>
    </row>
    <row r="126" spans="1:21" x14ac:dyDescent="0.25">
      <c r="A126" s="3" t="s">
        <v>104</v>
      </c>
      <c r="B126" s="72"/>
      <c r="C126" s="162"/>
      <c r="D126" s="72"/>
      <c r="F126" s="72"/>
      <c r="G126" s="72"/>
      <c r="H126" s="68"/>
      <c r="I126" s="302">
        <v>-2489583.59</v>
      </c>
      <c r="N126" s="76"/>
      <c r="O126" s="76"/>
      <c r="P126" s="76"/>
      <c r="Q126" s="76"/>
      <c r="R126" s="76"/>
      <c r="S126" s="76"/>
      <c r="T126" s="76"/>
      <c r="U126" s="76"/>
    </row>
    <row r="127" spans="1:21" x14ac:dyDescent="0.25">
      <c r="B127" s="72"/>
      <c r="C127" s="72"/>
      <c r="D127" s="72"/>
      <c r="E127" s="72"/>
      <c r="F127" s="72"/>
      <c r="G127" s="72"/>
      <c r="H127" s="68"/>
      <c r="I127" s="104"/>
      <c r="N127" s="76"/>
      <c r="O127" s="76"/>
      <c r="P127" s="76"/>
      <c r="Q127" s="76"/>
      <c r="R127" s="76"/>
      <c r="S127" s="76"/>
      <c r="T127" s="76"/>
      <c r="U127" s="76"/>
    </row>
    <row r="128" spans="1:21" x14ac:dyDescent="0.25">
      <c r="A128" s="84" t="s">
        <v>297</v>
      </c>
      <c r="B128" s="72"/>
      <c r="C128" s="72"/>
      <c r="D128" s="72"/>
      <c r="E128" s="72"/>
      <c r="F128" s="72"/>
      <c r="G128" s="72"/>
      <c r="H128" s="68"/>
      <c r="I128" s="104">
        <f>I124+I126</f>
        <v>831281.35000000009</v>
      </c>
      <c r="N128" s="76"/>
      <c r="O128" s="76"/>
      <c r="P128" s="76"/>
      <c r="Q128" s="76"/>
      <c r="R128" s="76"/>
      <c r="S128" s="76"/>
      <c r="T128" s="76"/>
      <c r="U128" s="76"/>
    </row>
    <row r="129" spans="1:21" x14ac:dyDescent="0.25">
      <c r="A129" s="84"/>
      <c r="B129" s="72"/>
      <c r="C129" s="72"/>
      <c r="D129" s="72"/>
      <c r="E129" s="72"/>
      <c r="F129" s="72"/>
      <c r="G129" s="72"/>
      <c r="H129" s="68"/>
      <c r="I129" s="104"/>
      <c r="N129" s="76"/>
      <c r="O129" s="76"/>
      <c r="P129" s="76"/>
      <c r="Q129" s="76"/>
      <c r="R129" s="76"/>
      <c r="S129" s="76"/>
      <c r="T129" s="76"/>
      <c r="U129" s="76"/>
    </row>
    <row r="130" spans="1:21" x14ac:dyDescent="0.25">
      <c r="A130" s="84" t="s">
        <v>298</v>
      </c>
      <c r="B130" s="72"/>
      <c r="C130" s="72"/>
      <c r="D130" s="72"/>
      <c r="E130" s="72"/>
      <c r="F130" s="72"/>
      <c r="G130" s="72"/>
      <c r="H130" s="68"/>
      <c r="I130" s="303">
        <f>'0664'!I130</f>
        <v>3</v>
      </c>
      <c r="N130" s="76"/>
      <c r="O130" s="76"/>
      <c r="P130" s="76"/>
      <c r="Q130" s="76"/>
      <c r="R130" s="76"/>
      <c r="S130" s="76"/>
      <c r="T130" s="76"/>
      <c r="U130" s="76"/>
    </row>
    <row r="131" spans="1:21" x14ac:dyDescent="0.25">
      <c r="B131" s="72"/>
      <c r="C131" s="72"/>
      <c r="D131" s="72"/>
      <c r="E131" s="72"/>
      <c r="F131" s="72"/>
      <c r="G131" s="72"/>
      <c r="H131" s="68"/>
      <c r="I131" s="104"/>
      <c r="N131" s="76"/>
      <c r="O131" s="76"/>
      <c r="P131" s="76"/>
      <c r="Q131" s="76"/>
      <c r="R131" s="76"/>
      <c r="S131" s="76"/>
      <c r="T131" s="76"/>
      <c r="U131" s="76"/>
    </row>
    <row r="132" spans="1:21" ht="16.5" thickBot="1" x14ac:dyDescent="0.3">
      <c r="A132" s="3" t="s">
        <v>105</v>
      </c>
      <c r="B132" s="72"/>
      <c r="C132" s="72"/>
      <c r="D132" s="72"/>
      <c r="E132" s="72"/>
      <c r="F132" s="72"/>
      <c r="G132" s="72"/>
      <c r="H132" s="68"/>
      <c r="I132" s="178">
        <f>ROUND(I128/I130,2)</f>
        <v>277093.78000000003</v>
      </c>
      <c r="N132" s="76"/>
      <c r="O132" s="76"/>
      <c r="P132" s="76"/>
      <c r="Q132" s="76"/>
      <c r="R132" s="76"/>
      <c r="S132" s="76"/>
      <c r="T132" s="76"/>
      <c r="U132" s="76"/>
    </row>
    <row r="133" spans="1:21" ht="16.5" thickTop="1" x14ac:dyDescent="0.25">
      <c r="B133" s="72"/>
      <c r="C133" s="72"/>
      <c r="D133" s="72"/>
      <c r="E133" s="72"/>
      <c r="F133" s="72"/>
      <c r="G133" s="72"/>
      <c r="H133" s="68"/>
      <c r="I133" s="104"/>
      <c r="N133" s="76"/>
      <c r="O133" s="76"/>
      <c r="P133" s="76"/>
      <c r="Q133" s="76"/>
      <c r="R133" s="76"/>
      <c r="S133" s="76"/>
      <c r="T133" s="76"/>
      <c r="U133" s="76"/>
    </row>
    <row r="134" spans="1:21" ht="16.5" thickBot="1" x14ac:dyDescent="0.3">
      <c r="A134" s="3" t="s">
        <v>121</v>
      </c>
      <c r="B134" s="72"/>
      <c r="C134" s="72"/>
      <c r="D134" s="72"/>
      <c r="E134" s="72"/>
      <c r="F134" s="72"/>
      <c r="G134" s="72"/>
      <c r="H134" s="68"/>
      <c r="I134" s="155">
        <f>ROUND(IF(G122="H",(H122*0.02)+I122,(H122*0.05)+I122),2)</f>
        <v>65273.86</v>
      </c>
      <c r="N134" s="76"/>
      <c r="O134" s="76"/>
      <c r="P134" s="76"/>
      <c r="Q134" s="76"/>
      <c r="R134" s="76"/>
      <c r="S134" s="76"/>
      <c r="T134" s="76"/>
      <c r="U134" s="76"/>
    </row>
    <row r="135" spans="1:21" ht="16.5" thickTop="1" x14ac:dyDescent="0.25">
      <c r="B135" s="72"/>
      <c r="C135" s="72"/>
      <c r="D135" s="72"/>
      <c r="E135" s="72"/>
      <c r="F135" s="72"/>
      <c r="G135" s="72"/>
      <c r="H135" s="68"/>
      <c r="I135" s="156"/>
      <c r="N135" s="76"/>
      <c r="O135" s="76"/>
      <c r="P135" s="76"/>
      <c r="Q135" s="76"/>
      <c r="R135" s="76"/>
      <c r="S135" s="76"/>
      <c r="T135" s="76"/>
      <c r="U135" s="76"/>
    </row>
    <row r="136" spans="1:21" x14ac:dyDescent="0.25">
      <c r="B136" s="72"/>
      <c r="C136" s="72"/>
      <c r="D136" s="72"/>
      <c r="E136" s="72"/>
      <c r="F136" s="72"/>
      <c r="G136" s="72"/>
      <c r="H136" s="68"/>
      <c r="I136" s="104"/>
      <c r="N136" s="76"/>
      <c r="O136" s="76"/>
      <c r="P136" s="76"/>
      <c r="Q136" s="76"/>
      <c r="R136" s="76"/>
      <c r="S136" s="76"/>
      <c r="T136" s="76"/>
      <c r="U136" s="76"/>
    </row>
    <row r="137" spans="1:21" x14ac:dyDescent="0.25">
      <c r="B137" s="72"/>
      <c r="C137" s="72"/>
      <c r="D137" s="72"/>
      <c r="E137" s="72"/>
      <c r="F137" s="72"/>
      <c r="G137" s="72"/>
      <c r="H137" s="68"/>
      <c r="I137" s="156"/>
      <c r="N137" s="76"/>
      <c r="O137" s="76"/>
      <c r="P137" s="76"/>
      <c r="Q137" s="76"/>
      <c r="R137" s="76"/>
      <c r="S137" s="76"/>
      <c r="T137" s="76"/>
      <c r="U137" s="76"/>
    </row>
    <row r="138" spans="1:21" x14ac:dyDescent="0.25">
      <c r="A138" s="281" t="s">
        <v>7</v>
      </c>
      <c r="B138" s="281"/>
      <c r="C138" s="281"/>
      <c r="D138" s="281"/>
      <c r="E138" s="281"/>
      <c r="F138" s="281"/>
      <c r="G138" s="281"/>
      <c r="H138" s="281"/>
      <c r="I138" s="281"/>
      <c r="J138" s="156"/>
      <c r="N138" s="76"/>
      <c r="O138" s="76"/>
      <c r="P138" s="76"/>
      <c r="Q138" s="76"/>
      <c r="R138" s="76"/>
      <c r="S138" s="76"/>
      <c r="T138" s="76"/>
      <c r="U138" s="76"/>
    </row>
    <row r="139" spans="1:21" ht="15.75" customHeight="1" x14ac:dyDescent="0.25">
      <c r="A139" s="356" t="str">
        <f>'0664'!A139</f>
        <v>(a) Additional FTE includes FTE earned through Advanced Placement, International Baccalaureate, Advanced International Certificate of Education, Industry Certified Career</v>
      </c>
      <c r="B139" s="357"/>
      <c r="C139" s="357"/>
      <c r="D139" s="357"/>
      <c r="E139" s="357"/>
      <c r="F139" s="357"/>
      <c r="G139" s="357"/>
      <c r="H139" s="357"/>
      <c r="I139" s="357"/>
      <c r="J139" s="80"/>
      <c r="K139" s="79"/>
      <c r="L139" s="79"/>
      <c r="M139" s="79"/>
      <c r="N139" s="477"/>
      <c r="O139" s="477"/>
      <c r="P139" s="477"/>
      <c r="Q139" s="477"/>
      <c r="R139" s="477"/>
      <c r="S139" s="477"/>
      <c r="T139" s="477"/>
      <c r="U139" s="477"/>
    </row>
    <row r="140" spans="1:21" ht="15.75" customHeight="1" x14ac:dyDescent="0.25">
      <c r="A140" s="390" t="str">
        <f>'0664'!A140</f>
        <v xml:space="preserve">Education (CAPE), Early High School Graduation and the small district ESE Supplement, pursuant to s. 1011.62(1)(l-p), F.S. </v>
      </c>
      <c r="B140" s="357"/>
      <c r="C140" s="357"/>
      <c r="D140" s="357"/>
      <c r="E140" s="357"/>
      <c r="F140" s="357"/>
      <c r="G140" s="357"/>
      <c r="H140" s="357"/>
      <c r="I140" s="357"/>
      <c r="J140" s="80"/>
      <c r="K140" s="79"/>
      <c r="L140" s="79"/>
      <c r="M140" s="79"/>
      <c r="N140" s="76"/>
      <c r="O140" s="76"/>
      <c r="P140" s="76"/>
      <c r="Q140" s="76"/>
      <c r="R140" s="76"/>
      <c r="S140" s="76"/>
      <c r="T140" s="76"/>
      <c r="U140" s="76"/>
    </row>
    <row r="141" spans="1:21" x14ac:dyDescent="0.25">
      <c r="A141" s="356" t="str">
        <f>'0664'!A141</f>
        <v>(b) District allocations multiplied by percentage from item 3A.</v>
      </c>
      <c r="B141" s="281"/>
      <c r="C141" s="281"/>
      <c r="D141" s="281"/>
      <c r="E141" s="281"/>
      <c r="F141" s="281"/>
      <c r="G141" s="281"/>
      <c r="H141" s="281"/>
      <c r="I141" s="281"/>
      <c r="J141" s="79"/>
      <c r="K141" s="79"/>
      <c r="L141" s="79"/>
      <c r="M141" s="79"/>
      <c r="N141" s="81"/>
      <c r="O141" s="82"/>
      <c r="P141" s="82"/>
      <c r="Q141" s="82"/>
      <c r="R141" s="82"/>
      <c r="S141" s="82"/>
      <c r="T141" s="82"/>
      <c r="U141" s="82"/>
    </row>
    <row r="142" spans="1:21" s="79" customFormat="1" x14ac:dyDescent="0.2">
      <c r="A142" s="356" t="str">
        <f>'0664'!A142</f>
        <v>(c) District allocations multiplied by percentage from item 3B.</v>
      </c>
      <c r="B142" s="281"/>
      <c r="C142" s="281"/>
      <c r="D142" s="281"/>
      <c r="E142" s="281"/>
      <c r="F142" s="281"/>
      <c r="G142" s="281"/>
      <c r="H142" s="281"/>
      <c r="I142" s="281"/>
      <c r="N142" s="81"/>
    </row>
    <row r="143" spans="1:21" s="79" customFormat="1" ht="15.75" customHeight="1" x14ac:dyDescent="0.2">
      <c r="A143" s="356" t="str">
        <f>'0664'!A143</f>
        <v>(d) The Digital Classroom Allocation is provided pursuant to s. 1011.62(12), F.S.</v>
      </c>
      <c r="B143" s="281"/>
      <c r="C143" s="281"/>
      <c r="D143" s="281"/>
      <c r="E143" s="281"/>
      <c r="F143" s="281"/>
      <c r="G143" s="281"/>
      <c r="H143" s="281"/>
      <c r="I143" s="281"/>
      <c r="N143" s="81"/>
    </row>
    <row r="144" spans="1:21" s="79" customFormat="1" ht="15.75" customHeight="1" x14ac:dyDescent="0.2">
      <c r="A144" s="356" t="str">
        <f>'0664'!A144</f>
        <v>(e) School districts are required to pay for instructional materials used for the instruction of public high school students who are earning credit toward high school</v>
      </c>
      <c r="B144" s="281"/>
      <c r="C144" s="281"/>
      <c r="D144" s="281"/>
      <c r="E144" s="281"/>
      <c r="F144" s="281"/>
      <c r="G144" s="281"/>
      <c r="H144" s="281"/>
      <c r="I144" s="281"/>
      <c r="N144" s="81"/>
    </row>
    <row r="145" spans="1:14" s="79" customFormat="1" ht="15.75" customHeight="1" x14ac:dyDescent="0.2">
      <c r="A145" s="390" t="str">
        <f>'0664'!A145</f>
        <v xml:space="preserve">graduation under the dual enrollment program as provided in s. 1011.62(l)(i), F.S.  </v>
      </c>
      <c r="B145" s="281"/>
      <c r="C145" s="281"/>
      <c r="D145" s="281"/>
      <c r="E145" s="281"/>
      <c r="F145" s="281"/>
      <c r="G145" s="281"/>
      <c r="H145" s="281"/>
      <c r="I145" s="281"/>
      <c r="N145" s="81"/>
    </row>
    <row r="146" spans="1:14" s="79" customFormat="1" x14ac:dyDescent="0.2">
      <c r="A146" s="356" t="str">
        <f>'0664'!A146</f>
        <v>(f) This allocation will be frozen as of the 2021-22 FEFP Second Calculation and will not be recalculated throughout the year. Charter school allocations should be</v>
      </c>
      <c r="B146" s="281"/>
      <c r="C146" s="281"/>
      <c r="D146" s="281"/>
      <c r="E146" s="281"/>
      <c r="F146" s="281"/>
      <c r="G146" s="281"/>
      <c r="H146" s="281"/>
      <c r="I146" s="281"/>
      <c r="N146" s="81"/>
    </row>
    <row r="147" spans="1:14" s="79" customFormat="1" x14ac:dyDescent="0.2">
      <c r="A147" s="358" t="str">
        <f>'0664'!A147</f>
        <v xml:space="preserve">distributed on weighted FTE (or base funding as is done in the FEFP) and should not be recalculated with fluctuations in student enrollment later in the year. </v>
      </c>
      <c r="B147" s="281"/>
      <c r="C147" s="281"/>
      <c r="D147" s="281"/>
      <c r="E147" s="281"/>
      <c r="F147" s="281"/>
      <c r="G147" s="281"/>
      <c r="H147" s="281"/>
      <c r="I147" s="281"/>
      <c r="N147" s="81"/>
    </row>
    <row r="148" spans="1:14" s="79" customFormat="1" x14ac:dyDescent="0.2">
      <c r="A148" s="356" t="str">
        <f>'0664'!A148</f>
        <v>(g) Numbers entered here will be multiplied by the district level transportation funding per rider. "All Adjusted Fundable Riders" should include both basic and ESE Riders.</v>
      </c>
      <c r="B148" s="281"/>
      <c r="C148" s="281"/>
      <c r="D148" s="281"/>
      <c r="E148" s="281"/>
      <c r="F148" s="281"/>
      <c r="G148" s="281"/>
      <c r="H148" s="281"/>
      <c r="I148" s="281"/>
      <c r="N148" s="81"/>
    </row>
    <row r="149" spans="1:14" s="79" customFormat="1" x14ac:dyDescent="0.2">
      <c r="A149" s="390" t="str">
        <f>'0664'!A149</f>
        <v>"All Adjusted ESE Riders" should include only ESE Riders.</v>
      </c>
      <c r="B149" s="281"/>
      <c r="C149" s="281"/>
      <c r="D149" s="281"/>
      <c r="E149" s="281"/>
      <c r="F149" s="281"/>
      <c r="G149" s="281"/>
      <c r="H149" s="281"/>
      <c r="I149" s="281"/>
      <c r="N149" s="81"/>
    </row>
    <row r="150" spans="1:14" s="79" customFormat="1" x14ac:dyDescent="0.2">
      <c r="A150" s="356" t="str">
        <f>'0664'!A150</f>
        <v xml:space="preserve">(h) The Federally Connected Student Supplement provides additional funding for students on federal lands that receive Section 8003 impact aide pursuant to s. 1011.62(13), F.S. </v>
      </c>
      <c r="B150" s="281"/>
      <c r="C150" s="281"/>
      <c r="D150" s="281"/>
      <c r="E150" s="281"/>
      <c r="F150" s="281"/>
      <c r="G150" s="281"/>
      <c r="H150" s="281"/>
      <c r="I150" s="281"/>
      <c r="N150" s="81"/>
    </row>
    <row r="151" spans="1:14" s="79" customFormat="1" x14ac:dyDescent="0.2">
      <c r="A151" s="356" t="str">
        <f>'0664'!A151</f>
        <v>(i) Teacher Classroom Supply Assistance Program allocation pursuant to s. 1012.71, F.S., for certified teachers employed by a public school district or public charter school</v>
      </c>
      <c r="B151" s="281"/>
      <c r="C151" s="281"/>
      <c r="D151" s="281"/>
      <c r="E151" s="281"/>
      <c r="F151" s="281"/>
      <c r="G151" s="281"/>
      <c r="H151" s="281"/>
      <c r="I151" s="281"/>
      <c r="N151" s="81"/>
    </row>
    <row r="152" spans="1:14" s="79" customFormat="1" x14ac:dyDescent="0.2">
      <c r="A152" s="358" t="str">
        <f>'0664'!A152</f>
        <v xml:space="preserve">before September 1 of each year whose full-time or job-share responsibility is the classroom instruction of students in prekindergarten through grade 12, including </v>
      </c>
      <c r="B152" s="281"/>
      <c r="C152" s="281"/>
      <c r="D152" s="281"/>
      <c r="E152" s="281"/>
      <c r="F152" s="281"/>
      <c r="G152" s="281"/>
      <c r="H152" s="281"/>
      <c r="I152" s="281"/>
      <c r="N152" s="81"/>
    </row>
    <row r="153" spans="1:14" s="79" customFormat="1" ht="15.75" customHeight="1" x14ac:dyDescent="0.2">
      <c r="A153" s="358" t="str">
        <f>'0664'!A153</f>
        <v>full-time media specialists and certified school counselors serving students in prekindergarten through grade 12, who are funded through the FEFP.</v>
      </c>
      <c r="B153" s="281"/>
      <c r="C153" s="281"/>
      <c r="D153" s="281"/>
      <c r="E153" s="281"/>
      <c r="F153" s="281"/>
      <c r="G153" s="281"/>
      <c r="H153" s="281"/>
      <c r="I153" s="281"/>
      <c r="N153" s="81"/>
    </row>
    <row r="154" spans="1:14" s="79" customFormat="1" ht="15.75" customHeight="1" x14ac:dyDescent="0.2">
      <c r="A154" s="356" t="str">
        <f>'0664'!A154</f>
        <v xml:space="preserve">(j) Funding based on student eligibility and meals provided, if participating in the National School Lunch Program. </v>
      </c>
      <c r="B154" s="328"/>
      <c r="C154" s="328"/>
      <c r="D154" s="328"/>
      <c r="E154" s="328"/>
      <c r="F154" s="328"/>
      <c r="G154" s="328"/>
      <c r="H154" s="328"/>
      <c r="I154" s="328"/>
      <c r="N154" s="81"/>
    </row>
    <row r="155" spans="1:14" s="79" customFormat="1" ht="15.75" customHeight="1" x14ac:dyDescent="0.2">
      <c r="A155" s="356" t="str">
        <f>'0664'!A155</f>
        <v>(k) Consistent with s. 1002.33(20)(a), F.S., for charter schools with a population of 75% or more ESE students, the administrative fee shall be calculated based on</v>
      </c>
      <c r="B155" s="381"/>
      <c r="C155" s="381"/>
      <c r="D155" s="381"/>
      <c r="E155" s="381"/>
      <c r="F155" s="381"/>
      <c r="G155" s="381"/>
      <c r="H155" s="381"/>
      <c r="I155" s="381"/>
      <c r="N155" s="81"/>
    </row>
    <row r="156" spans="1:14" s="79" customFormat="1" ht="15.75" customHeight="1" x14ac:dyDescent="0.2">
      <c r="A156" s="390" t="str">
        <f>'0664'!A156</f>
        <v xml:space="preserve">unweighted full-time equivalent students. </v>
      </c>
      <c r="B156" s="381"/>
      <c r="C156" s="381"/>
      <c r="D156" s="381"/>
      <c r="E156" s="381"/>
      <c r="F156" s="381"/>
      <c r="G156" s="381"/>
      <c r="H156" s="381"/>
      <c r="I156" s="381"/>
      <c r="N156" s="81"/>
    </row>
    <row r="157" spans="1:14" s="79" customFormat="1" ht="15.75" customHeight="1" x14ac:dyDescent="0.2">
      <c r="A157" s="356"/>
      <c r="B157" s="381"/>
      <c r="C157" s="381"/>
      <c r="D157" s="381"/>
      <c r="E157" s="381"/>
      <c r="F157" s="381"/>
      <c r="G157" s="381"/>
      <c r="H157" s="381"/>
      <c r="I157" s="381"/>
      <c r="N157" s="81"/>
    </row>
    <row r="158" spans="1:14" s="79" customFormat="1" ht="15.75" customHeight="1" x14ac:dyDescent="0.25">
      <c r="A158" s="398" t="str">
        <f>'0664'!A158</f>
        <v>Administrative fees:</v>
      </c>
      <c r="B158" s="328"/>
      <c r="C158" s="328"/>
      <c r="D158" s="328"/>
      <c r="E158" s="328"/>
      <c r="F158" s="328"/>
      <c r="G158" s="328"/>
      <c r="H158" s="328"/>
      <c r="I158" s="328"/>
      <c r="J158" s="3"/>
      <c r="K158" s="3"/>
      <c r="L158" s="3"/>
      <c r="M158" s="3"/>
      <c r="N158" s="81"/>
    </row>
    <row r="159" spans="1:14" s="79" customFormat="1" ht="15.75" customHeight="1" x14ac:dyDescent="0.25">
      <c r="A159" s="399" t="str">
        <f>'0664'!A159</f>
        <v xml:space="preserve">Administrative fees charged by the school district pursuant to s. 1002.33(20)(a), F.S., shall be calculated based upon 5% of available funds from the FEFP and categorical </v>
      </c>
      <c r="B159" s="328"/>
      <c r="C159" s="328"/>
      <c r="D159" s="328"/>
      <c r="E159" s="328"/>
      <c r="F159" s="328"/>
      <c r="G159" s="328"/>
      <c r="H159" s="328"/>
      <c r="I159" s="328"/>
      <c r="J159" s="3"/>
      <c r="K159" s="3"/>
      <c r="L159" s="3"/>
      <c r="M159" s="3"/>
      <c r="N159" s="81"/>
    </row>
    <row r="160" spans="1:14" s="79" customFormat="1" ht="15.75" customHeight="1" x14ac:dyDescent="0.25">
      <c r="A160" s="400" t="str">
        <f>'0664'!A160</f>
        <v>funding for which charter students may be eligible.  To calculate the administrative fee to be withheld for schools with more than 250 students, divide the school</v>
      </c>
      <c r="B160" s="328"/>
      <c r="C160" s="328"/>
      <c r="D160" s="328"/>
      <c r="E160" s="328"/>
      <c r="F160" s="328"/>
      <c r="G160" s="328"/>
      <c r="H160" s="328"/>
      <c r="I160" s="328"/>
      <c r="J160" s="3"/>
      <c r="K160" s="3"/>
      <c r="L160" s="3"/>
      <c r="M160" s="3"/>
      <c r="N160" s="81"/>
    </row>
    <row r="161" spans="1:21" s="79" customFormat="1" ht="15.75" customHeight="1" x14ac:dyDescent="0.25">
      <c r="A161" s="400" t="str">
        <f>'0664'!A161</f>
        <v xml:space="preserve">population into 250. Multiply that fraction times the funds available, then times 5%.  </v>
      </c>
      <c r="B161" s="328"/>
      <c r="C161" s="328"/>
      <c r="D161" s="328"/>
      <c r="E161" s="328"/>
      <c r="F161" s="328"/>
      <c r="G161" s="328"/>
      <c r="H161" s="328"/>
      <c r="I161" s="328"/>
      <c r="J161" s="3"/>
      <c r="K161" s="3"/>
      <c r="L161" s="3"/>
      <c r="M161" s="3"/>
      <c r="N161" s="81"/>
    </row>
    <row r="162" spans="1:21" s="79" customFormat="1" ht="15.75" customHeight="1" x14ac:dyDescent="0.25">
      <c r="A162" s="399"/>
      <c r="B162" s="394"/>
      <c r="C162" s="394"/>
      <c r="D162" s="394"/>
      <c r="E162" s="394"/>
      <c r="F162" s="394"/>
      <c r="G162" s="394"/>
      <c r="H162" s="394"/>
      <c r="I162" s="394"/>
      <c r="N162" s="77"/>
      <c r="O162" s="3"/>
      <c r="P162" s="3"/>
      <c r="Q162" s="3"/>
      <c r="R162" s="3"/>
      <c r="S162" s="3"/>
      <c r="T162" s="3"/>
      <c r="U162" s="3"/>
    </row>
    <row r="163" spans="1:21" ht="15.75" customHeight="1" x14ac:dyDescent="0.25">
      <c r="A163" s="399" t="str">
        <f>'0664'!A163</f>
        <v xml:space="preserve">For high performing charter schools, administrative fees charged by the school district shall be calculated based upon 2% of available funds from the FEFP and categorical </v>
      </c>
      <c r="B163" s="328"/>
      <c r="C163" s="328"/>
      <c r="D163" s="328"/>
      <c r="E163" s="328"/>
      <c r="F163" s="328"/>
      <c r="G163" s="328"/>
      <c r="H163" s="328"/>
      <c r="I163" s="328"/>
      <c r="J163" s="79"/>
      <c r="K163" s="79"/>
      <c r="L163" s="79"/>
      <c r="M163" s="79"/>
      <c r="N163" s="81"/>
      <c r="O163" s="79"/>
      <c r="P163" s="79"/>
      <c r="Q163" s="79"/>
      <c r="R163" s="79"/>
      <c r="S163" s="79"/>
      <c r="T163" s="79"/>
      <c r="U163" s="79"/>
    </row>
    <row r="164" spans="1:21" ht="15.75" customHeight="1" x14ac:dyDescent="0.25">
      <c r="A164" s="400" t="str">
        <f>'0664'!A164</f>
        <v>funding for which charter students may be eligible.  To calculate the administrative fee to be withheld for schools with more than 250 students, divide the school</v>
      </c>
      <c r="B164" s="381"/>
      <c r="C164" s="381"/>
      <c r="D164" s="381"/>
      <c r="E164" s="381"/>
      <c r="F164" s="381"/>
      <c r="G164" s="381"/>
      <c r="H164" s="381"/>
      <c r="I164" s="381"/>
      <c r="J164" s="79"/>
      <c r="K164" s="79"/>
      <c r="L164" s="79"/>
      <c r="M164" s="79"/>
      <c r="N164" s="81"/>
      <c r="O164" s="79"/>
      <c r="P164" s="79"/>
      <c r="Q164" s="79"/>
      <c r="R164" s="79"/>
      <c r="S164" s="79"/>
      <c r="T164" s="79"/>
      <c r="U164" s="79"/>
    </row>
    <row r="165" spans="1:21" s="79" customFormat="1" ht="15.75" customHeight="1" x14ac:dyDescent="0.2">
      <c r="A165" s="400" t="str">
        <f>'0664'!A165</f>
        <v xml:space="preserve">population into 250. Multiply that fraction times the funds available, then times 2%.  </v>
      </c>
      <c r="B165" s="328"/>
      <c r="C165" s="328"/>
      <c r="D165" s="328"/>
      <c r="E165" s="328"/>
      <c r="F165" s="328"/>
      <c r="G165" s="328"/>
      <c r="H165" s="328"/>
      <c r="I165" s="328"/>
      <c r="N165" s="81"/>
    </row>
    <row r="166" spans="1:21" x14ac:dyDescent="0.25">
      <c r="A166" s="356"/>
      <c r="N166" s="77"/>
    </row>
    <row r="167" spans="1:21" x14ac:dyDescent="0.25">
      <c r="A167" s="398" t="str">
        <f>'0664'!A167</f>
        <v>Other:</v>
      </c>
      <c r="N167" s="77"/>
    </row>
    <row r="168" spans="1:21" x14ac:dyDescent="0.25">
      <c r="A168" s="399" t="str">
        <f>'0664'!A168</f>
        <v>FEFP and categorical funding are recalculated during the year to reflect the revised number of full-time equivalent students reported during the survey periods designated</v>
      </c>
      <c r="N168" s="77"/>
    </row>
    <row r="169" spans="1:21" x14ac:dyDescent="0.25">
      <c r="A169" s="402" t="str">
        <f>'0664'!A169</f>
        <v>by the Commissioner of Education.</v>
      </c>
      <c r="N169" s="77"/>
    </row>
    <row r="170" spans="1:21" x14ac:dyDescent="0.25">
      <c r="A170" s="399" t="str">
        <f>'0664'!A170</f>
        <v>Revenues flow to districts from state sources and from county tax collectors on various distribution schedules.</v>
      </c>
      <c r="N170" s="77"/>
    </row>
    <row r="171" spans="1:21" x14ac:dyDescent="0.25">
      <c r="A171" s="77"/>
      <c r="N171" s="77"/>
    </row>
    <row r="172" spans="1:21" x14ac:dyDescent="0.25">
      <c r="A172" s="77"/>
      <c r="N172" s="77"/>
    </row>
    <row r="173" spans="1:21" x14ac:dyDescent="0.25">
      <c r="A173" s="77"/>
      <c r="N173" s="77"/>
    </row>
    <row r="174" spans="1:21" x14ac:dyDescent="0.25">
      <c r="A174" s="77"/>
      <c r="N174" s="77"/>
    </row>
    <row r="175" spans="1:21" x14ac:dyDescent="0.25">
      <c r="A175" s="77"/>
      <c r="N175" s="77"/>
    </row>
    <row r="176" spans="1:21" x14ac:dyDescent="0.25">
      <c r="A176" s="77"/>
      <c r="N176" s="77"/>
    </row>
    <row r="177" spans="1:14" x14ac:dyDescent="0.25">
      <c r="A177" s="77"/>
      <c r="N177" s="77"/>
    </row>
    <row r="178" spans="1:14" x14ac:dyDescent="0.25">
      <c r="A178" s="77"/>
      <c r="N178" s="77"/>
    </row>
    <row r="179" spans="1:14" x14ac:dyDescent="0.25">
      <c r="A179" s="77"/>
      <c r="N179" s="77"/>
    </row>
    <row r="180" spans="1:14" x14ac:dyDescent="0.25">
      <c r="A180" s="77"/>
      <c r="N180" s="77"/>
    </row>
    <row r="181" spans="1:14" x14ac:dyDescent="0.25">
      <c r="A181" s="77"/>
      <c r="N181" s="77"/>
    </row>
    <row r="182" spans="1:14" x14ac:dyDescent="0.25">
      <c r="A182" s="77"/>
      <c r="N182" s="77"/>
    </row>
    <row r="183" spans="1:14" x14ac:dyDescent="0.25">
      <c r="A183" s="77"/>
      <c r="N183" s="77"/>
    </row>
    <row r="184" spans="1:14" x14ac:dyDescent="0.25">
      <c r="A184" s="77"/>
      <c r="N184" s="77"/>
    </row>
    <row r="185" spans="1:14" x14ac:dyDescent="0.25">
      <c r="A185" s="77"/>
      <c r="N185" s="77"/>
    </row>
    <row r="186" spans="1:14" x14ac:dyDescent="0.25">
      <c r="A186" s="77"/>
      <c r="N186" s="77"/>
    </row>
    <row r="187" spans="1:14" x14ac:dyDescent="0.25">
      <c r="A187" s="77"/>
      <c r="N187" s="77"/>
    </row>
    <row r="188" spans="1:14" x14ac:dyDescent="0.25">
      <c r="A188" s="77"/>
    </row>
    <row r="189" spans="1:14" x14ac:dyDescent="0.25">
      <c r="A189" s="77"/>
    </row>
    <row r="190" spans="1:14" x14ac:dyDescent="0.25">
      <c r="A190" s="77"/>
    </row>
    <row r="191" spans="1:14" x14ac:dyDescent="0.25">
      <c r="A191" s="77"/>
    </row>
    <row r="192" spans="1:14" x14ac:dyDescent="0.25">
      <c r="A192" s="77"/>
    </row>
    <row r="193" spans="1:1" x14ac:dyDescent="0.25">
      <c r="A193" s="77"/>
    </row>
    <row r="194" spans="1:1" x14ac:dyDescent="0.25">
      <c r="A194" s="77"/>
    </row>
    <row r="195" spans="1:1" x14ac:dyDescent="0.25">
      <c r="A195" s="77"/>
    </row>
    <row r="196" spans="1:1" x14ac:dyDescent="0.25">
      <c r="A196" s="77"/>
    </row>
    <row r="197" spans="1:1" x14ac:dyDescent="0.25">
      <c r="A197" s="77"/>
    </row>
    <row r="198" spans="1:1" x14ac:dyDescent="0.25">
      <c r="A198" s="77"/>
    </row>
    <row r="199" spans="1:1" x14ac:dyDescent="0.25">
      <c r="A199" s="77"/>
    </row>
    <row r="200" spans="1:1" x14ac:dyDescent="0.25">
      <c r="A200" s="77"/>
    </row>
    <row r="201" spans="1:1" x14ac:dyDescent="0.25">
      <c r="A201" s="77"/>
    </row>
    <row r="202" spans="1:1" x14ac:dyDescent="0.25">
      <c r="A202" s="77"/>
    </row>
    <row r="203" spans="1:1" x14ac:dyDescent="0.25">
      <c r="A203" s="77"/>
    </row>
    <row r="204" spans="1:1" x14ac:dyDescent="0.25">
      <c r="A204" s="77"/>
    </row>
    <row r="205" spans="1:1" x14ac:dyDescent="0.25">
      <c r="A205" s="77"/>
    </row>
    <row r="206" spans="1:1" x14ac:dyDescent="0.25">
      <c r="A206" s="77"/>
    </row>
  </sheetData>
  <mergeCells count="266">
    <mergeCell ref="N139:U139"/>
    <mergeCell ref="A112:C112"/>
    <mergeCell ref="F112:H112"/>
    <mergeCell ref="N112:P112"/>
    <mergeCell ref="A113:C113"/>
    <mergeCell ref="F113:H113"/>
    <mergeCell ref="N114:T114"/>
    <mergeCell ref="A115:H115"/>
    <mergeCell ref="A119:G119"/>
    <mergeCell ref="N119:U119"/>
    <mergeCell ref="A108:B108"/>
    <mergeCell ref="F108:G108"/>
    <mergeCell ref="N108:O108"/>
    <mergeCell ref="P108:Q108"/>
    <mergeCell ref="R108:S108"/>
    <mergeCell ref="A120:G120"/>
    <mergeCell ref="N120:U120"/>
    <mergeCell ref="N113:P113"/>
    <mergeCell ref="A109:B109"/>
    <mergeCell ref="F109:G109"/>
    <mergeCell ref="N109:O109"/>
    <mergeCell ref="P109:Q109"/>
    <mergeCell ref="R109:S109"/>
    <mergeCell ref="A110:B110"/>
    <mergeCell ref="N110:O110"/>
    <mergeCell ref="C104:E104"/>
    <mergeCell ref="F105:G105"/>
    <mergeCell ref="A106:B106"/>
    <mergeCell ref="F106:G106"/>
    <mergeCell ref="N106:O106"/>
    <mergeCell ref="P106:Q106"/>
    <mergeCell ref="R106:S106"/>
    <mergeCell ref="A107:B107"/>
    <mergeCell ref="F107:G107"/>
    <mergeCell ref="N107:O107"/>
    <mergeCell ref="P107:Q107"/>
    <mergeCell ref="R107:S107"/>
    <mergeCell ref="A99:B99"/>
    <mergeCell ref="N99:O99"/>
    <mergeCell ref="P99:R99"/>
    <mergeCell ref="A100:B100"/>
    <mergeCell ref="N100:O100"/>
    <mergeCell ref="P100:R100"/>
    <mergeCell ref="A103:C103"/>
    <mergeCell ref="F103:I103"/>
    <mergeCell ref="N103:U103"/>
    <mergeCell ref="C91:D91"/>
    <mergeCell ref="P91:Q91"/>
    <mergeCell ref="C92:D92"/>
    <mergeCell ref="P92:Q92"/>
    <mergeCell ref="C93:D93"/>
    <mergeCell ref="P93:T93"/>
    <mergeCell ref="A94:I94"/>
    <mergeCell ref="N94:U94"/>
    <mergeCell ref="F96:I96"/>
    <mergeCell ref="N96:P96"/>
    <mergeCell ref="Q96:T96"/>
    <mergeCell ref="A87:I87"/>
    <mergeCell ref="N87:U87"/>
    <mergeCell ref="C88:D88"/>
    <mergeCell ref="C89:D89"/>
    <mergeCell ref="N89:O89"/>
    <mergeCell ref="P89:Q89"/>
    <mergeCell ref="R89:U89"/>
    <mergeCell ref="C90:D90"/>
    <mergeCell ref="P90:Q90"/>
    <mergeCell ref="A80:C80"/>
    <mergeCell ref="N80:P80"/>
    <mergeCell ref="A85:C85"/>
    <mergeCell ref="N85:P85"/>
    <mergeCell ref="F73:H73"/>
    <mergeCell ref="N73:T73"/>
    <mergeCell ref="N74:T74"/>
    <mergeCell ref="A78:C78"/>
    <mergeCell ref="N78:P78"/>
    <mergeCell ref="A79:C79"/>
    <mergeCell ref="A69:C69"/>
    <mergeCell ref="N69:P69"/>
    <mergeCell ref="N79:P79"/>
    <mergeCell ref="A76:C76"/>
    <mergeCell ref="N76:P76"/>
    <mergeCell ref="A77:C77"/>
    <mergeCell ref="A70:C70"/>
    <mergeCell ref="A71:C71"/>
    <mergeCell ref="N71:P71"/>
    <mergeCell ref="A72:C72"/>
    <mergeCell ref="N77:P77"/>
    <mergeCell ref="N72:P72"/>
    <mergeCell ref="A65:B65"/>
    <mergeCell ref="D65:G65"/>
    <mergeCell ref="N65:O65"/>
    <mergeCell ref="Q65:S65"/>
    <mergeCell ref="T65:U65"/>
    <mergeCell ref="N66:S66"/>
    <mergeCell ref="T66:U66"/>
    <mergeCell ref="A68:C68"/>
    <mergeCell ref="N68:P68"/>
    <mergeCell ref="A62:B62"/>
    <mergeCell ref="D62:G62"/>
    <mergeCell ref="N62:O62"/>
    <mergeCell ref="Q62:S62"/>
    <mergeCell ref="T62:U62"/>
    <mergeCell ref="N63:S63"/>
    <mergeCell ref="T63:U63"/>
    <mergeCell ref="A64:I64"/>
    <mergeCell ref="N64:U64"/>
    <mergeCell ref="A59:B59"/>
    <mergeCell ref="F59:H59"/>
    <mergeCell ref="N59:O59"/>
    <mergeCell ref="P59:Q59"/>
    <mergeCell ref="R59:T59"/>
    <mergeCell ref="A60:I60"/>
    <mergeCell ref="N60:U60"/>
    <mergeCell ref="A61:I61"/>
    <mergeCell ref="N61:U61"/>
    <mergeCell ref="A50:B58"/>
    <mergeCell ref="N50:O58"/>
    <mergeCell ref="P50:Q50"/>
    <mergeCell ref="P51:Q51"/>
    <mergeCell ref="P52:Q52"/>
    <mergeCell ref="P53:Q53"/>
    <mergeCell ref="P54:Q54"/>
    <mergeCell ref="P55:Q55"/>
    <mergeCell ref="P56:Q56"/>
    <mergeCell ref="P57:Q57"/>
    <mergeCell ref="P58:Q58"/>
    <mergeCell ref="A42:B42"/>
    <mergeCell ref="N42:O42"/>
    <mergeCell ref="P42:T42"/>
    <mergeCell ref="N43:Q43"/>
    <mergeCell ref="S43:T43"/>
    <mergeCell ref="N45:Q45"/>
    <mergeCell ref="S45:T45"/>
    <mergeCell ref="N49:O49"/>
    <mergeCell ref="P49:Q49"/>
    <mergeCell ref="A39:B39"/>
    <mergeCell ref="N39:O39"/>
    <mergeCell ref="P39:T39"/>
    <mergeCell ref="A40:B40"/>
    <mergeCell ref="N40:O40"/>
    <mergeCell ref="P40:T40"/>
    <mergeCell ref="A41:B41"/>
    <mergeCell ref="N41:O41"/>
    <mergeCell ref="P41:T41"/>
    <mergeCell ref="F33:H36"/>
    <mergeCell ref="N34:T34"/>
    <mergeCell ref="A36:B36"/>
    <mergeCell ref="N36:O36"/>
    <mergeCell ref="P36:T36"/>
    <mergeCell ref="A37:B37"/>
    <mergeCell ref="N37:O37"/>
    <mergeCell ref="P37:T37"/>
    <mergeCell ref="A38:B38"/>
    <mergeCell ref="N38:O38"/>
    <mergeCell ref="P38:T38"/>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A20:B20"/>
    <mergeCell ref="F20:G20"/>
    <mergeCell ref="N20:O20"/>
    <mergeCell ref="P20:Q20"/>
    <mergeCell ref="R20:S20"/>
    <mergeCell ref="A21:B21"/>
    <mergeCell ref="F21:G21"/>
    <mergeCell ref="N21:O21"/>
    <mergeCell ref="P21:Q21"/>
    <mergeCell ref="R21:S21"/>
    <mergeCell ref="A18:B18"/>
    <mergeCell ref="F18:G18"/>
    <mergeCell ref="N18:O18"/>
    <mergeCell ref="P18:Q18"/>
    <mergeCell ref="R18:S18"/>
    <mergeCell ref="A19:B19"/>
    <mergeCell ref="F19:G19"/>
    <mergeCell ref="N19:O19"/>
    <mergeCell ref="P19:Q19"/>
    <mergeCell ref="R19:S19"/>
    <mergeCell ref="A16:B16"/>
    <mergeCell ref="F16:G16"/>
    <mergeCell ref="N16:O16"/>
    <mergeCell ref="P16:Q16"/>
    <mergeCell ref="R16:S16"/>
    <mergeCell ref="A17:B17"/>
    <mergeCell ref="F17:G17"/>
    <mergeCell ref="N17:O17"/>
    <mergeCell ref="P17:Q17"/>
    <mergeCell ref="R17:S17"/>
    <mergeCell ref="A14:B14"/>
    <mergeCell ref="F14:G14"/>
    <mergeCell ref="N14:O14"/>
    <mergeCell ref="P14:Q14"/>
    <mergeCell ref="R14:S14"/>
    <mergeCell ref="A15:B15"/>
    <mergeCell ref="F15:G15"/>
    <mergeCell ref="N15:O15"/>
    <mergeCell ref="P15:Q15"/>
    <mergeCell ref="R15:S15"/>
    <mergeCell ref="A12:B12"/>
    <mergeCell ref="F12:G12"/>
    <mergeCell ref="N12:O12"/>
    <mergeCell ref="P12:Q12"/>
    <mergeCell ref="R12:S12"/>
    <mergeCell ref="A13:B13"/>
    <mergeCell ref="F13:G13"/>
    <mergeCell ref="N13:O13"/>
    <mergeCell ref="P13:Q13"/>
    <mergeCell ref="R13:S13"/>
    <mergeCell ref="N8:O8"/>
    <mergeCell ref="P8:Q8"/>
    <mergeCell ref="R8:S8"/>
    <mergeCell ref="T8:U8"/>
    <mergeCell ref="F10:G10"/>
    <mergeCell ref="R10:S10"/>
    <mergeCell ref="A11:B11"/>
    <mergeCell ref="F11:G11"/>
    <mergeCell ref="N11:O11"/>
    <mergeCell ref="P11:Q11"/>
    <mergeCell ref="R11:S11"/>
    <mergeCell ref="B1:I1"/>
    <mergeCell ref="O1:U1"/>
    <mergeCell ref="N2:U2"/>
    <mergeCell ref="N3:U3"/>
    <mergeCell ref="A4:B4"/>
    <mergeCell ref="C4:E4"/>
    <mergeCell ref="N4:O4"/>
    <mergeCell ref="P4:Q4"/>
    <mergeCell ref="A7:I7"/>
    <mergeCell ref="N7:U7"/>
  </mergeCells>
  <pageMargins left="0.1" right="0.1" top="0.5" bottom="0.5" header="0" footer="0.1"/>
  <pageSetup scale="70" fitToHeight="3" orientation="portrait" r:id="rId1"/>
  <headerFooter alignWithMargins="0">
    <oddFooter>&amp;R&amp;P of &amp;N</oddFooter>
  </headerFooter>
  <rowBreaks count="1" manualBreakCount="1">
    <brk id="138" max="16383" man="1"/>
  </rowBreaks>
  <colBreaks count="1" manualBreakCount="1">
    <brk id="9" max="1048575" man="1"/>
  </colBreaks>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9">
    <tabColor rgb="FFCCFFCC"/>
  </sheetPr>
  <dimension ref="A1:U206"/>
  <sheetViews>
    <sheetView showGridLines="0" zoomScaleNormal="100" workbookViewId="0">
      <pane ySplit="1" topLeftCell="A12" activePane="bottomLeft" state="frozen"/>
      <selection activeCell="I9" sqref="I9"/>
      <selection pane="bottomLeft" activeCell="D55" sqref="D55"/>
    </sheetView>
  </sheetViews>
  <sheetFormatPr defaultRowHeight="15.75" x14ac:dyDescent="0.25"/>
  <cols>
    <col min="1" max="1" width="10.28515625" style="72"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72"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5">
        <v>50</v>
      </c>
      <c r="B1" s="441" t="s">
        <v>17</v>
      </c>
      <c r="C1" s="442"/>
      <c r="D1" s="442"/>
      <c r="E1" s="442"/>
      <c r="F1" s="442"/>
      <c r="G1" s="442"/>
      <c r="H1" s="442"/>
      <c r="I1" s="442"/>
      <c r="J1" s="157"/>
      <c r="K1" s="157"/>
      <c r="L1" s="157"/>
      <c r="N1" s="85">
        <f>A1</f>
        <v>50</v>
      </c>
      <c r="O1" s="527" t="s">
        <v>17</v>
      </c>
      <c r="P1" s="528"/>
      <c r="Q1" s="528"/>
      <c r="R1" s="528"/>
      <c r="S1" s="528"/>
      <c r="T1" s="528"/>
      <c r="U1" s="528"/>
    </row>
    <row r="2" spans="1:21" ht="21" x14ac:dyDescent="0.35">
      <c r="A2" s="1" t="s">
        <v>324</v>
      </c>
      <c r="B2" s="2"/>
      <c r="C2" s="2"/>
      <c r="D2" s="2"/>
      <c r="E2" s="2"/>
      <c r="F2" s="2"/>
      <c r="G2" s="2"/>
      <c r="H2" s="2"/>
      <c r="I2" s="2"/>
      <c r="N2" s="529" t="s">
        <v>23</v>
      </c>
      <c r="O2" s="529"/>
      <c r="P2" s="529"/>
      <c r="Q2" s="529"/>
      <c r="R2" s="529"/>
      <c r="S2" s="529"/>
      <c r="T2" s="529"/>
      <c r="U2" s="529"/>
    </row>
    <row r="3" spans="1:21" x14ac:dyDescent="0.25">
      <c r="A3" s="84" t="str">
        <f>'0664'!A3</f>
        <v>Based on the FLDOE 2022-23 FEFP Third Calculation</v>
      </c>
      <c r="N3" s="485" t="str">
        <f>A3</f>
        <v>Based on the FLDOE 2022-23 FEFP Third Calculation</v>
      </c>
      <c r="O3" s="485"/>
      <c r="P3" s="485"/>
      <c r="Q3" s="485"/>
      <c r="R3" s="485"/>
      <c r="S3" s="485"/>
      <c r="T3" s="485"/>
      <c r="U3" s="485"/>
    </row>
    <row r="4" spans="1:21" x14ac:dyDescent="0.25">
      <c r="A4" s="443" t="s">
        <v>0</v>
      </c>
      <c r="B4" s="443"/>
      <c r="C4" s="444" t="s">
        <v>9</v>
      </c>
      <c r="D4" s="444"/>
      <c r="E4" s="444"/>
      <c r="F4" s="4" t="str">
        <f>'0664'!F4</f>
        <v>Apr 2023</v>
      </c>
      <c r="G4" s="4"/>
      <c r="H4" s="4"/>
      <c r="I4" s="4"/>
      <c r="N4" s="530" t="s">
        <v>0</v>
      </c>
      <c r="O4" s="530"/>
      <c r="P4" s="531" t="str">
        <f>C4</f>
        <v>Palm Beach</v>
      </c>
      <c r="Q4" s="531"/>
      <c r="R4" s="5"/>
      <c r="S4" s="5"/>
      <c r="T4" s="5"/>
      <c r="U4" s="5"/>
    </row>
    <row r="5" spans="1:21" ht="12" customHeight="1" thickBot="1" x14ac:dyDescent="0.3">
      <c r="A5" s="262"/>
      <c r="B5" s="262"/>
      <c r="C5" s="253"/>
      <c r="D5" s="253"/>
      <c r="E5" s="253"/>
      <c r="F5" s="254"/>
      <c r="G5" s="254"/>
      <c r="H5" s="254"/>
      <c r="I5" s="254"/>
      <c r="N5" s="86"/>
      <c r="O5" s="86"/>
      <c r="P5" s="6"/>
      <c r="Q5" s="6"/>
      <c r="R5" s="5"/>
      <c r="S5" s="5"/>
      <c r="T5" s="5"/>
      <c r="U5" s="5"/>
    </row>
    <row r="6" spans="1:21" ht="12" customHeight="1" x14ac:dyDescent="0.25">
      <c r="A6" s="150"/>
      <c r="B6" s="150"/>
      <c r="C6" s="261"/>
      <c r="D6" s="261"/>
      <c r="E6" s="261"/>
      <c r="F6" s="4"/>
      <c r="G6" s="4"/>
      <c r="H6" s="4"/>
      <c r="I6" s="4"/>
      <c r="N6" s="86"/>
      <c r="O6" s="86"/>
      <c r="P6" s="6"/>
      <c r="Q6" s="6"/>
      <c r="R6" s="5"/>
      <c r="S6" s="5"/>
      <c r="T6" s="5"/>
      <c r="U6" s="5"/>
    </row>
    <row r="7" spans="1:21" x14ac:dyDescent="0.25">
      <c r="A7" s="445" t="str">
        <f>'0664'!A7:I7</f>
        <v>1.   2022-23 FEFP State and Local Funding</v>
      </c>
      <c r="B7" s="533"/>
      <c r="C7" s="533"/>
      <c r="D7" s="533"/>
      <c r="E7" s="533"/>
      <c r="F7" s="533"/>
      <c r="G7" s="533"/>
      <c r="H7" s="533"/>
      <c r="I7" s="533"/>
      <c r="N7" s="530" t="s">
        <v>86</v>
      </c>
      <c r="O7" s="530"/>
      <c r="P7" s="530"/>
      <c r="Q7" s="530"/>
      <c r="R7" s="530"/>
      <c r="S7" s="530"/>
      <c r="T7" s="530"/>
      <c r="U7" s="530"/>
    </row>
    <row r="8" spans="1:21" x14ac:dyDescent="0.25">
      <c r="A8" s="87"/>
      <c r="B8" s="88" t="s">
        <v>123</v>
      </c>
      <c r="C8" s="334">
        <f>'0664'!C8</f>
        <v>4587.3999999999996</v>
      </c>
      <c r="D8" s="89"/>
      <c r="E8" s="90"/>
      <c r="F8" s="87"/>
      <c r="G8" s="88" t="s">
        <v>122</v>
      </c>
      <c r="H8" s="320">
        <f>'0664'!H8</f>
        <v>1.0438000000000001</v>
      </c>
      <c r="I8" s="78"/>
      <c r="N8" s="534" t="s">
        <v>10</v>
      </c>
      <c r="O8" s="534"/>
      <c r="P8" s="535">
        <v>4154.45</v>
      </c>
      <c r="Q8" s="535"/>
      <c r="R8" s="518" t="s">
        <v>11</v>
      </c>
      <c r="S8" s="518"/>
      <c r="T8" s="519">
        <f>H8</f>
        <v>1.0438000000000001</v>
      </c>
      <c r="U8" s="519"/>
    </row>
    <row r="9" spans="1:21" x14ac:dyDescent="0.25">
      <c r="A9" s="7"/>
      <c r="B9" s="44" t="s">
        <v>370</v>
      </c>
      <c r="C9" s="372" t="s">
        <v>370</v>
      </c>
      <c r="D9" s="372" t="s">
        <v>370</v>
      </c>
      <c r="E9" s="8"/>
      <c r="F9" s="9"/>
      <c r="G9" s="9"/>
      <c r="H9" s="10"/>
      <c r="I9" s="340" t="str">
        <f>'0664'!I9</f>
        <v>2022-23</v>
      </c>
      <c r="N9" s="12"/>
      <c r="O9" s="12"/>
      <c r="P9" s="13"/>
      <c r="Q9" s="13"/>
      <c r="R9" s="14"/>
      <c r="S9" s="14"/>
      <c r="T9" s="15"/>
      <c r="U9" s="405" t="s">
        <v>405</v>
      </c>
    </row>
    <row r="10" spans="1:21" x14ac:dyDescent="0.25">
      <c r="A10" s="7"/>
      <c r="B10" s="7"/>
      <c r="C10" s="91" t="s">
        <v>463</v>
      </c>
      <c r="D10" s="371" t="s">
        <v>464</v>
      </c>
      <c r="E10" s="92" t="s">
        <v>8</v>
      </c>
      <c r="F10" s="446" t="s">
        <v>1</v>
      </c>
      <c r="G10" s="446"/>
      <c r="H10" s="10" t="s">
        <v>73</v>
      </c>
      <c r="I10" s="11" t="s">
        <v>36</v>
      </c>
      <c r="N10" s="12"/>
      <c r="O10" s="12"/>
      <c r="P10" s="13"/>
      <c r="Q10" s="13"/>
      <c r="R10" s="520" t="s">
        <v>1</v>
      </c>
      <c r="S10" s="520"/>
      <c r="T10" s="15" t="s">
        <v>73</v>
      </c>
      <c r="U10" s="16" t="s">
        <v>36</v>
      </c>
    </row>
    <row r="11" spans="1:21" x14ac:dyDescent="0.25">
      <c r="A11" s="447" t="s">
        <v>1</v>
      </c>
      <c r="B11" s="447"/>
      <c r="C11" s="364" t="s">
        <v>2</v>
      </c>
      <c r="D11" s="362" t="s">
        <v>2</v>
      </c>
      <c r="E11" s="362" t="s">
        <v>2</v>
      </c>
      <c r="F11" s="448" t="s">
        <v>76</v>
      </c>
      <c r="G11" s="448"/>
      <c r="H11" s="17" t="s">
        <v>72</v>
      </c>
      <c r="I11" s="18" t="s">
        <v>75</v>
      </c>
      <c r="N11" s="510" t="s">
        <v>1</v>
      </c>
      <c r="O11" s="510"/>
      <c r="P11" s="521" t="s">
        <v>24</v>
      </c>
      <c r="Q11" s="521"/>
      <c r="R11" s="522" t="s">
        <v>76</v>
      </c>
      <c r="S11" s="522"/>
      <c r="T11" s="19" t="s">
        <v>72</v>
      </c>
      <c r="U11" s="20" t="s">
        <v>75</v>
      </c>
    </row>
    <row r="12" spans="1:21" x14ac:dyDescent="0.25">
      <c r="A12" s="449" t="s">
        <v>47</v>
      </c>
      <c r="B12" s="449"/>
      <c r="C12" s="94"/>
      <c r="D12" s="94"/>
      <c r="E12" s="95" t="s">
        <v>48</v>
      </c>
      <c r="F12" s="450" t="s">
        <v>49</v>
      </c>
      <c r="G12" s="450"/>
      <c r="H12" s="21" t="s">
        <v>50</v>
      </c>
      <c r="I12" s="22" t="s">
        <v>51</v>
      </c>
      <c r="N12" s="523" t="s">
        <v>47</v>
      </c>
      <c r="O12" s="523"/>
      <c r="P12" s="524" t="s">
        <v>48</v>
      </c>
      <c r="Q12" s="524"/>
      <c r="R12" s="525" t="s">
        <v>49</v>
      </c>
      <c r="S12" s="525"/>
      <c r="T12" s="23" t="s">
        <v>50</v>
      </c>
      <c r="U12" s="24" t="s">
        <v>51</v>
      </c>
    </row>
    <row r="13" spans="1:21" x14ac:dyDescent="0.25">
      <c r="A13" s="451" t="s">
        <v>29</v>
      </c>
      <c r="B13" s="451"/>
      <c r="C13" s="165">
        <v>0</v>
      </c>
      <c r="D13" s="163">
        <v>0</v>
      </c>
      <c r="E13" s="210">
        <f>IF(D$29=0,C13*2,C13+D13)</f>
        <v>0</v>
      </c>
      <c r="F13" s="537">
        <f>'0664'!F13:G13</f>
        <v>1.1259999999999999</v>
      </c>
      <c r="G13" s="537"/>
      <c r="H13" s="167">
        <f>ROUND(E13*F13,4)</f>
        <v>0</v>
      </c>
      <c r="I13" s="119">
        <f t="shared" ref="I13:I28" si="0">ROUND(ROUND(H13*$C$8,4)*($H$8),2)</f>
        <v>0</v>
      </c>
      <c r="N13" s="512" t="s">
        <v>29</v>
      </c>
      <c r="O13" s="512"/>
      <c r="P13" s="513">
        <f t="shared" ref="P13:P28" si="1">IF($H$120=1,E13,0)</f>
        <v>0</v>
      </c>
      <c r="Q13" s="513"/>
      <c r="R13" s="526">
        <v>1</v>
      </c>
      <c r="S13" s="526"/>
      <c r="T13" s="98">
        <f>ROUND(P13*R13,4)</f>
        <v>0</v>
      </c>
      <c r="U13" s="99">
        <f t="shared" ref="U13:U28" si="2">ROUND(ROUND(T13*$C$8,4)*($H$8),0)</f>
        <v>0</v>
      </c>
    </row>
    <row r="14" spans="1:21" x14ac:dyDescent="0.25">
      <c r="A14" s="453" t="s">
        <v>30</v>
      </c>
      <c r="B14" s="453"/>
      <c r="C14" s="165">
        <v>0</v>
      </c>
      <c r="D14" s="165">
        <v>0</v>
      </c>
      <c r="E14" s="125">
        <f t="shared" ref="E14:E28" si="3">IF(D$29=0,C14*2,C14+D14)</f>
        <v>0</v>
      </c>
      <c r="F14" s="532">
        <f>'0664'!F14:G14</f>
        <v>1.1259999999999999</v>
      </c>
      <c r="G14" s="532"/>
      <c r="H14" s="83">
        <f t="shared" ref="H14:H28" si="4">ROUND(E14*F14,4)</f>
        <v>0</v>
      </c>
      <c r="I14" s="104">
        <f t="shared" si="0"/>
        <v>0</v>
      </c>
      <c r="J14" s="68" t="str">
        <f>IF(ROUND(E14,2)=ROUND(SUM(E50:E52),2)," ","CHECK PK-3 LINES BELOW")</f>
        <v xml:space="preserve"> </v>
      </c>
      <c r="N14" s="479" t="s">
        <v>30</v>
      </c>
      <c r="O14" s="479"/>
      <c r="P14" s="513">
        <f t="shared" si="1"/>
        <v>0</v>
      </c>
      <c r="Q14" s="513"/>
      <c r="R14" s="517">
        <v>1</v>
      </c>
      <c r="S14" s="517"/>
      <c r="T14" s="98">
        <f t="shared" ref="T14:T28" si="5">ROUND(P14*R14,4)</f>
        <v>0</v>
      </c>
      <c r="U14" s="99">
        <f t="shared" si="2"/>
        <v>0</v>
      </c>
    </row>
    <row r="15" spans="1:21" x14ac:dyDescent="0.25">
      <c r="A15" s="453" t="s">
        <v>31</v>
      </c>
      <c r="B15" s="453"/>
      <c r="C15" s="165">
        <v>0</v>
      </c>
      <c r="D15" s="165">
        <v>0</v>
      </c>
      <c r="E15" s="125">
        <f t="shared" si="3"/>
        <v>0</v>
      </c>
      <c r="F15" s="532">
        <f>'0664'!F15:G15</f>
        <v>1</v>
      </c>
      <c r="G15" s="532"/>
      <c r="H15" s="83">
        <f t="shared" si="4"/>
        <v>0</v>
      </c>
      <c r="I15" s="104">
        <f t="shared" si="0"/>
        <v>0</v>
      </c>
      <c r="N15" s="479" t="s">
        <v>31</v>
      </c>
      <c r="O15" s="479"/>
      <c r="P15" s="513">
        <f t="shared" si="1"/>
        <v>0</v>
      </c>
      <c r="Q15" s="513"/>
      <c r="R15" s="517">
        <v>1</v>
      </c>
      <c r="S15" s="517"/>
      <c r="T15" s="98">
        <f t="shared" si="5"/>
        <v>0</v>
      </c>
      <c r="U15" s="99">
        <f t="shared" si="2"/>
        <v>0</v>
      </c>
    </row>
    <row r="16" spans="1:21" x14ac:dyDescent="0.25">
      <c r="A16" s="453" t="s">
        <v>32</v>
      </c>
      <c r="B16" s="453"/>
      <c r="C16" s="165">
        <v>1</v>
      </c>
      <c r="D16" s="165">
        <v>1.5</v>
      </c>
      <c r="E16" s="125">
        <f t="shared" si="3"/>
        <v>2.5</v>
      </c>
      <c r="F16" s="532">
        <f>'0664'!F16:G16</f>
        <v>1</v>
      </c>
      <c r="G16" s="532"/>
      <c r="H16" s="83">
        <f t="shared" si="4"/>
        <v>2.5</v>
      </c>
      <c r="I16" s="104">
        <f t="shared" si="0"/>
        <v>11970.82</v>
      </c>
      <c r="J16" s="68" t="str">
        <f>IF(ROUND(E16,2)=ROUND(SUM(E53:E55),2)," ","CHECK 4-8 LINES BELOW")</f>
        <v xml:space="preserve"> </v>
      </c>
      <c r="N16" s="479" t="s">
        <v>32</v>
      </c>
      <c r="O16" s="479"/>
      <c r="P16" s="513">
        <f t="shared" si="1"/>
        <v>2.5</v>
      </c>
      <c r="Q16" s="513"/>
      <c r="R16" s="517">
        <v>1</v>
      </c>
      <c r="S16" s="517"/>
      <c r="T16" s="98">
        <f t="shared" si="5"/>
        <v>2.5</v>
      </c>
      <c r="U16" s="99">
        <f t="shared" si="2"/>
        <v>11971</v>
      </c>
    </row>
    <row r="17" spans="1:21" x14ac:dyDescent="0.25">
      <c r="A17" s="453" t="s">
        <v>33</v>
      </c>
      <c r="B17" s="453"/>
      <c r="C17" s="165">
        <v>0</v>
      </c>
      <c r="D17" s="165">
        <v>0</v>
      </c>
      <c r="E17" s="125">
        <f t="shared" si="3"/>
        <v>0</v>
      </c>
      <c r="F17" s="532">
        <f>'0664'!F17:G17</f>
        <v>0.999</v>
      </c>
      <c r="G17" s="532"/>
      <c r="H17" s="83">
        <f t="shared" si="4"/>
        <v>0</v>
      </c>
      <c r="I17" s="104">
        <f t="shared" si="0"/>
        <v>0</v>
      </c>
      <c r="N17" s="479" t="s">
        <v>33</v>
      </c>
      <c r="O17" s="479"/>
      <c r="P17" s="513">
        <f t="shared" si="1"/>
        <v>0</v>
      </c>
      <c r="Q17" s="513"/>
      <c r="R17" s="517">
        <v>1</v>
      </c>
      <c r="S17" s="517"/>
      <c r="T17" s="98">
        <f t="shared" si="5"/>
        <v>0</v>
      </c>
      <c r="U17" s="99">
        <f t="shared" si="2"/>
        <v>0</v>
      </c>
    </row>
    <row r="18" spans="1:21" x14ac:dyDescent="0.25">
      <c r="A18" s="453" t="s">
        <v>34</v>
      </c>
      <c r="B18" s="453"/>
      <c r="C18" s="165">
        <v>0</v>
      </c>
      <c r="D18" s="165">
        <v>0</v>
      </c>
      <c r="E18" s="125">
        <f t="shared" si="3"/>
        <v>0</v>
      </c>
      <c r="F18" s="532">
        <f>'0664'!F18:G18</f>
        <v>0.999</v>
      </c>
      <c r="G18" s="532"/>
      <c r="H18" s="83">
        <f t="shared" si="4"/>
        <v>0</v>
      </c>
      <c r="I18" s="104">
        <f t="shared" si="0"/>
        <v>0</v>
      </c>
      <c r="J18" s="68" t="str">
        <f>IF(ROUND(E18,2)=ROUND(SUM(E56:E58),2)," ","CHECK 4-8 LINES BELOW")</f>
        <v xml:space="preserve"> </v>
      </c>
      <c r="N18" s="479" t="s">
        <v>34</v>
      </c>
      <c r="O18" s="479"/>
      <c r="P18" s="513">
        <f t="shared" si="1"/>
        <v>0</v>
      </c>
      <c r="Q18" s="513"/>
      <c r="R18" s="517">
        <v>1</v>
      </c>
      <c r="S18" s="517"/>
      <c r="T18" s="98">
        <f t="shared" si="5"/>
        <v>0</v>
      </c>
      <c r="U18" s="101">
        <f t="shared" si="2"/>
        <v>0</v>
      </c>
    </row>
    <row r="19" spans="1:21" x14ac:dyDescent="0.25">
      <c r="A19" s="453" t="s">
        <v>108</v>
      </c>
      <c r="B19" s="453"/>
      <c r="C19" s="165">
        <v>12.5</v>
      </c>
      <c r="D19" s="165">
        <v>10.5</v>
      </c>
      <c r="E19" s="125">
        <f t="shared" si="3"/>
        <v>23</v>
      </c>
      <c r="F19" s="532">
        <f>'0664'!F19:G19</f>
        <v>3.6739999999999999</v>
      </c>
      <c r="G19" s="532"/>
      <c r="H19" s="83">
        <f t="shared" si="4"/>
        <v>84.501999999999995</v>
      </c>
      <c r="I19" s="104">
        <f t="shared" si="0"/>
        <v>404623.3</v>
      </c>
      <c r="N19" s="479" t="s">
        <v>108</v>
      </c>
      <c r="O19" s="479"/>
      <c r="P19" s="513">
        <f t="shared" si="1"/>
        <v>23</v>
      </c>
      <c r="Q19" s="513"/>
      <c r="R19" s="517">
        <v>1</v>
      </c>
      <c r="S19" s="517"/>
      <c r="T19" s="98">
        <f t="shared" si="5"/>
        <v>23</v>
      </c>
      <c r="U19" s="99">
        <f t="shared" si="2"/>
        <v>110132</v>
      </c>
    </row>
    <row r="20" spans="1:21" x14ac:dyDescent="0.25">
      <c r="A20" s="453" t="s">
        <v>109</v>
      </c>
      <c r="B20" s="453"/>
      <c r="C20" s="165">
        <v>11.5</v>
      </c>
      <c r="D20" s="165">
        <v>11.5</v>
      </c>
      <c r="E20" s="125">
        <f t="shared" si="3"/>
        <v>23</v>
      </c>
      <c r="F20" s="532">
        <f>'0664'!F20:G20</f>
        <v>3.6739999999999999</v>
      </c>
      <c r="G20" s="532"/>
      <c r="H20" s="83">
        <f t="shared" si="4"/>
        <v>84.501999999999995</v>
      </c>
      <c r="I20" s="104">
        <f t="shared" si="0"/>
        <v>404623.3</v>
      </c>
      <c r="N20" s="479" t="s">
        <v>109</v>
      </c>
      <c r="O20" s="479"/>
      <c r="P20" s="513">
        <f t="shared" si="1"/>
        <v>23</v>
      </c>
      <c r="Q20" s="513"/>
      <c r="R20" s="517">
        <v>1</v>
      </c>
      <c r="S20" s="517"/>
      <c r="T20" s="98">
        <f t="shared" si="5"/>
        <v>23</v>
      </c>
      <c r="U20" s="99">
        <f t="shared" si="2"/>
        <v>110132</v>
      </c>
    </row>
    <row r="21" spans="1:21" x14ac:dyDescent="0.25">
      <c r="A21" s="453" t="s">
        <v>110</v>
      </c>
      <c r="B21" s="453"/>
      <c r="C21" s="165">
        <v>0</v>
      </c>
      <c r="D21" s="165">
        <v>0</v>
      </c>
      <c r="E21" s="125">
        <f t="shared" si="3"/>
        <v>0</v>
      </c>
      <c r="F21" s="532">
        <f>'0664'!F21:G21</f>
        <v>3.6739999999999999</v>
      </c>
      <c r="G21" s="532"/>
      <c r="H21" s="83">
        <f t="shared" si="4"/>
        <v>0</v>
      </c>
      <c r="I21" s="104">
        <f t="shared" si="0"/>
        <v>0</v>
      </c>
      <c r="N21" s="479" t="s">
        <v>110</v>
      </c>
      <c r="O21" s="479"/>
      <c r="P21" s="513">
        <f t="shared" si="1"/>
        <v>0</v>
      </c>
      <c r="Q21" s="513"/>
      <c r="R21" s="517">
        <v>1</v>
      </c>
      <c r="S21" s="517"/>
      <c r="T21" s="98">
        <f t="shared" si="5"/>
        <v>0</v>
      </c>
      <c r="U21" s="99">
        <f t="shared" si="2"/>
        <v>0</v>
      </c>
    </row>
    <row r="22" spans="1:21" x14ac:dyDescent="0.25">
      <c r="A22" s="453" t="s">
        <v>111</v>
      </c>
      <c r="B22" s="453"/>
      <c r="C22" s="165">
        <v>11</v>
      </c>
      <c r="D22" s="165">
        <v>14</v>
      </c>
      <c r="E22" s="125">
        <f t="shared" si="3"/>
        <v>25</v>
      </c>
      <c r="F22" s="532">
        <f>'0664'!F22:G22</f>
        <v>5.4009999999999998</v>
      </c>
      <c r="G22" s="532"/>
      <c r="H22" s="83">
        <f t="shared" si="4"/>
        <v>135.02500000000001</v>
      </c>
      <c r="I22" s="104">
        <f t="shared" si="0"/>
        <v>646544</v>
      </c>
      <c r="N22" s="479" t="s">
        <v>111</v>
      </c>
      <c r="O22" s="479"/>
      <c r="P22" s="513">
        <f t="shared" si="1"/>
        <v>25</v>
      </c>
      <c r="Q22" s="513"/>
      <c r="R22" s="517">
        <v>1</v>
      </c>
      <c r="S22" s="517"/>
      <c r="T22" s="98">
        <f t="shared" si="5"/>
        <v>25</v>
      </c>
      <c r="U22" s="99">
        <f t="shared" si="2"/>
        <v>119708</v>
      </c>
    </row>
    <row r="23" spans="1:21" x14ac:dyDescent="0.25">
      <c r="A23" s="453" t="s">
        <v>112</v>
      </c>
      <c r="B23" s="453"/>
      <c r="C23" s="165">
        <v>7</v>
      </c>
      <c r="D23" s="165">
        <v>6.5</v>
      </c>
      <c r="E23" s="125">
        <f t="shared" si="3"/>
        <v>13.5</v>
      </c>
      <c r="F23" s="532">
        <f>'0664'!F23:G23</f>
        <v>5.4009999999999998</v>
      </c>
      <c r="G23" s="532"/>
      <c r="H23" s="83">
        <f t="shared" si="4"/>
        <v>72.913499999999999</v>
      </c>
      <c r="I23" s="104">
        <f t="shared" si="0"/>
        <v>349133.76</v>
      </c>
      <c r="N23" s="479" t="s">
        <v>112</v>
      </c>
      <c r="O23" s="479"/>
      <c r="P23" s="513">
        <f t="shared" si="1"/>
        <v>13.5</v>
      </c>
      <c r="Q23" s="513"/>
      <c r="R23" s="517">
        <v>1</v>
      </c>
      <c r="S23" s="517"/>
      <c r="T23" s="98">
        <f t="shared" si="5"/>
        <v>13.5</v>
      </c>
      <c r="U23" s="99">
        <f t="shared" si="2"/>
        <v>64642</v>
      </c>
    </row>
    <row r="24" spans="1:21" x14ac:dyDescent="0.25">
      <c r="A24" s="453" t="s">
        <v>113</v>
      </c>
      <c r="B24" s="453"/>
      <c r="C24" s="165">
        <v>0</v>
      </c>
      <c r="D24" s="165">
        <v>0</v>
      </c>
      <c r="E24" s="125">
        <f t="shared" si="3"/>
        <v>0</v>
      </c>
      <c r="F24" s="532">
        <f>'0664'!F24:G24</f>
        <v>5.4009999999999998</v>
      </c>
      <c r="G24" s="532"/>
      <c r="H24" s="83">
        <f t="shared" si="4"/>
        <v>0</v>
      </c>
      <c r="I24" s="104">
        <f t="shared" si="0"/>
        <v>0</v>
      </c>
      <c r="N24" s="479" t="s">
        <v>113</v>
      </c>
      <c r="O24" s="479"/>
      <c r="P24" s="513">
        <f t="shared" si="1"/>
        <v>0</v>
      </c>
      <c r="Q24" s="513"/>
      <c r="R24" s="517">
        <v>1</v>
      </c>
      <c r="S24" s="517"/>
      <c r="T24" s="98">
        <f t="shared" si="5"/>
        <v>0</v>
      </c>
      <c r="U24" s="99">
        <f t="shared" si="2"/>
        <v>0</v>
      </c>
    </row>
    <row r="25" spans="1:21" x14ac:dyDescent="0.25">
      <c r="A25" s="453" t="s">
        <v>114</v>
      </c>
      <c r="B25" s="453"/>
      <c r="C25" s="165">
        <v>0</v>
      </c>
      <c r="D25" s="165">
        <v>0</v>
      </c>
      <c r="E25" s="125">
        <f t="shared" si="3"/>
        <v>0</v>
      </c>
      <c r="F25" s="532">
        <f>'0664'!F25:G25</f>
        <v>1.206</v>
      </c>
      <c r="G25" s="532"/>
      <c r="H25" s="83">
        <f t="shared" si="4"/>
        <v>0</v>
      </c>
      <c r="I25" s="104">
        <f t="shared" si="0"/>
        <v>0</v>
      </c>
      <c r="N25" s="479" t="s">
        <v>114</v>
      </c>
      <c r="O25" s="479"/>
      <c r="P25" s="513">
        <f t="shared" si="1"/>
        <v>0</v>
      </c>
      <c r="Q25" s="513"/>
      <c r="R25" s="517">
        <v>1</v>
      </c>
      <c r="S25" s="517"/>
      <c r="T25" s="98">
        <f t="shared" si="5"/>
        <v>0</v>
      </c>
      <c r="U25" s="99">
        <f t="shared" si="2"/>
        <v>0</v>
      </c>
    </row>
    <row r="26" spans="1:21" x14ac:dyDescent="0.25">
      <c r="A26" s="453" t="s">
        <v>115</v>
      </c>
      <c r="B26" s="453"/>
      <c r="C26" s="165">
        <v>0</v>
      </c>
      <c r="D26" s="165">
        <v>0</v>
      </c>
      <c r="E26" s="125">
        <f t="shared" si="3"/>
        <v>0</v>
      </c>
      <c r="F26" s="532">
        <f>'0664'!F26:G26</f>
        <v>1.206</v>
      </c>
      <c r="G26" s="532"/>
      <c r="H26" s="83">
        <f t="shared" si="4"/>
        <v>0</v>
      </c>
      <c r="I26" s="104">
        <f t="shared" si="0"/>
        <v>0</v>
      </c>
      <c r="N26" s="479" t="s">
        <v>115</v>
      </c>
      <c r="O26" s="479"/>
      <c r="P26" s="513">
        <f t="shared" si="1"/>
        <v>0</v>
      </c>
      <c r="Q26" s="513"/>
      <c r="R26" s="517">
        <v>1</v>
      </c>
      <c r="S26" s="517"/>
      <c r="T26" s="98">
        <f t="shared" si="5"/>
        <v>0</v>
      </c>
      <c r="U26" s="99">
        <f t="shared" si="2"/>
        <v>0</v>
      </c>
    </row>
    <row r="27" spans="1:21" x14ac:dyDescent="0.25">
      <c r="A27" s="453" t="s">
        <v>116</v>
      </c>
      <c r="B27" s="453"/>
      <c r="C27" s="165">
        <v>0</v>
      </c>
      <c r="D27" s="165">
        <v>0</v>
      </c>
      <c r="E27" s="125">
        <f t="shared" si="3"/>
        <v>0</v>
      </c>
      <c r="F27" s="532">
        <f>'0664'!F27:G27</f>
        <v>1.206</v>
      </c>
      <c r="G27" s="532"/>
      <c r="H27" s="83">
        <f t="shared" si="4"/>
        <v>0</v>
      </c>
      <c r="I27" s="104">
        <f t="shared" si="0"/>
        <v>0</v>
      </c>
      <c r="N27" s="479" t="s">
        <v>116</v>
      </c>
      <c r="O27" s="479"/>
      <c r="P27" s="513">
        <f t="shared" si="1"/>
        <v>0</v>
      </c>
      <c r="Q27" s="513"/>
      <c r="R27" s="517">
        <v>1</v>
      </c>
      <c r="S27" s="517"/>
      <c r="T27" s="98">
        <f t="shared" si="5"/>
        <v>0</v>
      </c>
      <c r="U27" s="99">
        <f t="shared" si="2"/>
        <v>0</v>
      </c>
    </row>
    <row r="28" spans="1:21" x14ac:dyDescent="0.25">
      <c r="A28" s="453" t="s">
        <v>117</v>
      </c>
      <c r="B28" s="453"/>
      <c r="C28" s="116">
        <v>0</v>
      </c>
      <c r="D28" s="116">
        <v>0</v>
      </c>
      <c r="E28" s="177">
        <f t="shared" si="3"/>
        <v>0</v>
      </c>
      <c r="F28" s="532">
        <f>'0664'!F28:G28</f>
        <v>0.999</v>
      </c>
      <c r="G28" s="532"/>
      <c r="H28" s="96">
        <f t="shared" si="4"/>
        <v>0</v>
      </c>
      <c r="I28" s="97">
        <f t="shared" si="0"/>
        <v>0</v>
      </c>
      <c r="N28" s="482" t="s">
        <v>117</v>
      </c>
      <c r="O28" s="482"/>
      <c r="P28" s="513">
        <f t="shared" si="1"/>
        <v>0</v>
      </c>
      <c r="Q28" s="513"/>
      <c r="R28" s="514">
        <v>1</v>
      </c>
      <c r="S28" s="514"/>
      <c r="T28" s="98">
        <f t="shared" si="5"/>
        <v>0</v>
      </c>
      <c r="U28" s="99">
        <f t="shared" si="2"/>
        <v>0</v>
      </c>
    </row>
    <row r="29" spans="1:21" x14ac:dyDescent="0.25">
      <c r="A29" s="461" t="s">
        <v>5</v>
      </c>
      <c r="B29" s="461"/>
      <c r="C29" s="97">
        <f>SUM(C13:C28)</f>
        <v>43</v>
      </c>
      <c r="D29" s="97">
        <f>SUM(D13:D28)</f>
        <v>44</v>
      </c>
      <c r="E29" s="97">
        <f>SUM(E13:E28)</f>
        <v>87</v>
      </c>
      <c r="F29" s="457"/>
      <c r="G29" s="457"/>
      <c r="H29" s="102">
        <f>SUM(H13:H28)</f>
        <v>379.4425</v>
      </c>
      <c r="I29" s="97">
        <f>SUM(I13:I28)</f>
        <v>1816895.18</v>
      </c>
      <c r="N29" s="515" t="s">
        <v>5</v>
      </c>
      <c r="O29" s="515"/>
      <c r="P29" s="516">
        <f>SUM(P13:P28)</f>
        <v>87</v>
      </c>
      <c r="Q29" s="516"/>
      <c r="R29" s="508"/>
      <c r="S29" s="508"/>
      <c r="T29" s="103">
        <f>SUM(T13:T28)</f>
        <v>87</v>
      </c>
      <c r="U29" s="99">
        <f>SUM(U13:U28)</f>
        <v>416585</v>
      </c>
    </row>
    <row r="30" spans="1:21" x14ac:dyDescent="0.25">
      <c r="A30" s="27"/>
      <c r="B30" s="27"/>
      <c r="C30" s="104"/>
      <c r="D30" s="104"/>
      <c r="E30" s="104"/>
      <c r="F30" s="28"/>
      <c r="G30" s="28"/>
      <c r="H30" s="83"/>
      <c r="I30" s="104"/>
      <c r="N30" s="29"/>
      <c r="O30" s="29"/>
      <c r="P30" s="30"/>
      <c r="Q30" s="30"/>
      <c r="R30" s="31"/>
      <c r="S30" s="31"/>
      <c r="T30" s="105"/>
      <c r="U30" s="106"/>
    </row>
    <row r="31" spans="1:21" x14ac:dyDescent="0.25">
      <c r="A31" s="168" t="s">
        <v>97</v>
      </c>
      <c r="B31" s="27"/>
      <c r="C31" s="104"/>
      <c r="D31" s="104"/>
      <c r="E31" s="104"/>
      <c r="F31" s="28"/>
      <c r="G31" s="28"/>
      <c r="H31" s="83"/>
      <c r="I31" s="104"/>
      <c r="N31" s="29"/>
      <c r="O31" s="29"/>
      <c r="P31" s="30"/>
      <c r="Q31" s="30"/>
      <c r="R31" s="31"/>
      <c r="S31" s="31"/>
      <c r="T31" s="105"/>
      <c r="U31" s="106"/>
    </row>
    <row r="32" spans="1:21" hidden="1" x14ac:dyDescent="0.25">
      <c r="A32" s="168"/>
      <c r="B32" s="27"/>
      <c r="C32" s="104"/>
      <c r="D32" s="104"/>
      <c r="E32" s="104"/>
      <c r="F32" s="28"/>
      <c r="G32" s="28"/>
      <c r="H32" s="83"/>
      <c r="I32" s="104"/>
      <c r="N32" s="29"/>
      <c r="O32" s="29"/>
      <c r="P32" s="30"/>
      <c r="Q32" s="30"/>
      <c r="R32" s="31"/>
      <c r="S32" s="31"/>
      <c r="T32" s="105"/>
      <c r="U32" s="106"/>
    </row>
    <row r="33" spans="1:21" hidden="1" x14ac:dyDescent="0.25">
      <c r="A33" s="168"/>
      <c r="B33" s="27"/>
      <c r="C33" s="104"/>
      <c r="D33" s="104"/>
      <c r="E33" s="104"/>
      <c r="F33" s="541" t="s">
        <v>282</v>
      </c>
      <c r="G33" s="541"/>
      <c r="H33" s="541"/>
      <c r="I33" s="104"/>
      <c r="N33" s="29"/>
      <c r="O33" s="29"/>
      <c r="P33" s="30"/>
      <c r="Q33" s="30"/>
      <c r="R33" s="31"/>
      <c r="S33" s="31"/>
      <c r="T33" s="105"/>
      <c r="U33" s="106"/>
    </row>
    <row r="34" spans="1:21" hidden="1" x14ac:dyDescent="0.25">
      <c r="A34" s="3"/>
      <c r="B34" s="72"/>
      <c r="C34" s="72"/>
      <c r="D34" s="72"/>
      <c r="E34" s="72"/>
      <c r="F34" s="541"/>
      <c r="G34" s="541"/>
      <c r="H34" s="541"/>
      <c r="I34" s="25" t="s">
        <v>74</v>
      </c>
      <c r="N34" s="485" t="s">
        <v>35</v>
      </c>
      <c r="O34" s="485"/>
      <c r="P34" s="485"/>
      <c r="Q34" s="485"/>
      <c r="R34" s="485"/>
      <c r="S34" s="485"/>
      <c r="T34" s="485"/>
      <c r="U34" s="26" t="s">
        <v>74</v>
      </c>
    </row>
    <row r="35" spans="1:21" hidden="1" x14ac:dyDescent="0.25">
      <c r="A35" s="27"/>
      <c r="B35" s="27"/>
      <c r="C35" s="91" t="s">
        <v>124</v>
      </c>
      <c r="D35" s="91" t="s">
        <v>125</v>
      </c>
      <c r="E35" s="92" t="s">
        <v>8</v>
      </c>
      <c r="F35" s="541"/>
      <c r="G35" s="541"/>
      <c r="H35" s="541"/>
      <c r="I35" s="25" t="s">
        <v>36</v>
      </c>
      <c r="N35" s="29"/>
      <c r="O35" s="29"/>
      <c r="P35" s="30"/>
      <c r="Q35" s="30"/>
      <c r="R35" s="31"/>
      <c r="S35" s="31"/>
      <c r="T35" s="105"/>
      <c r="U35" s="26" t="s">
        <v>36</v>
      </c>
    </row>
    <row r="36" spans="1:21" hidden="1" x14ac:dyDescent="0.25">
      <c r="A36" s="447" t="s">
        <v>63</v>
      </c>
      <c r="B36" s="447"/>
      <c r="C36" s="93" t="s">
        <v>2</v>
      </c>
      <c r="D36" s="93" t="s">
        <v>2</v>
      </c>
      <c r="E36" s="93" t="s">
        <v>2</v>
      </c>
      <c r="F36" s="542"/>
      <c r="G36" s="542"/>
      <c r="H36" s="542"/>
      <c r="I36" s="32" t="s">
        <v>75</v>
      </c>
      <c r="N36" s="510" t="s">
        <v>63</v>
      </c>
      <c r="O36" s="510"/>
      <c r="P36" s="511" t="s">
        <v>24</v>
      </c>
      <c r="Q36" s="511"/>
      <c r="R36" s="511"/>
      <c r="S36" s="511"/>
      <c r="T36" s="511"/>
      <c r="U36" s="20" t="s">
        <v>75</v>
      </c>
    </row>
    <row r="37" spans="1:21" hidden="1" x14ac:dyDescent="0.25">
      <c r="A37" s="451" t="s">
        <v>56</v>
      </c>
      <c r="B37" s="451"/>
      <c r="C37" s="169">
        <v>0</v>
      </c>
      <c r="D37" s="169">
        <v>0</v>
      </c>
      <c r="E37" s="164">
        <f t="shared" ref="E37:E42" si="6">IF(D$43=0,C37*2,C37+D37)</f>
        <v>0</v>
      </c>
      <c r="F37" s="170"/>
      <c r="G37" s="170"/>
      <c r="H37" s="170"/>
      <c r="I37" s="119">
        <f t="shared" ref="I37:I42" si="7">ROUND(ROUND(E37*$C$8,4)*($H$8),2)</f>
        <v>0</v>
      </c>
      <c r="N37" s="512" t="s">
        <v>56</v>
      </c>
      <c r="O37" s="512"/>
      <c r="P37" s="483">
        <f t="shared" ref="P37:P42" si="8">IF($H$120=1,E37,0)</f>
        <v>0</v>
      </c>
      <c r="Q37" s="483"/>
      <c r="R37" s="483"/>
      <c r="S37" s="483"/>
      <c r="T37" s="483"/>
      <c r="U37" s="101">
        <f t="shared" ref="U37:U42" si="9">ROUND(ROUND(P37*$C$8,4)*($H$8),0)</f>
        <v>0</v>
      </c>
    </row>
    <row r="38" spans="1:21" hidden="1" x14ac:dyDescent="0.25">
      <c r="A38" s="453" t="s">
        <v>57</v>
      </c>
      <c r="B38" s="453"/>
      <c r="C38" s="172">
        <v>0</v>
      </c>
      <c r="D38" s="172">
        <v>0</v>
      </c>
      <c r="E38" s="166">
        <f t="shared" si="6"/>
        <v>0</v>
      </c>
      <c r="F38" s="173"/>
      <c r="G38" s="173"/>
      <c r="H38" s="173"/>
      <c r="I38" s="104">
        <f t="shared" si="7"/>
        <v>0</v>
      </c>
      <c r="N38" s="479" t="s">
        <v>57</v>
      </c>
      <c r="O38" s="479"/>
      <c r="P38" s="483">
        <f t="shared" si="8"/>
        <v>0</v>
      </c>
      <c r="Q38" s="483"/>
      <c r="R38" s="483"/>
      <c r="S38" s="483"/>
      <c r="T38" s="483"/>
      <c r="U38" s="101">
        <f t="shared" si="9"/>
        <v>0</v>
      </c>
    </row>
    <row r="39" spans="1:21" hidden="1" x14ac:dyDescent="0.25">
      <c r="A39" s="458" t="s">
        <v>58</v>
      </c>
      <c r="B39" s="458"/>
      <c r="C39" s="172">
        <v>0</v>
      </c>
      <c r="D39" s="172">
        <v>0</v>
      </c>
      <c r="E39" s="166">
        <f t="shared" si="6"/>
        <v>0</v>
      </c>
      <c r="F39" s="173"/>
      <c r="G39" s="173"/>
      <c r="H39" s="173"/>
      <c r="I39" s="104">
        <f t="shared" si="7"/>
        <v>0</v>
      </c>
      <c r="N39" s="509" t="s">
        <v>58</v>
      </c>
      <c r="O39" s="509"/>
      <c r="P39" s="483">
        <f t="shared" si="8"/>
        <v>0</v>
      </c>
      <c r="Q39" s="483"/>
      <c r="R39" s="483"/>
      <c r="S39" s="483"/>
      <c r="T39" s="483"/>
      <c r="U39" s="101">
        <f t="shared" si="9"/>
        <v>0</v>
      </c>
    </row>
    <row r="40" spans="1:21" hidden="1" x14ac:dyDescent="0.25">
      <c r="A40" s="453" t="s">
        <v>59</v>
      </c>
      <c r="B40" s="453"/>
      <c r="C40" s="172">
        <v>0</v>
      </c>
      <c r="D40" s="172">
        <v>0</v>
      </c>
      <c r="E40" s="166">
        <f t="shared" si="6"/>
        <v>0</v>
      </c>
      <c r="F40" s="173"/>
      <c r="G40" s="173"/>
      <c r="H40" s="173"/>
      <c r="I40" s="104">
        <f t="shared" si="7"/>
        <v>0</v>
      </c>
      <c r="N40" s="479" t="s">
        <v>59</v>
      </c>
      <c r="O40" s="479"/>
      <c r="P40" s="483">
        <f t="shared" si="8"/>
        <v>0</v>
      </c>
      <c r="Q40" s="483"/>
      <c r="R40" s="483"/>
      <c r="S40" s="483"/>
      <c r="T40" s="483"/>
      <c r="U40" s="101">
        <f t="shared" si="9"/>
        <v>0</v>
      </c>
    </row>
    <row r="41" spans="1:21" hidden="1" x14ac:dyDescent="0.25">
      <c r="A41" s="453" t="s">
        <v>60</v>
      </c>
      <c r="B41" s="453"/>
      <c r="C41" s="172">
        <v>0</v>
      </c>
      <c r="D41" s="172">
        <v>0</v>
      </c>
      <c r="E41" s="166">
        <f t="shared" si="6"/>
        <v>0</v>
      </c>
      <c r="F41" s="173"/>
      <c r="G41" s="173"/>
      <c r="H41" s="173"/>
      <c r="I41" s="104">
        <f t="shared" si="7"/>
        <v>0</v>
      </c>
      <c r="N41" s="479" t="s">
        <v>60</v>
      </c>
      <c r="O41" s="479"/>
      <c r="P41" s="483">
        <f t="shared" si="8"/>
        <v>0</v>
      </c>
      <c r="Q41" s="483"/>
      <c r="R41" s="483"/>
      <c r="S41" s="483"/>
      <c r="T41" s="483"/>
      <c r="U41" s="101">
        <f t="shared" si="9"/>
        <v>0</v>
      </c>
    </row>
    <row r="42" spans="1:21" hidden="1" x14ac:dyDescent="0.25">
      <c r="A42" s="453" t="s">
        <v>52</v>
      </c>
      <c r="B42" s="453"/>
      <c r="C42" s="171">
        <v>0</v>
      </c>
      <c r="D42" s="171">
        <v>0</v>
      </c>
      <c r="E42" s="158">
        <f t="shared" si="6"/>
        <v>0</v>
      </c>
      <c r="F42" s="173"/>
      <c r="G42" s="173"/>
      <c r="H42" s="173"/>
      <c r="I42" s="97">
        <f t="shared" si="7"/>
        <v>0</v>
      </c>
      <c r="N42" s="482" t="s">
        <v>52</v>
      </c>
      <c r="O42" s="482"/>
      <c r="P42" s="483">
        <f t="shared" si="8"/>
        <v>0</v>
      </c>
      <c r="Q42" s="483"/>
      <c r="R42" s="483"/>
      <c r="S42" s="483"/>
      <c r="T42" s="483"/>
      <c r="U42" s="101">
        <f t="shared" si="9"/>
        <v>0</v>
      </c>
    </row>
    <row r="43" spans="1:21" hidden="1" x14ac:dyDescent="0.25">
      <c r="A43" s="3"/>
      <c r="B43" s="55" t="s">
        <v>126</v>
      </c>
      <c r="C43" s="100">
        <f>SUM(C37:C42)</f>
        <v>0</v>
      </c>
      <c r="D43" s="100">
        <f>SUM(D37:D42)</f>
        <v>0</v>
      </c>
      <c r="E43" s="100">
        <f>SUM(E37:E42)</f>
        <v>0</v>
      </c>
      <c r="F43" s="33"/>
      <c r="G43" s="109"/>
      <c r="H43" s="110" t="s">
        <v>128</v>
      </c>
      <c r="I43" s="100">
        <f>SUM(I37:I42)</f>
        <v>0</v>
      </c>
      <c r="N43" s="480" t="s">
        <v>54</v>
      </c>
      <c r="O43" s="480"/>
      <c r="P43" s="480"/>
      <c r="Q43" s="480"/>
      <c r="R43" s="34">
        <f>SUM(P37:R42)</f>
        <v>0</v>
      </c>
      <c r="S43" s="508" t="s">
        <v>64</v>
      </c>
      <c r="T43" s="508"/>
      <c r="U43" s="106">
        <f>SUM(U37:U42)</f>
        <v>0</v>
      </c>
    </row>
    <row r="44" spans="1:21" hidden="1" x14ac:dyDescent="0.25">
      <c r="A44" s="3"/>
      <c r="B44" s="55"/>
      <c r="C44" s="104"/>
      <c r="D44" s="104"/>
      <c r="E44" s="119"/>
      <c r="F44" s="33"/>
      <c r="G44" s="109"/>
      <c r="H44" s="110"/>
      <c r="I44" s="104"/>
      <c r="N44" s="29"/>
      <c r="O44" s="29"/>
      <c r="P44" s="29"/>
      <c r="Q44" s="29"/>
      <c r="R44" s="34"/>
      <c r="S44" s="31"/>
      <c r="T44" s="31"/>
      <c r="U44" s="106"/>
    </row>
    <row r="45" spans="1:21" ht="16.5" hidden="1" thickBot="1" x14ac:dyDescent="0.3">
      <c r="A45" s="3"/>
      <c r="B45" s="55" t="s">
        <v>127</v>
      </c>
      <c r="E45" s="174">
        <f>H29+E43</f>
        <v>379.4425</v>
      </c>
      <c r="F45" s="35"/>
      <c r="G45" s="109"/>
      <c r="H45" s="110" t="s">
        <v>129</v>
      </c>
      <c r="I45" s="97">
        <f>SUM(I43,I29)</f>
        <v>1816895.18</v>
      </c>
      <c r="N45" s="480" t="s">
        <v>55</v>
      </c>
      <c r="O45" s="480"/>
      <c r="P45" s="480"/>
      <c r="Q45" s="480"/>
      <c r="R45" s="36">
        <f>R43+T29</f>
        <v>87</v>
      </c>
      <c r="S45" s="508" t="s">
        <v>53</v>
      </c>
      <c r="T45" s="508"/>
      <c r="U45" s="111">
        <f>SUM(U43,U29)</f>
        <v>416585</v>
      </c>
    </row>
    <row r="46" spans="1:21" hidden="1" x14ac:dyDescent="0.25">
      <c r="A46" s="27"/>
      <c r="B46" s="27"/>
      <c r="C46" s="27"/>
      <c r="D46" s="27"/>
      <c r="E46" s="27"/>
      <c r="F46" s="35"/>
      <c r="G46" s="28"/>
      <c r="H46" s="28"/>
      <c r="I46" s="104"/>
      <c r="N46" s="29"/>
      <c r="O46" s="29"/>
      <c r="P46" s="29"/>
      <c r="Q46" s="29"/>
      <c r="R46" s="36"/>
      <c r="S46" s="31"/>
      <c r="T46" s="31"/>
      <c r="U46" s="106"/>
    </row>
    <row r="47" spans="1:21" x14ac:dyDescent="0.25">
      <c r="A47" s="27"/>
      <c r="B47" s="55" t="s">
        <v>370</v>
      </c>
      <c r="C47" s="372" t="s">
        <v>370</v>
      </c>
      <c r="D47" s="372" t="s">
        <v>370</v>
      </c>
      <c r="E47" s="27"/>
      <c r="F47" s="35"/>
      <c r="G47" s="28"/>
      <c r="H47" s="28"/>
      <c r="I47" s="104"/>
      <c r="N47" s="29"/>
      <c r="O47" s="29"/>
      <c r="P47" s="29"/>
      <c r="Q47" s="29"/>
      <c r="R47" s="36"/>
      <c r="S47" s="31"/>
      <c r="T47" s="31"/>
      <c r="U47" s="106"/>
    </row>
    <row r="48" spans="1:21" x14ac:dyDescent="0.25">
      <c r="A48" s="27"/>
      <c r="B48" s="27"/>
      <c r="C48" s="91" t="s">
        <v>463</v>
      </c>
      <c r="D48" s="371" t="s">
        <v>464</v>
      </c>
      <c r="E48" s="92" t="s">
        <v>8</v>
      </c>
      <c r="F48" s="49" t="s">
        <v>130</v>
      </c>
      <c r="G48" s="112" t="s">
        <v>132</v>
      </c>
      <c r="H48" s="113" t="s">
        <v>133</v>
      </c>
      <c r="I48" s="104"/>
      <c r="N48" s="29"/>
      <c r="O48" s="29"/>
      <c r="P48" s="29"/>
      <c r="Q48" s="29"/>
      <c r="R48" s="36"/>
      <c r="S48" s="31"/>
      <c r="T48" s="31"/>
      <c r="U48" s="106"/>
    </row>
    <row r="49" spans="1:21" x14ac:dyDescent="0.25">
      <c r="A49" s="37" t="s">
        <v>87</v>
      </c>
      <c r="B49" s="37"/>
      <c r="C49" s="364" t="s">
        <v>2</v>
      </c>
      <c r="D49" s="362" t="s">
        <v>2</v>
      </c>
      <c r="E49" s="362" t="s">
        <v>2</v>
      </c>
      <c r="F49" s="95" t="s">
        <v>131</v>
      </c>
      <c r="G49" s="62" t="s">
        <v>131</v>
      </c>
      <c r="H49" s="114" t="s">
        <v>134</v>
      </c>
      <c r="I49" s="37"/>
      <c r="N49" s="482" t="s">
        <v>87</v>
      </c>
      <c r="O49" s="482"/>
      <c r="P49" s="503" t="s">
        <v>2</v>
      </c>
      <c r="Q49" s="503"/>
      <c r="R49" s="38" t="s">
        <v>25</v>
      </c>
      <c r="S49" s="63" t="s">
        <v>26</v>
      </c>
      <c r="T49" s="115" t="s">
        <v>27</v>
      </c>
      <c r="U49" s="38"/>
    </row>
    <row r="50" spans="1:21" x14ac:dyDescent="0.25">
      <c r="A50" s="459" t="s">
        <v>98</v>
      </c>
      <c r="B50" s="459"/>
      <c r="C50" s="165">
        <v>0</v>
      </c>
      <c r="D50" s="165">
        <v>0</v>
      </c>
      <c r="E50" s="125">
        <f>IF(D$59=0,C50*2,C50+D50)</f>
        <v>0</v>
      </c>
      <c r="F50" s="39" t="s">
        <v>21</v>
      </c>
      <c r="G50" s="39">
        <v>251</v>
      </c>
      <c r="H50" s="321">
        <f>'0664'!H50</f>
        <v>1047</v>
      </c>
      <c r="I50" s="104">
        <f>ROUND(E50*H50,2)</f>
        <v>0</v>
      </c>
      <c r="N50" s="504" t="s">
        <v>28</v>
      </c>
      <c r="O50" s="504"/>
      <c r="P50" s="505"/>
      <c r="Q50" s="505"/>
      <c r="R50" s="40" t="s">
        <v>21</v>
      </c>
      <c r="S50" s="40">
        <v>251</v>
      </c>
      <c r="T50" s="117">
        <f>H50</f>
        <v>1047</v>
      </c>
      <c r="U50" s="118">
        <f>ROUND(P50*T50,0)</f>
        <v>0</v>
      </c>
    </row>
    <row r="51" spans="1:21" x14ac:dyDescent="0.25">
      <c r="A51" s="460"/>
      <c r="B51" s="460"/>
      <c r="C51" s="165">
        <v>0</v>
      </c>
      <c r="D51" s="165">
        <v>0</v>
      </c>
      <c r="E51" s="125">
        <f t="shared" ref="E51:E58" si="10">IF(D$59=0,C51*2,C51+D51)</f>
        <v>0</v>
      </c>
      <c r="F51" s="39" t="s">
        <v>21</v>
      </c>
      <c r="G51" s="39">
        <v>252</v>
      </c>
      <c r="H51" s="321">
        <f>'0664'!H51</f>
        <v>3380</v>
      </c>
      <c r="I51" s="104">
        <f t="shared" ref="I51:I58" si="11">ROUND(E51*H51,2)</f>
        <v>0</v>
      </c>
      <c r="N51" s="504"/>
      <c r="O51" s="504"/>
      <c r="P51" s="506"/>
      <c r="Q51" s="506"/>
      <c r="R51" s="40" t="s">
        <v>21</v>
      </c>
      <c r="S51" s="40">
        <v>252</v>
      </c>
      <c r="T51" s="117">
        <f t="shared" ref="T51:T58" si="12">H51</f>
        <v>3380</v>
      </c>
      <c r="U51" s="118">
        <f t="shared" ref="U51:U58" si="13">ROUND(P51*T51,0)</f>
        <v>0</v>
      </c>
    </row>
    <row r="52" spans="1:21" x14ac:dyDescent="0.25">
      <c r="A52" s="460"/>
      <c r="B52" s="460"/>
      <c r="C52" s="165">
        <v>0</v>
      </c>
      <c r="D52" s="165">
        <v>0</v>
      </c>
      <c r="E52" s="125">
        <f t="shared" si="10"/>
        <v>0</v>
      </c>
      <c r="F52" s="39" t="s">
        <v>21</v>
      </c>
      <c r="G52" s="39">
        <v>253</v>
      </c>
      <c r="H52" s="321">
        <f>'0664'!H52</f>
        <v>6896</v>
      </c>
      <c r="I52" s="104">
        <f t="shared" si="11"/>
        <v>0</v>
      </c>
      <c r="N52" s="504"/>
      <c r="O52" s="504"/>
      <c r="P52" s="506"/>
      <c r="Q52" s="506"/>
      <c r="R52" s="40" t="s">
        <v>21</v>
      </c>
      <c r="S52" s="40">
        <v>253</v>
      </c>
      <c r="T52" s="117">
        <f t="shared" si="12"/>
        <v>6896</v>
      </c>
      <c r="U52" s="118">
        <f t="shared" si="13"/>
        <v>0</v>
      </c>
    </row>
    <row r="53" spans="1:21" x14ac:dyDescent="0.25">
      <c r="A53" s="460"/>
      <c r="B53" s="460"/>
      <c r="C53" s="165">
        <v>0</v>
      </c>
      <c r="D53" s="165">
        <v>0</v>
      </c>
      <c r="E53" s="125">
        <f t="shared" si="10"/>
        <v>0</v>
      </c>
      <c r="F53" s="41" t="s">
        <v>14</v>
      </c>
      <c r="G53" s="39">
        <v>251</v>
      </c>
      <c r="H53" s="321">
        <f>'0664'!H53</f>
        <v>1173</v>
      </c>
      <c r="I53" s="104">
        <f t="shared" si="11"/>
        <v>0</v>
      </c>
      <c r="N53" s="504"/>
      <c r="O53" s="504"/>
      <c r="P53" s="506"/>
      <c r="Q53" s="506"/>
      <c r="R53" s="42" t="s">
        <v>14</v>
      </c>
      <c r="S53" s="40">
        <v>251</v>
      </c>
      <c r="T53" s="117">
        <f t="shared" si="12"/>
        <v>1173</v>
      </c>
      <c r="U53" s="118">
        <f t="shared" si="13"/>
        <v>0</v>
      </c>
    </row>
    <row r="54" spans="1:21" x14ac:dyDescent="0.25">
      <c r="A54" s="460"/>
      <c r="B54" s="460"/>
      <c r="C54" s="165">
        <v>0</v>
      </c>
      <c r="D54" s="165">
        <v>0</v>
      </c>
      <c r="E54" s="125">
        <f t="shared" si="10"/>
        <v>0</v>
      </c>
      <c r="F54" s="41" t="s">
        <v>14</v>
      </c>
      <c r="G54" s="39">
        <v>252</v>
      </c>
      <c r="H54" s="321">
        <f>'0664'!H54</f>
        <v>3506</v>
      </c>
      <c r="I54" s="104">
        <f t="shared" si="11"/>
        <v>0</v>
      </c>
      <c r="N54" s="504"/>
      <c r="O54" s="504"/>
      <c r="P54" s="506"/>
      <c r="Q54" s="506"/>
      <c r="R54" s="42" t="s">
        <v>14</v>
      </c>
      <c r="S54" s="40">
        <v>252</v>
      </c>
      <c r="T54" s="117">
        <f t="shared" si="12"/>
        <v>3506</v>
      </c>
      <c r="U54" s="118">
        <f t="shared" si="13"/>
        <v>0</v>
      </c>
    </row>
    <row r="55" spans="1:21" x14ac:dyDescent="0.25">
      <c r="A55" s="460"/>
      <c r="B55" s="460"/>
      <c r="C55" s="165">
        <v>1</v>
      </c>
      <c r="D55" s="165">
        <v>1.5</v>
      </c>
      <c r="E55" s="125">
        <f t="shared" si="10"/>
        <v>2.5</v>
      </c>
      <c r="F55" s="41" t="s">
        <v>14</v>
      </c>
      <c r="G55" s="39">
        <v>253</v>
      </c>
      <c r="H55" s="321">
        <f>'0664'!H55</f>
        <v>7023</v>
      </c>
      <c r="I55" s="104">
        <f t="shared" si="11"/>
        <v>17557.5</v>
      </c>
      <c r="N55" s="504"/>
      <c r="O55" s="504"/>
      <c r="P55" s="506"/>
      <c r="Q55" s="506"/>
      <c r="R55" s="42" t="s">
        <v>14</v>
      </c>
      <c r="S55" s="40">
        <v>253</v>
      </c>
      <c r="T55" s="117">
        <f t="shared" si="12"/>
        <v>7023</v>
      </c>
      <c r="U55" s="118">
        <f t="shared" si="13"/>
        <v>0</v>
      </c>
    </row>
    <row r="56" spans="1:21" x14ac:dyDescent="0.25">
      <c r="A56" s="460"/>
      <c r="B56" s="460"/>
      <c r="C56" s="165">
        <v>0</v>
      </c>
      <c r="D56" s="165">
        <v>0</v>
      </c>
      <c r="E56" s="125">
        <f t="shared" si="10"/>
        <v>0</v>
      </c>
      <c r="F56" s="41" t="s">
        <v>15</v>
      </c>
      <c r="G56" s="39">
        <v>251</v>
      </c>
      <c r="H56" s="321">
        <f>'0664'!H56</f>
        <v>835</v>
      </c>
      <c r="I56" s="104">
        <f t="shared" si="11"/>
        <v>0</v>
      </c>
      <c r="N56" s="504"/>
      <c r="O56" s="504"/>
      <c r="P56" s="506"/>
      <c r="Q56" s="506"/>
      <c r="R56" s="42" t="s">
        <v>15</v>
      </c>
      <c r="S56" s="40">
        <v>251</v>
      </c>
      <c r="T56" s="117">
        <f t="shared" si="12"/>
        <v>835</v>
      </c>
      <c r="U56" s="118">
        <f t="shared" si="13"/>
        <v>0</v>
      </c>
    </row>
    <row r="57" spans="1:21" x14ac:dyDescent="0.25">
      <c r="A57" s="460"/>
      <c r="B57" s="460"/>
      <c r="C57" s="165">
        <v>0</v>
      </c>
      <c r="D57" s="165">
        <v>0</v>
      </c>
      <c r="E57" s="125">
        <f t="shared" si="10"/>
        <v>0</v>
      </c>
      <c r="F57" s="41" t="s">
        <v>15</v>
      </c>
      <c r="G57" s="39">
        <v>252</v>
      </c>
      <c r="H57" s="321">
        <f>'0664'!H57</f>
        <v>3168</v>
      </c>
      <c r="I57" s="104">
        <f t="shared" si="11"/>
        <v>0</v>
      </c>
      <c r="N57" s="504"/>
      <c r="O57" s="504"/>
      <c r="P57" s="506"/>
      <c r="Q57" s="506"/>
      <c r="R57" s="42" t="s">
        <v>15</v>
      </c>
      <c r="S57" s="40">
        <v>252</v>
      </c>
      <c r="T57" s="117">
        <f t="shared" si="12"/>
        <v>3168</v>
      </c>
      <c r="U57" s="118">
        <f t="shared" si="13"/>
        <v>0</v>
      </c>
    </row>
    <row r="58" spans="1:21" ht="16.5" thickBot="1" x14ac:dyDescent="0.3">
      <c r="A58" s="460"/>
      <c r="B58" s="460"/>
      <c r="C58" s="165">
        <v>0</v>
      </c>
      <c r="D58" s="165">
        <v>0</v>
      </c>
      <c r="E58" s="125">
        <f t="shared" si="10"/>
        <v>0</v>
      </c>
      <c r="F58" s="41" t="s">
        <v>15</v>
      </c>
      <c r="G58" s="39">
        <v>253</v>
      </c>
      <c r="H58" s="321">
        <f>'0664'!H58</f>
        <v>6685</v>
      </c>
      <c r="I58" s="104">
        <f t="shared" si="11"/>
        <v>0</v>
      </c>
      <c r="N58" s="504"/>
      <c r="O58" s="504"/>
      <c r="P58" s="507"/>
      <c r="Q58" s="507"/>
      <c r="R58" s="42" t="s">
        <v>15</v>
      </c>
      <c r="S58" s="40">
        <v>253</v>
      </c>
      <c r="T58" s="117">
        <f t="shared" si="12"/>
        <v>6685</v>
      </c>
      <c r="U58" s="120">
        <f t="shared" si="13"/>
        <v>0</v>
      </c>
    </row>
    <row r="59" spans="1:21" ht="16.5" thickBot="1" x14ac:dyDescent="0.3">
      <c r="A59" s="461" t="s">
        <v>16</v>
      </c>
      <c r="B59" s="461"/>
      <c r="C59" s="100">
        <f>SUM(C50:C58)</f>
        <v>1</v>
      </c>
      <c r="D59" s="100">
        <f>SUM(D50:D58)</f>
        <v>1.5</v>
      </c>
      <c r="E59" s="100">
        <f>SUM(E50:E58)</f>
        <v>2.5</v>
      </c>
      <c r="F59" s="461" t="s">
        <v>77</v>
      </c>
      <c r="G59" s="461"/>
      <c r="H59" s="461"/>
      <c r="I59" s="100">
        <f>SUM(I50:I58)</f>
        <v>17557.5</v>
      </c>
      <c r="N59" s="480" t="s">
        <v>16</v>
      </c>
      <c r="O59" s="480"/>
      <c r="P59" s="502">
        <f>SUM(P50:P58)</f>
        <v>0</v>
      </c>
      <c r="Q59" s="502"/>
      <c r="R59" s="480" t="s">
        <v>77</v>
      </c>
      <c r="S59" s="480"/>
      <c r="T59" s="480"/>
      <c r="U59" s="111">
        <f>SUM(U50:U58)</f>
        <v>0</v>
      </c>
    </row>
    <row r="60" spans="1:21" x14ac:dyDescent="0.25">
      <c r="A60" s="462"/>
      <c r="B60" s="462"/>
      <c r="C60" s="462"/>
      <c r="D60" s="462"/>
      <c r="E60" s="462"/>
      <c r="F60" s="462"/>
      <c r="G60" s="462"/>
      <c r="H60" s="462"/>
      <c r="I60" s="462"/>
      <c r="N60" s="484"/>
      <c r="O60" s="484"/>
      <c r="P60" s="484"/>
      <c r="Q60" s="484"/>
      <c r="R60" s="484"/>
      <c r="S60" s="484"/>
      <c r="T60" s="484"/>
      <c r="U60" s="484"/>
    </row>
    <row r="61" spans="1:21" x14ac:dyDescent="0.25">
      <c r="A61" s="463" t="s">
        <v>136</v>
      </c>
      <c r="B61" s="453"/>
      <c r="C61" s="453"/>
      <c r="D61" s="453"/>
      <c r="E61" s="453"/>
      <c r="F61" s="453"/>
      <c r="G61" s="453"/>
      <c r="H61" s="453"/>
      <c r="I61" s="453"/>
      <c r="N61" s="479" t="s">
        <v>88</v>
      </c>
      <c r="O61" s="479"/>
      <c r="P61" s="479"/>
      <c r="Q61" s="479"/>
      <c r="R61" s="479"/>
      <c r="S61" s="479"/>
      <c r="T61" s="479"/>
      <c r="U61" s="479"/>
    </row>
    <row r="62" spans="1:21" x14ac:dyDescent="0.25">
      <c r="A62" s="463" t="s">
        <v>138</v>
      </c>
      <c r="B62" s="453"/>
      <c r="C62" s="121">
        <f>E29</f>
        <v>87</v>
      </c>
      <c r="D62" s="464" t="s">
        <v>135</v>
      </c>
      <c r="E62" s="464"/>
      <c r="F62" s="464"/>
      <c r="G62" s="464"/>
      <c r="H62" s="335">
        <f>'0664'!H62</f>
        <v>193340.76</v>
      </c>
      <c r="I62" s="122"/>
      <c r="N62" s="478" t="s">
        <v>312</v>
      </c>
      <c r="O62" s="479"/>
      <c r="P62" s="43">
        <f>P29</f>
        <v>87</v>
      </c>
      <c r="Q62" s="498" t="s">
        <v>78</v>
      </c>
      <c r="R62" s="498"/>
      <c r="S62" s="498"/>
      <c r="T62" s="497">
        <f>H62</f>
        <v>193340.76</v>
      </c>
      <c r="U62" s="497"/>
    </row>
    <row r="63" spans="1:21" x14ac:dyDescent="0.25">
      <c r="B63" s="72"/>
      <c r="G63" s="44" t="s">
        <v>13</v>
      </c>
      <c r="H63" s="123">
        <f>ROUND(C62/H62,6)</f>
        <v>4.4999999999999999E-4</v>
      </c>
      <c r="I63" s="124"/>
      <c r="N63" s="479" t="s">
        <v>19</v>
      </c>
      <c r="O63" s="479"/>
      <c r="P63" s="479"/>
      <c r="Q63" s="479"/>
      <c r="R63" s="479"/>
      <c r="S63" s="479"/>
      <c r="T63" s="501">
        <f>ROUND(P62/T62,6)</f>
        <v>4.4999999999999999E-4</v>
      </c>
      <c r="U63" s="501"/>
    </row>
    <row r="64" spans="1:21" x14ac:dyDescent="0.25">
      <c r="A64" s="463" t="s">
        <v>137</v>
      </c>
      <c r="B64" s="453"/>
      <c r="C64" s="453"/>
      <c r="D64" s="453"/>
      <c r="E64" s="453"/>
      <c r="F64" s="453"/>
      <c r="G64" s="453"/>
      <c r="H64" s="453"/>
      <c r="I64" s="453"/>
      <c r="N64" s="479" t="s">
        <v>89</v>
      </c>
      <c r="O64" s="479"/>
      <c r="P64" s="479"/>
      <c r="Q64" s="479"/>
      <c r="R64" s="479"/>
      <c r="S64" s="479"/>
      <c r="T64" s="479"/>
      <c r="U64" s="479"/>
    </row>
    <row r="65" spans="1:21" x14ac:dyDescent="0.25">
      <c r="A65" s="463" t="s">
        <v>139</v>
      </c>
      <c r="B65" s="453"/>
      <c r="C65" s="121">
        <f>E45</f>
        <v>379.4425</v>
      </c>
      <c r="D65" s="464" t="s">
        <v>140</v>
      </c>
      <c r="E65" s="464"/>
      <c r="F65" s="464"/>
      <c r="G65" s="464"/>
      <c r="H65" s="336">
        <f>'0664'!H65</f>
        <v>216845.88</v>
      </c>
      <c r="I65" s="125"/>
      <c r="N65" s="479" t="s">
        <v>80</v>
      </c>
      <c r="O65" s="479"/>
      <c r="P65" s="43">
        <f>R45</f>
        <v>87</v>
      </c>
      <c r="Q65" s="498" t="s">
        <v>79</v>
      </c>
      <c r="R65" s="498"/>
      <c r="S65" s="498"/>
      <c r="T65" s="497">
        <f>H65</f>
        <v>216845.88</v>
      </c>
      <c r="U65" s="497"/>
    </row>
    <row r="66" spans="1:21" s="37" customFormat="1" x14ac:dyDescent="0.25">
      <c r="A66" s="126"/>
      <c r="G66" s="45" t="s">
        <v>13</v>
      </c>
      <c r="H66" s="127">
        <f>ROUND(C65/H65,6)</f>
        <v>1.75E-3</v>
      </c>
      <c r="I66" s="127"/>
      <c r="N66" s="482" t="s">
        <v>20</v>
      </c>
      <c r="O66" s="482"/>
      <c r="P66" s="482"/>
      <c r="Q66" s="482"/>
      <c r="R66" s="482"/>
      <c r="S66" s="482"/>
      <c r="T66" s="500">
        <f>ROUND(P65/T65,6)</f>
        <v>4.0099999999999999E-4</v>
      </c>
      <c r="U66" s="500"/>
    </row>
    <row r="67" spans="1:21" x14ac:dyDescent="0.25">
      <c r="G67" s="44"/>
      <c r="H67" s="123"/>
      <c r="I67" s="123"/>
      <c r="N67" s="48"/>
      <c r="O67" s="48"/>
      <c r="P67" s="48"/>
      <c r="Q67" s="48"/>
      <c r="R67" s="128"/>
      <c r="S67" s="48"/>
      <c r="T67" s="129"/>
      <c r="U67" s="130"/>
    </row>
    <row r="68" spans="1:21" x14ac:dyDescent="0.25">
      <c r="A68" s="453" t="s">
        <v>85</v>
      </c>
      <c r="B68" s="453"/>
      <c r="C68" s="453"/>
      <c r="D68" s="72"/>
      <c r="E68" s="46" t="s">
        <v>3</v>
      </c>
      <c r="F68" s="337">
        <f>'0664'!F68</f>
        <v>42465042</v>
      </c>
      <c r="G68" s="39" t="s">
        <v>6</v>
      </c>
      <c r="H68" s="131">
        <f>H63</f>
        <v>4.4999999999999999E-4</v>
      </c>
      <c r="I68" s="104">
        <f>ROUND(F68*H68,2)</f>
        <v>19109.27</v>
      </c>
      <c r="N68" s="479" t="s">
        <v>85</v>
      </c>
      <c r="O68" s="479"/>
      <c r="P68" s="479"/>
      <c r="Q68" s="47"/>
      <c r="R68" s="132">
        <f>F68</f>
        <v>42465042</v>
      </c>
      <c r="S68" s="40" t="s">
        <v>6</v>
      </c>
      <c r="T68" s="133">
        <f>T63</f>
        <v>4.4999999999999999E-4</v>
      </c>
      <c r="U68" s="99">
        <f>ROUND(R68*T68,0)</f>
        <v>19109</v>
      </c>
    </row>
    <row r="69" spans="1:21" x14ac:dyDescent="0.25">
      <c r="A69" s="458" t="s">
        <v>96</v>
      </c>
      <c r="B69" s="453"/>
      <c r="C69" s="453"/>
      <c r="D69" s="72"/>
      <c r="E69" s="46"/>
      <c r="F69" s="175"/>
      <c r="G69" s="39"/>
      <c r="H69" s="131"/>
      <c r="I69" s="104"/>
      <c r="N69" s="479" t="s">
        <v>84</v>
      </c>
      <c r="O69" s="479"/>
      <c r="P69" s="479"/>
      <c r="Q69" s="54"/>
      <c r="R69" s="54"/>
      <c r="S69" s="54"/>
      <c r="T69" s="54"/>
      <c r="U69" s="54"/>
    </row>
    <row r="70" spans="1:21" x14ac:dyDescent="0.25">
      <c r="A70" s="465" t="s">
        <v>141</v>
      </c>
      <c r="B70" s="453"/>
      <c r="C70" s="453"/>
      <c r="D70" s="72"/>
      <c r="E70" s="46" t="s">
        <v>3</v>
      </c>
      <c r="F70" s="337">
        <f>'0664'!F70</f>
        <v>0</v>
      </c>
      <c r="G70" s="39" t="s">
        <v>6</v>
      </c>
      <c r="H70" s="131">
        <f>H63</f>
        <v>4.4999999999999999E-4</v>
      </c>
      <c r="I70" s="104">
        <f>ROUND(F70*H70,2)</f>
        <v>0</v>
      </c>
      <c r="N70" s="48"/>
      <c r="O70" s="48"/>
      <c r="P70" s="48"/>
      <c r="Q70" s="47"/>
      <c r="R70" s="132">
        <f>F70</f>
        <v>0</v>
      </c>
      <c r="S70" s="40" t="s">
        <v>6</v>
      </c>
      <c r="T70" s="133">
        <f>T63</f>
        <v>4.4999999999999999E-4</v>
      </c>
      <c r="U70" s="99">
        <f>ROUND(R70*T70,0)</f>
        <v>0</v>
      </c>
    </row>
    <row r="71" spans="1:21" x14ac:dyDescent="0.25">
      <c r="A71" s="463" t="s">
        <v>433</v>
      </c>
      <c r="B71" s="453"/>
      <c r="C71" s="453"/>
      <c r="D71" s="72"/>
      <c r="E71" s="46" t="s">
        <v>3</v>
      </c>
      <c r="F71" s="337">
        <f>'0664'!F71</f>
        <v>13414654</v>
      </c>
      <c r="G71" s="39" t="s">
        <v>6</v>
      </c>
      <c r="H71" s="131">
        <f>H63</f>
        <v>4.4999999999999999E-4</v>
      </c>
      <c r="I71" s="104">
        <f>ROUND(F71*H71,2)</f>
        <v>6036.59</v>
      </c>
      <c r="N71" s="479" t="s">
        <v>83</v>
      </c>
      <c r="O71" s="479"/>
      <c r="P71" s="479"/>
      <c r="Q71" s="47"/>
      <c r="R71" s="132">
        <f>F71</f>
        <v>13414654</v>
      </c>
      <c r="S71" s="40" t="s">
        <v>6</v>
      </c>
      <c r="T71" s="133">
        <f>T63</f>
        <v>4.4999999999999999E-4</v>
      </c>
      <c r="U71" s="99">
        <f>ROUND(R71*T71,0)</f>
        <v>6037</v>
      </c>
    </row>
    <row r="72" spans="1:21" x14ac:dyDescent="0.25">
      <c r="A72" s="463" t="s">
        <v>434</v>
      </c>
      <c r="B72" s="453"/>
      <c r="C72" s="453"/>
      <c r="D72" s="72"/>
      <c r="E72" s="46" t="s">
        <v>3</v>
      </c>
      <c r="F72" s="337">
        <f>'0664'!F72</f>
        <v>14708421</v>
      </c>
      <c r="G72" s="39" t="s">
        <v>6</v>
      </c>
      <c r="H72" s="131">
        <f>H63</f>
        <v>4.4999999999999999E-4</v>
      </c>
      <c r="I72" s="104">
        <f>ROUND(F72*H72,2)</f>
        <v>6618.79</v>
      </c>
      <c r="N72" s="479" t="s">
        <v>82</v>
      </c>
      <c r="O72" s="479"/>
      <c r="P72" s="479"/>
      <c r="Q72" s="47"/>
      <c r="R72" s="134">
        <f>F72</f>
        <v>14708421</v>
      </c>
      <c r="S72" s="40" t="s">
        <v>6</v>
      </c>
      <c r="T72" s="133">
        <f>T63</f>
        <v>4.4999999999999999E-4</v>
      </c>
      <c r="U72" s="99">
        <f>ROUND(R72*T72,0)</f>
        <v>6619</v>
      </c>
    </row>
    <row r="73" spans="1:21" x14ac:dyDescent="0.25">
      <c r="A73" s="263" t="s">
        <v>99</v>
      </c>
      <c r="D73" s="72"/>
      <c r="E73" s="41" t="s">
        <v>353</v>
      </c>
      <c r="F73" s="466"/>
      <c r="G73" s="466"/>
      <c r="H73" s="466"/>
      <c r="I73" s="104">
        <v>0</v>
      </c>
      <c r="N73" s="499" t="s">
        <v>118</v>
      </c>
      <c r="O73" s="499"/>
      <c r="P73" s="499"/>
      <c r="Q73" s="499"/>
      <c r="R73" s="499"/>
      <c r="S73" s="499"/>
      <c r="T73" s="499"/>
      <c r="U73" s="99">
        <f>IF($H$120=1,I73,0)</f>
        <v>0</v>
      </c>
    </row>
    <row r="74" spans="1:21" x14ac:dyDescent="0.25">
      <c r="A74" s="264" t="s">
        <v>142</v>
      </c>
      <c r="I74" s="104"/>
      <c r="N74" s="499" t="s">
        <v>43</v>
      </c>
      <c r="O74" s="499"/>
      <c r="P74" s="499"/>
      <c r="Q74" s="499"/>
      <c r="R74" s="499"/>
      <c r="S74" s="499"/>
      <c r="T74" s="499"/>
      <c r="U74" s="99">
        <f>IF($H$120=1,I74,0)</f>
        <v>0</v>
      </c>
    </row>
    <row r="75" spans="1:21" x14ac:dyDescent="0.25">
      <c r="A75" s="324" t="s">
        <v>101</v>
      </c>
      <c r="B75" s="72"/>
      <c r="C75" s="72"/>
      <c r="D75" s="72"/>
      <c r="E75" s="72"/>
      <c r="F75" s="72"/>
      <c r="G75" s="72"/>
      <c r="H75" s="72"/>
      <c r="I75" s="135"/>
      <c r="N75" s="382" t="s">
        <v>44</v>
      </c>
      <c r="O75" s="48"/>
      <c r="P75" s="48"/>
      <c r="Q75" s="48"/>
      <c r="R75" s="48"/>
      <c r="S75" s="48"/>
      <c r="T75" s="48"/>
      <c r="U75" s="106"/>
    </row>
    <row r="76" spans="1:21" x14ac:dyDescent="0.25">
      <c r="A76" s="463" t="s">
        <v>435</v>
      </c>
      <c r="B76" s="453"/>
      <c r="C76" s="453"/>
      <c r="D76" s="72"/>
      <c r="E76" s="46" t="s">
        <v>3</v>
      </c>
      <c r="F76" s="337">
        <f>'0664'!F76</f>
        <v>8720092</v>
      </c>
      <c r="G76" s="39" t="s">
        <v>6</v>
      </c>
      <c r="H76" s="131">
        <f>H63</f>
        <v>4.4999999999999999E-4</v>
      </c>
      <c r="I76" s="104">
        <f t="shared" ref="I76:I85" si="14">ROUND(F76*H76,2)</f>
        <v>3924.04</v>
      </c>
      <c r="N76" s="478" t="s">
        <v>366</v>
      </c>
      <c r="O76" s="479"/>
      <c r="P76" s="479"/>
      <c r="Q76" s="47"/>
      <c r="R76" s="134">
        <f t="shared" ref="R76:R85" si="15">F76</f>
        <v>8720092</v>
      </c>
      <c r="S76" s="40" t="s">
        <v>6</v>
      </c>
      <c r="T76" s="133">
        <f>T63</f>
        <v>4.4999999999999999E-4</v>
      </c>
      <c r="U76" s="99">
        <f t="shared" ref="U76:U85" si="16">ROUND(R76*T76,0)</f>
        <v>3924</v>
      </c>
    </row>
    <row r="77" spans="1:21" x14ac:dyDescent="0.25">
      <c r="A77" s="463" t="s">
        <v>436</v>
      </c>
      <c r="B77" s="453"/>
      <c r="C77" s="453"/>
      <c r="D77" s="72"/>
      <c r="E77" s="46" t="s">
        <v>3</v>
      </c>
      <c r="F77" s="337">
        <f>'0664'!F77</f>
        <v>0</v>
      </c>
      <c r="G77" s="39" t="s">
        <v>6</v>
      </c>
      <c r="H77" s="131">
        <f>H63</f>
        <v>4.4999999999999999E-4</v>
      </c>
      <c r="I77" s="104">
        <f t="shared" si="14"/>
        <v>0</v>
      </c>
      <c r="N77" s="479" t="s">
        <v>367</v>
      </c>
      <c r="O77" s="479"/>
      <c r="P77" s="479"/>
      <c r="Q77" s="47"/>
      <c r="R77" s="134">
        <f t="shared" si="15"/>
        <v>0</v>
      </c>
      <c r="S77" s="40" t="s">
        <v>6</v>
      </c>
      <c r="T77" s="133">
        <f>T63</f>
        <v>4.4999999999999999E-4</v>
      </c>
      <c r="U77" s="99">
        <f t="shared" si="16"/>
        <v>0</v>
      </c>
    </row>
    <row r="78" spans="1:21" x14ac:dyDescent="0.25">
      <c r="A78" s="463" t="s">
        <v>437</v>
      </c>
      <c r="B78" s="453"/>
      <c r="C78" s="453"/>
      <c r="D78" s="72"/>
      <c r="E78" s="46" t="s">
        <v>4</v>
      </c>
      <c r="F78" s="337">
        <f>'0664'!F78</f>
        <v>0</v>
      </c>
      <c r="G78" s="39" t="s">
        <v>6</v>
      </c>
      <c r="H78" s="131">
        <f>H66</f>
        <v>1.75E-3</v>
      </c>
      <c r="I78" s="104">
        <f t="shared" si="14"/>
        <v>0</v>
      </c>
      <c r="N78" s="478" t="s">
        <v>392</v>
      </c>
      <c r="O78" s="479"/>
      <c r="P78" s="479"/>
      <c r="Q78" s="47"/>
      <c r="R78" s="134">
        <f t="shared" si="15"/>
        <v>0</v>
      </c>
      <c r="S78" s="40" t="s">
        <v>6</v>
      </c>
      <c r="T78" s="133">
        <f>T66</f>
        <v>4.0099999999999999E-4</v>
      </c>
      <c r="U78" s="99">
        <f t="shared" si="16"/>
        <v>0</v>
      </c>
    </row>
    <row r="79" spans="1:21" x14ac:dyDescent="0.25">
      <c r="A79" s="463" t="s">
        <v>438</v>
      </c>
      <c r="B79" s="453"/>
      <c r="C79" s="453"/>
      <c r="D79" s="72"/>
      <c r="E79" s="46" t="s">
        <v>4</v>
      </c>
      <c r="F79" s="337">
        <f>'0664'!F79</f>
        <v>11278687</v>
      </c>
      <c r="G79" s="39" t="s">
        <v>6</v>
      </c>
      <c r="H79" s="131">
        <f>H66</f>
        <v>1.75E-3</v>
      </c>
      <c r="I79" s="104">
        <f t="shared" si="14"/>
        <v>19737.7</v>
      </c>
      <c r="N79" s="478" t="s">
        <v>393</v>
      </c>
      <c r="O79" s="479"/>
      <c r="P79" s="479"/>
      <c r="Q79" s="47"/>
      <c r="R79" s="134">
        <f t="shared" si="15"/>
        <v>11278687</v>
      </c>
      <c r="S79" s="40" t="s">
        <v>6</v>
      </c>
      <c r="T79" s="133">
        <f>T66</f>
        <v>4.0099999999999999E-4</v>
      </c>
      <c r="U79" s="99">
        <f t="shared" si="16"/>
        <v>4523</v>
      </c>
    </row>
    <row r="80" spans="1:21" x14ac:dyDescent="0.25">
      <c r="A80" s="463" t="s">
        <v>439</v>
      </c>
      <c r="B80" s="453"/>
      <c r="C80" s="453"/>
      <c r="D80" s="72"/>
      <c r="E80" s="46" t="s">
        <v>4</v>
      </c>
      <c r="F80" s="337">
        <f>'0664'!F80</f>
        <v>206284749</v>
      </c>
      <c r="G80" s="39" t="s">
        <v>6</v>
      </c>
      <c r="H80" s="131">
        <f>H66</f>
        <v>1.75E-3</v>
      </c>
      <c r="I80" s="104">
        <f t="shared" si="14"/>
        <v>360998.31</v>
      </c>
      <c r="N80" s="478" t="s">
        <v>397</v>
      </c>
      <c r="O80" s="479"/>
      <c r="P80" s="479"/>
      <c r="Q80" s="47"/>
      <c r="R80" s="134">
        <f t="shared" si="15"/>
        <v>206284749</v>
      </c>
      <c r="S80" s="40" t="s">
        <v>6</v>
      </c>
      <c r="T80" s="133">
        <f>T66</f>
        <v>4.0099999999999999E-4</v>
      </c>
      <c r="U80" s="99">
        <f t="shared" si="16"/>
        <v>82720</v>
      </c>
    </row>
    <row r="81" spans="1:21" x14ac:dyDescent="0.25">
      <c r="A81" s="84" t="s">
        <v>440</v>
      </c>
      <c r="B81" s="72"/>
      <c r="C81" s="72"/>
      <c r="D81" s="72"/>
      <c r="E81" s="46"/>
      <c r="F81" s="337"/>
      <c r="G81" s="39"/>
      <c r="H81" s="131"/>
      <c r="I81" s="104"/>
      <c r="N81" s="419" t="s">
        <v>440</v>
      </c>
      <c r="O81" s="48"/>
      <c r="P81" s="48"/>
      <c r="Q81" s="47"/>
      <c r="R81" s="423"/>
      <c r="S81" s="40"/>
      <c r="T81" s="133"/>
      <c r="U81" s="120"/>
    </row>
    <row r="82" spans="1:21" x14ac:dyDescent="0.25">
      <c r="A82" s="264" t="s">
        <v>441</v>
      </c>
      <c r="B82" s="72"/>
      <c r="C82" s="72"/>
      <c r="D82" s="72"/>
      <c r="E82" s="46" t="s">
        <v>442</v>
      </c>
      <c r="F82" s="337">
        <f>'0664'!F82</f>
        <v>0</v>
      </c>
      <c r="G82" s="39" t="s">
        <v>6</v>
      </c>
      <c r="H82" s="131">
        <f>H66</f>
        <v>1.75E-3</v>
      </c>
      <c r="I82" s="104">
        <v>57671.040000000001</v>
      </c>
      <c r="N82" s="422" t="s">
        <v>441</v>
      </c>
      <c r="O82" s="48"/>
      <c r="P82" s="48"/>
      <c r="Q82" s="47"/>
      <c r="R82" s="134">
        <f t="shared" si="15"/>
        <v>0</v>
      </c>
      <c r="S82" s="40"/>
      <c r="T82" s="133"/>
      <c r="U82" s="99">
        <f t="shared" si="16"/>
        <v>0</v>
      </c>
    </row>
    <row r="83" spans="1:21" x14ac:dyDescent="0.25">
      <c r="A83" s="264" t="s">
        <v>443</v>
      </c>
      <c r="B83" s="72"/>
      <c r="C83" s="72"/>
      <c r="D83" s="72"/>
      <c r="E83" s="46" t="s">
        <v>442</v>
      </c>
      <c r="F83" s="337">
        <f>'0664'!F83</f>
        <v>0</v>
      </c>
      <c r="G83" s="39" t="s">
        <v>6</v>
      </c>
      <c r="H83" s="131">
        <f>H66</f>
        <v>1.75E-3</v>
      </c>
      <c r="I83" s="104">
        <v>26214.11</v>
      </c>
      <c r="N83" s="422" t="s">
        <v>443</v>
      </c>
      <c r="O83" s="48"/>
      <c r="P83" s="48"/>
      <c r="Q83" s="47"/>
      <c r="R83" s="134">
        <f t="shared" si="15"/>
        <v>0</v>
      </c>
      <c r="S83" s="40"/>
      <c r="T83" s="133"/>
      <c r="U83" s="99">
        <f t="shared" si="16"/>
        <v>0</v>
      </c>
    </row>
    <row r="84" spans="1:21" x14ac:dyDescent="0.25">
      <c r="A84" s="420" t="s">
        <v>444</v>
      </c>
      <c r="B84" s="72"/>
      <c r="C84" s="72"/>
      <c r="D84" s="72"/>
      <c r="E84" s="46"/>
      <c r="F84" s="337"/>
      <c r="G84" s="39"/>
      <c r="H84" s="131"/>
      <c r="I84" s="104">
        <f>I82+I83</f>
        <v>83885.149999999994</v>
      </c>
      <c r="N84" s="421" t="s">
        <v>444</v>
      </c>
      <c r="O84" s="48"/>
      <c r="P84" s="48"/>
      <c r="Q84" s="47"/>
      <c r="R84" s="423"/>
      <c r="S84" s="40"/>
      <c r="T84" s="133"/>
      <c r="U84" s="99">
        <f>U82+U83</f>
        <v>0</v>
      </c>
    </row>
    <row r="85" spans="1:21" x14ac:dyDescent="0.25">
      <c r="A85" s="463" t="s">
        <v>398</v>
      </c>
      <c r="B85" s="453"/>
      <c r="C85" s="453"/>
      <c r="D85" s="72"/>
      <c r="E85" s="46" t="s">
        <v>4</v>
      </c>
      <c r="F85" s="337">
        <f>'0664'!F85</f>
        <v>0</v>
      </c>
      <c r="G85" s="39" t="s">
        <v>6</v>
      </c>
      <c r="H85" s="131">
        <f>H66</f>
        <v>1.75E-3</v>
      </c>
      <c r="I85" s="104">
        <f t="shared" si="14"/>
        <v>0</v>
      </c>
      <c r="N85" s="478" t="s">
        <v>398</v>
      </c>
      <c r="O85" s="479"/>
      <c r="P85" s="479"/>
      <c r="Q85" s="47"/>
      <c r="R85" s="132">
        <f t="shared" si="15"/>
        <v>0</v>
      </c>
      <c r="S85" s="40" t="s">
        <v>6</v>
      </c>
      <c r="T85" s="133">
        <f>T66</f>
        <v>4.0099999999999999E-4</v>
      </c>
      <c r="U85" s="99">
        <f t="shared" si="16"/>
        <v>0</v>
      </c>
    </row>
    <row r="86" spans="1:21" x14ac:dyDescent="0.25">
      <c r="B86" s="72"/>
      <c r="C86" s="72"/>
      <c r="D86" s="72"/>
      <c r="E86" s="46"/>
      <c r="F86" s="136"/>
      <c r="G86" s="39"/>
      <c r="H86" s="131"/>
      <c r="I86" s="104"/>
      <c r="N86" s="48"/>
      <c r="O86" s="48"/>
      <c r="P86" s="48"/>
      <c r="Q86" s="47"/>
      <c r="R86" s="137"/>
      <c r="S86" s="40"/>
      <c r="T86" s="133"/>
      <c r="U86" s="106"/>
    </row>
    <row r="87" spans="1:21" x14ac:dyDescent="0.25">
      <c r="A87" s="463" t="s">
        <v>445</v>
      </c>
      <c r="B87" s="453"/>
      <c r="C87" s="453"/>
      <c r="D87" s="453"/>
      <c r="E87" s="453"/>
      <c r="F87" s="453"/>
      <c r="G87" s="453"/>
      <c r="H87" s="453"/>
      <c r="I87" s="453"/>
      <c r="N87" s="478" t="s">
        <v>429</v>
      </c>
      <c r="O87" s="479"/>
      <c r="P87" s="479"/>
      <c r="Q87" s="479"/>
      <c r="R87" s="479"/>
      <c r="S87" s="479"/>
      <c r="T87" s="479"/>
      <c r="U87" s="479"/>
    </row>
    <row r="88" spans="1:21" x14ac:dyDescent="0.25">
      <c r="B88" s="72"/>
      <c r="C88" s="466" t="s">
        <v>73</v>
      </c>
      <c r="D88" s="466"/>
      <c r="E88" s="72"/>
      <c r="F88" s="41" t="s">
        <v>37</v>
      </c>
      <c r="G88" s="72"/>
      <c r="H88" s="72"/>
      <c r="I88" s="72"/>
      <c r="N88" s="48"/>
      <c r="O88" s="48"/>
      <c r="P88" s="48"/>
      <c r="Q88" s="48"/>
      <c r="R88" s="48"/>
      <c r="S88" s="48"/>
      <c r="T88" s="48"/>
      <c r="U88" s="48"/>
    </row>
    <row r="89" spans="1:21" x14ac:dyDescent="0.25">
      <c r="A89" s="3"/>
      <c r="B89" s="138"/>
      <c r="C89" s="462" t="s">
        <v>144</v>
      </c>
      <c r="D89" s="462"/>
      <c r="E89" s="139" t="s">
        <v>150</v>
      </c>
      <c r="F89" s="140" t="s">
        <v>149</v>
      </c>
      <c r="G89" s="141"/>
      <c r="H89" s="141"/>
      <c r="I89" s="141"/>
      <c r="N89" s="495" t="s">
        <v>46</v>
      </c>
      <c r="O89" s="495"/>
      <c r="P89" s="496" t="s">
        <v>119</v>
      </c>
      <c r="Q89" s="496"/>
      <c r="R89" s="497" t="s">
        <v>40</v>
      </c>
      <c r="S89" s="497"/>
      <c r="T89" s="497"/>
      <c r="U89" s="497"/>
    </row>
    <row r="90" spans="1:21" x14ac:dyDescent="0.25">
      <c r="A90" s="27"/>
      <c r="B90" s="55" t="s">
        <v>148</v>
      </c>
      <c r="C90" s="467">
        <f>H13+H14+H19+H22+H25</f>
        <v>219.52699999999999</v>
      </c>
      <c r="D90" s="467"/>
      <c r="E90" s="49">
        <f>H8</f>
        <v>1.0438000000000001</v>
      </c>
      <c r="F90" s="338">
        <f>'0664'!F90</f>
        <v>957.94</v>
      </c>
      <c r="G90" s="41" t="s">
        <v>13</v>
      </c>
      <c r="H90" s="104">
        <f>ROUND(C90*E90*F90,2)</f>
        <v>219504.56</v>
      </c>
      <c r="I90" s="107"/>
      <c r="N90" s="29" t="s">
        <v>22</v>
      </c>
      <c r="O90" s="50">
        <f>T13+T14+T19+T22+T25</f>
        <v>48</v>
      </c>
      <c r="P90" s="490">
        <f>T8</f>
        <v>1.0438000000000001</v>
      </c>
      <c r="Q90" s="490"/>
      <c r="R90" s="51">
        <f>F90</f>
        <v>957.94</v>
      </c>
      <c r="S90" s="42" t="s">
        <v>13</v>
      </c>
      <c r="T90" s="134">
        <f>ROUND(O90*P90*R90,0)</f>
        <v>47995</v>
      </c>
      <c r="U90" s="105"/>
    </row>
    <row r="91" spans="1:21" x14ac:dyDescent="0.25">
      <c r="A91" s="52"/>
      <c r="B91" s="52" t="s">
        <v>147</v>
      </c>
      <c r="C91" s="467">
        <f>H15+H16+H20+H23+H26</f>
        <v>159.91550000000001</v>
      </c>
      <c r="D91" s="467"/>
      <c r="E91" s="49">
        <f>H8</f>
        <v>1.0438000000000001</v>
      </c>
      <c r="F91" s="338">
        <f>'0664'!F91</f>
        <v>914.63</v>
      </c>
      <c r="G91" s="41" t="s">
        <v>13</v>
      </c>
      <c r="H91" s="104">
        <f>ROUND(C91*E91*F91,2)</f>
        <v>152669.85999999999</v>
      </c>
      <c r="N91" s="53" t="s">
        <v>14</v>
      </c>
      <c r="O91" s="50">
        <f>T15+T16+T20+T23+T26</f>
        <v>39</v>
      </c>
      <c r="P91" s="490">
        <f>T8</f>
        <v>1.0438000000000001</v>
      </c>
      <c r="Q91" s="490"/>
      <c r="R91" s="51">
        <f>F91</f>
        <v>914.63</v>
      </c>
      <c r="S91" s="42" t="s">
        <v>13</v>
      </c>
      <c r="T91" s="134">
        <f>ROUND(O91*P91*R91,0)</f>
        <v>37233</v>
      </c>
      <c r="U91" s="54"/>
    </row>
    <row r="92" spans="1:21" ht="16.5" thickBot="1" x14ac:dyDescent="0.3">
      <c r="A92" s="55"/>
      <c r="B92" s="55" t="s">
        <v>146</v>
      </c>
      <c r="C92" s="467">
        <f>H17+H18+H21+H24+H27+H28</f>
        <v>0</v>
      </c>
      <c r="D92" s="467"/>
      <c r="E92" s="49">
        <f>H8</f>
        <v>1.0438000000000001</v>
      </c>
      <c r="F92" s="338">
        <f>'0664'!F92</f>
        <v>916.84</v>
      </c>
      <c r="G92" s="41" t="s">
        <v>13</v>
      </c>
      <c r="H92" s="97">
        <f>ROUND(C92*E92*F92,2)</f>
        <v>0</v>
      </c>
      <c r="N92" s="56" t="s">
        <v>15</v>
      </c>
      <c r="O92" s="57">
        <f>T17+T18+T21+T24+T27+T28</f>
        <v>0</v>
      </c>
      <c r="P92" s="490">
        <f>T8</f>
        <v>1.0438000000000001</v>
      </c>
      <c r="Q92" s="490"/>
      <c r="R92" s="51">
        <f>F92</f>
        <v>916.84</v>
      </c>
      <c r="S92" s="42" t="s">
        <v>13</v>
      </c>
      <c r="T92" s="134">
        <f>ROUND(O92*P92*R92,0)</f>
        <v>0</v>
      </c>
      <c r="U92" s="54"/>
    </row>
    <row r="93" spans="1:21" ht="16.5" thickBot="1" x14ac:dyDescent="0.3">
      <c r="A93" s="58"/>
      <c r="B93" s="142" t="s">
        <v>145</v>
      </c>
      <c r="C93" s="469">
        <f>SUM(C90:C92)</f>
        <v>379.4425</v>
      </c>
      <c r="D93" s="469"/>
      <c r="E93" s="143"/>
      <c r="F93" s="143"/>
      <c r="G93" s="143"/>
      <c r="H93" s="144" t="s">
        <v>143</v>
      </c>
      <c r="I93" s="104">
        <f>IF(A1=75,0,H92+H91+H90)</f>
        <v>372174.42</v>
      </c>
      <c r="N93" s="59" t="s">
        <v>120</v>
      </c>
      <c r="O93" s="60">
        <f>SUM(O90:O92)</f>
        <v>87</v>
      </c>
      <c r="P93" s="491" t="s">
        <v>18</v>
      </c>
      <c r="Q93" s="492"/>
      <c r="R93" s="492"/>
      <c r="S93" s="492"/>
      <c r="T93" s="492"/>
      <c r="U93" s="99">
        <f>IF(N1=75,0,T92+T91+T90)</f>
        <v>85228</v>
      </c>
    </row>
    <row r="94" spans="1:21" ht="16.5" thickTop="1" x14ac:dyDescent="0.25">
      <c r="A94" s="540" t="s">
        <v>90</v>
      </c>
      <c r="B94" s="540"/>
      <c r="C94" s="540"/>
      <c r="D94" s="540"/>
      <c r="E94" s="540"/>
      <c r="F94" s="540"/>
      <c r="G94" s="540"/>
      <c r="H94" s="540"/>
      <c r="I94" s="540"/>
      <c r="N94" s="493" t="s">
        <v>90</v>
      </c>
      <c r="O94" s="493"/>
      <c r="P94" s="493"/>
      <c r="Q94" s="493"/>
      <c r="R94" s="493"/>
      <c r="S94" s="493"/>
      <c r="T94" s="493"/>
      <c r="U94" s="493"/>
    </row>
    <row r="95" spans="1:21" x14ac:dyDescent="0.25">
      <c r="A95" s="145"/>
      <c r="B95" s="145"/>
      <c r="C95" s="145"/>
      <c r="D95" s="145"/>
      <c r="E95" s="145"/>
      <c r="F95" s="145"/>
      <c r="G95" s="145"/>
      <c r="H95" s="145"/>
      <c r="I95" s="145"/>
      <c r="N95" s="146"/>
      <c r="O95" s="146"/>
      <c r="P95" s="146"/>
      <c r="Q95" s="146"/>
      <c r="R95" s="146"/>
      <c r="S95" s="146"/>
      <c r="T95" s="146"/>
      <c r="U95" s="146"/>
    </row>
    <row r="96" spans="1:21" x14ac:dyDescent="0.25">
      <c r="A96" s="84" t="s">
        <v>446</v>
      </c>
      <c r="C96" s="46"/>
      <c r="D96" s="72"/>
      <c r="E96" s="46" t="s">
        <v>100</v>
      </c>
      <c r="F96" s="471"/>
      <c r="G96" s="471"/>
      <c r="H96" s="471"/>
      <c r="I96" s="471"/>
      <c r="N96" s="478" t="s">
        <v>426</v>
      </c>
      <c r="O96" s="479"/>
      <c r="P96" s="479"/>
      <c r="Q96" s="494"/>
      <c r="R96" s="494"/>
      <c r="S96" s="494"/>
      <c r="T96" s="494"/>
      <c r="U96" s="106"/>
    </row>
    <row r="97" spans="1:21" x14ac:dyDescent="0.25">
      <c r="B97" s="72"/>
      <c r="C97" s="91" t="s">
        <v>409</v>
      </c>
      <c r="D97" s="371" t="s">
        <v>410</v>
      </c>
      <c r="E97" s="92" t="s">
        <v>151</v>
      </c>
      <c r="F97" s="46"/>
      <c r="G97" s="46"/>
      <c r="H97" s="46"/>
      <c r="I97" s="46"/>
      <c r="N97" s="48"/>
      <c r="O97" s="48"/>
      <c r="P97" s="48"/>
      <c r="Q97" s="147"/>
      <c r="R97" s="147"/>
      <c r="S97" s="147"/>
      <c r="T97" s="147"/>
      <c r="U97" s="106"/>
    </row>
    <row r="98" spans="1:21" x14ac:dyDescent="0.25">
      <c r="B98" s="72"/>
      <c r="C98" s="364" t="s">
        <v>2</v>
      </c>
      <c r="D98" s="362" t="s">
        <v>2</v>
      </c>
      <c r="E98" s="362" t="s">
        <v>2</v>
      </c>
      <c r="F98" s="46"/>
      <c r="G98" s="46"/>
      <c r="H98" s="46"/>
      <c r="I98" s="46"/>
      <c r="N98" s="48"/>
      <c r="O98" s="48"/>
      <c r="P98" s="48"/>
      <c r="Q98" s="147"/>
      <c r="R98" s="147"/>
      <c r="S98" s="147"/>
      <c r="T98" s="147"/>
      <c r="U98" s="106"/>
    </row>
    <row r="99" spans="1:21" x14ac:dyDescent="0.25">
      <c r="A99" s="536" t="s">
        <v>470</v>
      </c>
      <c r="B99" s="461"/>
      <c r="C99" s="165">
        <v>0</v>
      </c>
      <c r="D99" s="165">
        <v>0</v>
      </c>
      <c r="E99" s="166">
        <f>C99</f>
        <v>0</v>
      </c>
      <c r="F99" s="148" t="s">
        <v>39</v>
      </c>
      <c r="G99" s="339">
        <f>'0664'!G99</f>
        <v>558</v>
      </c>
      <c r="I99" s="104">
        <f>ROUND(G99*E99,2)</f>
        <v>0</v>
      </c>
      <c r="N99" s="488" t="s">
        <v>65</v>
      </c>
      <c r="O99" s="488"/>
      <c r="P99" s="489">
        <f>IF(H120=1,E99,0)</f>
        <v>0</v>
      </c>
      <c r="Q99" s="489"/>
      <c r="R99" s="489"/>
      <c r="S99" s="86" t="s">
        <v>39</v>
      </c>
      <c r="T99" s="61">
        <f>G99</f>
        <v>558</v>
      </c>
      <c r="U99" s="99">
        <f>ROUND(T99*P99,0)</f>
        <v>0</v>
      </c>
    </row>
    <row r="100" spans="1:21" x14ac:dyDescent="0.25">
      <c r="A100" s="536" t="s">
        <v>471</v>
      </c>
      <c r="B100" s="461"/>
      <c r="C100" s="165">
        <v>0</v>
      </c>
      <c r="D100" s="165">
        <v>0</v>
      </c>
      <c r="E100" s="166">
        <f>C100</f>
        <v>0</v>
      </c>
      <c r="F100" s="148" t="s">
        <v>39</v>
      </c>
      <c r="G100" s="339">
        <f>'0664'!G100</f>
        <v>1707</v>
      </c>
      <c r="I100" s="104">
        <f>ROUND(G100*E100,2)</f>
        <v>0</v>
      </c>
      <c r="N100" s="488" t="s">
        <v>81</v>
      </c>
      <c r="O100" s="488"/>
      <c r="P100" s="483"/>
      <c r="Q100" s="483"/>
      <c r="R100" s="483"/>
      <c r="S100" s="86" t="s">
        <v>39</v>
      </c>
      <c r="T100" s="61">
        <f>G100</f>
        <v>1707</v>
      </c>
      <c r="U100" s="99">
        <f>ROUND(T100*P100,0)</f>
        <v>0</v>
      </c>
    </row>
    <row r="101" spans="1:21" x14ac:dyDescent="0.25">
      <c r="A101" s="149"/>
      <c r="B101" s="149"/>
      <c r="C101" s="68"/>
      <c r="D101" s="68"/>
      <c r="E101" s="68"/>
      <c r="F101" s="68"/>
      <c r="G101" s="150"/>
      <c r="H101" s="151"/>
      <c r="I101" s="104"/>
      <c r="N101" s="152"/>
      <c r="O101" s="152"/>
      <c r="P101" s="153"/>
      <c r="Q101" s="153"/>
      <c r="R101" s="153"/>
      <c r="S101" s="86"/>
      <c r="T101" s="61"/>
      <c r="U101" s="106"/>
    </row>
    <row r="102" spans="1:21" x14ac:dyDescent="0.25">
      <c r="A102" s="149"/>
      <c r="B102" s="149"/>
      <c r="C102" s="68"/>
      <c r="D102" s="68"/>
      <c r="E102" s="68"/>
      <c r="F102" s="68"/>
      <c r="G102" s="150"/>
      <c r="H102" s="151"/>
      <c r="I102" s="104"/>
      <c r="N102" s="152"/>
      <c r="O102" s="152"/>
      <c r="P102" s="153"/>
      <c r="Q102" s="153"/>
      <c r="R102" s="153"/>
      <c r="S102" s="86"/>
      <c r="T102" s="61"/>
      <c r="U102" s="106"/>
    </row>
    <row r="103" spans="1:21" hidden="1" x14ac:dyDescent="0.25">
      <c r="A103" s="463" t="s">
        <v>447</v>
      </c>
      <c r="B103" s="453"/>
      <c r="C103" s="453"/>
      <c r="D103" s="72"/>
      <c r="E103" s="41" t="s">
        <v>41</v>
      </c>
      <c r="F103" s="466"/>
      <c r="G103" s="466"/>
      <c r="H103" s="466"/>
      <c r="I103" s="466"/>
      <c r="N103" s="478" t="s">
        <v>362</v>
      </c>
      <c r="O103" s="479"/>
      <c r="P103" s="479"/>
      <c r="Q103" s="479"/>
      <c r="R103" s="479"/>
      <c r="S103" s="479"/>
      <c r="T103" s="479"/>
      <c r="U103" s="479"/>
    </row>
    <row r="104" spans="1:21" hidden="1" x14ac:dyDescent="0.25">
      <c r="B104" s="72"/>
      <c r="C104" s="462" t="s">
        <v>91</v>
      </c>
      <c r="D104" s="462"/>
      <c r="E104" s="462"/>
      <c r="F104" s="39"/>
      <c r="G104" s="39"/>
      <c r="H104" s="41" t="s">
        <v>152</v>
      </c>
      <c r="I104" s="39"/>
      <c r="N104" s="48"/>
      <c r="O104" s="48"/>
      <c r="P104" s="48"/>
      <c r="Q104" s="48"/>
      <c r="R104" s="48"/>
      <c r="S104" s="48"/>
      <c r="T104" s="48"/>
      <c r="U104" s="48"/>
    </row>
    <row r="105" spans="1:21" hidden="1" x14ac:dyDescent="0.25">
      <c r="B105" s="72"/>
      <c r="C105" s="91" t="s">
        <v>371</v>
      </c>
      <c r="D105" s="91" t="s">
        <v>351</v>
      </c>
      <c r="E105" s="159" t="s">
        <v>8</v>
      </c>
      <c r="F105" s="464" t="s">
        <v>153</v>
      </c>
      <c r="G105" s="466"/>
      <c r="H105" s="39" t="s">
        <v>38</v>
      </c>
      <c r="I105" s="39"/>
      <c r="N105" s="48"/>
      <c r="O105" s="48"/>
      <c r="P105" s="48"/>
      <c r="Q105" s="48"/>
      <c r="R105" s="48"/>
      <c r="S105" s="48"/>
      <c r="T105" s="48"/>
      <c r="U105" s="48"/>
    </row>
    <row r="106" spans="1:21" hidden="1" x14ac:dyDescent="0.25">
      <c r="A106" s="462" t="s">
        <v>94</v>
      </c>
      <c r="B106" s="462"/>
      <c r="C106" s="93" t="s">
        <v>2</v>
      </c>
      <c r="D106" s="93" t="s">
        <v>2</v>
      </c>
      <c r="E106" s="62" t="s">
        <v>2</v>
      </c>
      <c r="F106" s="462" t="s">
        <v>37</v>
      </c>
      <c r="G106" s="462"/>
      <c r="H106" s="62" t="s">
        <v>37</v>
      </c>
      <c r="I106" s="62" t="s">
        <v>8</v>
      </c>
      <c r="N106" s="484" t="s">
        <v>66</v>
      </c>
      <c r="O106" s="484"/>
      <c r="P106" s="489" t="s">
        <v>91</v>
      </c>
      <c r="Q106" s="489"/>
      <c r="R106" s="484" t="s">
        <v>67</v>
      </c>
      <c r="S106" s="484"/>
      <c r="T106" s="63" t="s">
        <v>68</v>
      </c>
      <c r="U106" s="63" t="s">
        <v>8</v>
      </c>
    </row>
    <row r="107" spans="1:21" hidden="1" x14ac:dyDescent="0.25">
      <c r="A107" s="473" t="s">
        <v>69</v>
      </c>
      <c r="B107" s="473"/>
      <c r="C107" s="163">
        <v>0</v>
      </c>
      <c r="D107" s="163">
        <v>0</v>
      </c>
      <c r="E107" s="164">
        <f>IF(D$59=0,C107*2,C107+D107)</f>
        <v>0</v>
      </c>
      <c r="F107" s="543">
        <v>0</v>
      </c>
      <c r="G107" s="543"/>
      <c r="H107" s="64">
        <f>IF(C107=0,0,125)</f>
        <v>0</v>
      </c>
      <c r="I107" s="104">
        <f>ROUND((H107+F107)*E107,2)</f>
        <v>0</v>
      </c>
      <c r="N107" s="479" t="s">
        <v>69</v>
      </c>
      <c r="O107" s="479"/>
      <c r="P107" s="483">
        <f>IF(H$120=1,C107,0)</f>
        <v>0</v>
      </c>
      <c r="Q107" s="483"/>
      <c r="R107" s="486">
        <f>F107</f>
        <v>0</v>
      </c>
      <c r="S107" s="486"/>
      <c r="T107" s="65">
        <f>H107</f>
        <v>0</v>
      </c>
      <c r="U107" s="99">
        <f>ROUND((T107+R107)*P107,0)</f>
        <v>0</v>
      </c>
    </row>
    <row r="108" spans="1:21" hidden="1" x14ac:dyDescent="0.25">
      <c r="A108" s="456" t="s">
        <v>70</v>
      </c>
      <c r="B108" s="456"/>
      <c r="C108" s="165">
        <v>0</v>
      </c>
      <c r="D108" s="165">
        <v>0</v>
      </c>
      <c r="E108" s="166">
        <f>IF(D$59=0,C108*2,C108+D108)</f>
        <v>0</v>
      </c>
      <c r="F108" s="468">
        <f>ROUND(F107/2,2)</f>
        <v>0</v>
      </c>
      <c r="G108" s="468"/>
      <c r="H108" s="64">
        <f>IF(C108=0,0,62.5)</f>
        <v>0</v>
      </c>
      <c r="I108" s="104">
        <f>ROUND((H108+F108)*E108,2)</f>
        <v>0</v>
      </c>
      <c r="N108" s="479" t="s">
        <v>70</v>
      </c>
      <c r="O108" s="479"/>
      <c r="P108" s="483">
        <f>IF(H$120=1,C108,0)</f>
        <v>0</v>
      </c>
      <c r="Q108" s="483"/>
      <c r="R108" s="487">
        <f>ROUND(R107/2,2)</f>
        <v>0</v>
      </c>
      <c r="S108" s="487"/>
      <c r="T108" s="65">
        <f>H108</f>
        <v>0</v>
      </c>
      <c r="U108" s="99">
        <f>ROUND((T108+R108)*P108,0)</f>
        <v>0</v>
      </c>
    </row>
    <row r="109" spans="1:21" ht="16.5" hidden="1" thickBot="1" x14ac:dyDescent="0.3">
      <c r="A109" s="456" t="s">
        <v>71</v>
      </c>
      <c r="B109" s="456"/>
      <c r="C109" s="165">
        <v>0</v>
      </c>
      <c r="D109" s="165">
        <v>0</v>
      </c>
      <c r="E109" s="166">
        <f>IF(D$59=0,C109*2,C109+D109)</f>
        <v>0</v>
      </c>
      <c r="F109" s="475"/>
      <c r="G109" s="475"/>
      <c r="H109" s="66">
        <f>IF(H107&gt;0,436,0)</f>
        <v>0</v>
      </c>
      <c r="I109" s="104">
        <f>ROUND(H109*E109,2)</f>
        <v>0</v>
      </c>
      <c r="N109" s="482" t="s">
        <v>71</v>
      </c>
      <c r="O109" s="482"/>
      <c r="P109" s="483">
        <f>IF(H$120=1,C109,0)</f>
        <v>0</v>
      </c>
      <c r="Q109" s="483"/>
      <c r="R109" s="484"/>
      <c r="S109" s="484"/>
      <c r="T109" s="67">
        <f>H109</f>
        <v>0</v>
      </c>
      <c r="U109" s="106">
        <f>ROUND(T109*P109,0)</f>
        <v>0</v>
      </c>
    </row>
    <row r="110" spans="1:21" ht="16.5" hidden="1" thickBot="1" x14ac:dyDescent="0.3">
      <c r="A110" s="466" t="s">
        <v>8</v>
      </c>
      <c r="B110" s="466"/>
      <c r="C110" s="68"/>
      <c r="D110" s="68"/>
      <c r="E110" s="68"/>
      <c r="F110" s="68"/>
      <c r="G110" s="68"/>
      <c r="H110" s="68"/>
      <c r="I110" s="100">
        <f>SUM(I107:I109)</f>
        <v>0</v>
      </c>
      <c r="N110" s="485" t="s">
        <v>8</v>
      </c>
      <c r="O110" s="485"/>
      <c r="P110" s="69"/>
      <c r="Q110" s="69"/>
      <c r="R110" s="69"/>
      <c r="S110" s="69"/>
      <c r="T110" s="69"/>
      <c r="U110" s="70">
        <f>SUM(U107:U109)</f>
        <v>0</v>
      </c>
    </row>
    <row r="111" spans="1:21" hidden="1" x14ac:dyDescent="0.25">
      <c r="A111" s="39"/>
      <c r="B111" s="39"/>
      <c r="C111" s="68"/>
      <c r="D111" s="68"/>
      <c r="E111" s="68"/>
      <c r="F111" s="68"/>
      <c r="G111" s="68"/>
      <c r="H111" s="68"/>
      <c r="I111" s="104"/>
      <c r="N111" s="40"/>
      <c r="O111" s="40"/>
      <c r="P111" s="69"/>
      <c r="Q111" s="69"/>
      <c r="R111" s="69"/>
      <c r="S111" s="69"/>
      <c r="T111" s="69"/>
      <c r="U111" s="160"/>
    </row>
    <row r="112" spans="1:21" x14ac:dyDescent="0.25">
      <c r="A112" s="463" t="s">
        <v>448</v>
      </c>
      <c r="B112" s="453"/>
      <c r="C112" s="453"/>
      <c r="D112" s="72"/>
      <c r="E112" s="71" t="s">
        <v>354</v>
      </c>
      <c r="F112" s="472"/>
      <c r="G112" s="472"/>
      <c r="H112" s="472"/>
      <c r="I112" s="125">
        <v>0</v>
      </c>
      <c r="N112" s="478" t="s">
        <v>427</v>
      </c>
      <c r="O112" s="479"/>
      <c r="P112" s="479"/>
      <c r="Q112" s="341"/>
      <c r="R112" s="341"/>
      <c r="S112" s="341"/>
      <c r="T112" s="341"/>
      <c r="U112" s="99">
        <f>IF($H$120=1,I112,0)</f>
        <v>0</v>
      </c>
    </row>
    <row r="113" spans="1:21" x14ac:dyDescent="0.25">
      <c r="A113" s="463" t="s">
        <v>449</v>
      </c>
      <c r="B113" s="453"/>
      <c r="C113" s="453"/>
      <c r="D113" s="72"/>
      <c r="E113" s="71" t="s">
        <v>45</v>
      </c>
      <c r="F113" s="472"/>
      <c r="G113" s="472"/>
      <c r="H113" s="472"/>
      <c r="I113" s="177">
        <v>0</v>
      </c>
      <c r="N113" s="478" t="s">
        <v>428</v>
      </c>
      <c r="O113" s="479"/>
      <c r="P113" s="479"/>
      <c r="Q113" s="341"/>
      <c r="R113" s="341"/>
      <c r="S113" s="341"/>
      <c r="T113" s="341"/>
      <c r="U113" s="99">
        <f>IF($H$120=1,I113,0)</f>
        <v>0</v>
      </c>
    </row>
    <row r="114" spans="1:21" ht="16.5" thickBot="1" x14ac:dyDescent="0.3">
      <c r="B114" s="72"/>
      <c r="C114" s="72"/>
      <c r="D114" s="72"/>
      <c r="E114" s="71"/>
      <c r="F114" s="71"/>
      <c r="G114" s="71"/>
      <c r="H114" s="71"/>
      <c r="I114" s="125"/>
      <c r="N114" s="480" t="s">
        <v>42</v>
      </c>
      <c r="O114" s="480"/>
      <c r="P114" s="480"/>
      <c r="Q114" s="480"/>
      <c r="R114" s="480"/>
      <c r="S114" s="480"/>
      <c r="T114" s="480"/>
      <c r="U114" s="154">
        <f>SUM(U112,U110,U100,U99,U93,U77,U76,U74,U73,U72,U71,U70,U68,U59,U45,U78,U79,U80,U85,U113)</f>
        <v>624745</v>
      </c>
    </row>
    <row r="115" spans="1:21" ht="16.5" thickTop="1" x14ac:dyDescent="0.25">
      <c r="A115" s="461" t="s">
        <v>8</v>
      </c>
      <c r="B115" s="461"/>
      <c r="C115" s="461"/>
      <c r="D115" s="461"/>
      <c r="E115" s="461"/>
      <c r="F115" s="461"/>
      <c r="G115" s="461"/>
      <c r="H115" s="461"/>
      <c r="I115" s="97">
        <f>SUM(I113,I112,I110,I100,I99,I93,I85,I84,I80,I79,I78,I77,I76,I74,I73,I72,I71,I70,I68,I59,I45)</f>
        <v>2706936.9499999997</v>
      </c>
      <c r="N115" s="29"/>
      <c r="O115" s="29"/>
      <c r="P115" s="29"/>
      <c r="Q115" s="29"/>
      <c r="R115" s="29"/>
      <c r="S115" s="29"/>
      <c r="T115" s="29"/>
      <c r="U115" s="160"/>
    </row>
    <row r="116" spans="1:21" x14ac:dyDescent="0.25">
      <c r="A116" s="27"/>
      <c r="B116" s="27"/>
      <c r="C116" s="27"/>
      <c r="D116" s="27"/>
      <c r="E116" s="27"/>
      <c r="F116" s="27"/>
      <c r="G116" s="27"/>
      <c r="H116" s="27"/>
      <c r="I116" s="104"/>
      <c r="N116" s="29"/>
      <c r="O116" s="29"/>
      <c r="P116" s="29"/>
      <c r="Q116" s="29"/>
      <c r="R116" s="29"/>
      <c r="S116" s="29"/>
      <c r="T116" s="29"/>
      <c r="U116" s="160"/>
    </row>
    <row r="117" spans="1:21" x14ac:dyDescent="0.25">
      <c r="A117" s="432" t="s">
        <v>467</v>
      </c>
      <c r="B117" s="27"/>
      <c r="C117" s="27"/>
      <c r="D117" s="27"/>
      <c r="E117" s="27"/>
      <c r="F117" s="27"/>
      <c r="G117" s="27"/>
      <c r="H117" s="27"/>
      <c r="I117" s="104">
        <f>I115-I84</f>
        <v>2623051.7999999998</v>
      </c>
      <c r="N117" s="29"/>
      <c r="O117" s="29"/>
      <c r="P117" s="29"/>
      <c r="Q117" s="29"/>
      <c r="R117" s="29"/>
      <c r="S117" s="29"/>
      <c r="T117" s="29"/>
      <c r="U117" s="160"/>
    </row>
    <row r="118" spans="1:21" x14ac:dyDescent="0.25">
      <c r="A118" s="27"/>
      <c r="B118" s="27"/>
      <c r="C118" s="27"/>
      <c r="D118" s="27"/>
      <c r="E118" s="27"/>
      <c r="F118" s="27"/>
      <c r="G118" s="27"/>
      <c r="H118" s="27"/>
      <c r="I118" s="104"/>
      <c r="N118" s="29"/>
      <c r="O118" s="29"/>
      <c r="P118" s="29"/>
      <c r="Q118" s="29"/>
      <c r="R118" s="29"/>
      <c r="S118" s="29"/>
      <c r="T118" s="29"/>
      <c r="U118" s="160"/>
    </row>
    <row r="119" spans="1:21" x14ac:dyDescent="0.25">
      <c r="A119" s="463" t="s">
        <v>468</v>
      </c>
      <c r="B119" s="453"/>
      <c r="C119" s="453"/>
      <c r="D119" s="453"/>
      <c r="E119" s="453"/>
      <c r="F119" s="453"/>
      <c r="G119" s="453"/>
      <c r="H119" s="84" t="s">
        <v>394</v>
      </c>
      <c r="I119" s="156"/>
      <c r="N119" s="481"/>
      <c r="O119" s="481"/>
      <c r="P119" s="481"/>
      <c r="Q119" s="481"/>
      <c r="R119" s="481"/>
      <c r="S119" s="481"/>
      <c r="T119" s="481"/>
      <c r="U119" s="481"/>
    </row>
    <row r="120" spans="1:21" x14ac:dyDescent="0.25">
      <c r="A120" s="453" t="s">
        <v>95</v>
      </c>
      <c r="B120" s="453"/>
      <c r="C120" s="453"/>
      <c r="D120" s="453"/>
      <c r="E120" s="453"/>
      <c r="F120" s="453"/>
      <c r="G120" s="453"/>
      <c r="H120" s="73">
        <f>IF(E29=0,"",IF((E14+E16+SUM(E18:E24))/E29&gt;0.75,1,""))</f>
        <v>1</v>
      </c>
      <c r="I120" s="125">
        <f>U114</f>
        <v>624745</v>
      </c>
      <c r="N120" s="476" t="s">
        <v>7</v>
      </c>
      <c r="O120" s="476"/>
      <c r="P120" s="476"/>
      <c r="Q120" s="476"/>
      <c r="R120" s="476"/>
      <c r="S120" s="476"/>
      <c r="T120" s="476"/>
      <c r="U120" s="476"/>
    </row>
    <row r="121" spans="1:21" x14ac:dyDescent="0.25">
      <c r="B121" s="72"/>
      <c r="C121" s="72"/>
      <c r="D121" s="72"/>
      <c r="E121" s="72"/>
      <c r="F121" s="72"/>
      <c r="G121" s="72"/>
      <c r="H121" s="68"/>
      <c r="I121" s="104"/>
      <c r="N121" s="74" t="s">
        <v>106</v>
      </c>
      <c r="O121" s="74"/>
      <c r="P121" s="74"/>
      <c r="Q121" s="74"/>
      <c r="R121" s="74"/>
      <c r="S121" s="74"/>
      <c r="T121" s="74"/>
      <c r="U121" s="74"/>
    </row>
    <row r="122" spans="1:21" x14ac:dyDescent="0.25">
      <c r="A122" s="3" t="s">
        <v>102</v>
      </c>
      <c r="B122" s="72"/>
      <c r="C122" s="72"/>
      <c r="D122" s="72"/>
      <c r="E122" s="72"/>
      <c r="F122" s="72"/>
      <c r="G122" s="286"/>
      <c r="H122" s="161">
        <f>IF(H120=1,I120,I117)</f>
        <v>624745</v>
      </c>
      <c r="I122" s="97">
        <f>ROUND(IF(E29=0,0,IF(E29&gt;250,-(((250/E29)*H122)*IF(G122="H",0.02,0.05)),IF(G122="H",-0.02*H122,-0.05*H122))),2)</f>
        <v>-31237.25</v>
      </c>
      <c r="N122" s="75" t="s">
        <v>107</v>
      </c>
      <c r="O122" s="74"/>
      <c r="P122" s="74"/>
      <c r="Q122" s="74"/>
      <c r="R122" s="74"/>
      <c r="S122" s="74"/>
      <c r="T122" s="74"/>
      <c r="U122" s="74"/>
    </row>
    <row r="123" spans="1:21" x14ac:dyDescent="0.25">
      <c r="B123" s="72"/>
      <c r="C123" s="72"/>
      <c r="D123" s="72"/>
      <c r="E123" s="72"/>
      <c r="F123" s="72"/>
      <c r="G123" s="72"/>
      <c r="H123" s="68"/>
      <c r="I123" s="104"/>
      <c r="N123" s="76"/>
      <c r="O123" s="76"/>
      <c r="P123" s="76"/>
      <c r="Q123" s="76"/>
      <c r="R123" s="76"/>
      <c r="S123" s="76"/>
      <c r="T123" s="76"/>
      <c r="U123" s="76"/>
    </row>
    <row r="124" spans="1:21" x14ac:dyDescent="0.25">
      <c r="A124" s="345" t="s">
        <v>103</v>
      </c>
      <c r="B124" s="346"/>
      <c r="C124" s="346"/>
      <c r="D124" s="346"/>
      <c r="E124" s="346"/>
      <c r="F124" s="346"/>
      <c r="G124" s="346"/>
      <c r="H124" s="347"/>
      <c r="I124" s="348">
        <f>I115+I122</f>
        <v>2675699.6999999997</v>
      </c>
      <c r="N124" s="76"/>
      <c r="O124" s="76"/>
      <c r="P124" s="76"/>
      <c r="Q124" s="76"/>
      <c r="R124" s="76"/>
      <c r="S124" s="76"/>
      <c r="T124" s="76"/>
      <c r="U124" s="76"/>
    </row>
    <row r="125" spans="1:21" x14ac:dyDescent="0.25">
      <c r="B125" s="72"/>
      <c r="C125" s="72"/>
      <c r="D125" s="72"/>
      <c r="E125" s="72"/>
      <c r="F125" s="72"/>
      <c r="G125" s="72"/>
      <c r="H125" s="68"/>
      <c r="I125" s="104"/>
      <c r="N125" s="76"/>
      <c r="O125" s="76"/>
      <c r="P125" s="76"/>
      <c r="Q125" s="76"/>
      <c r="R125" s="76"/>
      <c r="S125" s="76"/>
      <c r="T125" s="76"/>
      <c r="U125" s="76"/>
    </row>
    <row r="126" spans="1:21" x14ac:dyDescent="0.25">
      <c r="A126" s="3" t="s">
        <v>104</v>
      </c>
      <c r="B126" s="72"/>
      <c r="C126" s="162"/>
      <c r="D126" s="72"/>
      <c r="F126" s="72"/>
      <c r="G126" s="72"/>
      <c r="H126" s="68"/>
      <c r="I126" s="302">
        <v>-1889749.96</v>
      </c>
      <c r="N126" s="76"/>
      <c r="O126" s="76"/>
      <c r="P126" s="76"/>
      <c r="Q126" s="76"/>
      <c r="R126" s="76"/>
      <c r="S126" s="76"/>
      <c r="T126" s="76"/>
      <c r="U126" s="76"/>
    </row>
    <row r="127" spans="1:21" x14ac:dyDescent="0.25">
      <c r="B127" s="72"/>
      <c r="C127" s="72"/>
      <c r="D127" s="72"/>
      <c r="E127" s="72"/>
      <c r="F127" s="72"/>
      <c r="G127" s="72"/>
      <c r="H127" s="68"/>
      <c r="I127" s="104"/>
      <c r="N127" s="76"/>
      <c r="O127" s="76"/>
      <c r="P127" s="76"/>
      <c r="Q127" s="76"/>
      <c r="R127" s="76"/>
      <c r="S127" s="76"/>
      <c r="T127" s="76"/>
      <c r="U127" s="76"/>
    </row>
    <row r="128" spans="1:21" x14ac:dyDescent="0.25">
      <c r="A128" s="84" t="s">
        <v>297</v>
      </c>
      <c r="B128" s="72"/>
      <c r="C128" s="72"/>
      <c r="D128" s="72"/>
      <c r="E128" s="72"/>
      <c r="F128" s="72"/>
      <c r="G128" s="72"/>
      <c r="H128" s="68"/>
      <c r="I128" s="104">
        <f>I124+I126</f>
        <v>785949.73999999976</v>
      </c>
      <c r="N128" s="76"/>
      <c r="O128" s="76"/>
      <c r="P128" s="76"/>
      <c r="Q128" s="76"/>
      <c r="R128" s="76"/>
      <c r="S128" s="76"/>
      <c r="T128" s="76"/>
      <c r="U128" s="76"/>
    </row>
    <row r="129" spans="1:21" x14ac:dyDescent="0.25">
      <c r="A129" s="84"/>
      <c r="B129" s="72"/>
      <c r="C129" s="72"/>
      <c r="D129" s="72"/>
      <c r="E129" s="72"/>
      <c r="F129" s="72"/>
      <c r="G129" s="72"/>
      <c r="H129" s="68"/>
      <c r="I129" s="104"/>
      <c r="N129" s="76"/>
      <c r="O129" s="76"/>
      <c r="P129" s="76"/>
      <c r="Q129" s="76"/>
      <c r="R129" s="76"/>
      <c r="S129" s="76"/>
      <c r="T129" s="76"/>
      <c r="U129" s="76"/>
    </row>
    <row r="130" spans="1:21" x14ac:dyDescent="0.25">
      <c r="A130" s="84" t="s">
        <v>298</v>
      </c>
      <c r="B130" s="72"/>
      <c r="C130" s="72"/>
      <c r="D130" s="72"/>
      <c r="E130" s="72"/>
      <c r="F130" s="72"/>
      <c r="G130" s="72"/>
      <c r="H130" s="68"/>
      <c r="I130" s="303">
        <f>'0664'!I130</f>
        <v>3</v>
      </c>
      <c r="N130" s="76"/>
      <c r="O130" s="76"/>
      <c r="P130" s="76"/>
      <c r="Q130" s="76"/>
      <c r="R130" s="76"/>
      <c r="S130" s="76"/>
      <c r="T130" s="76"/>
      <c r="U130" s="76"/>
    </row>
    <row r="131" spans="1:21" x14ac:dyDescent="0.25">
      <c r="B131" s="72"/>
      <c r="C131" s="72"/>
      <c r="D131" s="72"/>
      <c r="E131" s="72"/>
      <c r="F131" s="72"/>
      <c r="G131" s="72"/>
      <c r="H131" s="68"/>
      <c r="I131" s="104"/>
      <c r="N131" s="76"/>
      <c r="O131" s="76"/>
      <c r="P131" s="76"/>
      <c r="Q131" s="76"/>
      <c r="R131" s="76"/>
      <c r="S131" s="76"/>
      <c r="T131" s="76"/>
      <c r="U131" s="76"/>
    </row>
    <row r="132" spans="1:21" ht="16.5" thickBot="1" x14ac:dyDescent="0.3">
      <c r="A132" s="3" t="s">
        <v>105</v>
      </c>
      <c r="B132" s="72"/>
      <c r="C132" s="72"/>
      <c r="D132" s="72"/>
      <c r="E132" s="72"/>
      <c r="F132" s="72"/>
      <c r="G132" s="72"/>
      <c r="H132" s="68"/>
      <c r="I132" s="178">
        <f>ROUND(I128/I130,2)</f>
        <v>261983.25</v>
      </c>
      <c r="N132" s="76"/>
      <c r="O132" s="76"/>
      <c r="P132" s="76"/>
      <c r="Q132" s="76"/>
      <c r="R132" s="76"/>
      <c r="S132" s="76"/>
      <c r="T132" s="76"/>
      <c r="U132" s="76"/>
    </row>
    <row r="133" spans="1:21" ht="16.5" thickTop="1" x14ac:dyDescent="0.25">
      <c r="B133" s="72"/>
      <c r="C133" s="72"/>
      <c r="D133" s="72"/>
      <c r="E133" s="72"/>
      <c r="F133" s="72"/>
      <c r="G133" s="72"/>
      <c r="H133" s="68"/>
      <c r="I133" s="104"/>
      <c r="N133" s="76"/>
      <c r="O133" s="76"/>
      <c r="P133" s="76"/>
      <c r="Q133" s="76"/>
      <c r="R133" s="76"/>
      <c r="S133" s="76"/>
      <c r="T133" s="76"/>
      <c r="U133" s="76"/>
    </row>
    <row r="134" spans="1:21" ht="16.5" thickBot="1" x14ac:dyDescent="0.3">
      <c r="A134" s="3" t="s">
        <v>121</v>
      </c>
      <c r="B134" s="72"/>
      <c r="C134" s="72"/>
      <c r="D134" s="72"/>
      <c r="E134" s="72"/>
      <c r="F134" s="72"/>
      <c r="G134" s="72"/>
      <c r="H134" s="68"/>
      <c r="I134" s="155">
        <f>ROUND(IF(G122="H",(H122*0.02)+I122,(H122*0.05)+I122),2)</f>
        <v>0</v>
      </c>
      <c r="N134" s="76"/>
      <c r="O134" s="76"/>
      <c r="P134" s="76"/>
      <c r="Q134" s="76"/>
      <c r="R134" s="76"/>
      <c r="S134" s="76"/>
      <c r="T134" s="76"/>
      <c r="U134" s="76"/>
    </row>
    <row r="135" spans="1:21" ht="16.5" thickTop="1" x14ac:dyDescent="0.25">
      <c r="B135" s="72"/>
      <c r="C135" s="72"/>
      <c r="D135" s="72"/>
      <c r="E135" s="72"/>
      <c r="F135" s="72"/>
      <c r="G135" s="72"/>
      <c r="H135" s="68"/>
      <c r="I135" s="156"/>
      <c r="N135" s="76"/>
      <c r="O135" s="76"/>
      <c r="P135" s="76"/>
      <c r="Q135" s="76"/>
      <c r="R135" s="76"/>
      <c r="S135" s="76"/>
      <c r="T135" s="76"/>
      <c r="U135" s="76"/>
    </row>
    <row r="136" spans="1:21" x14ac:dyDescent="0.25">
      <c r="B136" s="72"/>
      <c r="C136" s="72"/>
      <c r="D136" s="72"/>
      <c r="E136" s="72"/>
      <c r="F136" s="72"/>
      <c r="G136" s="72"/>
      <c r="H136" s="68"/>
      <c r="I136" s="104"/>
      <c r="N136" s="76"/>
      <c r="O136" s="76"/>
      <c r="P136" s="76"/>
      <c r="Q136" s="76"/>
      <c r="R136" s="76"/>
      <c r="S136" s="76"/>
      <c r="T136" s="76"/>
      <c r="U136" s="76"/>
    </row>
    <row r="137" spans="1:21" x14ac:dyDescent="0.25">
      <c r="B137" s="72"/>
      <c r="C137" s="72"/>
      <c r="D137" s="72"/>
      <c r="E137" s="72"/>
      <c r="F137" s="72"/>
      <c r="G137" s="72"/>
      <c r="H137" s="68"/>
      <c r="I137" s="156"/>
      <c r="N137" s="76"/>
      <c r="O137" s="76"/>
      <c r="P137" s="76"/>
      <c r="Q137" s="76"/>
      <c r="R137" s="76"/>
      <c r="S137" s="76"/>
      <c r="T137" s="76"/>
      <c r="U137" s="76"/>
    </row>
    <row r="138" spans="1:21" x14ac:dyDescent="0.25">
      <c r="A138" s="281" t="s">
        <v>7</v>
      </c>
      <c r="B138" s="281"/>
      <c r="C138" s="281"/>
      <c r="D138" s="281"/>
      <c r="E138" s="281"/>
      <c r="F138" s="281"/>
      <c r="G138" s="281"/>
      <c r="H138" s="281"/>
      <c r="I138" s="281"/>
      <c r="J138" s="156"/>
      <c r="N138" s="76"/>
      <c r="O138" s="76"/>
      <c r="P138" s="76"/>
      <c r="Q138" s="76"/>
      <c r="R138" s="76"/>
      <c r="S138" s="76"/>
      <c r="T138" s="76"/>
      <c r="U138" s="76"/>
    </row>
    <row r="139" spans="1:21" ht="15.75" customHeight="1" x14ac:dyDescent="0.25">
      <c r="A139" s="356" t="str">
        <f>'0664'!A139</f>
        <v>(a) Additional FTE includes FTE earned through Advanced Placement, International Baccalaureate, Advanced International Certificate of Education, Industry Certified Career</v>
      </c>
      <c r="B139" s="357"/>
      <c r="C139" s="357"/>
      <c r="D139" s="357"/>
      <c r="E139" s="357"/>
      <c r="F139" s="357"/>
      <c r="G139" s="357"/>
      <c r="H139" s="357"/>
      <c r="I139" s="357"/>
      <c r="J139" s="80"/>
      <c r="K139" s="79"/>
      <c r="L139" s="79"/>
      <c r="M139" s="79"/>
      <c r="N139" s="477"/>
      <c r="O139" s="477"/>
      <c r="P139" s="477"/>
      <c r="Q139" s="477"/>
      <c r="R139" s="477"/>
      <c r="S139" s="477"/>
      <c r="T139" s="477"/>
      <c r="U139" s="477"/>
    </row>
    <row r="140" spans="1:21" ht="15.75" customHeight="1" x14ac:dyDescent="0.25">
      <c r="A140" s="390" t="str">
        <f>'0664'!A140</f>
        <v xml:space="preserve">Education (CAPE), Early High School Graduation and the small district ESE Supplement, pursuant to s. 1011.62(1)(l-p), F.S. </v>
      </c>
      <c r="B140" s="357"/>
      <c r="C140" s="357"/>
      <c r="D140" s="357"/>
      <c r="E140" s="357"/>
      <c r="F140" s="357"/>
      <c r="G140" s="357"/>
      <c r="H140" s="357"/>
      <c r="I140" s="357"/>
      <c r="J140" s="80"/>
      <c r="K140" s="79"/>
      <c r="L140" s="79"/>
      <c r="M140" s="79"/>
      <c r="N140" s="76"/>
      <c r="O140" s="76"/>
      <c r="P140" s="76"/>
      <c r="Q140" s="76"/>
      <c r="R140" s="76"/>
      <c r="S140" s="76"/>
      <c r="T140" s="76"/>
      <c r="U140" s="76"/>
    </row>
    <row r="141" spans="1:21" x14ac:dyDescent="0.25">
      <c r="A141" s="356" t="str">
        <f>'0664'!A141</f>
        <v>(b) District allocations multiplied by percentage from item 3A.</v>
      </c>
      <c r="B141" s="281"/>
      <c r="C141" s="281"/>
      <c r="D141" s="281"/>
      <c r="E141" s="281"/>
      <c r="F141" s="281"/>
      <c r="G141" s="281"/>
      <c r="H141" s="281"/>
      <c r="I141" s="281"/>
      <c r="J141" s="79"/>
      <c r="K141" s="79"/>
      <c r="L141" s="79"/>
      <c r="M141" s="79"/>
      <c r="N141" s="81"/>
      <c r="O141" s="82"/>
      <c r="P141" s="82"/>
      <c r="Q141" s="82"/>
      <c r="R141" s="82"/>
      <c r="S141" s="82"/>
      <c r="T141" s="82"/>
      <c r="U141" s="82"/>
    </row>
    <row r="142" spans="1:21" s="79" customFormat="1" x14ac:dyDescent="0.2">
      <c r="A142" s="356" t="str">
        <f>'0664'!A142</f>
        <v>(c) District allocations multiplied by percentage from item 3B.</v>
      </c>
      <c r="B142" s="281"/>
      <c r="C142" s="281"/>
      <c r="D142" s="281"/>
      <c r="E142" s="281"/>
      <c r="F142" s="281"/>
      <c r="G142" s="281"/>
      <c r="H142" s="281"/>
      <c r="I142" s="281"/>
      <c r="N142" s="81"/>
    </row>
    <row r="143" spans="1:21" s="79" customFormat="1" ht="15.75" customHeight="1" x14ac:dyDescent="0.2">
      <c r="A143" s="356" t="str">
        <f>'0664'!A143</f>
        <v>(d) The Digital Classroom Allocation is provided pursuant to s. 1011.62(12), F.S.</v>
      </c>
      <c r="B143" s="281"/>
      <c r="C143" s="281"/>
      <c r="D143" s="281"/>
      <c r="E143" s="281"/>
      <c r="F143" s="281"/>
      <c r="G143" s="281"/>
      <c r="H143" s="281"/>
      <c r="I143" s="281"/>
      <c r="N143" s="81"/>
    </row>
    <row r="144" spans="1:21" s="79" customFormat="1" ht="15.75" customHeight="1" x14ac:dyDescent="0.2">
      <c r="A144" s="356" t="str">
        <f>'0664'!A144</f>
        <v>(e) School districts are required to pay for instructional materials used for the instruction of public high school students who are earning credit toward high school</v>
      </c>
      <c r="B144" s="281"/>
      <c r="C144" s="281"/>
      <c r="D144" s="281"/>
      <c r="E144" s="281"/>
      <c r="F144" s="281"/>
      <c r="G144" s="281"/>
      <c r="H144" s="281"/>
      <c r="I144" s="281"/>
      <c r="N144" s="81"/>
    </row>
    <row r="145" spans="1:14" s="79" customFormat="1" ht="15.75" customHeight="1" x14ac:dyDescent="0.2">
      <c r="A145" s="390" t="str">
        <f>'0664'!A145</f>
        <v xml:space="preserve">graduation under the dual enrollment program as provided in s. 1011.62(l)(i), F.S.  </v>
      </c>
      <c r="B145" s="281"/>
      <c r="C145" s="281"/>
      <c r="D145" s="281"/>
      <c r="E145" s="281"/>
      <c r="F145" s="281"/>
      <c r="G145" s="281"/>
      <c r="H145" s="281"/>
      <c r="I145" s="281"/>
      <c r="N145" s="81"/>
    </row>
    <row r="146" spans="1:14" s="79" customFormat="1" x14ac:dyDescent="0.2">
      <c r="A146" s="356" t="str">
        <f>'0664'!A146</f>
        <v>(f) This allocation will be frozen as of the 2021-22 FEFP Second Calculation and will not be recalculated throughout the year. Charter school allocations should be</v>
      </c>
      <c r="B146" s="281"/>
      <c r="C146" s="281"/>
      <c r="D146" s="281"/>
      <c r="E146" s="281"/>
      <c r="F146" s="281"/>
      <c r="G146" s="281"/>
      <c r="H146" s="281"/>
      <c r="I146" s="281"/>
      <c r="N146" s="81"/>
    </row>
    <row r="147" spans="1:14" s="79" customFormat="1" x14ac:dyDescent="0.2">
      <c r="A147" s="358" t="str">
        <f>'0664'!A147</f>
        <v xml:space="preserve">distributed on weighted FTE (or base funding as is done in the FEFP) and should not be recalculated with fluctuations in student enrollment later in the year. </v>
      </c>
      <c r="B147" s="281"/>
      <c r="C147" s="281"/>
      <c r="D147" s="281"/>
      <c r="E147" s="281"/>
      <c r="F147" s="281"/>
      <c r="G147" s="281"/>
      <c r="H147" s="281"/>
      <c r="I147" s="281"/>
      <c r="N147" s="81"/>
    </row>
    <row r="148" spans="1:14" s="79" customFormat="1" x14ac:dyDescent="0.2">
      <c r="A148" s="356" t="str">
        <f>'0664'!A148</f>
        <v>(g) Numbers entered here will be multiplied by the district level transportation funding per rider. "All Adjusted Fundable Riders" should include both basic and ESE Riders.</v>
      </c>
      <c r="B148" s="281"/>
      <c r="C148" s="281"/>
      <c r="D148" s="281"/>
      <c r="E148" s="281"/>
      <c r="F148" s="281"/>
      <c r="G148" s="281"/>
      <c r="H148" s="281"/>
      <c r="I148" s="281"/>
      <c r="N148" s="81"/>
    </row>
    <row r="149" spans="1:14" s="79" customFormat="1" x14ac:dyDescent="0.2">
      <c r="A149" s="390" t="str">
        <f>'0664'!A149</f>
        <v>"All Adjusted ESE Riders" should include only ESE Riders.</v>
      </c>
      <c r="B149" s="281"/>
      <c r="C149" s="281"/>
      <c r="D149" s="281"/>
      <c r="E149" s="281"/>
      <c r="F149" s="281"/>
      <c r="G149" s="281"/>
      <c r="H149" s="281"/>
      <c r="I149" s="281"/>
      <c r="N149" s="81"/>
    </row>
    <row r="150" spans="1:14" s="79" customFormat="1" x14ac:dyDescent="0.2">
      <c r="A150" s="356" t="str">
        <f>'0664'!A150</f>
        <v xml:space="preserve">(h) The Federally Connected Student Supplement provides additional funding for students on federal lands that receive Section 8003 impact aide pursuant to s. 1011.62(13), F.S. </v>
      </c>
      <c r="B150" s="281"/>
      <c r="C150" s="281"/>
      <c r="D150" s="281"/>
      <c r="E150" s="281"/>
      <c r="F150" s="281"/>
      <c r="G150" s="281"/>
      <c r="H150" s="281"/>
      <c r="I150" s="281"/>
      <c r="N150" s="81"/>
    </row>
    <row r="151" spans="1:14" s="79" customFormat="1" x14ac:dyDescent="0.2">
      <c r="A151" s="356" t="str">
        <f>'0664'!A151</f>
        <v>(i) Teacher Classroom Supply Assistance Program allocation pursuant to s. 1012.71, F.S., for certified teachers employed by a public school district or public charter school</v>
      </c>
      <c r="B151" s="281"/>
      <c r="C151" s="281"/>
      <c r="D151" s="281"/>
      <c r="E151" s="281"/>
      <c r="F151" s="281"/>
      <c r="G151" s="281"/>
      <c r="H151" s="281"/>
      <c r="I151" s="281"/>
      <c r="N151" s="81"/>
    </row>
    <row r="152" spans="1:14" s="79" customFormat="1" x14ac:dyDescent="0.2">
      <c r="A152" s="358" t="str">
        <f>'0664'!A152</f>
        <v xml:space="preserve">before September 1 of each year whose full-time or job-share responsibility is the classroom instruction of students in prekindergarten through grade 12, including </v>
      </c>
      <c r="B152" s="281"/>
      <c r="C152" s="281"/>
      <c r="D152" s="281"/>
      <c r="E152" s="281"/>
      <c r="F152" s="281"/>
      <c r="G152" s="281"/>
      <c r="H152" s="281"/>
      <c r="I152" s="281"/>
      <c r="N152" s="81"/>
    </row>
    <row r="153" spans="1:14" s="79" customFormat="1" ht="15.75" customHeight="1" x14ac:dyDescent="0.2">
      <c r="A153" s="358" t="str">
        <f>'0664'!A153</f>
        <v>full-time media specialists and certified school counselors serving students in prekindergarten through grade 12, who are funded through the FEFP.</v>
      </c>
      <c r="B153" s="281"/>
      <c r="C153" s="281"/>
      <c r="D153" s="281"/>
      <c r="E153" s="281"/>
      <c r="F153" s="281"/>
      <c r="G153" s="281"/>
      <c r="H153" s="281"/>
      <c r="I153" s="281"/>
      <c r="N153" s="81"/>
    </row>
    <row r="154" spans="1:14" s="79" customFormat="1" ht="15.75" customHeight="1" x14ac:dyDescent="0.2">
      <c r="A154" s="356" t="str">
        <f>'0664'!A154</f>
        <v xml:space="preserve">(j) Funding based on student eligibility and meals provided, if participating in the National School Lunch Program. </v>
      </c>
      <c r="B154" s="328"/>
      <c r="C154" s="328"/>
      <c r="D154" s="328"/>
      <c r="E154" s="328"/>
      <c r="F154" s="328"/>
      <c r="G154" s="328"/>
      <c r="H154" s="328"/>
      <c r="I154" s="328"/>
      <c r="N154" s="81"/>
    </row>
    <row r="155" spans="1:14" s="79" customFormat="1" ht="15.75" customHeight="1" x14ac:dyDescent="0.2">
      <c r="A155" s="356" t="str">
        <f>'0664'!A155</f>
        <v>(k) Consistent with s. 1002.33(20)(a), F.S., for charter schools with a population of 75% or more ESE students, the administrative fee shall be calculated based on</v>
      </c>
      <c r="B155" s="381"/>
      <c r="C155" s="381"/>
      <c r="D155" s="381"/>
      <c r="E155" s="381"/>
      <c r="F155" s="381"/>
      <c r="G155" s="381"/>
      <c r="H155" s="381"/>
      <c r="I155" s="381"/>
      <c r="N155" s="81"/>
    </row>
    <row r="156" spans="1:14" s="79" customFormat="1" ht="15.75" customHeight="1" x14ac:dyDescent="0.2">
      <c r="A156" s="390" t="str">
        <f>'0664'!A156</f>
        <v xml:space="preserve">unweighted full-time equivalent students. </v>
      </c>
      <c r="B156" s="381"/>
      <c r="C156" s="381"/>
      <c r="D156" s="381"/>
      <c r="E156" s="381"/>
      <c r="F156" s="381"/>
      <c r="G156" s="381"/>
      <c r="H156" s="381"/>
      <c r="I156" s="381"/>
      <c r="N156" s="81"/>
    </row>
    <row r="157" spans="1:14" s="79" customFormat="1" ht="15.75" customHeight="1" x14ac:dyDescent="0.2">
      <c r="A157" s="356"/>
      <c r="B157" s="381"/>
      <c r="C157" s="381"/>
      <c r="D157" s="381"/>
      <c r="E157" s="381"/>
      <c r="F157" s="381"/>
      <c r="G157" s="381"/>
      <c r="H157" s="381"/>
      <c r="I157" s="381"/>
      <c r="N157" s="81"/>
    </row>
    <row r="158" spans="1:14" s="79" customFormat="1" ht="15.75" customHeight="1" x14ac:dyDescent="0.25">
      <c r="A158" s="398" t="str">
        <f>'0664'!A158</f>
        <v>Administrative fees:</v>
      </c>
      <c r="B158" s="328"/>
      <c r="C158" s="328"/>
      <c r="D158" s="328"/>
      <c r="E158" s="328"/>
      <c r="F158" s="328"/>
      <c r="G158" s="328"/>
      <c r="H158" s="328"/>
      <c r="I158" s="328"/>
      <c r="J158" s="3"/>
      <c r="K158" s="3"/>
      <c r="L158" s="3"/>
      <c r="M158" s="3"/>
      <c r="N158" s="81"/>
    </row>
    <row r="159" spans="1:14" s="79" customFormat="1" ht="15.75" customHeight="1" x14ac:dyDescent="0.25">
      <c r="A159" s="399" t="str">
        <f>'0664'!A159</f>
        <v xml:space="preserve">Administrative fees charged by the school district pursuant to s. 1002.33(20)(a), F.S., shall be calculated based upon 5% of available funds from the FEFP and categorical </v>
      </c>
      <c r="B159" s="328"/>
      <c r="C159" s="328"/>
      <c r="D159" s="328"/>
      <c r="E159" s="328"/>
      <c r="F159" s="328"/>
      <c r="G159" s="328"/>
      <c r="H159" s="328"/>
      <c r="I159" s="328"/>
      <c r="J159" s="3"/>
      <c r="K159" s="3"/>
      <c r="L159" s="3"/>
      <c r="M159" s="3"/>
      <c r="N159" s="81"/>
    </row>
    <row r="160" spans="1:14" s="79" customFormat="1" ht="15.75" customHeight="1" x14ac:dyDescent="0.25">
      <c r="A160" s="400" t="str">
        <f>'0664'!A160</f>
        <v>funding for which charter students may be eligible.  To calculate the administrative fee to be withheld for schools with more than 250 students, divide the school</v>
      </c>
      <c r="B160" s="328"/>
      <c r="C160" s="328"/>
      <c r="D160" s="328"/>
      <c r="E160" s="328"/>
      <c r="F160" s="328"/>
      <c r="G160" s="328"/>
      <c r="H160" s="328"/>
      <c r="I160" s="328"/>
      <c r="J160" s="3"/>
      <c r="K160" s="3"/>
      <c r="L160" s="3"/>
      <c r="M160" s="3"/>
      <c r="N160" s="81"/>
    </row>
    <row r="161" spans="1:21" s="79" customFormat="1" ht="15.75" customHeight="1" x14ac:dyDescent="0.25">
      <c r="A161" s="400" t="str">
        <f>'0664'!A161</f>
        <v xml:space="preserve">population into 250. Multiply that fraction times the funds available, then times 5%.  </v>
      </c>
      <c r="B161" s="328"/>
      <c r="C161" s="328"/>
      <c r="D161" s="328"/>
      <c r="E161" s="328"/>
      <c r="F161" s="328"/>
      <c r="G161" s="328"/>
      <c r="H161" s="328"/>
      <c r="I161" s="328"/>
      <c r="J161" s="3"/>
      <c r="K161" s="3"/>
      <c r="L161" s="3"/>
      <c r="M161" s="3"/>
      <c r="N161" s="81"/>
    </row>
    <row r="162" spans="1:21" s="79" customFormat="1" ht="15.75" customHeight="1" x14ac:dyDescent="0.25">
      <c r="A162" s="399"/>
      <c r="B162" s="394"/>
      <c r="C162" s="394"/>
      <c r="D162" s="394"/>
      <c r="E162" s="394"/>
      <c r="F162" s="394"/>
      <c r="G162" s="394"/>
      <c r="H162" s="394"/>
      <c r="I162" s="394"/>
      <c r="N162" s="77"/>
      <c r="O162" s="3"/>
      <c r="P162" s="3"/>
      <c r="Q162" s="3"/>
      <c r="R162" s="3"/>
      <c r="S162" s="3"/>
      <c r="T162" s="3"/>
      <c r="U162" s="3"/>
    </row>
    <row r="163" spans="1:21" ht="15.75" customHeight="1" x14ac:dyDescent="0.25">
      <c r="A163" s="399" t="str">
        <f>'0664'!A163</f>
        <v xml:space="preserve">For high performing charter schools, administrative fees charged by the school district shall be calculated based upon 2% of available funds from the FEFP and categorical </v>
      </c>
      <c r="B163" s="328"/>
      <c r="C163" s="328"/>
      <c r="D163" s="328"/>
      <c r="E163" s="328"/>
      <c r="F163" s="328"/>
      <c r="G163" s="328"/>
      <c r="H163" s="328"/>
      <c r="I163" s="328"/>
      <c r="J163" s="79"/>
      <c r="K163" s="79"/>
      <c r="L163" s="79"/>
      <c r="M163" s="79"/>
      <c r="N163" s="81"/>
      <c r="O163" s="79"/>
      <c r="P163" s="79"/>
      <c r="Q163" s="79"/>
      <c r="R163" s="79"/>
      <c r="S163" s="79"/>
      <c r="T163" s="79"/>
      <c r="U163" s="79"/>
    </row>
    <row r="164" spans="1:21" ht="15.75" customHeight="1" x14ac:dyDescent="0.25">
      <c r="A164" s="400" t="str">
        <f>'0664'!A164</f>
        <v>funding for which charter students may be eligible.  To calculate the administrative fee to be withheld for schools with more than 250 students, divide the school</v>
      </c>
      <c r="B164" s="381"/>
      <c r="C164" s="381"/>
      <c r="D164" s="381"/>
      <c r="E164" s="381"/>
      <c r="F164" s="381"/>
      <c r="G164" s="381"/>
      <c r="H164" s="381"/>
      <c r="I164" s="381"/>
      <c r="J164" s="79"/>
      <c r="K164" s="79"/>
      <c r="L164" s="79"/>
      <c r="M164" s="79"/>
      <c r="N164" s="81"/>
      <c r="O164" s="79"/>
      <c r="P164" s="79"/>
      <c r="Q164" s="79"/>
      <c r="R164" s="79"/>
      <c r="S164" s="79"/>
      <c r="T164" s="79"/>
      <c r="U164" s="79"/>
    </row>
    <row r="165" spans="1:21" s="79" customFormat="1" ht="15.75" customHeight="1" x14ac:dyDescent="0.2">
      <c r="A165" s="400" t="str">
        <f>'0664'!A165</f>
        <v xml:space="preserve">population into 250. Multiply that fraction times the funds available, then times 2%.  </v>
      </c>
      <c r="B165" s="328"/>
      <c r="C165" s="328"/>
      <c r="D165" s="328"/>
      <c r="E165" s="328"/>
      <c r="F165" s="328"/>
      <c r="G165" s="328"/>
      <c r="H165" s="328"/>
      <c r="I165" s="328"/>
      <c r="N165" s="81"/>
    </row>
    <row r="166" spans="1:21" x14ac:dyDescent="0.25">
      <c r="A166" s="356"/>
      <c r="N166" s="77"/>
    </row>
    <row r="167" spans="1:21" x14ac:dyDescent="0.25">
      <c r="A167" s="398" t="str">
        <f>'0664'!A167</f>
        <v>Other:</v>
      </c>
      <c r="N167" s="77"/>
    </row>
    <row r="168" spans="1:21" x14ac:dyDescent="0.25">
      <c r="A168" s="399" t="str">
        <f>'0664'!A168</f>
        <v>FEFP and categorical funding are recalculated during the year to reflect the revised number of full-time equivalent students reported during the survey periods designated</v>
      </c>
      <c r="N168" s="77"/>
    </row>
    <row r="169" spans="1:21" x14ac:dyDescent="0.25">
      <c r="A169" s="402" t="str">
        <f>'0664'!A169</f>
        <v>by the Commissioner of Education.</v>
      </c>
      <c r="N169" s="77"/>
    </row>
    <row r="170" spans="1:21" x14ac:dyDescent="0.25">
      <c r="A170" s="399" t="str">
        <f>'0664'!A170</f>
        <v>Revenues flow to districts from state sources and from county tax collectors on various distribution schedules.</v>
      </c>
      <c r="N170" s="77"/>
    </row>
    <row r="171" spans="1:21" x14ac:dyDescent="0.25">
      <c r="A171" s="77"/>
      <c r="N171" s="77"/>
    </row>
    <row r="172" spans="1:21" x14ac:dyDescent="0.25">
      <c r="A172" s="77"/>
      <c r="N172" s="77"/>
    </row>
    <row r="173" spans="1:21" x14ac:dyDescent="0.25">
      <c r="A173" s="77"/>
      <c r="N173" s="77"/>
    </row>
    <row r="174" spans="1:21" x14ac:dyDescent="0.25">
      <c r="A174" s="77"/>
      <c r="N174" s="77"/>
    </row>
    <row r="175" spans="1:21" x14ac:dyDescent="0.25">
      <c r="A175" s="77"/>
      <c r="N175" s="77"/>
    </row>
    <row r="176" spans="1:21" x14ac:dyDescent="0.25">
      <c r="A176" s="77"/>
      <c r="N176" s="77"/>
    </row>
    <row r="177" spans="1:14" x14ac:dyDescent="0.25">
      <c r="A177" s="77"/>
      <c r="N177" s="77"/>
    </row>
    <row r="178" spans="1:14" x14ac:dyDescent="0.25">
      <c r="A178" s="77"/>
      <c r="N178" s="77"/>
    </row>
    <row r="179" spans="1:14" x14ac:dyDescent="0.25">
      <c r="A179" s="77"/>
      <c r="N179" s="77"/>
    </row>
    <row r="180" spans="1:14" x14ac:dyDescent="0.25">
      <c r="A180" s="77"/>
      <c r="N180" s="77"/>
    </row>
    <row r="181" spans="1:14" x14ac:dyDescent="0.25">
      <c r="A181" s="77"/>
      <c r="N181" s="77"/>
    </row>
    <row r="182" spans="1:14" x14ac:dyDescent="0.25">
      <c r="A182" s="77"/>
      <c r="N182" s="77"/>
    </row>
    <row r="183" spans="1:14" x14ac:dyDescent="0.25">
      <c r="A183" s="77"/>
      <c r="N183" s="77"/>
    </row>
    <row r="184" spans="1:14" x14ac:dyDescent="0.25">
      <c r="A184" s="77"/>
      <c r="N184" s="77"/>
    </row>
    <row r="185" spans="1:14" x14ac:dyDescent="0.25">
      <c r="A185" s="77"/>
      <c r="N185" s="77"/>
    </row>
    <row r="186" spans="1:14" x14ac:dyDescent="0.25">
      <c r="A186" s="77"/>
      <c r="N186" s="77"/>
    </row>
    <row r="187" spans="1:14" x14ac:dyDescent="0.25">
      <c r="A187" s="77"/>
      <c r="N187" s="77"/>
    </row>
    <row r="188" spans="1:14" x14ac:dyDescent="0.25">
      <c r="A188" s="77"/>
    </row>
    <row r="189" spans="1:14" x14ac:dyDescent="0.25">
      <c r="A189" s="77"/>
    </row>
    <row r="190" spans="1:14" x14ac:dyDescent="0.25">
      <c r="A190" s="77"/>
    </row>
    <row r="191" spans="1:14" x14ac:dyDescent="0.25">
      <c r="A191" s="77"/>
    </row>
    <row r="192" spans="1:14" x14ac:dyDescent="0.25">
      <c r="A192" s="77"/>
    </row>
    <row r="193" spans="1:1" x14ac:dyDescent="0.25">
      <c r="A193" s="77"/>
    </row>
    <row r="194" spans="1:1" x14ac:dyDescent="0.25">
      <c r="A194" s="77"/>
    </row>
    <row r="195" spans="1:1" x14ac:dyDescent="0.25">
      <c r="A195" s="77"/>
    </row>
    <row r="196" spans="1:1" x14ac:dyDescent="0.25">
      <c r="A196" s="77"/>
    </row>
    <row r="197" spans="1:1" x14ac:dyDescent="0.25">
      <c r="A197" s="77"/>
    </row>
    <row r="198" spans="1:1" x14ac:dyDescent="0.25">
      <c r="A198" s="77"/>
    </row>
    <row r="199" spans="1:1" x14ac:dyDescent="0.25">
      <c r="A199" s="77"/>
    </row>
    <row r="200" spans="1:1" x14ac:dyDescent="0.25">
      <c r="A200" s="77"/>
    </row>
    <row r="201" spans="1:1" x14ac:dyDescent="0.25">
      <c r="A201" s="77"/>
    </row>
    <row r="202" spans="1:1" x14ac:dyDescent="0.25">
      <c r="A202" s="77"/>
    </row>
    <row r="203" spans="1:1" x14ac:dyDescent="0.25">
      <c r="A203" s="77"/>
    </row>
    <row r="204" spans="1:1" x14ac:dyDescent="0.25">
      <c r="A204" s="77"/>
    </row>
    <row r="205" spans="1:1" x14ac:dyDescent="0.25">
      <c r="A205" s="77"/>
    </row>
    <row r="206" spans="1:1" x14ac:dyDescent="0.25">
      <c r="A206" s="77"/>
    </row>
  </sheetData>
  <mergeCells count="266">
    <mergeCell ref="N7:U7"/>
    <mergeCell ref="N8:O8"/>
    <mergeCell ref="P8:Q8"/>
    <mergeCell ref="R8:S8"/>
    <mergeCell ref="T8:U8"/>
    <mergeCell ref="F10:G10"/>
    <mergeCell ref="R10:S10"/>
    <mergeCell ref="N77:P77"/>
    <mergeCell ref="B1:I1"/>
    <mergeCell ref="O1:U1"/>
    <mergeCell ref="N2:U2"/>
    <mergeCell ref="N3:U3"/>
    <mergeCell ref="A4:B4"/>
    <mergeCell ref="C4:E4"/>
    <mergeCell ref="N4:O4"/>
    <mergeCell ref="P4:Q4"/>
    <mergeCell ref="A7:I7"/>
    <mergeCell ref="A11:B11"/>
    <mergeCell ref="F11:G11"/>
    <mergeCell ref="N11:O11"/>
    <mergeCell ref="P11:Q11"/>
    <mergeCell ref="R11:S11"/>
    <mergeCell ref="A12:B12"/>
    <mergeCell ref="F12:G12"/>
    <mergeCell ref="N12:O12"/>
    <mergeCell ref="P12:Q12"/>
    <mergeCell ref="R12:S12"/>
    <mergeCell ref="A13:B13"/>
    <mergeCell ref="F13:G13"/>
    <mergeCell ref="N13:O13"/>
    <mergeCell ref="P13:Q13"/>
    <mergeCell ref="R13:S13"/>
    <mergeCell ref="A14:B14"/>
    <mergeCell ref="F14:G14"/>
    <mergeCell ref="N14:O14"/>
    <mergeCell ref="P14:Q14"/>
    <mergeCell ref="R14:S14"/>
    <mergeCell ref="A15:B15"/>
    <mergeCell ref="F15:G15"/>
    <mergeCell ref="N15:O15"/>
    <mergeCell ref="P15:Q15"/>
    <mergeCell ref="R15:S15"/>
    <mergeCell ref="A16:B16"/>
    <mergeCell ref="F16:G16"/>
    <mergeCell ref="N16:O16"/>
    <mergeCell ref="P16:Q16"/>
    <mergeCell ref="R16:S16"/>
    <mergeCell ref="A17:B17"/>
    <mergeCell ref="F17:G17"/>
    <mergeCell ref="N17:O17"/>
    <mergeCell ref="P17:Q17"/>
    <mergeCell ref="R17:S17"/>
    <mergeCell ref="A18:B18"/>
    <mergeCell ref="F18:G18"/>
    <mergeCell ref="N18:O18"/>
    <mergeCell ref="P18:Q18"/>
    <mergeCell ref="R18:S18"/>
    <mergeCell ref="A19:B19"/>
    <mergeCell ref="F19:G19"/>
    <mergeCell ref="N19:O19"/>
    <mergeCell ref="P19:Q19"/>
    <mergeCell ref="R19:S19"/>
    <mergeCell ref="A20:B20"/>
    <mergeCell ref="F20:G20"/>
    <mergeCell ref="N20:O20"/>
    <mergeCell ref="P20:Q20"/>
    <mergeCell ref="R20:S20"/>
    <mergeCell ref="A21:B21"/>
    <mergeCell ref="F21:G21"/>
    <mergeCell ref="N21:O21"/>
    <mergeCell ref="P21:Q21"/>
    <mergeCell ref="R21:S21"/>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F33:H36"/>
    <mergeCell ref="N34:T34"/>
    <mergeCell ref="A36:B36"/>
    <mergeCell ref="N36:O36"/>
    <mergeCell ref="P36:T36"/>
    <mergeCell ref="A39:B39"/>
    <mergeCell ref="N39:O39"/>
    <mergeCell ref="P39:T39"/>
    <mergeCell ref="A40:B40"/>
    <mergeCell ref="N40:O40"/>
    <mergeCell ref="P40:T40"/>
    <mergeCell ref="A37:B37"/>
    <mergeCell ref="N37:O37"/>
    <mergeCell ref="P37:T37"/>
    <mergeCell ref="A38:B38"/>
    <mergeCell ref="N38:O38"/>
    <mergeCell ref="P38:T38"/>
    <mergeCell ref="N43:Q43"/>
    <mergeCell ref="S43:T43"/>
    <mergeCell ref="N45:Q45"/>
    <mergeCell ref="S45:T45"/>
    <mergeCell ref="N49:O49"/>
    <mergeCell ref="P49:Q49"/>
    <mergeCell ref="A41:B41"/>
    <mergeCell ref="N41:O41"/>
    <mergeCell ref="P41:T41"/>
    <mergeCell ref="A42:B42"/>
    <mergeCell ref="N42:O42"/>
    <mergeCell ref="P42:T42"/>
    <mergeCell ref="P58:Q58"/>
    <mergeCell ref="A59:B59"/>
    <mergeCell ref="F59:H59"/>
    <mergeCell ref="N59:O59"/>
    <mergeCell ref="P59:Q59"/>
    <mergeCell ref="R59:T59"/>
    <mergeCell ref="A50:B58"/>
    <mergeCell ref="N50:O58"/>
    <mergeCell ref="P50:Q50"/>
    <mergeCell ref="P51:Q51"/>
    <mergeCell ref="P52:Q52"/>
    <mergeCell ref="P53:Q53"/>
    <mergeCell ref="P54:Q54"/>
    <mergeCell ref="P55:Q55"/>
    <mergeCell ref="P56:Q56"/>
    <mergeCell ref="P57:Q57"/>
    <mergeCell ref="A60:I60"/>
    <mergeCell ref="N60:U60"/>
    <mergeCell ref="A61:I61"/>
    <mergeCell ref="N61:U61"/>
    <mergeCell ref="A62:B62"/>
    <mergeCell ref="D62:G62"/>
    <mergeCell ref="N62:O62"/>
    <mergeCell ref="Q62:S62"/>
    <mergeCell ref="T62:U62"/>
    <mergeCell ref="N63:S63"/>
    <mergeCell ref="T63:U63"/>
    <mergeCell ref="A64:I64"/>
    <mergeCell ref="N64:U64"/>
    <mergeCell ref="A65:B65"/>
    <mergeCell ref="D65:G65"/>
    <mergeCell ref="N65:O65"/>
    <mergeCell ref="Q65:S65"/>
    <mergeCell ref="T65:U65"/>
    <mergeCell ref="A70:C70"/>
    <mergeCell ref="A71:C71"/>
    <mergeCell ref="N71:P71"/>
    <mergeCell ref="A72:C72"/>
    <mergeCell ref="N72:P72"/>
    <mergeCell ref="N66:S66"/>
    <mergeCell ref="T66:U66"/>
    <mergeCell ref="A68:C68"/>
    <mergeCell ref="N68:P68"/>
    <mergeCell ref="A69:C69"/>
    <mergeCell ref="N69:P69"/>
    <mergeCell ref="A80:C80"/>
    <mergeCell ref="N80:P80"/>
    <mergeCell ref="A85:C85"/>
    <mergeCell ref="N85:P85"/>
    <mergeCell ref="A87:I87"/>
    <mergeCell ref="N87:U87"/>
    <mergeCell ref="F73:H73"/>
    <mergeCell ref="N73:T73"/>
    <mergeCell ref="N74:T74"/>
    <mergeCell ref="A78:C78"/>
    <mergeCell ref="N78:P78"/>
    <mergeCell ref="A79:C79"/>
    <mergeCell ref="N79:P79"/>
    <mergeCell ref="A76:C76"/>
    <mergeCell ref="N76:P76"/>
    <mergeCell ref="A77:C77"/>
    <mergeCell ref="C91:D91"/>
    <mergeCell ref="P91:Q91"/>
    <mergeCell ref="C92:D92"/>
    <mergeCell ref="P92:Q92"/>
    <mergeCell ref="C93:D93"/>
    <mergeCell ref="P93:T93"/>
    <mergeCell ref="C88:D88"/>
    <mergeCell ref="C89:D89"/>
    <mergeCell ref="N89:O89"/>
    <mergeCell ref="P89:Q89"/>
    <mergeCell ref="R89:U89"/>
    <mergeCell ref="C90:D90"/>
    <mergeCell ref="P90:Q90"/>
    <mergeCell ref="A100:B100"/>
    <mergeCell ref="N100:O100"/>
    <mergeCell ref="P100:R100"/>
    <mergeCell ref="A103:C103"/>
    <mergeCell ref="F103:I103"/>
    <mergeCell ref="N103:U103"/>
    <mergeCell ref="A94:I94"/>
    <mergeCell ref="N94:U94"/>
    <mergeCell ref="F96:I96"/>
    <mergeCell ref="N96:P96"/>
    <mergeCell ref="Q96:T96"/>
    <mergeCell ref="A99:B99"/>
    <mergeCell ref="N99:O99"/>
    <mergeCell ref="P99:R99"/>
    <mergeCell ref="R106:S106"/>
    <mergeCell ref="A107:B107"/>
    <mergeCell ref="F107:G107"/>
    <mergeCell ref="N107:O107"/>
    <mergeCell ref="P107:Q107"/>
    <mergeCell ref="R107:S107"/>
    <mergeCell ref="C104:E104"/>
    <mergeCell ref="F105:G105"/>
    <mergeCell ref="A106:B106"/>
    <mergeCell ref="F106:G106"/>
    <mergeCell ref="N106:O106"/>
    <mergeCell ref="P106:Q106"/>
    <mergeCell ref="A108:B108"/>
    <mergeCell ref="F108:G108"/>
    <mergeCell ref="N108:O108"/>
    <mergeCell ref="P108:Q108"/>
    <mergeCell ref="R108:S108"/>
    <mergeCell ref="A109:B109"/>
    <mergeCell ref="F109:G109"/>
    <mergeCell ref="N109:O109"/>
    <mergeCell ref="P109:Q109"/>
    <mergeCell ref="R109:S109"/>
    <mergeCell ref="N139:U139"/>
    <mergeCell ref="N114:T114"/>
    <mergeCell ref="A115:H115"/>
    <mergeCell ref="A119:G119"/>
    <mergeCell ref="N119:U119"/>
    <mergeCell ref="A120:G120"/>
    <mergeCell ref="N120:U120"/>
    <mergeCell ref="A110:B110"/>
    <mergeCell ref="N110:O110"/>
    <mergeCell ref="A112:C112"/>
    <mergeCell ref="F112:H112"/>
    <mergeCell ref="N112:P112"/>
    <mergeCell ref="A113:C113"/>
    <mergeCell ref="F113:H113"/>
    <mergeCell ref="N113:P113"/>
  </mergeCells>
  <pageMargins left="0.1" right="0.1" top="0.5" bottom="0.5" header="0" footer="0.1"/>
  <pageSetup scale="70" fitToHeight="3" orientation="portrait" r:id="rId1"/>
  <headerFooter alignWithMargins="0">
    <oddFooter>&amp;L&amp;8&amp;Z&amp;F&amp;R&amp;P of &amp;N</oddFooter>
  </headerFooter>
  <rowBreaks count="1" manualBreakCount="1">
    <brk id="138" max="16383" man="1"/>
  </rowBreaks>
  <colBreaks count="1" manualBreakCount="1">
    <brk id="9" max="1048575" man="1"/>
  </colBreaks>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6">
    <tabColor rgb="FFCCFFCC"/>
  </sheetPr>
  <dimension ref="A1:U206"/>
  <sheetViews>
    <sheetView showGridLines="0" zoomScaleNormal="100" workbookViewId="0">
      <pane ySplit="1" topLeftCell="A11" activePane="bottomLeft" state="frozen"/>
      <selection activeCell="I9" sqref="I9"/>
      <selection pane="bottomLeft" activeCell="D50" sqref="D50:D57"/>
    </sheetView>
  </sheetViews>
  <sheetFormatPr defaultRowHeight="15.75" x14ac:dyDescent="0.25"/>
  <cols>
    <col min="1" max="1" width="10.28515625" style="72"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72"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5">
        <v>50</v>
      </c>
      <c r="B1" s="441" t="s">
        <v>17</v>
      </c>
      <c r="C1" s="442"/>
      <c r="D1" s="442"/>
      <c r="E1" s="442"/>
      <c r="F1" s="442"/>
      <c r="G1" s="442"/>
      <c r="H1" s="442"/>
      <c r="I1" s="442"/>
      <c r="J1" s="157"/>
      <c r="K1" s="157"/>
      <c r="L1" s="157"/>
      <c r="N1" s="85">
        <f>A1</f>
        <v>50</v>
      </c>
      <c r="O1" s="527" t="s">
        <v>17</v>
      </c>
      <c r="P1" s="528"/>
      <c r="Q1" s="528"/>
      <c r="R1" s="528"/>
      <c r="S1" s="528"/>
      <c r="T1" s="528"/>
      <c r="U1" s="528"/>
    </row>
    <row r="2" spans="1:21" ht="21" x14ac:dyDescent="0.35">
      <c r="A2" s="1" t="s">
        <v>342</v>
      </c>
      <c r="B2" s="2"/>
      <c r="C2" s="2"/>
      <c r="D2" s="2"/>
      <c r="E2" s="2"/>
      <c r="F2" s="2"/>
      <c r="G2" s="2"/>
      <c r="H2" s="2"/>
      <c r="I2" s="2"/>
      <c r="N2" s="529" t="s">
        <v>23</v>
      </c>
      <c r="O2" s="529"/>
      <c r="P2" s="529"/>
      <c r="Q2" s="529"/>
      <c r="R2" s="529"/>
      <c r="S2" s="529"/>
      <c r="T2" s="529"/>
      <c r="U2" s="529"/>
    </row>
    <row r="3" spans="1:21" x14ac:dyDescent="0.25">
      <c r="A3" s="84" t="str">
        <f>'0664'!A3</f>
        <v>Based on the FLDOE 2022-23 FEFP Third Calculation</v>
      </c>
      <c r="N3" s="485" t="str">
        <f>A3</f>
        <v>Based on the FLDOE 2022-23 FEFP Third Calculation</v>
      </c>
      <c r="O3" s="485"/>
      <c r="P3" s="485"/>
      <c r="Q3" s="485"/>
      <c r="R3" s="485"/>
      <c r="S3" s="485"/>
      <c r="T3" s="485"/>
      <c r="U3" s="485"/>
    </row>
    <row r="4" spans="1:21" x14ac:dyDescent="0.25">
      <c r="A4" s="443" t="s">
        <v>0</v>
      </c>
      <c r="B4" s="443"/>
      <c r="C4" s="444" t="s">
        <v>9</v>
      </c>
      <c r="D4" s="444"/>
      <c r="E4" s="444"/>
      <c r="F4" s="4" t="str">
        <f>'0664'!F4</f>
        <v>Apr 2023</v>
      </c>
      <c r="G4" s="4"/>
      <c r="H4" s="4"/>
      <c r="I4" s="4"/>
      <c r="N4" s="530" t="s">
        <v>0</v>
      </c>
      <c r="O4" s="530"/>
      <c r="P4" s="531" t="str">
        <f>C4</f>
        <v>Palm Beach</v>
      </c>
      <c r="Q4" s="531"/>
      <c r="R4" s="5"/>
      <c r="S4" s="5"/>
      <c r="T4" s="5"/>
      <c r="U4" s="5"/>
    </row>
    <row r="5" spans="1:21" ht="12" customHeight="1" thickBot="1" x14ac:dyDescent="0.3">
      <c r="A5" s="262"/>
      <c r="B5" s="262"/>
      <c r="C5" s="253"/>
      <c r="D5" s="253"/>
      <c r="E5" s="253"/>
      <c r="F5" s="254"/>
      <c r="G5" s="254"/>
      <c r="H5" s="254"/>
      <c r="I5" s="254"/>
      <c r="N5" s="86"/>
      <c r="O5" s="86"/>
      <c r="P5" s="6"/>
      <c r="Q5" s="6"/>
      <c r="R5" s="5"/>
      <c r="S5" s="5"/>
      <c r="T5" s="5"/>
      <c r="U5" s="5"/>
    </row>
    <row r="6" spans="1:21" ht="12" customHeight="1" x14ac:dyDescent="0.25">
      <c r="A6" s="150"/>
      <c r="B6" s="150"/>
      <c r="C6" s="261"/>
      <c r="D6" s="261"/>
      <c r="E6" s="261"/>
      <c r="F6" s="4"/>
      <c r="G6" s="4"/>
      <c r="H6" s="4"/>
      <c r="I6" s="4"/>
      <c r="N6" s="86"/>
      <c r="O6" s="86"/>
      <c r="P6" s="6"/>
      <c r="Q6" s="6"/>
      <c r="R6" s="5"/>
      <c r="S6" s="5"/>
      <c r="T6" s="5"/>
      <c r="U6" s="5"/>
    </row>
    <row r="7" spans="1:21" x14ac:dyDescent="0.25">
      <c r="A7" s="445" t="str">
        <f>'0664'!A7:I7</f>
        <v>1.   2022-23 FEFP State and Local Funding</v>
      </c>
      <c r="B7" s="533"/>
      <c r="C7" s="533"/>
      <c r="D7" s="533"/>
      <c r="E7" s="533"/>
      <c r="F7" s="533"/>
      <c r="G7" s="533"/>
      <c r="H7" s="533"/>
      <c r="I7" s="533"/>
      <c r="N7" s="530" t="s">
        <v>86</v>
      </c>
      <c r="O7" s="530"/>
      <c r="P7" s="530"/>
      <c r="Q7" s="530"/>
      <c r="R7" s="530"/>
      <c r="S7" s="530"/>
      <c r="T7" s="530"/>
      <c r="U7" s="530"/>
    </row>
    <row r="8" spans="1:21" x14ac:dyDescent="0.25">
      <c r="A8" s="87"/>
      <c r="B8" s="88" t="s">
        <v>123</v>
      </c>
      <c r="C8" s="334">
        <f>'0664'!C8</f>
        <v>4587.3999999999996</v>
      </c>
      <c r="D8" s="89"/>
      <c r="E8" s="90"/>
      <c r="F8" s="87"/>
      <c r="G8" s="88" t="s">
        <v>122</v>
      </c>
      <c r="H8" s="320">
        <f>'0664'!H8</f>
        <v>1.0438000000000001</v>
      </c>
      <c r="I8" s="78"/>
      <c r="N8" s="534" t="s">
        <v>10</v>
      </c>
      <c r="O8" s="534"/>
      <c r="P8" s="535">
        <v>4154.45</v>
      </c>
      <c r="Q8" s="535"/>
      <c r="R8" s="518" t="s">
        <v>11</v>
      </c>
      <c r="S8" s="518"/>
      <c r="T8" s="519">
        <f>H8</f>
        <v>1.0438000000000001</v>
      </c>
      <c r="U8" s="519"/>
    </row>
    <row r="9" spans="1:21" x14ac:dyDescent="0.25">
      <c r="A9" s="7"/>
      <c r="B9" s="44" t="s">
        <v>370</v>
      </c>
      <c r="C9" s="372" t="s">
        <v>370</v>
      </c>
      <c r="D9" s="372" t="s">
        <v>370</v>
      </c>
      <c r="E9" s="8"/>
      <c r="F9" s="9"/>
      <c r="G9" s="9"/>
      <c r="H9" s="10"/>
      <c r="I9" s="340" t="str">
        <f>'0664'!I9</f>
        <v>2022-23</v>
      </c>
      <c r="N9" s="12"/>
      <c r="O9" s="12"/>
      <c r="P9" s="13"/>
      <c r="Q9" s="13"/>
      <c r="R9" s="14"/>
      <c r="S9" s="14"/>
      <c r="T9" s="15"/>
      <c r="U9" s="405" t="s">
        <v>405</v>
      </c>
    </row>
    <row r="10" spans="1:21" x14ac:dyDescent="0.25">
      <c r="A10" s="7"/>
      <c r="B10" s="7"/>
      <c r="C10" s="91" t="s">
        <v>463</v>
      </c>
      <c r="D10" s="371" t="s">
        <v>464</v>
      </c>
      <c r="E10" s="92" t="s">
        <v>8</v>
      </c>
      <c r="F10" s="446" t="s">
        <v>1</v>
      </c>
      <c r="G10" s="446"/>
      <c r="H10" s="10" t="s">
        <v>73</v>
      </c>
      <c r="I10" s="11" t="s">
        <v>36</v>
      </c>
      <c r="N10" s="12"/>
      <c r="O10" s="12"/>
      <c r="P10" s="13"/>
      <c r="Q10" s="13"/>
      <c r="R10" s="520" t="s">
        <v>1</v>
      </c>
      <c r="S10" s="520"/>
      <c r="T10" s="15" t="s">
        <v>73</v>
      </c>
      <c r="U10" s="16" t="s">
        <v>36</v>
      </c>
    </row>
    <row r="11" spans="1:21" x14ac:dyDescent="0.25">
      <c r="A11" s="447" t="s">
        <v>1</v>
      </c>
      <c r="B11" s="447"/>
      <c r="C11" s="364" t="s">
        <v>2</v>
      </c>
      <c r="D11" s="362" t="s">
        <v>2</v>
      </c>
      <c r="E11" s="362" t="s">
        <v>2</v>
      </c>
      <c r="F11" s="448" t="s">
        <v>76</v>
      </c>
      <c r="G11" s="448"/>
      <c r="H11" s="17" t="s">
        <v>72</v>
      </c>
      <c r="I11" s="18" t="s">
        <v>75</v>
      </c>
      <c r="N11" s="510" t="s">
        <v>1</v>
      </c>
      <c r="O11" s="510"/>
      <c r="P11" s="521" t="s">
        <v>24</v>
      </c>
      <c r="Q11" s="521"/>
      <c r="R11" s="522" t="s">
        <v>76</v>
      </c>
      <c r="S11" s="522"/>
      <c r="T11" s="19" t="s">
        <v>72</v>
      </c>
      <c r="U11" s="20" t="s">
        <v>75</v>
      </c>
    </row>
    <row r="12" spans="1:21" x14ac:dyDescent="0.25">
      <c r="A12" s="449" t="s">
        <v>47</v>
      </c>
      <c r="B12" s="449"/>
      <c r="C12" s="94"/>
      <c r="D12" s="94"/>
      <c r="E12" s="95" t="s">
        <v>48</v>
      </c>
      <c r="F12" s="450" t="s">
        <v>49</v>
      </c>
      <c r="G12" s="450"/>
      <c r="H12" s="21" t="s">
        <v>50</v>
      </c>
      <c r="I12" s="22" t="s">
        <v>51</v>
      </c>
      <c r="N12" s="523" t="s">
        <v>47</v>
      </c>
      <c r="O12" s="523"/>
      <c r="P12" s="524" t="s">
        <v>48</v>
      </c>
      <c r="Q12" s="524"/>
      <c r="R12" s="525" t="s">
        <v>49</v>
      </c>
      <c r="S12" s="525"/>
      <c r="T12" s="23" t="s">
        <v>50</v>
      </c>
      <c r="U12" s="24" t="s">
        <v>51</v>
      </c>
    </row>
    <row r="13" spans="1:21" x14ac:dyDescent="0.25">
      <c r="A13" s="451" t="s">
        <v>29</v>
      </c>
      <c r="B13" s="451"/>
      <c r="C13" s="165">
        <v>32.61</v>
      </c>
      <c r="D13" s="163">
        <v>34.46</v>
      </c>
      <c r="E13" s="210">
        <f>IF(D$29=0,C13*2,C13+D13)</f>
        <v>67.069999999999993</v>
      </c>
      <c r="F13" s="537">
        <f>'0664'!F13:G13</f>
        <v>1.1259999999999999</v>
      </c>
      <c r="G13" s="537"/>
      <c r="H13" s="167">
        <f>ROUND(E13*F13,4)</f>
        <v>75.520799999999994</v>
      </c>
      <c r="I13" s="119">
        <f t="shared" ref="I13:I28" si="0">ROUND(ROUND(H13*$C$8,4)*($H$8),2)</f>
        <v>361618.37</v>
      </c>
      <c r="N13" s="512" t="s">
        <v>29</v>
      </c>
      <c r="O13" s="512"/>
      <c r="P13" s="513">
        <f t="shared" ref="P13:P28" si="1">IF($H$120=1,E13,0)</f>
        <v>0</v>
      </c>
      <c r="Q13" s="513"/>
      <c r="R13" s="526">
        <v>1</v>
      </c>
      <c r="S13" s="526"/>
      <c r="T13" s="98">
        <f>ROUND(P13*R13,4)</f>
        <v>0</v>
      </c>
      <c r="U13" s="99">
        <f t="shared" ref="U13:U28" si="2">ROUND(ROUND(T13*$C$8,4)*($H$8),0)</f>
        <v>0</v>
      </c>
    </row>
    <row r="14" spans="1:21" x14ac:dyDescent="0.25">
      <c r="A14" s="453" t="s">
        <v>30</v>
      </c>
      <c r="B14" s="453"/>
      <c r="C14" s="165">
        <v>4</v>
      </c>
      <c r="D14" s="165">
        <v>4.6500000000000004</v>
      </c>
      <c r="E14" s="125">
        <f t="shared" ref="E14:E28" si="3">IF(D$29=0,C14*2,C14+D14)</f>
        <v>8.65</v>
      </c>
      <c r="F14" s="532">
        <f>'0664'!F14:G14</f>
        <v>1.1259999999999999</v>
      </c>
      <c r="G14" s="532"/>
      <c r="H14" s="83">
        <f t="shared" ref="H14:H28" si="4">ROUND(E14*F14,4)</f>
        <v>9.7399000000000004</v>
      </c>
      <c r="I14" s="104">
        <f t="shared" si="0"/>
        <v>46637.84</v>
      </c>
      <c r="J14" s="68" t="str">
        <f>IF(ROUND(E14,2)=ROUND(SUM(E50:E52),2)," ","CHECK PK-3 LINES BELOW")</f>
        <v xml:space="preserve"> </v>
      </c>
      <c r="N14" s="479" t="s">
        <v>30</v>
      </c>
      <c r="O14" s="479"/>
      <c r="P14" s="513">
        <f t="shared" si="1"/>
        <v>0</v>
      </c>
      <c r="Q14" s="513"/>
      <c r="R14" s="517">
        <v>1</v>
      </c>
      <c r="S14" s="517"/>
      <c r="T14" s="98">
        <f t="shared" ref="T14:T28" si="5">ROUND(P14*R14,4)</f>
        <v>0</v>
      </c>
      <c r="U14" s="99">
        <f t="shared" si="2"/>
        <v>0</v>
      </c>
    </row>
    <row r="15" spans="1:21" x14ac:dyDescent="0.25">
      <c r="A15" s="453" t="s">
        <v>31</v>
      </c>
      <c r="B15" s="453"/>
      <c r="C15" s="165">
        <v>34.11</v>
      </c>
      <c r="D15" s="165">
        <v>34.01</v>
      </c>
      <c r="E15" s="125">
        <f t="shared" si="3"/>
        <v>68.12</v>
      </c>
      <c r="F15" s="532">
        <f>'0664'!F15:G15</f>
        <v>1</v>
      </c>
      <c r="G15" s="532"/>
      <c r="H15" s="83">
        <f t="shared" si="4"/>
        <v>68.12</v>
      </c>
      <c r="I15" s="104">
        <f t="shared" si="0"/>
        <v>326180.90999999997</v>
      </c>
      <c r="N15" s="479" t="s">
        <v>31</v>
      </c>
      <c r="O15" s="479"/>
      <c r="P15" s="513">
        <f t="shared" si="1"/>
        <v>0</v>
      </c>
      <c r="Q15" s="513"/>
      <c r="R15" s="517">
        <v>1</v>
      </c>
      <c r="S15" s="517"/>
      <c r="T15" s="98">
        <f t="shared" si="5"/>
        <v>0</v>
      </c>
      <c r="U15" s="99">
        <f t="shared" si="2"/>
        <v>0</v>
      </c>
    </row>
    <row r="16" spans="1:21" x14ac:dyDescent="0.25">
      <c r="A16" s="453" t="s">
        <v>32</v>
      </c>
      <c r="B16" s="453"/>
      <c r="C16" s="165">
        <v>6.5</v>
      </c>
      <c r="D16" s="165">
        <v>6</v>
      </c>
      <c r="E16" s="125">
        <f t="shared" si="3"/>
        <v>12.5</v>
      </c>
      <c r="F16" s="532">
        <f>'0664'!F16:G16</f>
        <v>1</v>
      </c>
      <c r="G16" s="532"/>
      <c r="H16" s="83">
        <f t="shared" si="4"/>
        <v>12.5</v>
      </c>
      <c r="I16" s="104">
        <f t="shared" si="0"/>
        <v>59854.1</v>
      </c>
      <c r="J16" s="68" t="str">
        <f>IF(ROUND(E16,2)=ROUND(SUM(E53:E55),2)," ","CHECK 4-8 LINES BELOW")</f>
        <v xml:space="preserve"> </v>
      </c>
      <c r="N16" s="479" t="s">
        <v>32</v>
      </c>
      <c r="O16" s="479"/>
      <c r="P16" s="513">
        <f t="shared" si="1"/>
        <v>0</v>
      </c>
      <c r="Q16" s="513"/>
      <c r="R16" s="517">
        <v>1</v>
      </c>
      <c r="S16" s="517"/>
      <c r="T16" s="98">
        <f t="shared" si="5"/>
        <v>0</v>
      </c>
      <c r="U16" s="99">
        <f t="shared" si="2"/>
        <v>0</v>
      </c>
    </row>
    <row r="17" spans="1:21" x14ac:dyDescent="0.25">
      <c r="A17" s="453" t="s">
        <v>33</v>
      </c>
      <c r="B17" s="453"/>
      <c r="C17" s="165">
        <v>0</v>
      </c>
      <c r="D17" s="165">
        <v>0</v>
      </c>
      <c r="E17" s="125">
        <f t="shared" si="3"/>
        <v>0</v>
      </c>
      <c r="F17" s="532">
        <f>'0664'!F17:G17</f>
        <v>0.999</v>
      </c>
      <c r="G17" s="532"/>
      <c r="H17" s="83">
        <f t="shared" si="4"/>
        <v>0</v>
      </c>
      <c r="I17" s="104">
        <f t="shared" si="0"/>
        <v>0</v>
      </c>
      <c r="N17" s="479" t="s">
        <v>33</v>
      </c>
      <c r="O17" s="479"/>
      <c r="P17" s="513">
        <f t="shared" si="1"/>
        <v>0</v>
      </c>
      <c r="Q17" s="513"/>
      <c r="R17" s="517">
        <v>1</v>
      </c>
      <c r="S17" s="517"/>
      <c r="T17" s="98">
        <f t="shared" si="5"/>
        <v>0</v>
      </c>
      <c r="U17" s="99">
        <f t="shared" si="2"/>
        <v>0</v>
      </c>
    </row>
    <row r="18" spans="1:21" x14ac:dyDescent="0.25">
      <c r="A18" s="453" t="s">
        <v>34</v>
      </c>
      <c r="B18" s="453"/>
      <c r="C18" s="165">
        <v>0</v>
      </c>
      <c r="D18" s="165">
        <v>0</v>
      </c>
      <c r="E18" s="125">
        <f t="shared" si="3"/>
        <v>0</v>
      </c>
      <c r="F18" s="532">
        <f>'0664'!F18:G18</f>
        <v>0.999</v>
      </c>
      <c r="G18" s="532"/>
      <c r="H18" s="83">
        <f t="shared" si="4"/>
        <v>0</v>
      </c>
      <c r="I18" s="104">
        <f t="shared" si="0"/>
        <v>0</v>
      </c>
      <c r="J18" s="68" t="str">
        <f>IF(ROUND(E18,2)=ROUND(SUM(E56:E58),2)," ","CHECK 4-8 LINES BELOW")</f>
        <v xml:space="preserve"> </v>
      </c>
      <c r="N18" s="479" t="s">
        <v>34</v>
      </c>
      <c r="O18" s="479"/>
      <c r="P18" s="513">
        <f t="shared" si="1"/>
        <v>0</v>
      </c>
      <c r="Q18" s="513"/>
      <c r="R18" s="517">
        <v>1</v>
      </c>
      <c r="S18" s="517"/>
      <c r="T18" s="98">
        <f t="shared" si="5"/>
        <v>0</v>
      </c>
      <c r="U18" s="101">
        <f t="shared" si="2"/>
        <v>0</v>
      </c>
    </row>
    <row r="19" spans="1:21" x14ac:dyDescent="0.25">
      <c r="A19" s="453" t="s">
        <v>108</v>
      </c>
      <c r="B19" s="453"/>
      <c r="C19" s="165">
        <v>0</v>
      </c>
      <c r="D19" s="165">
        <v>0</v>
      </c>
      <c r="E19" s="125">
        <f t="shared" si="3"/>
        <v>0</v>
      </c>
      <c r="F19" s="532">
        <f>'0664'!F19:G19</f>
        <v>3.6739999999999999</v>
      </c>
      <c r="G19" s="532"/>
      <c r="H19" s="83">
        <f t="shared" si="4"/>
        <v>0</v>
      </c>
      <c r="I19" s="104">
        <f t="shared" si="0"/>
        <v>0</v>
      </c>
      <c r="N19" s="479" t="s">
        <v>108</v>
      </c>
      <c r="O19" s="479"/>
      <c r="P19" s="513">
        <f t="shared" si="1"/>
        <v>0</v>
      </c>
      <c r="Q19" s="513"/>
      <c r="R19" s="517">
        <v>1</v>
      </c>
      <c r="S19" s="517"/>
      <c r="T19" s="98">
        <f t="shared" si="5"/>
        <v>0</v>
      </c>
      <c r="U19" s="99">
        <f t="shared" si="2"/>
        <v>0</v>
      </c>
    </row>
    <row r="20" spans="1:21" x14ac:dyDescent="0.25">
      <c r="A20" s="453" t="s">
        <v>109</v>
      </c>
      <c r="B20" s="453"/>
      <c r="C20" s="165">
        <v>0</v>
      </c>
      <c r="D20" s="165">
        <v>0</v>
      </c>
      <c r="E20" s="125">
        <f t="shared" si="3"/>
        <v>0</v>
      </c>
      <c r="F20" s="532">
        <f>'0664'!F20:G20</f>
        <v>3.6739999999999999</v>
      </c>
      <c r="G20" s="532"/>
      <c r="H20" s="83">
        <f t="shared" si="4"/>
        <v>0</v>
      </c>
      <c r="I20" s="104">
        <f t="shared" si="0"/>
        <v>0</v>
      </c>
      <c r="N20" s="479" t="s">
        <v>109</v>
      </c>
      <c r="O20" s="479"/>
      <c r="P20" s="513">
        <f t="shared" si="1"/>
        <v>0</v>
      </c>
      <c r="Q20" s="513"/>
      <c r="R20" s="517">
        <v>1</v>
      </c>
      <c r="S20" s="517"/>
      <c r="T20" s="98">
        <f t="shared" si="5"/>
        <v>0</v>
      </c>
      <c r="U20" s="99">
        <f t="shared" si="2"/>
        <v>0</v>
      </c>
    </row>
    <row r="21" spans="1:21" x14ac:dyDescent="0.25">
      <c r="A21" s="453" t="s">
        <v>110</v>
      </c>
      <c r="B21" s="453"/>
      <c r="C21" s="165">
        <v>0</v>
      </c>
      <c r="D21" s="165">
        <v>0</v>
      </c>
      <c r="E21" s="125">
        <f t="shared" si="3"/>
        <v>0</v>
      </c>
      <c r="F21" s="532">
        <f>'0664'!F21:G21</f>
        <v>3.6739999999999999</v>
      </c>
      <c r="G21" s="532"/>
      <c r="H21" s="83">
        <f t="shared" si="4"/>
        <v>0</v>
      </c>
      <c r="I21" s="104">
        <f t="shared" si="0"/>
        <v>0</v>
      </c>
      <c r="N21" s="479" t="s">
        <v>110</v>
      </c>
      <c r="O21" s="479"/>
      <c r="P21" s="513">
        <f t="shared" si="1"/>
        <v>0</v>
      </c>
      <c r="Q21" s="513"/>
      <c r="R21" s="517">
        <v>1</v>
      </c>
      <c r="S21" s="517"/>
      <c r="T21" s="98">
        <f t="shared" si="5"/>
        <v>0</v>
      </c>
      <c r="U21" s="99">
        <f t="shared" si="2"/>
        <v>0</v>
      </c>
    </row>
    <row r="22" spans="1:21" x14ac:dyDescent="0.25">
      <c r="A22" s="453" t="s">
        <v>111</v>
      </c>
      <c r="B22" s="453"/>
      <c r="C22" s="165">
        <v>0</v>
      </c>
      <c r="D22" s="165">
        <v>0</v>
      </c>
      <c r="E22" s="125">
        <f t="shared" si="3"/>
        <v>0</v>
      </c>
      <c r="F22" s="532">
        <f>'0664'!F22:G22</f>
        <v>5.4009999999999998</v>
      </c>
      <c r="G22" s="532"/>
      <c r="H22" s="83">
        <f t="shared" si="4"/>
        <v>0</v>
      </c>
      <c r="I22" s="104">
        <f t="shared" si="0"/>
        <v>0</v>
      </c>
      <c r="N22" s="479" t="s">
        <v>111</v>
      </c>
      <c r="O22" s="479"/>
      <c r="P22" s="513">
        <f t="shared" si="1"/>
        <v>0</v>
      </c>
      <c r="Q22" s="513"/>
      <c r="R22" s="517">
        <v>1</v>
      </c>
      <c r="S22" s="517"/>
      <c r="T22" s="98">
        <f t="shared" si="5"/>
        <v>0</v>
      </c>
      <c r="U22" s="99">
        <f t="shared" si="2"/>
        <v>0</v>
      </c>
    </row>
    <row r="23" spans="1:21" x14ac:dyDescent="0.25">
      <c r="A23" s="453" t="s">
        <v>112</v>
      </c>
      <c r="B23" s="453"/>
      <c r="C23" s="165">
        <v>0</v>
      </c>
      <c r="D23" s="165">
        <v>0</v>
      </c>
      <c r="E23" s="125">
        <f t="shared" si="3"/>
        <v>0</v>
      </c>
      <c r="F23" s="532">
        <f>'0664'!F23:G23</f>
        <v>5.4009999999999998</v>
      </c>
      <c r="G23" s="532"/>
      <c r="H23" s="83">
        <f t="shared" si="4"/>
        <v>0</v>
      </c>
      <c r="I23" s="104">
        <f t="shared" si="0"/>
        <v>0</v>
      </c>
      <c r="N23" s="479" t="s">
        <v>112</v>
      </c>
      <c r="O23" s="479"/>
      <c r="P23" s="513">
        <f t="shared" si="1"/>
        <v>0</v>
      </c>
      <c r="Q23" s="513"/>
      <c r="R23" s="517">
        <v>1</v>
      </c>
      <c r="S23" s="517"/>
      <c r="T23" s="98">
        <f t="shared" si="5"/>
        <v>0</v>
      </c>
      <c r="U23" s="99">
        <f t="shared" si="2"/>
        <v>0</v>
      </c>
    </row>
    <row r="24" spans="1:21" x14ac:dyDescent="0.25">
      <c r="A24" s="453" t="s">
        <v>113</v>
      </c>
      <c r="B24" s="453"/>
      <c r="C24" s="165">
        <v>0</v>
      </c>
      <c r="D24" s="165">
        <v>0</v>
      </c>
      <c r="E24" s="125">
        <f t="shared" si="3"/>
        <v>0</v>
      </c>
      <c r="F24" s="532">
        <f>'0664'!F24:G24</f>
        <v>5.4009999999999998</v>
      </c>
      <c r="G24" s="532"/>
      <c r="H24" s="83">
        <f t="shared" si="4"/>
        <v>0</v>
      </c>
      <c r="I24" s="104">
        <f t="shared" si="0"/>
        <v>0</v>
      </c>
      <c r="N24" s="479" t="s">
        <v>113</v>
      </c>
      <c r="O24" s="479"/>
      <c r="P24" s="513">
        <f t="shared" si="1"/>
        <v>0</v>
      </c>
      <c r="Q24" s="513"/>
      <c r="R24" s="517">
        <v>1</v>
      </c>
      <c r="S24" s="517"/>
      <c r="T24" s="98">
        <f t="shared" si="5"/>
        <v>0</v>
      </c>
      <c r="U24" s="99">
        <f t="shared" si="2"/>
        <v>0</v>
      </c>
    </row>
    <row r="25" spans="1:21" x14ac:dyDescent="0.25">
      <c r="A25" s="453" t="s">
        <v>114</v>
      </c>
      <c r="B25" s="453"/>
      <c r="C25" s="165">
        <v>4.8899999999999997</v>
      </c>
      <c r="D25" s="165">
        <v>5.49</v>
      </c>
      <c r="E25" s="125">
        <f t="shared" si="3"/>
        <v>10.379999999999999</v>
      </c>
      <c r="F25" s="532">
        <f>'0664'!F25:G25</f>
        <v>1.206</v>
      </c>
      <c r="G25" s="532"/>
      <c r="H25" s="83">
        <f t="shared" si="4"/>
        <v>12.5183</v>
      </c>
      <c r="I25" s="104">
        <f t="shared" si="0"/>
        <v>59941.73</v>
      </c>
      <c r="N25" s="479" t="s">
        <v>114</v>
      </c>
      <c r="O25" s="479"/>
      <c r="P25" s="513">
        <f t="shared" si="1"/>
        <v>0</v>
      </c>
      <c r="Q25" s="513"/>
      <c r="R25" s="517">
        <v>1</v>
      </c>
      <c r="S25" s="517"/>
      <c r="T25" s="98">
        <f t="shared" si="5"/>
        <v>0</v>
      </c>
      <c r="U25" s="99">
        <f t="shared" si="2"/>
        <v>0</v>
      </c>
    </row>
    <row r="26" spans="1:21" x14ac:dyDescent="0.25">
      <c r="A26" s="453" t="s">
        <v>115</v>
      </c>
      <c r="B26" s="453"/>
      <c r="C26" s="165">
        <v>1.33</v>
      </c>
      <c r="D26" s="165">
        <v>1.55</v>
      </c>
      <c r="E26" s="125">
        <f t="shared" si="3"/>
        <v>2.88</v>
      </c>
      <c r="F26" s="532">
        <f>'0664'!F26:G26</f>
        <v>1.206</v>
      </c>
      <c r="G26" s="532"/>
      <c r="H26" s="83">
        <f t="shared" si="4"/>
        <v>3.4733000000000001</v>
      </c>
      <c r="I26" s="104">
        <f t="shared" si="0"/>
        <v>16631.3</v>
      </c>
      <c r="N26" s="479" t="s">
        <v>115</v>
      </c>
      <c r="O26" s="479"/>
      <c r="P26" s="513">
        <f t="shared" si="1"/>
        <v>0</v>
      </c>
      <c r="Q26" s="513"/>
      <c r="R26" s="517">
        <v>1</v>
      </c>
      <c r="S26" s="517"/>
      <c r="T26" s="98">
        <f t="shared" si="5"/>
        <v>0</v>
      </c>
      <c r="U26" s="99">
        <f t="shared" si="2"/>
        <v>0</v>
      </c>
    </row>
    <row r="27" spans="1:21" x14ac:dyDescent="0.25">
      <c r="A27" s="453" t="s">
        <v>116</v>
      </c>
      <c r="B27" s="453"/>
      <c r="C27" s="165">
        <v>0</v>
      </c>
      <c r="D27" s="165">
        <v>0</v>
      </c>
      <c r="E27" s="125">
        <f t="shared" si="3"/>
        <v>0</v>
      </c>
      <c r="F27" s="532">
        <f>'0664'!F27:G27</f>
        <v>1.206</v>
      </c>
      <c r="G27" s="532"/>
      <c r="H27" s="83">
        <f t="shared" si="4"/>
        <v>0</v>
      </c>
      <c r="I27" s="104">
        <f t="shared" si="0"/>
        <v>0</v>
      </c>
      <c r="N27" s="479" t="s">
        <v>116</v>
      </c>
      <c r="O27" s="479"/>
      <c r="P27" s="513">
        <f t="shared" si="1"/>
        <v>0</v>
      </c>
      <c r="Q27" s="513"/>
      <c r="R27" s="517">
        <v>1</v>
      </c>
      <c r="S27" s="517"/>
      <c r="T27" s="98">
        <f t="shared" si="5"/>
        <v>0</v>
      </c>
      <c r="U27" s="99">
        <f t="shared" si="2"/>
        <v>0</v>
      </c>
    </row>
    <row r="28" spans="1:21" x14ac:dyDescent="0.25">
      <c r="A28" s="453" t="s">
        <v>117</v>
      </c>
      <c r="B28" s="453"/>
      <c r="C28" s="116">
        <v>0</v>
      </c>
      <c r="D28" s="116">
        <v>0</v>
      </c>
      <c r="E28" s="177">
        <f t="shared" si="3"/>
        <v>0</v>
      </c>
      <c r="F28" s="532">
        <f>'0664'!F28:G28</f>
        <v>0.999</v>
      </c>
      <c r="G28" s="532"/>
      <c r="H28" s="96">
        <f t="shared" si="4"/>
        <v>0</v>
      </c>
      <c r="I28" s="97">
        <f t="shared" si="0"/>
        <v>0</v>
      </c>
      <c r="N28" s="482" t="s">
        <v>117</v>
      </c>
      <c r="O28" s="482"/>
      <c r="P28" s="513">
        <f t="shared" si="1"/>
        <v>0</v>
      </c>
      <c r="Q28" s="513"/>
      <c r="R28" s="514">
        <v>1</v>
      </c>
      <c r="S28" s="514"/>
      <c r="T28" s="98">
        <f t="shared" si="5"/>
        <v>0</v>
      </c>
      <c r="U28" s="99">
        <f t="shared" si="2"/>
        <v>0</v>
      </c>
    </row>
    <row r="29" spans="1:21" x14ac:dyDescent="0.25">
      <c r="A29" s="461" t="s">
        <v>5</v>
      </c>
      <c r="B29" s="461"/>
      <c r="C29" s="97">
        <f>SUM(C13:C28)</f>
        <v>83.44</v>
      </c>
      <c r="D29" s="97">
        <f>SUM(D13:D28)</f>
        <v>86.16</v>
      </c>
      <c r="E29" s="97">
        <f>SUM(E13:E28)</f>
        <v>169.6</v>
      </c>
      <c r="F29" s="457"/>
      <c r="G29" s="457"/>
      <c r="H29" s="102">
        <f>SUM(H13:H28)</f>
        <v>181.8723</v>
      </c>
      <c r="I29" s="97">
        <f>SUM(I13:I28)</f>
        <v>870864.24999999988</v>
      </c>
      <c r="N29" s="515" t="s">
        <v>5</v>
      </c>
      <c r="O29" s="515"/>
      <c r="P29" s="516">
        <f>SUM(P13:P28)</f>
        <v>0</v>
      </c>
      <c r="Q29" s="516"/>
      <c r="R29" s="508"/>
      <c r="S29" s="508"/>
      <c r="T29" s="103">
        <f>SUM(T13:T28)</f>
        <v>0</v>
      </c>
      <c r="U29" s="99">
        <f>SUM(U13:U28)</f>
        <v>0</v>
      </c>
    </row>
    <row r="30" spans="1:21" x14ac:dyDescent="0.25">
      <c r="A30" s="27"/>
      <c r="B30" s="27"/>
      <c r="C30" s="104"/>
      <c r="D30" s="104"/>
      <c r="E30" s="104"/>
      <c r="F30" s="28"/>
      <c r="G30" s="28"/>
      <c r="H30" s="83"/>
      <c r="I30" s="104"/>
      <c r="N30" s="29"/>
      <c r="O30" s="29"/>
      <c r="P30" s="30"/>
      <c r="Q30" s="30"/>
      <c r="R30" s="31"/>
      <c r="S30" s="31"/>
      <c r="T30" s="105"/>
      <c r="U30" s="106"/>
    </row>
    <row r="31" spans="1:21" x14ac:dyDescent="0.25">
      <c r="A31" s="168" t="s">
        <v>97</v>
      </c>
      <c r="B31" s="27"/>
      <c r="C31" s="104"/>
      <c r="D31" s="104"/>
      <c r="E31" s="104"/>
      <c r="F31" s="28"/>
      <c r="G31" s="28"/>
      <c r="H31" s="83"/>
      <c r="I31" s="104"/>
      <c r="N31" s="29"/>
      <c r="O31" s="29"/>
      <c r="P31" s="30"/>
      <c r="Q31" s="30"/>
      <c r="R31" s="31"/>
      <c r="S31" s="31"/>
      <c r="T31" s="105"/>
      <c r="U31" s="106"/>
    </row>
    <row r="32" spans="1:21" hidden="1" x14ac:dyDescent="0.25">
      <c r="A32" s="168"/>
      <c r="B32" s="27"/>
      <c r="C32" s="104"/>
      <c r="D32" s="104"/>
      <c r="E32" s="104"/>
      <c r="F32" s="28"/>
      <c r="G32" s="28"/>
      <c r="H32" s="83"/>
      <c r="I32" s="104"/>
      <c r="N32" s="29"/>
      <c r="O32" s="29"/>
      <c r="P32" s="30"/>
      <c r="Q32" s="30"/>
      <c r="R32" s="31"/>
      <c r="S32" s="31"/>
      <c r="T32" s="105"/>
      <c r="U32" s="106"/>
    </row>
    <row r="33" spans="1:21" hidden="1" x14ac:dyDescent="0.25">
      <c r="A33" s="168"/>
      <c r="B33" s="27"/>
      <c r="C33" s="104"/>
      <c r="D33" s="104"/>
      <c r="E33" s="104"/>
      <c r="F33" s="541" t="s">
        <v>282</v>
      </c>
      <c r="G33" s="541"/>
      <c r="H33" s="541"/>
      <c r="I33" s="104"/>
      <c r="N33" s="29"/>
      <c r="O33" s="29"/>
      <c r="P33" s="30"/>
      <c r="Q33" s="30"/>
      <c r="R33" s="31"/>
      <c r="S33" s="31"/>
      <c r="T33" s="105"/>
      <c r="U33" s="106"/>
    </row>
    <row r="34" spans="1:21" hidden="1" x14ac:dyDescent="0.25">
      <c r="A34" s="3"/>
      <c r="B34" s="72"/>
      <c r="C34" s="72"/>
      <c r="D34" s="72"/>
      <c r="E34" s="72"/>
      <c r="F34" s="541"/>
      <c r="G34" s="541"/>
      <c r="H34" s="541"/>
      <c r="I34" s="25" t="s">
        <v>74</v>
      </c>
      <c r="N34" s="485" t="s">
        <v>35</v>
      </c>
      <c r="O34" s="485"/>
      <c r="P34" s="485"/>
      <c r="Q34" s="485"/>
      <c r="R34" s="485"/>
      <c r="S34" s="485"/>
      <c r="T34" s="485"/>
      <c r="U34" s="26" t="s">
        <v>74</v>
      </c>
    </row>
    <row r="35" spans="1:21" hidden="1" x14ac:dyDescent="0.25">
      <c r="A35" s="27"/>
      <c r="B35" s="27"/>
      <c r="C35" s="91" t="s">
        <v>124</v>
      </c>
      <c r="D35" s="91" t="s">
        <v>125</v>
      </c>
      <c r="E35" s="92" t="s">
        <v>8</v>
      </c>
      <c r="F35" s="541"/>
      <c r="G35" s="541"/>
      <c r="H35" s="541"/>
      <c r="I35" s="25" t="s">
        <v>36</v>
      </c>
      <c r="N35" s="29"/>
      <c r="O35" s="29"/>
      <c r="P35" s="30"/>
      <c r="Q35" s="30"/>
      <c r="R35" s="31"/>
      <c r="S35" s="31"/>
      <c r="T35" s="105"/>
      <c r="U35" s="26" t="s">
        <v>36</v>
      </c>
    </row>
    <row r="36" spans="1:21" hidden="1" x14ac:dyDescent="0.25">
      <c r="A36" s="447" t="s">
        <v>63</v>
      </c>
      <c r="B36" s="447"/>
      <c r="C36" s="93" t="s">
        <v>2</v>
      </c>
      <c r="D36" s="93" t="s">
        <v>2</v>
      </c>
      <c r="E36" s="93" t="s">
        <v>2</v>
      </c>
      <c r="F36" s="542"/>
      <c r="G36" s="542"/>
      <c r="H36" s="542"/>
      <c r="I36" s="32" t="s">
        <v>75</v>
      </c>
      <c r="N36" s="510" t="s">
        <v>63</v>
      </c>
      <c r="O36" s="510"/>
      <c r="P36" s="511" t="s">
        <v>24</v>
      </c>
      <c r="Q36" s="511"/>
      <c r="R36" s="511"/>
      <c r="S36" s="511"/>
      <c r="T36" s="511"/>
      <c r="U36" s="20" t="s">
        <v>75</v>
      </c>
    </row>
    <row r="37" spans="1:21" hidden="1" x14ac:dyDescent="0.25">
      <c r="A37" s="451" t="s">
        <v>56</v>
      </c>
      <c r="B37" s="451"/>
      <c r="C37" s="169">
        <v>0</v>
      </c>
      <c r="D37" s="169">
        <v>0</v>
      </c>
      <c r="E37" s="164">
        <f t="shared" ref="E37:E42" si="6">IF(D$43=0,C37*2,C37+D37)</f>
        <v>0</v>
      </c>
      <c r="F37" s="170"/>
      <c r="G37" s="170"/>
      <c r="H37" s="170"/>
      <c r="I37" s="119">
        <f t="shared" ref="I37:I42" si="7">ROUND(ROUND(E37*$C$8,4)*($H$8),2)</f>
        <v>0</v>
      </c>
      <c r="N37" s="512" t="s">
        <v>56</v>
      </c>
      <c r="O37" s="512"/>
      <c r="P37" s="483">
        <f t="shared" ref="P37:P42" si="8">IF($H$120=1,E37,0)</f>
        <v>0</v>
      </c>
      <c r="Q37" s="483"/>
      <c r="R37" s="483"/>
      <c r="S37" s="483"/>
      <c r="T37" s="483"/>
      <c r="U37" s="101">
        <f t="shared" ref="U37:U42" si="9">ROUND(ROUND(P37*$C$8,4)*($H$8),0)</f>
        <v>0</v>
      </c>
    </row>
    <row r="38" spans="1:21" hidden="1" x14ac:dyDescent="0.25">
      <c r="A38" s="453" t="s">
        <v>57</v>
      </c>
      <c r="B38" s="453"/>
      <c r="C38" s="172">
        <v>0</v>
      </c>
      <c r="D38" s="172">
        <v>0</v>
      </c>
      <c r="E38" s="166">
        <f t="shared" si="6"/>
        <v>0</v>
      </c>
      <c r="F38" s="173"/>
      <c r="G38" s="173"/>
      <c r="H38" s="173"/>
      <c r="I38" s="104">
        <f t="shared" si="7"/>
        <v>0</v>
      </c>
      <c r="N38" s="479" t="s">
        <v>57</v>
      </c>
      <c r="O38" s="479"/>
      <c r="P38" s="483">
        <f t="shared" si="8"/>
        <v>0</v>
      </c>
      <c r="Q38" s="483"/>
      <c r="R38" s="483"/>
      <c r="S38" s="483"/>
      <c r="T38" s="483"/>
      <c r="U38" s="101">
        <f t="shared" si="9"/>
        <v>0</v>
      </c>
    </row>
    <row r="39" spans="1:21" hidden="1" x14ac:dyDescent="0.25">
      <c r="A39" s="458" t="s">
        <v>58</v>
      </c>
      <c r="B39" s="458"/>
      <c r="C39" s="172">
        <v>0</v>
      </c>
      <c r="D39" s="172">
        <v>0</v>
      </c>
      <c r="E39" s="166">
        <f t="shared" si="6"/>
        <v>0</v>
      </c>
      <c r="F39" s="173"/>
      <c r="G39" s="173"/>
      <c r="H39" s="173"/>
      <c r="I39" s="104">
        <f t="shared" si="7"/>
        <v>0</v>
      </c>
      <c r="N39" s="509" t="s">
        <v>58</v>
      </c>
      <c r="O39" s="509"/>
      <c r="P39" s="483">
        <f t="shared" si="8"/>
        <v>0</v>
      </c>
      <c r="Q39" s="483"/>
      <c r="R39" s="483"/>
      <c r="S39" s="483"/>
      <c r="T39" s="483"/>
      <c r="U39" s="101">
        <f t="shared" si="9"/>
        <v>0</v>
      </c>
    </row>
    <row r="40" spans="1:21" hidden="1" x14ac:dyDescent="0.25">
      <c r="A40" s="453" t="s">
        <v>59</v>
      </c>
      <c r="B40" s="453"/>
      <c r="C40" s="172">
        <v>0</v>
      </c>
      <c r="D40" s="172">
        <v>0</v>
      </c>
      <c r="E40" s="166">
        <f t="shared" si="6"/>
        <v>0</v>
      </c>
      <c r="F40" s="173"/>
      <c r="G40" s="173"/>
      <c r="H40" s="173"/>
      <c r="I40" s="104">
        <f t="shared" si="7"/>
        <v>0</v>
      </c>
      <c r="N40" s="479" t="s">
        <v>59</v>
      </c>
      <c r="O40" s="479"/>
      <c r="P40" s="483">
        <f t="shared" si="8"/>
        <v>0</v>
      </c>
      <c r="Q40" s="483"/>
      <c r="R40" s="483"/>
      <c r="S40" s="483"/>
      <c r="T40" s="483"/>
      <c r="U40" s="101">
        <f t="shared" si="9"/>
        <v>0</v>
      </c>
    </row>
    <row r="41" spans="1:21" hidden="1" x14ac:dyDescent="0.25">
      <c r="A41" s="453" t="s">
        <v>60</v>
      </c>
      <c r="B41" s="453"/>
      <c r="C41" s="172">
        <v>0</v>
      </c>
      <c r="D41" s="172">
        <v>0</v>
      </c>
      <c r="E41" s="166">
        <f t="shared" si="6"/>
        <v>0</v>
      </c>
      <c r="F41" s="173"/>
      <c r="G41" s="173"/>
      <c r="H41" s="173"/>
      <c r="I41" s="104">
        <f t="shared" si="7"/>
        <v>0</v>
      </c>
      <c r="N41" s="479" t="s">
        <v>60</v>
      </c>
      <c r="O41" s="479"/>
      <c r="P41" s="483">
        <f t="shared" si="8"/>
        <v>0</v>
      </c>
      <c r="Q41" s="483"/>
      <c r="R41" s="483"/>
      <c r="S41" s="483"/>
      <c r="T41" s="483"/>
      <c r="U41" s="101">
        <f t="shared" si="9"/>
        <v>0</v>
      </c>
    </row>
    <row r="42" spans="1:21" hidden="1" x14ac:dyDescent="0.25">
      <c r="A42" s="453" t="s">
        <v>52</v>
      </c>
      <c r="B42" s="453"/>
      <c r="C42" s="171">
        <v>0</v>
      </c>
      <c r="D42" s="171">
        <v>0</v>
      </c>
      <c r="E42" s="158">
        <f t="shared" si="6"/>
        <v>0</v>
      </c>
      <c r="F42" s="173"/>
      <c r="G42" s="173"/>
      <c r="H42" s="173"/>
      <c r="I42" s="97">
        <f t="shared" si="7"/>
        <v>0</v>
      </c>
      <c r="N42" s="482" t="s">
        <v>52</v>
      </c>
      <c r="O42" s="482"/>
      <c r="P42" s="483">
        <f t="shared" si="8"/>
        <v>0</v>
      </c>
      <c r="Q42" s="483"/>
      <c r="R42" s="483"/>
      <c r="S42" s="483"/>
      <c r="T42" s="483"/>
      <c r="U42" s="101">
        <f t="shared" si="9"/>
        <v>0</v>
      </c>
    </row>
    <row r="43" spans="1:21" hidden="1" x14ac:dyDescent="0.25">
      <c r="A43" s="3"/>
      <c r="B43" s="55" t="s">
        <v>126</v>
      </c>
      <c r="C43" s="100">
        <f>SUM(C37:C42)</f>
        <v>0</v>
      </c>
      <c r="D43" s="100">
        <f>SUM(D37:D42)</f>
        <v>0</v>
      </c>
      <c r="E43" s="100">
        <f>SUM(E37:E42)</f>
        <v>0</v>
      </c>
      <c r="F43" s="33"/>
      <c r="G43" s="109"/>
      <c r="H43" s="110" t="s">
        <v>128</v>
      </c>
      <c r="I43" s="100">
        <f>SUM(I37:I42)</f>
        <v>0</v>
      </c>
      <c r="N43" s="480" t="s">
        <v>54</v>
      </c>
      <c r="O43" s="480"/>
      <c r="P43" s="480"/>
      <c r="Q43" s="480"/>
      <c r="R43" s="34">
        <f>SUM(P37:R42)</f>
        <v>0</v>
      </c>
      <c r="S43" s="508" t="s">
        <v>64</v>
      </c>
      <c r="T43" s="508"/>
      <c r="U43" s="106">
        <f>SUM(U37:U42)</f>
        <v>0</v>
      </c>
    </row>
    <row r="44" spans="1:21" hidden="1" x14ac:dyDescent="0.25">
      <c r="A44" s="3"/>
      <c r="B44" s="55"/>
      <c r="C44" s="104"/>
      <c r="D44" s="104"/>
      <c r="E44" s="119"/>
      <c r="F44" s="33"/>
      <c r="G44" s="109"/>
      <c r="H44" s="110"/>
      <c r="I44" s="104"/>
      <c r="N44" s="29"/>
      <c r="O44" s="29"/>
      <c r="P44" s="29"/>
      <c r="Q44" s="29"/>
      <c r="R44" s="34"/>
      <c r="S44" s="31"/>
      <c r="T44" s="31"/>
      <c r="U44" s="106"/>
    </row>
    <row r="45" spans="1:21" ht="16.5" hidden="1" thickBot="1" x14ac:dyDescent="0.3">
      <c r="A45" s="3"/>
      <c r="B45" s="55" t="s">
        <v>127</v>
      </c>
      <c r="E45" s="174">
        <f>H29+E43</f>
        <v>181.8723</v>
      </c>
      <c r="F45" s="35"/>
      <c r="G45" s="109"/>
      <c r="H45" s="110" t="s">
        <v>129</v>
      </c>
      <c r="I45" s="97">
        <f>SUM(I43,I29)</f>
        <v>870864.24999999988</v>
      </c>
      <c r="N45" s="480" t="s">
        <v>55</v>
      </c>
      <c r="O45" s="480"/>
      <c r="P45" s="480"/>
      <c r="Q45" s="480"/>
      <c r="R45" s="36">
        <f>R43+T29</f>
        <v>0</v>
      </c>
      <c r="S45" s="508" t="s">
        <v>53</v>
      </c>
      <c r="T45" s="508"/>
      <c r="U45" s="111">
        <f>SUM(U43,U29)</f>
        <v>0</v>
      </c>
    </row>
    <row r="46" spans="1:21" hidden="1" x14ac:dyDescent="0.25">
      <c r="A46" s="27"/>
      <c r="B46" s="27"/>
      <c r="C46" s="27"/>
      <c r="D46" s="27"/>
      <c r="E46" s="27"/>
      <c r="F46" s="35"/>
      <c r="G46" s="28"/>
      <c r="H46" s="28"/>
      <c r="I46" s="104"/>
      <c r="N46" s="29"/>
      <c r="O46" s="29"/>
      <c r="P46" s="29"/>
      <c r="Q46" s="29"/>
      <c r="R46" s="36"/>
      <c r="S46" s="31"/>
      <c r="T46" s="31"/>
      <c r="U46" s="106"/>
    </row>
    <row r="47" spans="1:21" x14ac:dyDescent="0.25">
      <c r="A47" s="27"/>
      <c r="B47" s="55" t="s">
        <v>370</v>
      </c>
      <c r="C47" s="372" t="s">
        <v>370</v>
      </c>
      <c r="D47" s="372" t="s">
        <v>370</v>
      </c>
      <c r="E47" s="27"/>
      <c r="F47" s="35"/>
      <c r="G47" s="28"/>
      <c r="H47" s="28"/>
      <c r="I47" s="104"/>
      <c r="N47" s="29"/>
      <c r="O47" s="29"/>
      <c r="P47" s="29"/>
      <c r="Q47" s="29"/>
      <c r="R47" s="36"/>
      <c r="S47" s="31"/>
      <c r="T47" s="31"/>
      <c r="U47" s="106"/>
    </row>
    <row r="48" spans="1:21" x14ac:dyDescent="0.25">
      <c r="A48" s="27"/>
      <c r="B48" s="27"/>
      <c r="C48" s="91" t="s">
        <v>463</v>
      </c>
      <c r="D48" s="371" t="s">
        <v>464</v>
      </c>
      <c r="E48" s="92" t="s">
        <v>8</v>
      </c>
      <c r="F48" s="49" t="s">
        <v>130</v>
      </c>
      <c r="G48" s="112" t="s">
        <v>132</v>
      </c>
      <c r="H48" s="113" t="s">
        <v>133</v>
      </c>
      <c r="I48" s="104"/>
      <c r="N48" s="29"/>
      <c r="O48" s="29"/>
      <c r="P48" s="29"/>
      <c r="Q48" s="29"/>
      <c r="R48" s="36"/>
      <c r="S48" s="31"/>
      <c r="T48" s="31"/>
      <c r="U48" s="106"/>
    </row>
    <row r="49" spans="1:21" x14ac:dyDescent="0.25">
      <c r="A49" s="37" t="s">
        <v>87</v>
      </c>
      <c r="B49" s="37"/>
      <c r="C49" s="364" t="s">
        <v>2</v>
      </c>
      <c r="D49" s="362" t="s">
        <v>2</v>
      </c>
      <c r="E49" s="362" t="s">
        <v>2</v>
      </c>
      <c r="F49" s="95" t="s">
        <v>131</v>
      </c>
      <c r="G49" s="62" t="s">
        <v>131</v>
      </c>
      <c r="H49" s="114" t="s">
        <v>134</v>
      </c>
      <c r="I49" s="37"/>
      <c r="N49" s="482" t="s">
        <v>87</v>
      </c>
      <c r="O49" s="482"/>
      <c r="P49" s="503" t="s">
        <v>2</v>
      </c>
      <c r="Q49" s="503"/>
      <c r="R49" s="38" t="s">
        <v>25</v>
      </c>
      <c r="S49" s="63" t="s">
        <v>26</v>
      </c>
      <c r="T49" s="115" t="s">
        <v>27</v>
      </c>
      <c r="U49" s="38"/>
    </row>
    <row r="50" spans="1:21" x14ac:dyDescent="0.25">
      <c r="A50" s="459" t="s">
        <v>98</v>
      </c>
      <c r="B50" s="459"/>
      <c r="C50" s="165">
        <v>3.5</v>
      </c>
      <c r="D50" s="165">
        <v>4.07</v>
      </c>
      <c r="E50" s="125">
        <f>IF(D$59=0,C50*2,C50+D50)</f>
        <v>7.57</v>
      </c>
      <c r="F50" s="39" t="s">
        <v>21</v>
      </c>
      <c r="G50" s="39">
        <v>251</v>
      </c>
      <c r="H50" s="321">
        <f>'0664'!H50</f>
        <v>1047</v>
      </c>
      <c r="I50" s="104">
        <f>ROUND(E50*H50,2)</f>
        <v>7925.79</v>
      </c>
      <c r="N50" s="504" t="s">
        <v>28</v>
      </c>
      <c r="O50" s="504"/>
      <c r="P50" s="505"/>
      <c r="Q50" s="505"/>
      <c r="R50" s="40" t="s">
        <v>21</v>
      </c>
      <c r="S50" s="40">
        <v>251</v>
      </c>
      <c r="T50" s="117">
        <f>H50</f>
        <v>1047</v>
      </c>
      <c r="U50" s="118">
        <f>ROUND(P50*T50,0)</f>
        <v>0</v>
      </c>
    </row>
    <row r="51" spans="1:21" x14ac:dyDescent="0.25">
      <c r="A51" s="460"/>
      <c r="B51" s="460"/>
      <c r="C51" s="165">
        <v>0</v>
      </c>
      <c r="D51" s="165">
        <v>0</v>
      </c>
      <c r="E51" s="125">
        <f t="shared" ref="E51:E58" si="10">IF(D$59=0,C51*2,C51+D51)</f>
        <v>0</v>
      </c>
      <c r="F51" s="39" t="s">
        <v>21</v>
      </c>
      <c r="G51" s="39">
        <v>252</v>
      </c>
      <c r="H51" s="321">
        <f>'0664'!H51</f>
        <v>3380</v>
      </c>
      <c r="I51" s="104">
        <f t="shared" ref="I51:I58" si="11">ROUND(E51*H51,2)</f>
        <v>0</v>
      </c>
      <c r="N51" s="504"/>
      <c r="O51" s="504"/>
      <c r="P51" s="506"/>
      <c r="Q51" s="506"/>
      <c r="R51" s="40" t="s">
        <v>21</v>
      </c>
      <c r="S51" s="40">
        <v>252</v>
      </c>
      <c r="T51" s="117">
        <f t="shared" ref="T51:T58" si="12">H51</f>
        <v>3380</v>
      </c>
      <c r="U51" s="118">
        <f t="shared" ref="U51:U58" si="13">ROUND(P51*T51,0)</f>
        <v>0</v>
      </c>
    </row>
    <row r="52" spans="1:21" x14ac:dyDescent="0.25">
      <c r="A52" s="460"/>
      <c r="B52" s="460"/>
      <c r="C52" s="165">
        <v>0.5</v>
      </c>
      <c r="D52" s="165">
        <v>0.57999999999999996</v>
      </c>
      <c r="E52" s="125">
        <f t="shared" si="10"/>
        <v>1.08</v>
      </c>
      <c r="F52" s="39" t="s">
        <v>21</v>
      </c>
      <c r="G52" s="39">
        <v>253</v>
      </c>
      <c r="H52" s="321">
        <f>'0664'!H52</f>
        <v>6896</v>
      </c>
      <c r="I52" s="104">
        <f t="shared" si="11"/>
        <v>7447.68</v>
      </c>
      <c r="N52" s="504"/>
      <c r="O52" s="504"/>
      <c r="P52" s="506"/>
      <c r="Q52" s="506"/>
      <c r="R52" s="40" t="s">
        <v>21</v>
      </c>
      <c r="S52" s="40">
        <v>253</v>
      </c>
      <c r="T52" s="117">
        <f t="shared" si="12"/>
        <v>6896</v>
      </c>
      <c r="U52" s="118">
        <f t="shared" si="13"/>
        <v>0</v>
      </c>
    </row>
    <row r="53" spans="1:21" x14ac:dyDescent="0.25">
      <c r="A53" s="460"/>
      <c r="B53" s="460"/>
      <c r="C53" s="165">
        <v>4.5</v>
      </c>
      <c r="D53" s="165">
        <v>4.1500000000000004</v>
      </c>
      <c r="E53" s="125">
        <f t="shared" si="10"/>
        <v>8.65</v>
      </c>
      <c r="F53" s="41" t="s">
        <v>14</v>
      </c>
      <c r="G53" s="39">
        <v>251</v>
      </c>
      <c r="H53" s="321">
        <f>'0664'!H53</f>
        <v>1173</v>
      </c>
      <c r="I53" s="104">
        <f t="shared" si="11"/>
        <v>10146.450000000001</v>
      </c>
      <c r="N53" s="504"/>
      <c r="O53" s="504"/>
      <c r="P53" s="506"/>
      <c r="Q53" s="506"/>
      <c r="R53" s="42" t="s">
        <v>14</v>
      </c>
      <c r="S53" s="40">
        <v>251</v>
      </c>
      <c r="T53" s="117">
        <f t="shared" si="12"/>
        <v>1173</v>
      </c>
      <c r="U53" s="118">
        <f t="shared" si="13"/>
        <v>0</v>
      </c>
    </row>
    <row r="54" spans="1:21" x14ac:dyDescent="0.25">
      <c r="A54" s="460"/>
      <c r="B54" s="460"/>
      <c r="C54" s="165">
        <v>2</v>
      </c>
      <c r="D54" s="165">
        <v>1.85</v>
      </c>
      <c r="E54" s="125">
        <f t="shared" si="10"/>
        <v>3.85</v>
      </c>
      <c r="F54" s="41" t="s">
        <v>14</v>
      </c>
      <c r="G54" s="39">
        <v>252</v>
      </c>
      <c r="H54" s="321">
        <f>'0664'!H54</f>
        <v>3506</v>
      </c>
      <c r="I54" s="104">
        <f t="shared" si="11"/>
        <v>13498.1</v>
      </c>
      <c r="N54" s="504"/>
      <c r="O54" s="504"/>
      <c r="P54" s="506"/>
      <c r="Q54" s="506"/>
      <c r="R54" s="42" t="s">
        <v>14</v>
      </c>
      <c r="S54" s="40">
        <v>252</v>
      </c>
      <c r="T54" s="117">
        <f t="shared" si="12"/>
        <v>3506</v>
      </c>
      <c r="U54" s="118">
        <f t="shared" si="13"/>
        <v>0</v>
      </c>
    </row>
    <row r="55" spans="1:21" x14ac:dyDescent="0.25">
      <c r="A55" s="460"/>
      <c r="B55" s="460"/>
      <c r="C55" s="165">
        <v>0</v>
      </c>
      <c r="D55" s="165">
        <v>0</v>
      </c>
      <c r="E55" s="125">
        <f t="shared" si="10"/>
        <v>0</v>
      </c>
      <c r="F55" s="41" t="s">
        <v>14</v>
      </c>
      <c r="G55" s="39">
        <v>253</v>
      </c>
      <c r="H55" s="321">
        <f>'0664'!H55</f>
        <v>7023</v>
      </c>
      <c r="I55" s="104">
        <f t="shared" si="11"/>
        <v>0</v>
      </c>
      <c r="N55" s="504"/>
      <c r="O55" s="504"/>
      <c r="P55" s="506"/>
      <c r="Q55" s="506"/>
      <c r="R55" s="42" t="s">
        <v>14</v>
      </c>
      <c r="S55" s="40">
        <v>253</v>
      </c>
      <c r="T55" s="117">
        <f t="shared" si="12"/>
        <v>7023</v>
      </c>
      <c r="U55" s="118">
        <f t="shared" si="13"/>
        <v>0</v>
      </c>
    </row>
    <row r="56" spans="1:21" x14ac:dyDescent="0.25">
      <c r="A56" s="460"/>
      <c r="B56" s="460"/>
      <c r="C56" s="165">
        <v>0</v>
      </c>
      <c r="D56" s="165">
        <v>0</v>
      </c>
      <c r="E56" s="125">
        <f t="shared" si="10"/>
        <v>0</v>
      </c>
      <c r="F56" s="41" t="s">
        <v>15</v>
      </c>
      <c r="G56" s="39">
        <v>251</v>
      </c>
      <c r="H56" s="321">
        <f>'0664'!H56</f>
        <v>835</v>
      </c>
      <c r="I56" s="104">
        <f t="shared" si="11"/>
        <v>0</v>
      </c>
      <c r="N56" s="504"/>
      <c r="O56" s="504"/>
      <c r="P56" s="506"/>
      <c r="Q56" s="506"/>
      <c r="R56" s="42" t="s">
        <v>15</v>
      </c>
      <c r="S56" s="40">
        <v>251</v>
      </c>
      <c r="T56" s="117">
        <f t="shared" si="12"/>
        <v>835</v>
      </c>
      <c r="U56" s="118">
        <f t="shared" si="13"/>
        <v>0</v>
      </c>
    </row>
    <row r="57" spans="1:21" x14ac:dyDescent="0.25">
      <c r="A57" s="460"/>
      <c r="B57" s="460"/>
      <c r="C57" s="165">
        <v>0</v>
      </c>
      <c r="D57" s="165">
        <v>0</v>
      </c>
      <c r="E57" s="125">
        <f t="shared" si="10"/>
        <v>0</v>
      </c>
      <c r="F57" s="41" t="s">
        <v>15</v>
      </c>
      <c r="G57" s="39">
        <v>252</v>
      </c>
      <c r="H57" s="321">
        <f>'0664'!H57</f>
        <v>3168</v>
      </c>
      <c r="I57" s="104">
        <f t="shared" si="11"/>
        <v>0</v>
      </c>
      <c r="N57" s="504"/>
      <c r="O57" s="504"/>
      <c r="P57" s="506"/>
      <c r="Q57" s="506"/>
      <c r="R57" s="42" t="s">
        <v>15</v>
      </c>
      <c r="S57" s="40">
        <v>252</v>
      </c>
      <c r="T57" s="117">
        <f t="shared" si="12"/>
        <v>3168</v>
      </c>
      <c r="U57" s="118">
        <f t="shared" si="13"/>
        <v>0</v>
      </c>
    </row>
    <row r="58" spans="1:21" ht="16.5" thickBot="1" x14ac:dyDescent="0.3">
      <c r="A58" s="460"/>
      <c r="B58" s="460"/>
      <c r="C58" s="165">
        <v>0</v>
      </c>
      <c r="D58" s="165">
        <v>0</v>
      </c>
      <c r="E58" s="125">
        <f t="shared" si="10"/>
        <v>0</v>
      </c>
      <c r="F58" s="41" t="s">
        <v>15</v>
      </c>
      <c r="G58" s="39">
        <v>253</v>
      </c>
      <c r="H58" s="321">
        <f>'0664'!H58</f>
        <v>6685</v>
      </c>
      <c r="I58" s="104">
        <f t="shared" si="11"/>
        <v>0</v>
      </c>
      <c r="N58" s="504"/>
      <c r="O58" s="504"/>
      <c r="P58" s="507"/>
      <c r="Q58" s="507"/>
      <c r="R58" s="42" t="s">
        <v>15</v>
      </c>
      <c r="S58" s="40">
        <v>253</v>
      </c>
      <c r="T58" s="117">
        <f t="shared" si="12"/>
        <v>6685</v>
      </c>
      <c r="U58" s="120">
        <f t="shared" si="13"/>
        <v>0</v>
      </c>
    </row>
    <row r="59" spans="1:21" ht="16.5" thickBot="1" x14ac:dyDescent="0.3">
      <c r="A59" s="461" t="s">
        <v>16</v>
      </c>
      <c r="B59" s="461"/>
      <c r="C59" s="100">
        <f>SUM(C50:C58)</f>
        <v>10.5</v>
      </c>
      <c r="D59" s="100">
        <f>SUM(D50:D58)</f>
        <v>10.65</v>
      </c>
      <c r="E59" s="100">
        <f>SUM(E50:E58)</f>
        <v>21.150000000000002</v>
      </c>
      <c r="F59" s="461" t="s">
        <v>77</v>
      </c>
      <c r="G59" s="461"/>
      <c r="H59" s="461"/>
      <c r="I59" s="100">
        <f>SUM(I50:I58)</f>
        <v>39018.020000000004</v>
      </c>
      <c r="N59" s="480" t="s">
        <v>16</v>
      </c>
      <c r="O59" s="480"/>
      <c r="P59" s="502">
        <f>SUM(P50:P58)</f>
        <v>0</v>
      </c>
      <c r="Q59" s="502"/>
      <c r="R59" s="480" t="s">
        <v>77</v>
      </c>
      <c r="S59" s="480"/>
      <c r="T59" s="480"/>
      <c r="U59" s="111">
        <f>SUM(U50:U58)</f>
        <v>0</v>
      </c>
    </row>
    <row r="60" spans="1:21" x14ac:dyDescent="0.25">
      <c r="A60" s="462"/>
      <c r="B60" s="462"/>
      <c r="C60" s="462"/>
      <c r="D60" s="462"/>
      <c r="E60" s="462"/>
      <c r="F60" s="462"/>
      <c r="G60" s="462"/>
      <c r="H60" s="462"/>
      <c r="I60" s="462"/>
      <c r="N60" s="484"/>
      <c r="O60" s="484"/>
      <c r="P60" s="484"/>
      <c r="Q60" s="484"/>
      <c r="R60" s="484"/>
      <c r="S60" s="484"/>
      <c r="T60" s="484"/>
      <c r="U60" s="484"/>
    </row>
    <row r="61" spans="1:21" x14ac:dyDescent="0.25">
      <c r="A61" s="463" t="s">
        <v>136</v>
      </c>
      <c r="B61" s="453"/>
      <c r="C61" s="453"/>
      <c r="D61" s="453"/>
      <c r="E61" s="453"/>
      <c r="F61" s="453"/>
      <c r="G61" s="453"/>
      <c r="H61" s="453"/>
      <c r="I61" s="453"/>
      <c r="N61" s="479" t="s">
        <v>88</v>
      </c>
      <c r="O61" s="479"/>
      <c r="P61" s="479"/>
      <c r="Q61" s="479"/>
      <c r="R61" s="479"/>
      <c r="S61" s="479"/>
      <c r="T61" s="479"/>
      <c r="U61" s="479"/>
    </row>
    <row r="62" spans="1:21" x14ac:dyDescent="0.25">
      <c r="A62" s="463" t="s">
        <v>138</v>
      </c>
      <c r="B62" s="453"/>
      <c r="C62" s="121">
        <f>E29</f>
        <v>169.6</v>
      </c>
      <c r="D62" s="464" t="s">
        <v>135</v>
      </c>
      <c r="E62" s="464"/>
      <c r="F62" s="464"/>
      <c r="G62" s="464"/>
      <c r="H62" s="335">
        <f>'0664'!H62</f>
        <v>193340.76</v>
      </c>
      <c r="I62" s="122"/>
      <c r="N62" s="478" t="s">
        <v>312</v>
      </c>
      <c r="O62" s="479"/>
      <c r="P62" s="43">
        <f>P29</f>
        <v>0</v>
      </c>
      <c r="Q62" s="498" t="s">
        <v>78</v>
      </c>
      <c r="R62" s="498"/>
      <c r="S62" s="498"/>
      <c r="T62" s="497">
        <f>H62</f>
        <v>193340.76</v>
      </c>
      <c r="U62" s="497"/>
    </row>
    <row r="63" spans="1:21" x14ac:dyDescent="0.25">
      <c r="B63" s="72"/>
      <c r="G63" s="44" t="s">
        <v>13</v>
      </c>
      <c r="H63" s="123">
        <f>ROUND(C62/H62,6)</f>
        <v>8.7699999999999996E-4</v>
      </c>
      <c r="I63" s="124"/>
      <c r="N63" s="479" t="s">
        <v>19</v>
      </c>
      <c r="O63" s="479"/>
      <c r="P63" s="479"/>
      <c r="Q63" s="479"/>
      <c r="R63" s="479"/>
      <c r="S63" s="479"/>
      <c r="T63" s="501">
        <f>ROUND(P62/T62,6)</f>
        <v>0</v>
      </c>
      <c r="U63" s="501"/>
    </row>
    <row r="64" spans="1:21" x14ac:dyDescent="0.25">
      <c r="A64" s="463" t="s">
        <v>137</v>
      </c>
      <c r="B64" s="453"/>
      <c r="C64" s="453"/>
      <c r="D64" s="453"/>
      <c r="E64" s="453"/>
      <c r="F64" s="453"/>
      <c r="G64" s="453"/>
      <c r="H64" s="453"/>
      <c r="I64" s="453"/>
      <c r="N64" s="479" t="s">
        <v>89</v>
      </c>
      <c r="O64" s="479"/>
      <c r="P64" s="479"/>
      <c r="Q64" s="479"/>
      <c r="R64" s="479"/>
      <c r="S64" s="479"/>
      <c r="T64" s="479"/>
      <c r="U64" s="479"/>
    </row>
    <row r="65" spans="1:21" x14ac:dyDescent="0.25">
      <c r="A65" s="463" t="s">
        <v>139</v>
      </c>
      <c r="B65" s="453"/>
      <c r="C65" s="121">
        <f>E45</f>
        <v>181.8723</v>
      </c>
      <c r="D65" s="464" t="s">
        <v>140</v>
      </c>
      <c r="E65" s="464"/>
      <c r="F65" s="464"/>
      <c r="G65" s="464"/>
      <c r="H65" s="336">
        <f>'0664'!H65</f>
        <v>216845.88</v>
      </c>
      <c r="I65" s="125"/>
      <c r="N65" s="479" t="s">
        <v>80</v>
      </c>
      <c r="O65" s="479"/>
      <c r="P65" s="43">
        <f>R45</f>
        <v>0</v>
      </c>
      <c r="Q65" s="498" t="s">
        <v>79</v>
      </c>
      <c r="R65" s="498"/>
      <c r="S65" s="498"/>
      <c r="T65" s="497">
        <f>H65</f>
        <v>216845.88</v>
      </c>
      <c r="U65" s="497"/>
    </row>
    <row r="66" spans="1:21" s="37" customFormat="1" x14ac:dyDescent="0.25">
      <c r="A66" s="126"/>
      <c r="G66" s="45" t="s">
        <v>13</v>
      </c>
      <c r="H66" s="127">
        <f>ROUND(C65/H65,6)</f>
        <v>8.3900000000000001E-4</v>
      </c>
      <c r="I66" s="127"/>
      <c r="N66" s="482" t="s">
        <v>20</v>
      </c>
      <c r="O66" s="482"/>
      <c r="P66" s="482"/>
      <c r="Q66" s="482"/>
      <c r="R66" s="482"/>
      <c r="S66" s="482"/>
      <c r="T66" s="500">
        <f>ROUND(P65/T65,6)</f>
        <v>0</v>
      </c>
      <c r="U66" s="500"/>
    </row>
    <row r="67" spans="1:21" x14ac:dyDescent="0.25">
      <c r="G67" s="44"/>
      <c r="H67" s="123"/>
      <c r="I67" s="123"/>
      <c r="N67" s="48"/>
      <c r="O67" s="48"/>
      <c r="P67" s="48"/>
      <c r="Q67" s="48"/>
      <c r="R67" s="128"/>
      <c r="S67" s="48"/>
      <c r="T67" s="129"/>
      <c r="U67" s="130"/>
    </row>
    <row r="68" spans="1:21" x14ac:dyDescent="0.25">
      <c r="A68" s="453" t="s">
        <v>85</v>
      </c>
      <c r="B68" s="453"/>
      <c r="C68" s="453"/>
      <c r="D68" s="72"/>
      <c r="E68" s="46" t="s">
        <v>3</v>
      </c>
      <c r="F68" s="337">
        <f>'0664'!F68</f>
        <v>42465042</v>
      </c>
      <c r="G68" s="39" t="s">
        <v>6</v>
      </c>
      <c r="H68" s="131">
        <f>H63</f>
        <v>8.7699999999999996E-4</v>
      </c>
      <c r="I68" s="104">
        <f>ROUND(F68*H68,2)</f>
        <v>37241.839999999997</v>
      </c>
      <c r="N68" s="479" t="s">
        <v>85</v>
      </c>
      <c r="O68" s="479"/>
      <c r="P68" s="479"/>
      <c r="Q68" s="47"/>
      <c r="R68" s="132">
        <f>F68</f>
        <v>42465042</v>
      </c>
      <c r="S68" s="40" t="s">
        <v>6</v>
      </c>
      <c r="T68" s="133">
        <f>T63</f>
        <v>0</v>
      </c>
      <c r="U68" s="99">
        <f>ROUND(R68*T68,0)</f>
        <v>0</v>
      </c>
    </row>
    <row r="69" spans="1:21" x14ac:dyDescent="0.25">
      <c r="A69" s="458" t="s">
        <v>96</v>
      </c>
      <c r="B69" s="453"/>
      <c r="C69" s="453"/>
      <c r="D69" s="72"/>
      <c r="E69" s="46"/>
      <c r="F69" s="175"/>
      <c r="G69" s="39"/>
      <c r="H69" s="131"/>
      <c r="I69" s="104"/>
      <c r="N69" s="479" t="s">
        <v>84</v>
      </c>
      <c r="O69" s="479"/>
      <c r="P69" s="479"/>
      <c r="Q69" s="54"/>
      <c r="R69" s="54"/>
      <c r="S69" s="54"/>
      <c r="T69" s="54"/>
      <c r="U69" s="54"/>
    </row>
    <row r="70" spans="1:21" x14ac:dyDescent="0.25">
      <c r="A70" s="465" t="s">
        <v>141</v>
      </c>
      <c r="B70" s="453"/>
      <c r="C70" s="453"/>
      <c r="D70" s="72"/>
      <c r="E70" s="46" t="s">
        <v>3</v>
      </c>
      <c r="F70" s="337">
        <f>'0664'!F70</f>
        <v>0</v>
      </c>
      <c r="G70" s="39" t="s">
        <v>6</v>
      </c>
      <c r="H70" s="131">
        <f>H63</f>
        <v>8.7699999999999996E-4</v>
      </c>
      <c r="I70" s="104">
        <f>ROUND(F70*H70,2)</f>
        <v>0</v>
      </c>
      <c r="N70" s="48"/>
      <c r="O70" s="48"/>
      <c r="P70" s="48"/>
      <c r="Q70" s="47"/>
      <c r="R70" s="132">
        <f>F70</f>
        <v>0</v>
      </c>
      <c r="S70" s="40" t="s">
        <v>6</v>
      </c>
      <c r="T70" s="133">
        <f>T63</f>
        <v>0</v>
      </c>
      <c r="U70" s="99">
        <f>ROUND(R70*T70,0)</f>
        <v>0</v>
      </c>
    </row>
    <row r="71" spans="1:21" x14ac:dyDescent="0.25">
      <c r="A71" s="463" t="s">
        <v>433</v>
      </c>
      <c r="B71" s="453"/>
      <c r="C71" s="453"/>
      <c r="D71" s="72"/>
      <c r="E71" s="46" t="s">
        <v>3</v>
      </c>
      <c r="F71" s="337">
        <f>'0664'!F71</f>
        <v>13414654</v>
      </c>
      <c r="G71" s="39" t="s">
        <v>6</v>
      </c>
      <c r="H71" s="131">
        <f>H63</f>
        <v>8.7699999999999996E-4</v>
      </c>
      <c r="I71" s="104">
        <f>ROUND(F71*H71,2)</f>
        <v>11764.65</v>
      </c>
      <c r="N71" s="479" t="s">
        <v>83</v>
      </c>
      <c r="O71" s="479"/>
      <c r="P71" s="479"/>
      <c r="Q71" s="47"/>
      <c r="R71" s="132">
        <f>F71</f>
        <v>13414654</v>
      </c>
      <c r="S71" s="40" t="s">
        <v>6</v>
      </c>
      <c r="T71" s="133">
        <f>T63</f>
        <v>0</v>
      </c>
      <c r="U71" s="99">
        <f>ROUND(R71*T71,0)</f>
        <v>0</v>
      </c>
    </row>
    <row r="72" spans="1:21" x14ac:dyDescent="0.25">
      <c r="A72" s="463" t="s">
        <v>434</v>
      </c>
      <c r="B72" s="453"/>
      <c r="C72" s="453"/>
      <c r="D72" s="72"/>
      <c r="E72" s="46" t="s">
        <v>3</v>
      </c>
      <c r="F72" s="337">
        <f>'0664'!F72</f>
        <v>14708421</v>
      </c>
      <c r="G72" s="39" t="s">
        <v>6</v>
      </c>
      <c r="H72" s="131">
        <f>H63</f>
        <v>8.7699999999999996E-4</v>
      </c>
      <c r="I72" s="104">
        <f>ROUND(F72*H72,2)</f>
        <v>12899.29</v>
      </c>
      <c r="N72" s="479" t="s">
        <v>82</v>
      </c>
      <c r="O72" s="479"/>
      <c r="P72" s="479"/>
      <c r="Q72" s="47"/>
      <c r="R72" s="134">
        <f>F72</f>
        <v>14708421</v>
      </c>
      <c r="S72" s="40" t="s">
        <v>6</v>
      </c>
      <c r="T72" s="133">
        <f>T63</f>
        <v>0</v>
      </c>
      <c r="U72" s="99">
        <f>ROUND(R72*T72,0)</f>
        <v>0</v>
      </c>
    </row>
    <row r="73" spans="1:21" x14ac:dyDescent="0.25">
      <c r="A73" s="263" t="s">
        <v>99</v>
      </c>
      <c r="D73" s="72"/>
      <c r="E73" s="41" t="s">
        <v>353</v>
      </c>
      <c r="F73" s="466"/>
      <c r="G73" s="466"/>
      <c r="H73" s="466"/>
      <c r="I73" s="104">
        <v>0</v>
      </c>
      <c r="N73" s="499" t="s">
        <v>118</v>
      </c>
      <c r="O73" s="499"/>
      <c r="P73" s="499"/>
      <c r="Q73" s="499"/>
      <c r="R73" s="499"/>
      <c r="S73" s="499"/>
      <c r="T73" s="499"/>
      <c r="U73" s="99">
        <f>IF($H$120=1,I73,0)</f>
        <v>0</v>
      </c>
    </row>
    <row r="74" spans="1:21" x14ac:dyDescent="0.25">
      <c r="A74" s="264" t="s">
        <v>142</v>
      </c>
      <c r="I74" s="104"/>
      <c r="N74" s="499" t="s">
        <v>43</v>
      </c>
      <c r="O74" s="499"/>
      <c r="P74" s="499"/>
      <c r="Q74" s="499"/>
      <c r="R74" s="499"/>
      <c r="S74" s="499"/>
      <c r="T74" s="499"/>
      <c r="U74" s="99">
        <f>IF($H$120=1,I74,0)</f>
        <v>0</v>
      </c>
    </row>
    <row r="75" spans="1:21" x14ac:dyDescent="0.25">
      <c r="A75" s="324" t="s">
        <v>101</v>
      </c>
      <c r="B75" s="72"/>
      <c r="C75" s="72"/>
      <c r="D75" s="72"/>
      <c r="E75" s="72"/>
      <c r="F75" s="72"/>
      <c r="G75" s="72"/>
      <c r="H75" s="72"/>
      <c r="I75" s="135"/>
      <c r="N75" s="382" t="s">
        <v>44</v>
      </c>
      <c r="O75" s="48"/>
      <c r="P75" s="48"/>
      <c r="Q75" s="48"/>
      <c r="R75" s="48"/>
      <c r="S75" s="48"/>
      <c r="T75" s="48"/>
      <c r="U75" s="106"/>
    </row>
    <row r="76" spans="1:21" x14ac:dyDescent="0.25">
      <c r="A76" s="463" t="s">
        <v>435</v>
      </c>
      <c r="B76" s="453"/>
      <c r="C76" s="453"/>
      <c r="D76" s="72"/>
      <c r="E76" s="46" t="s">
        <v>3</v>
      </c>
      <c r="F76" s="337">
        <f>'0664'!F76</f>
        <v>8720092</v>
      </c>
      <c r="G76" s="39" t="s">
        <v>6</v>
      </c>
      <c r="H76" s="131">
        <f>H63</f>
        <v>8.7699999999999996E-4</v>
      </c>
      <c r="I76" s="104">
        <f t="shared" ref="I76:I85" si="14">ROUND(F76*H76,2)</f>
        <v>7647.52</v>
      </c>
      <c r="N76" s="478" t="s">
        <v>366</v>
      </c>
      <c r="O76" s="479"/>
      <c r="P76" s="479"/>
      <c r="Q76" s="47"/>
      <c r="R76" s="134">
        <f t="shared" ref="R76:R85" si="15">F76</f>
        <v>8720092</v>
      </c>
      <c r="S76" s="40" t="s">
        <v>6</v>
      </c>
      <c r="T76" s="133">
        <f>T63</f>
        <v>0</v>
      </c>
      <c r="U76" s="99">
        <f t="shared" ref="U76:U85" si="16">ROUND(R76*T76,0)</f>
        <v>0</v>
      </c>
    </row>
    <row r="77" spans="1:21" x14ac:dyDescent="0.25">
      <c r="A77" s="463" t="s">
        <v>436</v>
      </c>
      <c r="B77" s="453"/>
      <c r="C77" s="453"/>
      <c r="D77" s="72"/>
      <c r="E77" s="46" t="s">
        <v>3</v>
      </c>
      <c r="F77" s="337">
        <f>'0664'!F77</f>
        <v>0</v>
      </c>
      <c r="G77" s="39" t="s">
        <v>6</v>
      </c>
      <c r="H77" s="131">
        <f>H63</f>
        <v>8.7699999999999996E-4</v>
      </c>
      <c r="I77" s="104">
        <f t="shared" si="14"/>
        <v>0</v>
      </c>
      <c r="N77" s="479" t="s">
        <v>367</v>
      </c>
      <c r="O77" s="479"/>
      <c r="P77" s="479"/>
      <c r="Q77" s="47"/>
      <c r="R77" s="134">
        <f t="shared" si="15"/>
        <v>0</v>
      </c>
      <c r="S77" s="40" t="s">
        <v>6</v>
      </c>
      <c r="T77" s="133">
        <f>T63</f>
        <v>0</v>
      </c>
      <c r="U77" s="99">
        <f t="shared" si="16"/>
        <v>0</v>
      </c>
    </row>
    <row r="78" spans="1:21" x14ac:dyDescent="0.25">
      <c r="A78" s="463" t="s">
        <v>437</v>
      </c>
      <c r="B78" s="453"/>
      <c r="C78" s="453"/>
      <c r="D78" s="72"/>
      <c r="E78" s="46" t="s">
        <v>4</v>
      </c>
      <c r="F78" s="337">
        <f>'0664'!F78</f>
        <v>0</v>
      </c>
      <c r="G78" s="39" t="s">
        <v>6</v>
      </c>
      <c r="H78" s="131">
        <f>H66</f>
        <v>8.3900000000000001E-4</v>
      </c>
      <c r="I78" s="104">
        <f t="shared" si="14"/>
        <v>0</v>
      </c>
      <c r="N78" s="478" t="s">
        <v>392</v>
      </c>
      <c r="O78" s="479"/>
      <c r="P78" s="479"/>
      <c r="Q78" s="47"/>
      <c r="R78" s="134">
        <f t="shared" si="15"/>
        <v>0</v>
      </c>
      <c r="S78" s="40" t="s">
        <v>6</v>
      </c>
      <c r="T78" s="133">
        <f>T66</f>
        <v>0</v>
      </c>
      <c r="U78" s="99">
        <f t="shared" si="16"/>
        <v>0</v>
      </c>
    </row>
    <row r="79" spans="1:21" x14ac:dyDescent="0.25">
      <c r="A79" s="463" t="s">
        <v>438</v>
      </c>
      <c r="B79" s="453"/>
      <c r="C79" s="453"/>
      <c r="D79" s="72"/>
      <c r="E79" s="46" t="s">
        <v>4</v>
      </c>
      <c r="F79" s="337">
        <f>'0664'!F79</f>
        <v>11278687</v>
      </c>
      <c r="G79" s="39" t="s">
        <v>6</v>
      </c>
      <c r="H79" s="131">
        <f>H66</f>
        <v>8.3900000000000001E-4</v>
      </c>
      <c r="I79" s="104">
        <f t="shared" si="14"/>
        <v>9462.82</v>
      </c>
      <c r="N79" s="478" t="s">
        <v>393</v>
      </c>
      <c r="O79" s="479"/>
      <c r="P79" s="479"/>
      <c r="Q79" s="47"/>
      <c r="R79" s="134">
        <f t="shared" si="15"/>
        <v>11278687</v>
      </c>
      <c r="S79" s="40" t="s">
        <v>6</v>
      </c>
      <c r="T79" s="133">
        <f>T66</f>
        <v>0</v>
      </c>
      <c r="U79" s="99">
        <f t="shared" si="16"/>
        <v>0</v>
      </c>
    </row>
    <row r="80" spans="1:21" x14ac:dyDescent="0.25">
      <c r="A80" s="463" t="s">
        <v>439</v>
      </c>
      <c r="B80" s="453"/>
      <c r="C80" s="453"/>
      <c r="D80" s="72"/>
      <c r="E80" s="46" t="s">
        <v>4</v>
      </c>
      <c r="F80" s="337">
        <f>'0664'!F80</f>
        <v>206284749</v>
      </c>
      <c r="G80" s="39" t="s">
        <v>6</v>
      </c>
      <c r="H80" s="131">
        <f>H66</f>
        <v>8.3900000000000001E-4</v>
      </c>
      <c r="I80" s="104">
        <f t="shared" si="14"/>
        <v>173072.9</v>
      </c>
      <c r="N80" s="478" t="s">
        <v>397</v>
      </c>
      <c r="O80" s="479"/>
      <c r="P80" s="479"/>
      <c r="Q80" s="47"/>
      <c r="R80" s="134">
        <f t="shared" si="15"/>
        <v>206284749</v>
      </c>
      <c r="S80" s="40" t="s">
        <v>6</v>
      </c>
      <c r="T80" s="133">
        <f>T66</f>
        <v>0</v>
      </c>
      <c r="U80" s="99">
        <f t="shared" si="16"/>
        <v>0</v>
      </c>
    </row>
    <row r="81" spans="1:21" x14ac:dyDescent="0.25">
      <c r="A81" s="84" t="s">
        <v>440</v>
      </c>
      <c r="B81" s="72"/>
      <c r="C81" s="72"/>
      <c r="D81" s="72"/>
      <c r="E81" s="46"/>
      <c r="F81" s="337"/>
      <c r="G81" s="39"/>
      <c r="H81" s="131"/>
      <c r="I81" s="104"/>
      <c r="N81" s="419" t="s">
        <v>440</v>
      </c>
      <c r="O81" s="48"/>
      <c r="P81" s="48"/>
      <c r="Q81" s="47"/>
      <c r="R81" s="423"/>
      <c r="S81" s="40"/>
      <c r="T81" s="133"/>
      <c r="U81" s="120"/>
    </row>
    <row r="82" spans="1:21" x14ac:dyDescent="0.25">
      <c r="A82" s="264" t="s">
        <v>441</v>
      </c>
      <c r="B82" s="72"/>
      <c r="C82" s="72"/>
      <c r="D82" s="72"/>
      <c r="E82" s="46" t="s">
        <v>442</v>
      </c>
      <c r="F82" s="337">
        <f>'0664'!F82</f>
        <v>0</v>
      </c>
      <c r="G82" s="39" t="s">
        <v>6</v>
      </c>
      <c r="H82" s="131">
        <f>H66</f>
        <v>8.3900000000000001E-4</v>
      </c>
      <c r="I82" s="104">
        <v>47550.239999999998</v>
      </c>
      <c r="N82" s="422" t="s">
        <v>441</v>
      </c>
      <c r="O82" s="48"/>
      <c r="P82" s="48"/>
      <c r="Q82" s="47"/>
      <c r="R82" s="134">
        <f t="shared" si="15"/>
        <v>0</v>
      </c>
      <c r="S82" s="40"/>
      <c r="T82" s="133"/>
      <c r="U82" s="99">
        <f t="shared" si="16"/>
        <v>0</v>
      </c>
    </row>
    <row r="83" spans="1:21" x14ac:dyDescent="0.25">
      <c r="A83" s="264" t="s">
        <v>443</v>
      </c>
      <c r="B83" s="72"/>
      <c r="C83" s="72"/>
      <c r="D83" s="72"/>
      <c r="E83" s="46" t="s">
        <v>442</v>
      </c>
      <c r="F83" s="337">
        <f>'0664'!F83</f>
        <v>0</v>
      </c>
      <c r="G83" s="39" t="s">
        <v>6</v>
      </c>
      <c r="H83" s="131">
        <f>H66</f>
        <v>8.3900000000000001E-4</v>
      </c>
      <c r="I83" s="104">
        <v>21613.75</v>
      </c>
      <c r="N83" s="422" t="s">
        <v>443</v>
      </c>
      <c r="O83" s="48"/>
      <c r="P83" s="48"/>
      <c r="Q83" s="47"/>
      <c r="R83" s="134">
        <f t="shared" si="15"/>
        <v>0</v>
      </c>
      <c r="S83" s="40"/>
      <c r="T83" s="133"/>
      <c r="U83" s="99">
        <f t="shared" si="16"/>
        <v>0</v>
      </c>
    </row>
    <row r="84" spans="1:21" x14ac:dyDescent="0.25">
      <c r="A84" s="420" t="s">
        <v>444</v>
      </c>
      <c r="B84" s="72"/>
      <c r="C84" s="72"/>
      <c r="D84" s="72"/>
      <c r="E84" s="46"/>
      <c r="F84" s="337"/>
      <c r="G84" s="39"/>
      <c r="H84" s="131"/>
      <c r="I84" s="104">
        <f>I82+I83</f>
        <v>69163.989999999991</v>
      </c>
      <c r="N84" s="421" t="s">
        <v>444</v>
      </c>
      <c r="O84" s="48"/>
      <c r="P84" s="48"/>
      <c r="Q84" s="47"/>
      <c r="R84" s="423"/>
      <c r="S84" s="40"/>
      <c r="T84" s="133"/>
      <c r="U84" s="99">
        <f>U82+U83</f>
        <v>0</v>
      </c>
    </row>
    <row r="85" spans="1:21" x14ac:dyDescent="0.25">
      <c r="A85" s="463" t="s">
        <v>398</v>
      </c>
      <c r="B85" s="453"/>
      <c r="C85" s="453"/>
      <c r="D85" s="72"/>
      <c r="E85" s="46" t="s">
        <v>4</v>
      </c>
      <c r="F85" s="337">
        <f>'0664'!F85</f>
        <v>0</v>
      </c>
      <c r="G85" s="39" t="s">
        <v>6</v>
      </c>
      <c r="H85" s="131">
        <f>H66</f>
        <v>8.3900000000000001E-4</v>
      </c>
      <c r="I85" s="104">
        <f t="shared" si="14"/>
        <v>0</v>
      </c>
      <c r="N85" s="478" t="s">
        <v>398</v>
      </c>
      <c r="O85" s="479"/>
      <c r="P85" s="479"/>
      <c r="Q85" s="47"/>
      <c r="R85" s="132">
        <f t="shared" si="15"/>
        <v>0</v>
      </c>
      <c r="S85" s="40" t="s">
        <v>6</v>
      </c>
      <c r="T85" s="133">
        <f>T66</f>
        <v>0</v>
      </c>
      <c r="U85" s="99">
        <f t="shared" si="16"/>
        <v>0</v>
      </c>
    </row>
    <row r="86" spans="1:21" x14ac:dyDescent="0.25">
      <c r="B86" s="72"/>
      <c r="C86" s="72"/>
      <c r="D86" s="72"/>
      <c r="E86" s="46"/>
      <c r="F86" s="136"/>
      <c r="G86" s="39"/>
      <c r="H86" s="131"/>
      <c r="I86" s="104"/>
      <c r="N86" s="48"/>
      <c r="O86" s="48"/>
      <c r="P86" s="48"/>
      <c r="Q86" s="47"/>
      <c r="R86" s="137"/>
      <c r="S86" s="40"/>
      <c r="T86" s="133"/>
      <c r="U86" s="106"/>
    </row>
    <row r="87" spans="1:21" x14ac:dyDescent="0.25">
      <c r="A87" s="463" t="s">
        <v>445</v>
      </c>
      <c r="B87" s="453"/>
      <c r="C87" s="453"/>
      <c r="D87" s="453"/>
      <c r="E87" s="453"/>
      <c r="F87" s="453"/>
      <c r="G87" s="453"/>
      <c r="H87" s="453"/>
      <c r="I87" s="453"/>
      <c r="N87" s="478" t="s">
        <v>429</v>
      </c>
      <c r="O87" s="479"/>
      <c r="P87" s="479"/>
      <c r="Q87" s="479"/>
      <c r="R87" s="479"/>
      <c r="S87" s="479"/>
      <c r="T87" s="479"/>
      <c r="U87" s="479"/>
    </row>
    <row r="88" spans="1:21" x14ac:dyDescent="0.25">
      <c r="B88" s="72"/>
      <c r="C88" s="466" t="s">
        <v>73</v>
      </c>
      <c r="D88" s="466"/>
      <c r="E88" s="72"/>
      <c r="F88" s="41" t="s">
        <v>37</v>
      </c>
      <c r="G88" s="72"/>
      <c r="H88" s="72"/>
      <c r="I88" s="72"/>
      <c r="N88" s="48"/>
      <c r="O88" s="48"/>
      <c r="P88" s="48"/>
      <c r="Q88" s="48"/>
      <c r="R88" s="48"/>
      <c r="S88" s="48"/>
      <c r="T88" s="48"/>
      <c r="U88" s="48"/>
    </row>
    <row r="89" spans="1:21" x14ac:dyDescent="0.25">
      <c r="A89" s="3"/>
      <c r="B89" s="138"/>
      <c r="C89" s="462" t="s">
        <v>144</v>
      </c>
      <c r="D89" s="462"/>
      <c r="E89" s="139" t="s">
        <v>150</v>
      </c>
      <c r="F89" s="140" t="s">
        <v>149</v>
      </c>
      <c r="G89" s="141"/>
      <c r="H89" s="141"/>
      <c r="I89" s="141"/>
      <c r="N89" s="495" t="s">
        <v>46</v>
      </c>
      <c r="O89" s="495"/>
      <c r="P89" s="496" t="s">
        <v>119</v>
      </c>
      <c r="Q89" s="496"/>
      <c r="R89" s="497" t="s">
        <v>40</v>
      </c>
      <c r="S89" s="497"/>
      <c r="T89" s="497"/>
      <c r="U89" s="497"/>
    </row>
    <row r="90" spans="1:21" x14ac:dyDescent="0.25">
      <c r="A90" s="27"/>
      <c r="B90" s="55" t="s">
        <v>148</v>
      </c>
      <c r="C90" s="467">
        <f>H13+H14+H19+H22+H25</f>
        <v>97.778999999999996</v>
      </c>
      <c r="D90" s="467"/>
      <c r="E90" s="49">
        <f>H8</f>
        <v>1.0438000000000001</v>
      </c>
      <c r="F90" s="338">
        <f>'0664'!F90</f>
        <v>957.94</v>
      </c>
      <c r="G90" s="41" t="s">
        <v>13</v>
      </c>
      <c r="H90" s="104">
        <f>ROUND(C90*E90*F90,2)</f>
        <v>97769</v>
      </c>
      <c r="I90" s="107"/>
      <c r="N90" s="29" t="s">
        <v>22</v>
      </c>
      <c r="O90" s="50">
        <f>T13+T14+T19+T22+T25</f>
        <v>0</v>
      </c>
      <c r="P90" s="490">
        <f>T8</f>
        <v>1.0438000000000001</v>
      </c>
      <c r="Q90" s="490"/>
      <c r="R90" s="51">
        <f>F90</f>
        <v>957.94</v>
      </c>
      <c r="S90" s="42" t="s">
        <v>13</v>
      </c>
      <c r="T90" s="134">
        <f>ROUND(O90*P90*R90,0)</f>
        <v>0</v>
      </c>
      <c r="U90" s="105"/>
    </row>
    <row r="91" spans="1:21" x14ac:dyDescent="0.25">
      <c r="A91" s="52"/>
      <c r="B91" s="52" t="s">
        <v>147</v>
      </c>
      <c r="C91" s="467">
        <f>H15+H16+H20+H23+H26</f>
        <v>84.093299999999999</v>
      </c>
      <c r="D91" s="467"/>
      <c r="E91" s="49">
        <f>H8</f>
        <v>1.0438000000000001</v>
      </c>
      <c r="F91" s="338">
        <f>'0664'!F91</f>
        <v>914.63</v>
      </c>
      <c r="G91" s="41" t="s">
        <v>13</v>
      </c>
      <c r="H91" s="104">
        <f>ROUND(C91*E91*F91,2)</f>
        <v>80283.100000000006</v>
      </c>
      <c r="N91" s="53" t="s">
        <v>14</v>
      </c>
      <c r="O91" s="50">
        <f>T15+T16+T20+T23+T26</f>
        <v>0</v>
      </c>
      <c r="P91" s="490">
        <f>T8</f>
        <v>1.0438000000000001</v>
      </c>
      <c r="Q91" s="490"/>
      <c r="R91" s="51">
        <f>F91</f>
        <v>914.63</v>
      </c>
      <c r="S91" s="42" t="s">
        <v>13</v>
      </c>
      <c r="T91" s="134">
        <f>ROUND(O91*P91*R91,0)</f>
        <v>0</v>
      </c>
      <c r="U91" s="54"/>
    </row>
    <row r="92" spans="1:21" ht="16.5" thickBot="1" x14ac:dyDescent="0.3">
      <c r="A92" s="55"/>
      <c r="B92" s="55" t="s">
        <v>146</v>
      </c>
      <c r="C92" s="467">
        <f>H17+H18+H21+H24+H27+H28</f>
        <v>0</v>
      </c>
      <c r="D92" s="467"/>
      <c r="E92" s="49">
        <f>H8</f>
        <v>1.0438000000000001</v>
      </c>
      <c r="F92" s="338">
        <f>'0664'!F92</f>
        <v>916.84</v>
      </c>
      <c r="G92" s="41" t="s">
        <v>13</v>
      </c>
      <c r="H92" s="97">
        <f>ROUND(C92*E92*F92,2)</f>
        <v>0</v>
      </c>
      <c r="N92" s="56" t="s">
        <v>15</v>
      </c>
      <c r="O92" s="57">
        <f>T17+T18+T21+T24+T27+T28</f>
        <v>0</v>
      </c>
      <c r="P92" s="490">
        <f>T8</f>
        <v>1.0438000000000001</v>
      </c>
      <c r="Q92" s="490"/>
      <c r="R92" s="51">
        <f>F92</f>
        <v>916.84</v>
      </c>
      <c r="S92" s="42" t="s">
        <v>13</v>
      </c>
      <c r="T92" s="134">
        <f>ROUND(O92*P92*R92,0)</f>
        <v>0</v>
      </c>
      <c r="U92" s="54"/>
    </row>
    <row r="93" spans="1:21" ht="16.5" thickBot="1" x14ac:dyDescent="0.3">
      <c r="A93" s="58"/>
      <c r="B93" s="142" t="s">
        <v>145</v>
      </c>
      <c r="C93" s="469">
        <f>SUM(C90:C92)</f>
        <v>181.8723</v>
      </c>
      <c r="D93" s="469"/>
      <c r="E93" s="143"/>
      <c r="F93" s="143"/>
      <c r="G93" s="143"/>
      <c r="H93" s="144" t="s">
        <v>143</v>
      </c>
      <c r="I93" s="104">
        <f>IF(A1=75,0,H92+H91+H90)</f>
        <v>178052.1</v>
      </c>
      <c r="N93" s="59" t="s">
        <v>120</v>
      </c>
      <c r="O93" s="60">
        <f>SUM(O90:O92)</f>
        <v>0</v>
      </c>
      <c r="P93" s="491" t="s">
        <v>18</v>
      </c>
      <c r="Q93" s="492"/>
      <c r="R93" s="492"/>
      <c r="S93" s="492"/>
      <c r="T93" s="492"/>
      <c r="U93" s="99">
        <f>IF(N1=75,0,T92+T91+T90)</f>
        <v>0</v>
      </c>
    </row>
    <row r="94" spans="1:21" ht="16.5" thickTop="1" x14ac:dyDescent="0.25">
      <c r="A94" s="540" t="s">
        <v>90</v>
      </c>
      <c r="B94" s="540"/>
      <c r="C94" s="540"/>
      <c r="D94" s="540"/>
      <c r="E94" s="540"/>
      <c r="F94" s="540"/>
      <c r="G94" s="540"/>
      <c r="H94" s="540"/>
      <c r="I94" s="540"/>
      <c r="N94" s="493" t="s">
        <v>90</v>
      </c>
      <c r="O94" s="493"/>
      <c r="P94" s="493"/>
      <c r="Q94" s="493"/>
      <c r="R94" s="493"/>
      <c r="S94" s="493"/>
      <c r="T94" s="493"/>
      <c r="U94" s="493"/>
    </row>
    <row r="95" spans="1:21" x14ac:dyDescent="0.25">
      <c r="A95" s="145"/>
      <c r="B95" s="145"/>
      <c r="C95" s="145"/>
      <c r="D95" s="145"/>
      <c r="E95" s="145"/>
      <c r="F95" s="145"/>
      <c r="G95" s="145"/>
      <c r="H95" s="145"/>
      <c r="I95" s="145"/>
      <c r="N95" s="146"/>
      <c r="O95" s="146"/>
      <c r="P95" s="146"/>
      <c r="Q95" s="146"/>
      <c r="R95" s="146"/>
      <c r="S95" s="146"/>
      <c r="T95" s="146"/>
      <c r="U95" s="146"/>
    </row>
    <row r="96" spans="1:21" x14ac:dyDescent="0.25">
      <c r="A96" s="84" t="s">
        <v>446</v>
      </c>
      <c r="C96" s="46"/>
      <c r="D96" s="72"/>
      <c r="E96" s="46" t="s">
        <v>100</v>
      </c>
      <c r="F96" s="471"/>
      <c r="G96" s="471"/>
      <c r="H96" s="471"/>
      <c r="I96" s="471"/>
      <c r="N96" s="478" t="s">
        <v>426</v>
      </c>
      <c r="O96" s="479"/>
      <c r="P96" s="479"/>
      <c r="Q96" s="494"/>
      <c r="R96" s="494"/>
      <c r="S96" s="494"/>
      <c r="T96" s="494"/>
      <c r="U96" s="106"/>
    </row>
    <row r="97" spans="1:21" x14ac:dyDescent="0.25">
      <c r="B97" s="72"/>
      <c r="C97" s="91" t="s">
        <v>409</v>
      </c>
      <c r="D97" s="371" t="s">
        <v>410</v>
      </c>
      <c r="E97" s="92" t="s">
        <v>151</v>
      </c>
      <c r="F97" s="46"/>
      <c r="G97" s="46"/>
      <c r="H97" s="46"/>
      <c r="I97" s="46"/>
      <c r="N97" s="48"/>
      <c r="O97" s="48"/>
      <c r="P97" s="48"/>
      <c r="Q97" s="147"/>
      <c r="R97" s="147"/>
      <c r="S97" s="147"/>
      <c r="T97" s="147"/>
      <c r="U97" s="106"/>
    </row>
    <row r="98" spans="1:21" x14ac:dyDescent="0.25">
      <c r="B98" s="72"/>
      <c r="C98" s="364" t="s">
        <v>2</v>
      </c>
      <c r="D98" s="362" t="s">
        <v>2</v>
      </c>
      <c r="E98" s="362" t="s">
        <v>2</v>
      </c>
      <c r="F98" s="46"/>
      <c r="G98" s="46"/>
      <c r="H98" s="46"/>
      <c r="I98" s="46"/>
      <c r="N98" s="48"/>
      <c r="O98" s="48"/>
      <c r="P98" s="48"/>
      <c r="Q98" s="147"/>
      <c r="R98" s="147"/>
      <c r="S98" s="147"/>
      <c r="T98" s="147"/>
      <c r="U98" s="106"/>
    </row>
    <row r="99" spans="1:21" x14ac:dyDescent="0.25">
      <c r="A99" s="536" t="s">
        <v>470</v>
      </c>
      <c r="B99" s="461"/>
      <c r="C99" s="165">
        <v>1</v>
      </c>
      <c r="D99" s="165">
        <v>0</v>
      </c>
      <c r="E99" s="166">
        <f>C99</f>
        <v>1</v>
      </c>
      <c r="F99" s="148" t="s">
        <v>39</v>
      </c>
      <c r="G99" s="339">
        <f>'0664'!G99</f>
        <v>558</v>
      </c>
      <c r="I99" s="104">
        <f>ROUND(G99*E99,2)</f>
        <v>558</v>
      </c>
      <c r="N99" s="488" t="s">
        <v>65</v>
      </c>
      <c r="O99" s="488"/>
      <c r="P99" s="489">
        <f>IF(H120=1,E99,0)</f>
        <v>0</v>
      </c>
      <c r="Q99" s="489"/>
      <c r="R99" s="489"/>
      <c r="S99" s="86" t="s">
        <v>39</v>
      </c>
      <c r="T99" s="61">
        <f>G99</f>
        <v>558</v>
      </c>
      <c r="U99" s="99">
        <f>ROUND(T99*P99,0)</f>
        <v>0</v>
      </c>
    </row>
    <row r="100" spans="1:21" x14ac:dyDescent="0.25">
      <c r="A100" s="536" t="s">
        <v>471</v>
      </c>
      <c r="B100" s="461"/>
      <c r="C100" s="165">
        <v>0</v>
      </c>
      <c r="D100" s="165">
        <v>0</v>
      </c>
      <c r="E100" s="166">
        <f>C100</f>
        <v>0</v>
      </c>
      <c r="F100" s="148" t="s">
        <v>39</v>
      </c>
      <c r="G100" s="339">
        <f>'0664'!G100</f>
        <v>1707</v>
      </c>
      <c r="I100" s="104">
        <f>ROUND(G100*E100,2)</f>
        <v>0</v>
      </c>
      <c r="N100" s="488" t="s">
        <v>81</v>
      </c>
      <c r="O100" s="488"/>
      <c r="P100" s="483"/>
      <c r="Q100" s="483"/>
      <c r="R100" s="483"/>
      <c r="S100" s="86" t="s">
        <v>39</v>
      </c>
      <c r="T100" s="61">
        <f>G100</f>
        <v>1707</v>
      </c>
      <c r="U100" s="99">
        <f>ROUND(T100*P100,0)</f>
        <v>0</v>
      </c>
    </row>
    <row r="101" spans="1:21" x14ac:dyDescent="0.25">
      <c r="A101" s="149"/>
      <c r="B101" s="149"/>
      <c r="C101" s="68"/>
      <c r="D101" s="68"/>
      <c r="E101" s="68"/>
      <c r="F101" s="68"/>
      <c r="G101" s="150"/>
      <c r="H101" s="151"/>
      <c r="I101" s="104"/>
      <c r="N101" s="152"/>
      <c r="O101" s="152"/>
      <c r="P101" s="153"/>
      <c r="Q101" s="153"/>
      <c r="R101" s="153"/>
      <c r="S101" s="86"/>
      <c r="T101" s="61"/>
      <c r="U101" s="106"/>
    </row>
    <row r="102" spans="1:21" x14ac:dyDescent="0.25">
      <c r="A102" s="149"/>
      <c r="B102" s="149"/>
      <c r="C102" s="68"/>
      <c r="D102" s="68"/>
      <c r="E102" s="68"/>
      <c r="F102" s="68"/>
      <c r="G102" s="150"/>
      <c r="H102" s="151"/>
      <c r="I102" s="104"/>
      <c r="N102" s="152"/>
      <c r="O102" s="152"/>
      <c r="P102" s="153"/>
      <c r="Q102" s="153"/>
      <c r="R102" s="153"/>
      <c r="S102" s="86"/>
      <c r="T102" s="61"/>
      <c r="U102" s="106"/>
    </row>
    <row r="103" spans="1:21" hidden="1" x14ac:dyDescent="0.25">
      <c r="A103" s="463" t="s">
        <v>447</v>
      </c>
      <c r="B103" s="453"/>
      <c r="C103" s="453"/>
      <c r="D103" s="72"/>
      <c r="E103" s="41" t="s">
        <v>41</v>
      </c>
      <c r="F103" s="466"/>
      <c r="G103" s="466"/>
      <c r="H103" s="466"/>
      <c r="I103" s="466"/>
      <c r="N103" s="478" t="s">
        <v>362</v>
      </c>
      <c r="O103" s="479"/>
      <c r="P103" s="479"/>
      <c r="Q103" s="479"/>
      <c r="R103" s="479"/>
      <c r="S103" s="479"/>
      <c r="T103" s="479"/>
      <c r="U103" s="479"/>
    </row>
    <row r="104" spans="1:21" hidden="1" x14ac:dyDescent="0.25">
      <c r="B104" s="72"/>
      <c r="C104" s="462" t="s">
        <v>91</v>
      </c>
      <c r="D104" s="462"/>
      <c r="E104" s="462"/>
      <c r="F104" s="39"/>
      <c r="G104" s="39"/>
      <c r="H104" s="41" t="s">
        <v>152</v>
      </c>
      <c r="I104" s="39"/>
      <c r="N104" s="48"/>
      <c r="O104" s="48"/>
      <c r="P104" s="48"/>
      <c r="Q104" s="48"/>
      <c r="R104" s="48"/>
      <c r="S104" s="48"/>
      <c r="T104" s="48"/>
      <c r="U104" s="48"/>
    </row>
    <row r="105" spans="1:21" hidden="1" x14ac:dyDescent="0.25">
      <c r="B105" s="72"/>
      <c r="C105" s="91" t="s">
        <v>371</v>
      </c>
      <c r="D105" s="91" t="s">
        <v>351</v>
      </c>
      <c r="E105" s="159" t="s">
        <v>8</v>
      </c>
      <c r="F105" s="464" t="s">
        <v>153</v>
      </c>
      <c r="G105" s="466"/>
      <c r="H105" s="39" t="s">
        <v>38</v>
      </c>
      <c r="I105" s="39"/>
      <c r="N105" s="48"/>
      <c r="O105" s="48"/>
      <c r="P105" s="48"/>
      <c r="Q105" s="48"/>
      <c r="R105" s="48"/>
      <c r="S105" s="48"/>
      <c r="T105" s="48"/>
      <c r="U105" s="48"/>
    </row>
    <row r="106" spans="1:21" hidden="1" x14ac:dyDescent="0.25">
      <c r="A106" s="462" t="s">
        <v>94</v>
      </c>
      <c r="B106" s="462"/>
      <c r="C106" s="93" t="s">
        <v>2</v>
      </c>
      <c r="D106" s="93" t="s">
        <v>2</v>
      </c>
      <c r="E106" s="62" t="s">
        <v>2</v>
      </c>
      <c r="F106" s="462" t="s">
        <v>37</v>
      </c>
      <c r="G106" s="462"/>
      <c r="H106" s="62" t="s">
        <v>37</v>
      </c>
      <c r="I106" s="62" t="s">
        <v>8</v>
      </c>
      <c r="N106" s="484" t="s">
        <v>66</v>
      </c>
      <c r="O106" s="484"/>
      <c r="P106" s="489" t="s">
        <v>91</v>
      </c>
      <c r="Q106" s="489"/>
      <c r="R106" s="484" t="s">
        <v>67</v>
      </c>
      <c r="S106" s="484"/>
      <c r="T106" s="63" t="s">
        <v>68</v>
      </c>
      <c r="U106" s="63" t="s">
        <v>8</v>
      </c>
    </row>
    <row r="107" spans="1:21" hidden="1" x14ac:dyDescent="0.25">
      <c r="A107" s="473" t="s">
        <v>69</v>
      </c>
      <c r="B107" s="473"/>
      <c r="C107" s="163">
        <v>0</v>
      </c>
      <c r="D107" s="163">
        <v>0</v>
      </c>
      <c r="E107" s="164">
        <f>IF(D$59=0,C107*2,C107+D107)</f>
        <v>0</v>
      </c>
      <c r="F107" s="543">
        <v>0</v>
      </c>
      <c r="G107" s="543"/>
      <c r="H107" s="64">
        <f>IF(C107=0,0,125)</f>
        <v>0</v>
      </c>
      <c r="I107" s="104">
        <f>ROUND((H107+F107)*E107,2)</f>
        <v>0</v>
      </c>
      <c r="N107" s="479" t="s">
        <v>69</v>
      </c>
      <c r="O107" s="479"/>
      <c r="P107" s="483">
        <f>IF(H$120=1,C107,0)</f>
        <v>0</v>
      </c>
      <c r="Q107" s="483"/>
      <c r="R107" s="486">
        <f>F107</f>
        <v>0</v>
      </c>
      <c r="S107" s="486"/>
      <c r="T107" s="65">
        <f>H107</f>
        <v>0</v>
      </c>
      <c r="U107" s="99">
        <f>ROUND((T107+R107)*P107,0)</f>
        <v>0</v>
      </c>
    </row>
    <row r="108" spans="1:21" hidden="1" x14ac:dyDescent="0.25">
      <c r="A108" s="456" t="s">
        <v>70</v>
      </c>
      <c r="B108" s="456"/>
      <c r="C108" s="165">
        <v>0</v>
      </c>
      <c r="D108" s="165">
        <v>0</v>
      </c>
      <c r="E108" s="166">
        <f>IF(D$59=0,C108*2,C108+D108)</f>
        <v>0</v>
      </c>
      <c r="F108" s="468">
        <f>ROUND(F107/2,2)</f>
        <v>0</v>
      </c>
      <c r="G108" s="468"/>
      <c r="H108" s="64">
        <f>IF(C108=0,0,62.5)</f>
        <v>0</v>
      </c>
      <c r="I108" s="104">
        <f>ROUND((H108+F108)*E108,2)</f>
        <v>0</v>
      </c>
      <c r="N108" s="479" t="s">
        <v>70</v>
      </c>
      <c r="O108" s="479"/>
      <c r="P108" s="483">
        <f>IF(H$120=1,C108,0)</f>
        <v>0</v>
      </c>
      <c r="Q108" s="483"/>
      <c r="R108" s="487">
        <f>ROUND(R107/2,2)</f>
        <v>0</v>
      </c>
      <c r="S108" s="487"/>
      <c r="T108" s="65">
        <f>H108</f>
        <v>0</v>
      </c>
      <c r="U108" s="99">
        <f>ROUND((T108+R108)*P108,0)</f>
        <v>0</v>
      </c>
    </row>
    <row r="109" spans="1:21" ht="16.5" hidden="1" thickBot="1" x14ac:dyDescent="0.3">
      <c r="A109" s="456" t="s">
        <v>71</v>
      </c>
      <c r="B109" s="456"/>
      <c r="C109" s="165">
        <v>0</v>
      </c>
      <c r="D109" s="165">
        <v>0</v>
      </c>
      <c r="E109" s="166">
        <f>IF(D$59=0,C109*2,C109+D109)</f>
        <v>0</v>
      </c>
      <c r="F109" s="475"/>
      <c r="G109" s="475"/>
      <c r="H109" s="66">
        <f>IF(H107&gt;0,436,0)</f>
        <v>0</v>
      </c>
      <c r="I109" s="104">
        <f>ROUND(H109*E109,2)</f>
        <v>0</v>
      </c>
      <c r="N109" s="482" t="s">
        <v>71</v>
      </c>
      <c r="O109" s="482"/>
      <c r="P109" s="483">
        <f>IF(H$120=1,C109,0)</f>
        <v>0</v>
      </c>
      <c r="Q109" s="483"/>
      <c r="R109" s="484"/>
      <c r="S109" s="484"/>
      <c r="T109" s="67">
        <f>H109</f>
        <v>0</v>
      </c>
      <c r="U109" s="106">
        <f>ROUND(T109*P109,0)</f>
        <v>0</v>
      </c>
    </row>
    <row r="110" spans="1:21" ht="16.5" hidden="1" thickBot="1" x14ac:dyDescent="0.3">
      <c r="A110" s="466" t="s">
        <v>8</v>
      </c>
      <c r="B110" s="466"/>
      <c r="C110" s="68"/>
      <c r="D110" s="68"/>
      <c r="E110" s="68"/>
      <c r="F110" s="68"/>
      <c r="G110" s="68"/>
      <c r="H110" s="68"/>
      <c r="I110" s="100">
        <f>SUM(I107:I109)</f>
        <v>0</v>
      </c>
      <c r="N110" s="485" t="s">
        <v>8</v>
      </c>
      <c r="O110" s="485"/>
      <c r="P110" s="69"/>
      <c r="Q110" s="69"/>
      <c r="R110" s="69"/>
      <c r="S110" s="69"/>
      <c r="T110" s="69"/>
      <c r="U110" s="70">
        <f>SUM(U107:U109)</f>
        <v>0</v>
      </c>
    </row>
    <row r="111" spans="1:21" hidden="1" x14ac:dyDescent="0.25">
      <c r="A111" s="39"/>
      <c r="B111" s="39"/>
      <c r="C111" s="68"/>
      <c r="D111" s="68"/>
      <c r="E111" s="68"/>
      <c r="F111" s="68"/>
      <c r="G111" s="68"/>
      <c r="H111" s="68"/>
      <c r="I111" s="104"/>
      <c r="N111" s="40"/>
      <c r="O111" s="40"/>
      <c r="P111" s="69"/>
      <c r="Q111" s="69"/>
      <c r="R111" s="69"/>
      <c r="S111" s="69"/>
      <c r="T111" s="69"/>
      <c r="U111" s="160"/>
    </row>
    <row r="112" spans="1:21" x14ac:dyDescent="0.25">
      <c r="A112" s="463" t="s">
        <v>448</v>
      </c>
      <c r="B112" s="453"/>
      <c r="C112" s="453"/>
      <c r="D112" s="72"/>
      <c r="E112" s="71" t="s">
        <v>354</v>
      </c>
      <c r="F112" s="472"/>
      <c r="G112" s="472"/>
      <c r="H112" s="472"/>
      <c r="I112" s="125">
        <v>0</v>
      </c>
      <c r="N112" s="478" t="s">
        <v>427</v>
      </c>
      <c r="O112" s="479"/>
      <c r="P112" s="479"/>
      <c r="Q112" s="341"/>
      <c r="R112" s="341"/>
      <c r="S112" s="341"/>
      <c r="T112" s="341"/>
      <c r="U112" s="99">
        <f>IF($H$120=1,I112,0)</f>
        <v>0</v>
      </c>
    </row>
    <row r="113" spans="1:21" x14ac:dyDescent="0.25">
      <c r="A113" s="463" t="s">
        <v>449</v>
      </c>
      <c r="B113" s="453"/>
      <c r="C113" s="453"/>
      <c r="D113" s="72"/>
      <c r="E113" s="71" t="s">
        <v>45</v>
      </c>
      <c r="F113" s="472"/>
      <c r="G113" s="472"/>
      <c r="H113" s="472"/>
      <c r="I113" s="177">
        <v>0</v>
      </c>
      <c r="N113" s="478" t="s">
        <v>428</v>
      </c>
      <c r="O113" s="479"/>
      <c r="P113" s="479"/>
      <c r="Q113" s="341"/>
      <c r="R113" s="341"/>
      <c r="S113" s="341"/>
      <c r="T113" s="341"/>
      <c r="U113" s="99">
        <f>IF($H$120=1,I113,0)</f>
        <v>0</v>
      </c>
    </row>
    <row r="114" spans="1:21" ht="16.5" thickBot="1" x14ac:dyDescent="0.3">
      <c r="B114" s="72"/>
      <c r="C114" s="72"/>
      <c r="D114" s="72"/>
      <c r="E114" s="71"/>
      <c r="F114" s="71"/>
      <c r="G114" s="71"/>
      <c r="H114" s="71"/>
      <c r="I114" s="125"/>
      <c r="N114" s="480" t="s">
        <v>42</v>
      </c>
      <c r="O114" s="480"/>
      <c r="P114" s="480"/>
      <c r="Q114" s="480"/>
      <c r="R114" s="480"/>
      <c r="S114" s="480"/>
      <c r="T114" s="480"/>
      <c r="U114" s="154">
        <f>SUM(U112,U110,U100,U99,U93,U77,U76,U74,U73,U72,U71,U70,U68,U59,U45,U78,U79,U80,U85,U113)</f>
        <v>0</v>
      </c>
    </row>
    <row r="115" spans="1:21" ht="16.5" thickTop="1" x14ac:dyDescent="0.25">
      <c r="A115" s="461" t="s">
        <v>8</v>
      </c>
      <c r="B115" s="461"/>
      <c r="C115" s="461"/>
      <c r="D115" s="461"/>
      <c r="E115" s="461"/>
      <c r="F115" s="461"/>
      <c r="G115" s="461"/>
      <c r="H115" s="461"/>
      <c r="I115" s="97">
        <f>SUM(I113,I112,I110,I100,I99,I93,I85,I84,I80,I79,I78,I77,I76,I74,I73,I72,I71,I70,I68,I59,I45)</f>
        <v>1409745.38</v>
      </c>
      <c r="N115" s="29"/>
      <c r="O115" s="29"/>
      <c r="P115" s="29"/>
      <c r="Q115" s="29"/>
      <c r="R115" s="29"/>
      <c r="S115" s="29"/>
      <c r="T115" s="29"/>
      <c r="U115" s="160"/>
    </row>
    <row r="116" spans="1:21" x14ac:dyDescent="0.25">
      <c r="A116" s="27"/>
      <c r="B116" s="27"/>
      <c r="C116" s="27"/>
      <c r="D116" s="27"/>
      <c r="E116" s="27"/>
      <c r="F116" s="27"/>
      <c r="G116" s="27"/>
      <c r="H116" s="27"/>
      <c r="I116" s="104"/>
      <c r="N116" s="29"/>
      <c r="O116" s="29"/>
      <c r="P116" s="29"/>
      <c r="Q116" s="29"/>
      <c r="R116" s="29"/>
      <c r="S116" s="29"/>
      <c r="T116" s="29"/>
      <c r="U116" s="160"/>
    </row>
    <row r="117" spans="1:21" x14ac:dyDescent="0.25">
      <c r="A117" s="432" t="s">
        <v>467</v>
      </c>
      <c r="B117" s="27"/>
      <c r="C117" s="27"/>
      <c r="D117" s="27"/>
      <c r="E117" s="27"/>
      <c r="F117" s="27"/>
      <c r="G117" s="27"/>
      <c r="H117" s="27"/>
      <c r="I117" s="104">
        <f>I115-I84</f>
        <v>1340581.3899999999</v>
      </c>
      <c r="N117" s="29"/>
      <c r="O117" s="29"/>
      <c r="P117" s="29"/>
      <c r="Q117" s="29"/>
      <c r="R117" s="29"/>
      <c r="S117" s="29"/>
      <c r="T117" s="29"/>
      <c r="U117" s="160"/>
    </row>
    <row r="118" spans="1:21" x14ac:dyDescent="0.25">
      <c r="A118" s="27"/>
      <c r="B118" s="27"/>
      <c r="C118" s="27"/>
      <c r="D118" s="27"/>
      <c r="E118" s="27"/>
      <c r="F118" s="27"/>
      <c r="G118" s="27"/>
      <c r="H118" s="27"/>
      <c r="I118" s="104"/>
      <c r="N118" s="29"/>
      <c r="O118" s="29"/>
      <c r="P118" s="29"/>
      <c r="Q118" s="29"/>
      <c r="R118" s="29"/>
      <c r="S118" s="29"/>
      <c r="T118" s="29"/>
      <c r="U118" s="160"/>
    </row>
    <row r="119" spans="1:21" x14ac:dyDescent="0.25">
      <c r="A119" s="463" t="s">
        <v>468</v>
      </c>
      <c r="B119" s="453"/>
      <c r="C119" s="453"/>
      <c r="D119" s="453"/>
      <c r="E119" s="453"/>
      <c r="F119" s="453"/>
      <c r="G119" s="453"/>
      <c r="H119" s="84" t="s">
        <v>394</v>
      </c>
      <c r="I119" s="156"/>
      <c r="N119" s="481"/>
      <c r="O119" s="481"/>
      <c r="P119" s="481"/>
      <c r="Q119" s="481"/>
      <c r="R119" s="481"/>
      <c r="S119" s="481"/>
      <c r="T119" s="481"/>
      <c r="U119" s="481"/>
    </row>
    <row r="120" spans="1:21" x14ac:dyDescent="0.25">
      <c r="A120" s="453" t="s">
        <v>95</v>
      </c>
      <c r="B120" s="453"/>
      <c r="C120" s="453"/>
      <c r="D120" s="453"/>
      <c r="E120" s="453"/>
      <c r="F120" s="453"/>
      <c r="G120" s="453"/>
      <c r="H120" s="73" t="str">
        <f>IF(E29=0,"",IF((E14+E16+SUM(E18:E24))/E29&gt;0.75,1,""))</f>
        <v/>
      </c>
      <c r="I120" s="125">
        <f>U114</f>
        <v>0</v>
      </c>
      <c r="N120" s="476" t="s">
        <v>7</v>
      </c>
      <c r="O120" s="476"/>
      <c r="P120" s="476"/>
      <c r="Q120" s="476"/>
      <c r="R120" s="476"/>
      <c r="S120" s="476"/>
      <c r="T120" s="476"/>
      <c r="U120" s="476"/>
    </row>
    <row r="121" spans="1:21" x14ac:dyDescent="0.25">
      <c r="B121" s="72"/>
      <c r="C121" s="72"/>
      <c r="D121" s="72"/>
      <c r="E121" s="72"/>
      <c r="F121" s="72"/>
      <c r="G121" s="72"/>
      <c r="H121" s="68"/>
      <c r="I121" s="104"/>
      <c r="N121" s="74" t="s">
        <v>106</v>
      </c>
      <c r="O121" s="74"/>
      <c r="P121" s="74"/>
      <c r="Q121" s="74"/>
      <c r="R121" s="74"/>
      <c r="S121" s="74"/>
      <c r="T121" s="74"/>
      <c r="U121" s="74"/>
    </row>
    <row r="122" spans="1:21" x14ac:dyDescent="0.25">
      <c r="A122" s="3" t="s">
        <v>102</v>
      </c>
      <c r="B122" s="72"/>
      <c r="C122" s="72"/>
      <c r="D122" s="72"/>
      <c r="E122" s="72"/>
      <c r="F122" s="72"/>
      <c r="G122" s="286"/>
      <c r="H122" s="161">
        <f>IF(H120=1,I120,I117)</f>
        <v>1340581.3899999999</v>
      </c>
      <c r="I122" s="97">
        <f>ROUND(IF(E29=0,0,IF(E29&gt;250,-(((250/E29)*H122)*IF(G122="H",0.02,0.05)),IF(G122="H",-0.02*H122,-0.05*H122))),2)</f>
        <v>-67029.070000000007</v>
      </c>
      <c r="N122" s="75" t="s">
        <v>107</v>
      </c>
      <c r="O122" s="74"/>
      <c r="P122" s="74"/>
      <c r="Q122" s="74"/>
      <c r="R122" s="74"/>
      <c r="S122" s="74"/>
      <c r="T122" s="74"/>
      <c r="U122" s="74"/>
    </row>
    <row r="123" spans="1:21" x14ac:dyDescent="0.25">
      <c r="B123" s="72"/>
      <c r="C123" s="72"/>
      <c r="D123" s="72"/>
      <c r="E123" s="72"/>
      <c r="F123" s="72"/>
      <c r="G123" s="72"/>
      <c r="H123" s="68"/>
      <c r="I123" s="104"/>
      <c r="N123" s="76"/>
      <c r="O123" s="76"/>
      <c r="P123" s="76"/>
      <c r="Q123" s="76"/>
      <c r="R123" s="76"/>
      <c r="S123" s="76"/>
      <c r="T123" s="76"/>
      <c r="U123" s="76"/>
    </row>
    <row r="124" spans="1:21" x14ac:dyDescent="0.25">
      <c r="A124" s="345" t="s">
        <v>103</v>
      </c>
      <c r="B124" s="346"/>
      <c r="C124" s="346"/>
      <c r="D124" s="346"/>
      <c r="E124" s="346"/>
      <c r="F124" s="346"/>
      <c r="G124" s="346"/>
      <c r="H124" s="347"/>
      <c r="I124" s="348">
        <f>I115+I122</f>
        <v>1342716.3099999998</v>
      </c>
      <c r="N124" s="76"/>
      <c r="O124" s="76"/>
      <c r="P124" s="76"/>
      <c r="Q124" s="76"/>
      <c r="R124" s="76"/>
      <c r="S124" s="76"/>
      <c r="T124" s="76"/>
      <c r="U124" s="76"/>
    </row>
    <row r="125" spans="1:21" x14ac:dyDescent="0.25">
      <c r="B125" s="72"/>
      <c r="C125" s="72"/>
      <c r="D125" s="72"/>
      <c r="E125" s="72"/>
      <c r="F125" s="72"/>
      <c r="G125" s="72"/>
      <c r="H125" s="68"/>
      <c r="I125" s="104"/>
      <c r="N125" s="76"/>
      <c r="O125" s="76"/>
      <c r="P125" s="76"/>
      <c r="Q125" s="76"/>
      <c r="R125" s="76"/>
      <c r="S125" s="76"/>
      <c r="T125" s="76"/>
      <c r="U125" s="76"/>
    </row>
    <row r="126" spans="1:21" x14ac:dyDescent="0.25">
      <c r="A126" s="3" t="s">
        <v>104</v>
      </c>
      <c r="B126" s="72"/>
      <c r="C126" s="162"/>
      <c r="D126" s="72"/>
      <c r="F126" s="72"/>
      <c r="G126" s="72"/>
      <c r="H126" s="68"/>
      <c r="I126" s="302">
        <v>-1141987.18</v>
      </c>
      <c r="N126" s="76"/>
      <c r="O126" s="76"/>
      <c r="P126" s="76"/>
      <c r="Q126" s="76"/>
      <c r="R126" s="76"/>
      <c r="S126" s="76"/>
      <c r="T126" s="76"/>
      <c r="U126" s="76"/>
    </row>
    <row r="127" spans="1:21" x14ac:dyDescent="0.25">
      <c r="B127" s="72"/>
      <c r="C127" s="72"/>
      <c r="D127" s="72"/>
      <c r="E127" s="72"/>
      <c r="F127" s="72"/>
      <c r="G127" s="72"/>
      <c r="H127" s="68"/>
      <c r="I127" s="104"/>
      <c r="N127" s="76"/>
      <c r="O127" s="76"/>
      <c r="P127" s="76"/>
      <c r="Q127" s="76"/>
      <c r="R127" s="76"/>
      <c r="S127" s="76"/>
      <c r="T127" s="76"/>
      <c r="U127" s="76"/>
    </row>
    <row r="128" spans="1:21" x14ac:dyDescent="0.25">
      <c r="A128" s="84" t="s">
        <v>297</v>
      </c>
      <c r="B128" s="72"/>
      <c r="C128" s="72"/>
      <c r="D128" s="72"/>
      <c r="E128" s="72"/>
      <c r="F128" s="72"/>
      <c r="G128" s="72"/>
      <c r="H128" s="68"/>
      <c r="I128" s="104">
        <f>I124+I126</f>
        <v>200729.12999999989</v>
      </c>
      <c r="N128" s="76"/>
      <c r="O128" s="76"/>
      <c r="P128" s="76"/>
      <c r="Q128" s="76"/>
      <c r="R128" s="76"/>
      <c r="S128" s="76"/>
      <c r="T128" s="76"/>
      <c r="U128" s="76"/>
    </row>
    <row r="129" spans="1:21" x14ac:dyDescent="0.25">
      <c r="A129" s="84"/>
      <c r="B129" s="72"/>
      <c r="C129" s="72"/>
      <c r="D129" s="72"/>
      <c r="E129" s="72"/>
      <c r="F129" s="72"/>
      <c r="G129" s="72"/>
      <c r="H129" s="68"/>
      <c r="I129" s="104"/>
      <c r="N129" s="76"/>
      <c r="O129" s="76"/>
      <c r="P129" s="76"/>
      <c r="Q129" s="76"/>
      <c r="R129" s="76"/>
      <c r="S129" s="76"/>
      <c r="T129" s="76"/>
      <c r="U129" s="76"/>
    </row>
    <row r="130" spans="1:21" x14ac:dyDescent="0.25">
      <c r="A130" s="84" t="s">
        <v>298</v>
      </c>
      <c r="B130" s="72"/>
      <c r="C130" s="72"/>
      <c r="D130" s="72"/>
      <c r="E130" s="72"/>
      <c r="F130" s="72"/>
      <c r="G130" s="72"/>
      <c r="H130" s="68"/>
      <c r="I130" s="303">
        <f>'0664'!I130</f>
        <v>3</v>
      </c>
      <c r="N130" s="76"/>
      <c r="O130" s="76"/>
      <c r="P130" s="76"/>
      <c r="Q130" s="76"/>
      <c r="R130" s="76"/>
      <c r="S130" s="76"/>
      <c r="T130" s="76"/>
      <c r="U130" s="76"/>
    </row>
    <row r="131" spans="1:21" x14ac:dyDescent="0.25">
      <c r="B131" s="72"/>
      <c r="C131" s="72"/>
      <c r="D131" s="72"/>
      <c r="E131" s="72"/>
      <c r="F131" s="72"/>
      <c r="G131" s="72"/>
      <c r="H131" s="68"/>
      <c r="I131" s="104"/>
      <c r="N131" s="76"/>
      <c r="O131" s="76"/>
      <c r="P131" s="76"/>
      <c r="Q131" s="76"/>
      <c r="R131" s="76"/>
      <c r="S131" s="76"/>
      <c r="T131" s="76"/>
      <c r="U131" s="76"/>
    </row>
    <row r="132" spans="1:21" ht="16.5" thickBot="1" x14ac:dyDescent="0.3">
      <c r="A132" s="3" t="s">
        <v>105</v>
      </c>
      <c r="B132" s="72"/>
      <c r="C132" s="72"/>
      <c r="D132" s="72"/>
      <c r="E132" s="72"/>
      <c r="F132" s="72"/>
      <c r="G132" s="72"/>
      <c r="H132" s="68"/>
      <c r="I132" s="178">
        <f>ROUND(I128/I130,2)</f>
        <v>66909.710000000006</v>
      </c>
      <c r="N132" s="76"/>
      <c r="O132" s="76"/>
      <c r="P132" s="76"/>
      <c r="Q132" s="76"/>
      <c r="R132" s="76"/>
      <c r="S132" s="76"/>
      <c r="T132" s="76"/>
      <c r="U132" s="76"/>
    </row>
    <row r="133" spans="1:21" ht="16.5" thickTop="1" x14ac:dyDescent="0.25">
      <c r="B133" s="72"/>
      <c r="C133" s="72"/>
      <c r="D133" s="72"/>
      <c r="E133" s="72"/>
      <c r="F133" s="72"/>
      <c r="G133" s="72"/>
      <c r="H133" s="68"/>
      <c r="I133" s="104"/>
      <c r="N133" s="76"/>
      <c r="O133" s="76"/>
      <c r="P133" s="76"/>
      <c r="Q133" s="76"/>
      <c r="R133" s="76"/>
      <c r="S133" s="76"/>
      <c r="T133" s="76"/>
      <c r="U133" s="76"/>
    </row>
    <row r="134" spans="1:21" ht="16.5" thickBot="1" x14ac:dyDescent="0.3">
      <c r="A134" s="3" t="s">
        <v>121</v>
      </c>
      <c r="B134" s="72"/>
      <c r="C134" s="72"/>
      <c r="D134" s="72"/>
      <c r="E134" s="72"/>
      <c r="F134" s="72"/>
      <c r="G134" s="72"/>
      <c r="H134" s="68"/>
      <c r="I134" s="155">
        <f>ROUND(IF(G122="H",(H122*0.02)+I122,(H122*0.05)+I122),2)</f>
        <v>0</v>
      </c>
      <c r="N134" s="76"/>
      <c r="O134" s="76"/>
      <c r="P134" s="76"/>
      <c r="Q134" s="76"/>
      <c r="R134" s="76"/>
      <c r="S134" s="76"/>
      <c r="T134" s="76"/>
      <c r="U134" s="76"/>
    </row>
    <row r="135" spans="1:21" ht="16.5" thickTop="1" x14ac:dyDescent="0.25">
      <c r="B135" s="72"/>
      <c r="C135" s="72"/>
      <c r="D135" s="72"/>
      <c r="E135" s="72"/>
      <c r="F135" s="72"/>
      <c r="G135" s="72"/>
      <c r="H135" s="68"/>
      <c r="I135" s="156"/>
      <c r="N135" s="76"/>
      <c r="O135" s="76"/>
      <c r="P135" s="76"/>
      <c r="Q135" s="76"/>
      <c r="R135" s="76"/>
      <c r="S135" s="76"/>
      <c r="T135" s="76"/>
      <c r="U135" s="76"/>
    </row>
    <row r="136" spans="1:21" x14ac:dyDescent="0.25">
      <c r="B136" s="72"/>
      <c r="C136" s="72"/>
      <c r="D136" s="72"/>
      <c r="E136" s="72"/>
      <c r="F136" s="72"/>
      <c r="G136" s="72"/>
      <c r="H136" s="68"/>
      <c r="I136" s="104"/>
      <c r="N136" s="76"/>
      <c r="O136" s="76"/>
      <c r="P136" s="76"/>
      <c r="Q136" s="76"/>
      <c r="R136" s="76"/>
      <c r="S136" s="76"/>
      <c r="T136" s="76"/>
      <c r="U136" s="76"/>
    </row>
    <row r="137" spans="1:21" x14ac:dyDescent="0.25">
      <c r="B137" s="72"/>
      <c r="C137" s="72"/>
      <c r="D137" s="72"/>
      <c r="E137" s="72"/>
      <c r="F137" s="72"/>
      <c r="G137" s="72"/>
      <c r="H137" s="68"/>
      <c r="I137" s="156"/>
      <c r="N137" s="76"/>
      <c r="O137" s="76"/>
      <c r="P137" s="76"/>
      <c r="Q137" s="76"/>
      <c r="R137" s="76"/>
      <c r="S137" s="76"/>
      <c r="T137" s="76"/>
      <c r="U137" s="76"/>
    </row>
    <row r="138" spans="1:21" x14ac:dyDescent="0.25">
      <c r="A138" s="281" t="s">
        <v>7</v>
      </c>
      <c r="B138" s="281"/>
      <c r="C138" s="281"/>
      <c r="D138" s="281"/>
      <c r="E138" s="281"/>
      <c r="F138" s="281"/>
      <c r="G138" s="281"/>
      <c r="H138" s="281"/>
      <c r="I138" s="281"/>
      <c r="J138" s="156"/>
      <c r="N138" s="76"/>
      <c r="O138" s="76"/>
      <c r="P138" s="76"/>
      <c r="Q138" s="76"/>
      <c r="R138" s="76"/>
      <c r="S138" s="76"/>
      <c r="T138" s="76"/>
      <c r="U138" s="76"/>
    </row>
    <row r="139" spans="1:21" ht="15.75" customHeight="1" x14ac:dyDescent="0.25">
      <c r="A139" s="356" t="str">
        <f>'0664'!A139</f>
        <v>(a) Additional FTE includes FTE earned through Advanced Placement, International Baccalaureate, Advanced International Certificate of Education, Industry Certified Career</v>
      </c>
      <c r="B139" s="357"/>
      <c r="C139" s="357"/>
      <c r="D139" s="357"/>
      <c r="E139" s="357"/>
      <c r="F139" s="357"/>
      <c r="G139" s="357"/>
      <c r="H139" s="357"/>
      <c r="I139" s="357"/>
      <c r="J139" s="80"/>
      <c r="K139" s="79"/>
      <c r="L139" s="79"/>
      <c r="M139" s="79"/>
      <c r="N139" s="477"/>
      <c r="O139" s="477"/>
      <c r="P139" s="477"/>
      <c r="Q139" s="477"/>
      <c r="R139" s="477"/>
      <c r="S139" s="477"/>
      <c r="T139" s="477"/>
      <c r="U139" s="477"/>
    </row>
    <row r="140" spans="1:21" ht="15.75" customHeight="1" x14ac:dyDescent="0.25">
      <c r="A140" s="390" t="str">
        <f>'0664'!A140</f>
        <v xml:space="preserve">Education (CAPE), Early High School Graduation and the small district ESE Supplement, pursuant to s. 1011.62(1)(l-p), F.S. </v>
      </c>
      <c r="B140" s="357"/>
      <c r="C140" s="357"/>
      <c r="D140" s="357"/>
      <c r="E140" s="357"/>
      <c r="F140" s="357"/>
      <c r="G140" s="357"/>
      <c r="H140" s="357"/>
      <c r="I140" s="357"/>
      <c r="J140" s="80"/>
      <c r="K140" s="79"/>
      <c r="L140" s="79"/>
      <c r="M140" s="79"/>
      <c r="N140" s="76"/>
      <c r="O140" s="76"/>
      <c r="P140" s="76"/>
      <c r="Q140" s="76"/>
      <c r="R140" s="76"/>
      <c r="S140" s="76"/>
      <c r="T140" s="76"/>
      <c r="U140" s="76"/>
    </row>
    <row r="141" spans="1:21" x14ac:dyDescent="0.25">
      <c r="A141" s="356" t="str">
        <f>'0664'!A141</f>
        <v>(b) District allocations multiplied by percentage from item 3A.</v>
      </c>
      <c r="B141" s="281"/>
      <c r="C141" s="281"/>
      <c r="D141" s="281"/>
      <c r="E141" s="281"/>
      <c r="F141" s="281"/>
      <c r="G141" s="281"/>
      <c r="H141" s="281"/>
      <c r="I141" s="281"/>
      <c r="J141" s="79"/>
      <c r="K141" s="79"/>
      <c r="L141" s="79"/>
      <c r="M141" s="79"/>
      <c r="N141" s="81"/>
      <c r="O141" s="82"/>
      <c r="P141" s="82"/>
      <c r="Q141" s="82"/>
      <c r="R141" s="82"/>
      <c r="S141" s="82"/>
      <c r="T141" s="82"/>
      <c r="U141" s="82"/>
    </row>
    <row r="142" spans="1:21" s="79" customFormat="1" x14ac:dyDescent="0.2">
      <c r="A142" s="356" t="str">
        <f>'0664'!A142</f>
        <v>(c) District allocations multiplied by percentage from item 3B.</v>
      </c>
      <c r="B142" s="281"/>
      <c r="C142" s="281"/>
      <c r="D142" s="281"/>
      <c r="E142" s="281"/>
      <c r="F142" s="281"/>
      <c r="G142" s="281"/>
      <c r="H142" s="281"/>
      <c r="I142" s="281"/>
      <c r="N142" s="81"/>
    </row>
    <row r="143" spans="1:21" s="79" customFormat="1" ht="15.75" customHeight="1" x14ac:dyDescent="0.2">
      <c r="A143" s="356" t="str">
        <f>'0664'!A143</f>
        <v>(d) The Digital Classroom Allocation is provided pursuant to s. 1011.62(12), F.S.</v>
      </c>
      <c r="B143" s="281"/>
      <c r="C143" s="281"/>
      <c r="D143" s="281"/>
      <c r="E143" s="281"/>
      <c r="F143" s="281"/>
      <c r="G143" s="281"/>
      <c r="H143" s="281"/>
      <c r="I143" s="281"/>
      <c r="N143" s="81"/>
    </row>
    <row r="144" spans="1:21" s="79" customFormat="1" ht="15.75" customHeight="1" x14ac:dyDescent="0.2">
      <c r="A144" s="356" t="str">
        <f>'0664'!A144</f>
        <v>(e) School districts are required to pay for instructional materials used for the instruction of public high school students who are earning credit toward high school</v>
      </c>
      <c r="B144" s="281"/>
      <c r="C144" s="281"/>
      <c r="D144" s="281"/>
      <c r="E144" s="281"/>
      <c r="F144" s="281"/>
      <c r="G144" s="281"/>
      <c r="H144" s="281"/>
      <c r="I144" s="281"/>
      <c r="N144" s="81"/>
    </row>
    <row r="145" spans="1:14" s="79" customFormat="1" ht="15.75" customHeight="1" x14ac:dyDescent="0.2">
      <c r="A145" s="390" t="str">
        <f>'0664'!A145</f>
        <v xml:space="preserve">graduation under the dual enrollment program as provided in s. 1011.62(l)(i), F.S.  </v>
      </c>
      <c r="B145" s="281"/>
      <c r="C145" s="281"/>
      <c r="D145" s="281"/>
      <c r="E145" s="281"/>
      <c r="F145" s="281"/>
      <c r="G145" s="281"/>
      <c r="H145" s="281"/>
      <c r="I145" s="281"/>
      <c r="N145" s="81"/>
    </row>
    <row r="146" spans="1:14" s="79" customFormat="1" x14ac:dyDescent="0.2">
      <c r="A146" s="356" t="str">
        <f>'0664'!A146</f>
        <v>(f) This allocation will be frozen as of the 2021-22 FEFP Second Calculation and will not be recalculated throughout the year. Charter school allocations should be</v>
      </c>
      <c r="B146" s="281"/>
      <c r="C146" s="281"/>
      <c r="D146" s="281"/>
      <c r="E146" s="281"/>
      <c r="F146" s="281"/>
      <c r="G146" s="281"/>
      <c r="H146" s="281"/>
      <c r="I146" s="281"/>
      <c r="N146" s="81"/>
    </row>
    <row r="147" spans="1:14" s="79" customFormat="1" x14ac:dyDescent="0.2">
      <c r="A147" s="358" t="str">
        <f>'0664'!A147</f>
        <v xml:space="preserve">distributed on weighted FTE (or base funding as is done in the FEFP) and should not be recalculated with fluctuations in student enrollment later in the year. </v>
      </c>
      <c r="B147" s="281"/>
      <c r="C147" s="281"/>
      <c r="D147" s="281"/>
      <c r="E147" s="281"/>
      <c r="F147" s="281"/>
      <c r="G147" s="281"/>
      <c r="H147" s="281"/>
      <c r="I147" s="281"/>
      <c r="N147" s="81"/>
    </row>
    <row r="148" spans="1:14" s="79" customFormat="1" x14ac:dyDescent="0.2">
      <c r="A148" s="356" t="str">
        <f>'0664'!A148</f>
        <v>(g) Numbers entered here will be multiplied by the district level transportation funding per rider. "All Adjusted Fundable Riders" should include both basic and ESE Riders.</v>
      </c>
      <c r="B148" s="281"/>
      <c r="C148" s="281"/>
      <c r="D148" s="281"/>
      <c r="E148" s="281"/>
      <c r="F148" s="281"/>
      <c r="G148" s="281"/>
      <c r="H148" s="281"/>
      <c r="I148" s="281"/>
      <c r="N148" s="81"/>
    </row>
    <row r="149" spans="1:14" s="79" customFormat="1" x14ac:dyDescent="0.2">
      <c r="A149" s="390" t="str">
        <f>'0664'!A149</f>
        <v>"All Adjusted ESE Riders" should include only ESE Riders.</v>
      </c>
      <c r="B149" s="281"/>
      <c r="C149" s="281"/>
      <c r="D149" s="281"/>
      <c r="E149" s="281"/>
      <c r="F149" s="281"/>
      <c r="G149" s="281"/>
      <c r="H149" s="281"/>
      <c r="I149" s="281"/>
      <c r="N149" s="81"/>
    </row>
    <row r="150" spans="1:14" s="79" customFormat="1" x14ac:dyDescent="0.2">
      <c r="A150" s="356" t="str">
        <f>'0664'!A150</f>
        <v xml:space="preserve">(h) The Federally Connected Student Supplement provides additional funding for students on federal lands that receive Section 8003 impact aide pursuant to s. 1011.62(13), F.S. </v>
      </c>
      <c r="B150" s="281"/>
      <c r="C150" s="281"/>
      <c r="D150" s="281"/>
      <c r="E150" s="281"/>
      <c r="F150" s="281"/>
      <c r="G150" s="281"/>
      <c r="H150" s="281"/>
      <c r="I150" s="281"/>
      <c r="N150" s="81"/>
    </row>
    <row r="151" spans="1:14" s="79" customFormat="1" x14ac:dyDescent="0.2">
      <c r="A151" s="356" t="str">
        <f>'0664'!A151</f>
        <v>(i) Teacher Classroom Supply Assistance Program allocation pursuant to s. 1012.71, F.S., for certified teachers employed by a public school district or public charter school</v>
      </c>
      <c r="B151" s="281"/>
      <c r="C151" s="281"/>
      <c r="D151" s="281"/>
      <c r="E151" s="281"/>
      <c r="F151" s="281"/>
      <c r="G151" s="281"/>
      <c r="H151" s="281"/>
      <c r="I151" s="281"/>
      <c r="N151" s="81"/>
    </row>
    <row r="152" spans="1:14" s="79" customFormat="1" x14ac:dyDescent="0.2">
      <c r="A152" s="358" t="str">
        <f>'0664'!A152</f>
        <v xml:space="preserve">before September 1 of each year whose full-time or job-share responsibility is the classroom instruction of students in prekindergarten through grade 12, including </v>
      </c>
      <c r="B152" s="281"/>
      <c r="C152" s="281"/>
      <c r="D152" s="281"/>
      <c r="E152" s="281"/>
      <c r="F152" s="281"/>
      <c r="G152" s="281"/>
      <c r="H152" s="281"/>
      <c r="I152" s="281"/>
      <c r="N152" s="81"/>
    </row>
    <row r="153" spans="1:14" s="79" customFormat="1" ht="15.75" customHeight="1" x14ac:dyDescent="0.2">
      <c r="A153" s="358" t="str">
        <f>'0664'!A153</f>
        <v>full-time media specialists and certified school counselors serving students in prekindergarten through grade 12, who are funded through the FEFP.</v>
      </c>
      <c r="B153" s="281"/>
      <c r="C153" s="281"/>
      <c r="D153" s="281"/>
      <c r="E153" s="281"/>
      <c r="F153" s="281"/>
      <c r="G153" s="281"/>
      <c r="H153" s="281"/>
      <c r="I153" s="281"/>
      <c r="N153" s="81"/>
    </row>
    <row r="154" spans="1:14" s="79" customFormat="1" ht="15.75" customHeight="1" x14ac:dyDescent="0.2">
      <c r="A154" s="356" t="str">
        <f>'0664'!A154</f>
        <v xml:space="preserve">(j) Funding based on student eligibility and meals provided, if participating in the National School Lunch Program. </v>
      </c>
      <c r="B154" s="328"/>
      <c r="C154" s="328"/>
      <c r="D154" s="328"/>
      <c r="E154" s="328"/>
      <c r="F154" s="328"/>
      <c r="G154" s="328"/>
      <c r="H154" s="328"/>
      <c r="I154" s="328"/>
      <c r="N154" s="81"/>
    </row>
    <row r="155" spans="1:14" s="79" customFormat="1" ht="15.75" customHeight="1" x14ac:dyDescent="0.2">
      <c r="A155" s="356" t="str">
        <f>'0664'!A155</f>
        <v>(k) Consistent with s. 1002.33(20)(a), F.S., for charter schools with a population of 75% or more ESE students, the administrative fee shall be calculated based on</v>
      </c>
      <c r="B155" s="381"/>
      <c r="C155" s="381"/>
      <c r="D155" s="381"/>
      <c r="E155" s="381"/>
      <c r="F155" s="381"/>
      <c r="G155" s="381"/>
      <c r="H155" s="381"/>
      <c r="I155" s="381"/>
      <c r="N155" s="81"/>
    </row>
    <row r="156" spans="1:14" s="79" customFormat="1" ht="15.75" customHeight="1" x14ac:dyDescent="0.2">
      <c r="A156" s="390" t="str">
        <f>'0664'!A156</f>
        <v xml:space="preserve">unweighted full-time equivalent students. </v>
      </c>
      <c r="B156" s="381"/>
      <c r="C156" s="381"/>
      <c r="D156" s="381"/>
      <c r="E156" s="381"/>
      <c r="F156" s="381"/>
      <c r="G156" s="381"/>
      <c r="H156" s="381"/>
      <c r="I156" s="381"/>
      <c r="N156" s="81"/>
    </row>
    <row r="157" spans="1:14" s="79" customFormat="1" ht="15.75" customHeight="1" x14ac:dyDescent="0.2">
      <c r="A157" s="356"/>
      <c r="B157" s="381"/>
      <c r="C157" s="381"/>
      <c r="D157" s="381"/>
      <c r="E157" s="381"/>
      <c r="F157" s="381"/>
      <c r="G157" s="381"/>
      <c r="H157" s="381"/>
      <c r="I157" s="381"/>
      <c r="N157" s="81"/>
    </row>
    <row r="158" spans="1:14" s="79" customFormat="1" ht="15.75" customHeight="1" x14ac:dyDescent="0.25">
      <c r="A158" s="398" t="str">
        <f>'0664'!A158</f>
        <v>Administrative fees:</v>
      </c>
      <c r="B158" s="328"/>
      <c r="C158" s="328"/>
      <c r="D158" s="328"/>
      <c r="E158" s="328"/>
      <c r="F158" s="328"/>
      <c r="G158" s="328"/>
      <c r="H158" s="328"/>
      <c r="I158" s="328"/>
      <c r="J158" s="3"/>
      <c r="K158" s="3"/>
      <c r="L158" s="3"/>
      <c r="M158" s="3"/>
      <c r="N158" s="81"/>
    </row>
    <row r="159" spans="1:14" s="79" customFormat="1" ht="15.75" customHeight="1" x14ac:dyDescent="0.25">
      <c r="A159" s="399" t="str">
        <f>'0664'!A159</f>
        <v xml:space="preserve">Administrative fees charged by the school district pursuant to s. 1002.33(20)(a), F.S., shall be calculated based upon 5% of available funds from the FEFP and categorical </v>
      </c>
      <c r="B159" s="328"/>
      <c r="C159" s="328"/>
      <c r="D159" s="328"/>
      <c r="E159" s="328"/>
      <c r="F159" s="328"/>
      <c r="G159" s="328"/>
      <c r="H159" s="328"/>
      <c r="I159" s="328"/>
      <c r="J159" s="3"/>
      <c r="K159" s="3"/>
      <c r="L159" s="3"/>
      <c r="M159" s="3"/>
      <c r="N159" s="81"/>
    </row>
    <row r="160" spans="1:14" s="79" customFormat="1" ht="15.75" customHeight="1" x14ac:dyDescent="0.25">
      <c r="A160" s="400" t="str">
        <f>'0664'!A160</f>
        <v>funding for which charter students may be eligible.  To calculate the administrative fee to be withheld for schools with more than 250 students, divide the school</v>
      </c>
      <c r="B160" s="328"/>
      <c r="C160" s="328"/>
      <c r="D160" s="328"/>
      <c r="E160" s="328"/>
      <c r="F160" s="328"/>
      <c r="G160" s="328"/>
      <c r="H160" s="328"/>
      <c r="I160" s="328"/>
      <c r="J160" s="3"/>
      <c r="K160" s="3"/>
      <c r="L160" s="3"/>
      <c r="M160" s="3"/>
      <c r="N160" s="81"/>
    </row>
    <row r="161" spans="1:21" s="79" customFormat="1" ht="15.75" customHeight="1" x14ac:dyDescent="0.25">
      <c r="A161" s="400" t="str">
        <f>'0664'!A161</f>
        <v xml:space="preserve">population into 250. Multiply that fraction times the funds available, then times 5%.  </v>
      </c>
      <c r="B161" s="328"/>
      <c r="C161" s="328"/>
      <c r="D161" s="328"/>
      <c r="E161" s="328"/>
      <c r="F161" s="328"/>
      <c r="G161" s="328"/>
      <c r="H161" s="328"/>
      <c r="I161" s="328"/>
      <c r="J161" s="3"/>
      <c r="K161" s="3"/>
      <c r="L161" s="3"/>
      <c r="M161" s="3"/>
      <c r="N161" s="81"/>
    </row>
    <row r="162" spans="1:21" s="79" customFormat="1" ht="15.75" customHeight="1" x14ac:dyDescent="0.25">
      <c r="A162" s="399"/>
      <c r="B162" s="394"/>
      <c r="C162" s="394"/>
      <c r="D162" s="394"/>
      <c r="E162" s="394"/>
      <c r="F162" s="394"/>
      <c r="G162" s="394"/>
      <c r="H162" s="394"/>
      <c r="I162" s="394"/>
      <c r="N162" s="77"/>
      <c r="O162" s="3"/>
      <c r="P162" s="3"/>
      <c r="Q162" s="3"/>
      <c r="R162" s="3"/>
      <c r="S162" s="3"/>
      <c r="T162" s="3"/>
      <c r="U162" s="3"/>
    </row>
    <row r="163" spans="1:21" ht="15.75" customHeight="1" x14ac:dyDescent="0.25">
      <c r="A163" s="399" t="str">
        <f>'0664'!A163</f>
        <v xml:space="preserve">For high performing charter schools, administrative fees charged by the school district shall be calculated based upon 2% of available funds from the FEFP and categorical </v>
      </c>
      <c r="B163" s="328"/>
      <c r="C163" s="328"/>
      <c r="D163" s="328"/>
      <c r="E163" s="328"/>
      <c r="F163" s="328"/>
      <c r="G163" s="328"/>
      <c r="H163" s="328"/>
      <c r="I163" s="328"/>
      <c r="J163" s="79"/>
      <c r="K163" s="79"/>
      <c r="L163" s="79"/>
      <c r="M163" s="79"/>
      <c r="N163" s="81"/>
      <c r="O163" s="79"/>
      <c r="P163" s="79"/>
      <c r="Q163" s="79"/>
      <c r="R163" s="79"/>
      <c r="S163" s="79"/>
      <c r="T163" s="79"/>
      <c r="U163" s="79"/>
    </row>
    <row r="164" spans="1:21" ht="15.75" customHeight="1" x14ac:dyDescent="0.25">
      <c r="A164" s="400" t="str">
        <f>'0664'!A164</f>
        <v>funding for which charter students may be eligible.  To calculate the administrative fee to be withheld for schools with more than 250 students, divide the school</v>
      </c>
      <c r="B164" s="381"/>
      <c r="C164" s="381"/>
      <c r="D164" s="381"/>
      <c r="E164" s="381"/>
      <c r="F164" s="381"/>
      <c r="G164" s="381"/>
      <c r="H164" s="381"/>
      <c r="I164" s="381"/>
      <c r="J164" s="79"/>
      <c r="K164" s="79"/>
      <c r="L164" s="79"/>
      <c r="M164" s="79"/>
      <c r="N164" s="81"/>
      <c r="O164" s="79"/>
      <c r="P164" s="79"/>
      <c r="Q164" s="79"/>
      <c r="R164" s="79"/>
      <c r="S164" s="79"/>
      <c r="T164" s="79"/>
      <c r="U164" s="79"/>
    </row>
    <row r="165" spans="1:21" s="79" customFormat="1" ht="15.75" customHeight="1" x14ac:dyDescent="0.2">
      <c r="A165" s="400" t="str">
        <f>'0664'!A165</f>
        <v xml:space="preserve">population into 250. Multiply that fraction times the funds available, then times 2%.  </v>
      </c>
      <c r="B165" s="328"/>
      <c r="C165" s="328"/>
      <c r="D165" s="328"/>
      <c r="E165" s="328"/>
      <c r="F165" s="328"/>
      <c r="G165" s="328"/>
      <c r="H165" s="328"/>
      <c r="I165" s="328"/>
      <c r="N165" s="81"/>
    </row>
    <row r="166" spans="1:21" x14ac:dyDescent="0.25">
      <c r="A166" s="356"/>
      <c r="N166" s="77"/>
    </row>
    <row r="167" spans="1:21" x14ac:dyDescent="0.25">
      <c r="A167" s="398" t="str">
        <f>'0664'!A167</f>
        <v>Other:</v>
      </c>
      <c r="N167" s="77"/>
    </row>
    <row r="168" spans="1:21" x14ac:dyDescent="0.25">
      <c r="A168" s="399" t="str">
        <f>'0664'!A168</f>
        <v>FEFP and categorical funding are recalculated during the year to reflect the revised number of full-time equivalent students reported during the survey periods designated</v>
      </c>
      <c r="N168" s="77"/>
    </row>
    <row r="169" spans="1:21" x14ac:dyDescent="0.25">
      <c r="A169" s="402" t="str">
        <f>'0664'!A169</f>
        <v>by the Commissioner of Education.</v>
      </c>
      <c r="N169" s="77"/>
    </row>
    <row r="170" spans="1:21" x14ac:dyDescent="0.25">
      <c r="A170" s="399" t="str">
        <f>'0664'!A170</f>
        <v>Revenues flow to districts from state sources and from county tax collectors on various distribution schedules.</v>
      </c>
      <c r="N170" s="77"/>
    </row>
    <row r="171" spans="1:21" x14ac:dyDescent="0.25">
      <c r="A171" s="77"/>
      <c r="N171" s="77"/>
    </row>
    <row r="172" spans="1:21" x14ac:dyDescent="0.25">
      <c r="A172" s="77"/>
      <c r="N172" s="77"/>
    </row>
    <row r="173" spans="1:21" x14ac:dyDescent="0.25">
      <c r="A173" s="77"/>
      <c r="N173" s="77"/>
    </row>
    <row r="174" spans="1:21" x14ac:dyDescent="0.25">
      <c r="A174" s="77"/>
      <c r="N174" s="77"/>
    </row>
    <row r="175" spans="1:21" x14ac:dyDescent="0.25">
      <c r="A175" s="77"/>
      <c r="N175" s="77"/>
    </row>
    <row r="176" spans="1:21" x14ac:dyDescent="0.25">
      <c r="A176" s="77"/>
      <c r="N176" s="77"/>
    </row>
    <row r="177" spans="1:14" x14ac:dyDescent="0.25">
      <c r="A177" s="77"/>
      <c r="N177" s="77"/>
    </row>
    <row r="178" spans="1:14" x14ac:dyDescent="0.25">
      <c r="A178" s="77"/>
      <c r="N178" s="77"/>
    </row>
    <row r="179" spans="1:14" x14ac:dyDescent="0.25">
      <c r="A179" s="77"/>
      <c r="N179" s="77"/>
    </row>
    <row r="180" spans="1:14" x14ac:dyDescent="0.25">
      <c r="A180" s="77"/>
      <c r="N180" s="77"/>
    </row>
    <row r="181" spans="1:14" x14ac:dyDescent="0.25">
      <c r="A181" s="77"/>
      <c r="N181" s="77"/>
    </row>
    <row r="182" spans="1:14" x14ac:dyDescent="0.25">
      <c r="A182" s="77"/>
      <c r="N182" s="77"/>
    </row>
    <row r="183" spans="1:14" x14ac:dyDescent="0.25">
      <c r="A183" s="77"/>
      <c r="N183" s="77"/>
    </row>
    <row r="184" spans="1:14" x14ac:dyDescent="0.25">
      <c r="A184" s="77"/>
      <c r="N184" s="77"/>
    </row>
    <row r="185" spans="1:14" x14ac:dyDescent="0.25">
      <c r="A185" s="77"/>
      <c r="N185" s="77"/>
    </row>
    <row r="186" spans="1:14" x14ac:dyDescent="0.25">
      <c r="A186" s="77"/>
      <c r="N186" s="77"/>
    </row>
    <row r="187" spans="1:14" x14ac:dyDescent="0.25">
      <c r="A187" s="77"/>
      <c r="N187" s="77"/>
    </row>
    <row r="188" spans="1:14" x14ac:dyDescent="0.25">
      <c r="A188" s="77"/>
    </row>
    <row r="189" spans="1:14" x14ac:dyDescent="0.25">
      <c r="A189" s="77"/>
    </row>
    <row r="190" spans="1:14" x14ac:dyDescent="0.25">
      <c r="A190" s="77"/>
    </row>
    <row r="191" spans="1:14" x14ac:dyDescent="0.25">
      <c r="A191" s="77"/>
    </row>
    <row r="192" spans="1:14" x14ac:dyDescent="0.25">
      <c r="A192" s="77"/>
    </row>
    <row r="193" spans="1:1" x14ac:dyDescent="0.25">
      <c r="A193" s="77"/>
    </row>
    <row r="194" spans="1:1" x14ac:dyDescent="0.25">
      <c r="A194" s="77"/>
    </row>
    <row r="195" spans="1:1" x14ac:dyDescent="0.25">
      <c r="A195" s="77"/>
    </row>
    <row r="196" spans="1:1" x14ac:dyDescent="0.25">
      <c r="A196" s="77"/>
    </row>
    <row r="197" spans="1:1" x14ac:dyDescent="0.25">
      <c r="A197" s="77"/>
    </row>
    <row r="198" spans="1:1" x14ac:dyDescent="0.25">
      <c r="A198" s="77"/>
    </row>
    <row r="199" spans="1:1" x14ac:dyDescent="0.25">
      <c r="A199" s="77"/>
    </row>
    <row r="200" spans="1:1" x14ac:dyDescent="0.25">
      <c r="A200" s="77"/>
    </row>
    <row r="201" spans="1:1" x14ac:dyDescent="0.25">
      <c r="A201" s="77"/>
    </row>
    <row r="202" spans="1:1" x14ac:dyDescent="0.25">
      <c r="A202" s="77"/>
    </row>
    <row r="203" spans="1:1" x14ac:dyDescent="0.25">
      <c r="A203" s="77"/>
    </row>
    <row r="204" spans="1:1" x14ac:dyDescent="0.25">
      <c r="A204" s="77"/>
    </row>
    <row r="205" spans="1:1" x14ac:dyDescent="0.25">
      <c r="A205" s="77"/>
    </row>
    <row r="206" spans="1:1" x14ac:dyDescent="0.25">
      <c r="A206" s="77"/>
    </row>
  </sheetData>
  <mergeCells count="266">
    <mergeCell ref="N7:U7"/>
    <mergeCell ref="N8:O8"/>
    <mergeCell ref="P8:Q8"/>
    <mergeCell ref="R8:S8"/>
    <mergeCell ref="T8:U8"/>
    <mergeCell ref="F10:G10"/>
    <mergeCell ref="R10:S10"/>
    <mergeCell ref="N77:P77"/>
    <mergeCell ref="B1:I1"/>
    <mergeCell ref="O1:U1"/>
    <mergeCell ref="N2:U2"/>
    <mergeCell ref="N3:U3"/>
    <mergeCell ref="A4:B4"/>
    <mergeCell ref="C4:E4"/>
    <mergeCell ref="N4:O4"/>
    <mergeCell ref="P4:Q4"/>
    <mergeCell ref="A7:I7"/>
    <mergeCell ref="A11:B11"/>
    <mergeCell ref="F11:G11"/>
    <mergeCell ref="N11:O11"/>
    <mergeCell ref="P11:Q11"/>
    <mergeCell ref="R11:S11"/>
    <mergeCell ref="A12:B12"/>
    <mergeCell ref="F12:G12"/>
    <mergeCell ref="N12:O12"/>
    <mergeCell ref="P12:Q12"/>
    <mergeCell ref="R12:S12"/>
    <mergeCell ref="A13:B13"/>
    <mergeCell ref="F13:G13"/>
    <mergeCell ref="N13:O13"/>
    <mergeCell ref="P13:Q13"/>
    <mergeCell ref="R13:S13"/>
    <mergeCell ref="A14:B14"/>
    <mergeCell ref="F14:G14"/>
    <mergeCell ref="N14:O14"/>
    <mergeCell ref="P14:Q14"/>
    <mergeCell ref="R14:S14"/>
    <mergeCell ref="A15:B15"/>
    <mergeCell ref="F15:G15"/>
    <mergeCell ref="N15:O15"/>
    <mergeCell ref="P15:Q15"/>
    <mergeCell ref="R15:S15"/>
    <mergeCell ref="A16:B16"/>
    <mergeCell ref="F16:G16"/>
    <mergeCell ref="N16:O16"/>
    <mergeCell ref="P16:Q16"/>
    <mergeCell ref="R16:S16"/>
    <mergeCell ref="A17:B17"/>
    <mergeCell ref="F17:G17"/>
    <mergeCell ref="N17:O17"/>
    <mergeCell ref="P17:Q17"/>
    <mergeCell ref="R17:S17"/>
    <mergeCell ref="A18:B18"/>
    <mergeCell ref="F18:G18"/>
    <mergeCell ref="N18:O18"/>
    <mergeCell ref="P18:Q18"/>
    <mergeCell ref="R18:S18"/>
    <mergeCell ref="A19:B19"/>
    <mergeCell ref="F19:G19"/>
    <mergeCell ref="N19:O19"/>
    <mergeCell ref="P19:Q19"/>
    <mergeCell ref="R19:S19"/>
    <mergeCell ref="A20:B20"/>
    <mergeCell ref="F20:G20"/>
    <mergeCell ref="N20:O20"/>
    <mergeCell ref="P20:Q20"/>
    <mergeCell ref="R20:S20"/>
    <mergeCell ref="A21:B21"/>
    <mergeCell ref="F21:G21"/>
    <mergeCell ref="N21:O21"/>
    <mergeCell ref="P21:Q21"/>
    <mergeCell ref="R21:S21"/>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F33:H36"/>
    <mergeCell ref="N34:T34"/>
    <mergeCell ref="A36:B36"/>
    <mergeCell ref="N36:O36"/>
    <mergeCell ref="P36:T36"/>
    <mergeCell ref="A39:B39"/>
    <mergeCell ref="N39:O39"/>
    <mergeCell ref="P39:T39"/>
    <mergeCell ref="A40:B40"/>
    <mergeCell ref="N40:O40"/>
    <mergeCell ref="P40:T40"/>
    <mergeCell ref="A37:B37"/>
    <mergeCell ref="N37:O37"/>
    <mergeCell ref="P37:T37"/>
    <mergeCell ref="A38:B38"/>
    <mergeCell ref="N38:O38"/>
    <mergeCell ref="P38:T38"/>
    <mergeCell ref="N43:Q43"/>
    <mergeCell ref="S43:T43"/>
    <mergeCell ref="N45:Q45"/>
    <mergeCell ref="S45:T45"/>
    <mergeCell ref="N49:O49"/>
    <mergeCell ref="P49:Q49"/>
    <mergeCell ref="A41:B41"/>
    <mergeCell ref="N41:O41"/>
    <mergeCell ref="P41:T41"/>
    <mergeCell ref="A42:B42"/>
    <mergeCell ref="N42:O42"/>
    <mergeCell ref="P42:T42"/>
    <mergeCell ref="P58:Q58"/>
    <mergeCell ref="A59:B59"/>
    <mergeCell ref="F59:H59"/>
    <mergeCell ref="N59:O59"/>
    <mergeCell ref="P59:Q59"/>
    <mergeCell ref="R59:T59"/>
    <mergeCell ref="A50:B58"/>
    <mergeCell ref="N50:O58"/>
    <mergeCell ref="P50:Q50"/>
    <mergeCell ref="P51:Q51"/>
    <mergeCell ref="P52:Q52"/>
    <mergeCell ref="P53:Q53"/>
    <mergeCell ref="P54:Q54"/>
    <mergeCell ref="P55:Q55"/>
    <mergeCell ref="P56:Q56"/>
    <mergeCell ref="P57:Q57"/>
    <mergeCell ref="A60:I60"/>
    <mergeCell ref="N60:U60"/>
    <mergeCell ref="A61:I61"/>
    <mergeCell ref="N61:U61"/>
    <mergeCell ref="A62:B62"/>
    <mergeCell ref="D62:G62"/>
    <mergeCell ref="N62:O62"/>
    <mergeCell ref="Q62:S62"/>
    <mergeCell ref="T62:U62"/>
    <mergeCell ref="N63:S63"/>
    <mergeCell ref="T63:U63"/>
    <mergeCell ref="A64:I64"/>
    <mergeCell ref="N64:U64"/>
    <mergeCell ref="A65:B65"/>
    <mergeCell ref="D65:G65"/>
    <mergeCell ref="N65:O65"/>
    <mergeCell ref="Q65:S65"/>
    <mergeCell ref="T65:U65"/>
    <mergeCell ref="A70:C70"/>
    <mergeCell ref="A71:C71"/>
    <mergeCell ref="N71:P71"/>
    <mergeCell ref="A72:C72"/>
    <mergeCell ref="N72:P72"/>
    <mergeCell ref="N66:S66"/>
    <mergeCell ref="T66:U66"/>
    <mergeCell ref="A68:C68"/>
    <mergeCell ref="N68:P68"/>
    <mergeCell ref="A69:C69"/>
    <mergeCell ref="N69:P69"/>
    <mergeCell ref="A80:C80"/>
    <mergeCell ref="N80:P80"/>
    <mergeCell ref="A85:C85"/>
    <mergeCell ref="N85:P85"/>
    <mergeCell ref="A87:I87"/>
    <mergeCell ref="N87:U87"/>
    <mergeCell ref="F73:H73"/>
    <mergeCell ref="N73:T73"/>
    <mergeCell ref="N74:T74"/>
    <mergeCell ref="A78:C78"/>
    <mergeCell ref="N78:P78"/>
    <mergeCell ref="A79:C79"/>
    <mergeCell ref="N79:P79"/>
    <mergeCell ref="A76:C76"/>
    <mergeCell ref="N76:P76"/>
    <mergeCell ref="A77:C77"/>
    <mergeCell ref="C91:D91"/>
    <mergeCell ref="P91:Q91"/>
    <mergeCell ref="C92:D92"/>
    <mergeCell ref="P92:Q92"/>
    <mergeCell ref="C93:D93"/>
    <mergeCell ref="P93:T93"/>
    <mergeCell ref="C88:D88"/>
    <mergeCell ref="C89:D89"/>
    <mergeCell ref="N89:O89"/>
    <mergeCell ref="P89:Q89"/>
    <mergeCell ref="R89:U89"/>
    <mergeCell ref="C90:D90"/>
    <mergeCell ref="P90:Q90"/>
    <mergeCell ref="A100:B100"/>
    <mergeCell ref="N100:O100"/>
    <mergeCell ref="P100:R100"/>
    <mergeCell ref="A103:C103"/>
    <mergeCell ref="F103:I103"/>
    <mergeCell ref="N103:U103"/>
    <mergeCell ref="A94:I94"/>
    <mergeCell ref="N94:U94"/>
    <mergeCell ref="F96:I96"/>
    <mergeCell ref="N96:P96"/>
    <mergeCell ref="Q96:T96"/>
    <mergeCell ref="A99:B99"/>
    <mergeCell ref="N99:O99"/>
    <mergeCell ref="P99:R99"/>
    <mergeCell ref="R106:S106"/>
    <mergeCell ref="A107:B107"/>
    <mergeCell ref="F107:G107"/>
    <mergeCell ref="N107:O107"/>
    <mergeCell ref="P107:Q107"/>
    <mergeCell ref="R107:S107"/>
    <mergeCell ref="C104:E104"/>
    <mergeCell ref="F105:G105"/>
    <mergeCell ref="A106:B106"/>
    <mergeCell ref="F106:G106"/>
    <mergeCell ref="N106:O106"/>
    <mergeCell ref="P106:Q106"/>
    <mergeCell ref="A108:B108"/>
    <mergeCell ref="F108:G108"/>
    <mergeCell ref="N108:O108"/>
    <mergeCell ref="P108:Q108"/>
    <mergeCell ref="R108:S108"/>
    <mergeCell ref="A109:B109"/>
    <mergeCell ref="F109:G109"/>
    <mergeCell ref="N109:O109"/>
    <mergeCell ref="P109:Q109"/>
    <mergeCell ref="R109:S109"/>
    <mergeCell ref="N139:U139"/>
    <mergeCell ref="N114:T114"/>
    <mergeCell ref="A115:H115"/>
    <mergeCell ref="A119:G119"/>
    <mergeCell ref="N119:U119"/>
    <mergeCell ref="A120:G120"/>
    <mergeCell ref="N120:U120"/>
    <mergeCell ref="A110:B110"/>
    <mergeCell ref="N110:O110"/>
    <mergeCell ref="A112:C112"/>
    <mergeCell ref="F112:H112"/>
    <mergeCell ref="N112:P112"/>
    <mergeCell ref="A113:C113"/>
    <mergeCell ref="F113:H113"/>
    <mergeCell ref="N113:P113"/>
  </mergeCells>
  <pageMargins left="0.1" right="0.1" top="0.5" bottom="0.5" header="0" footer="0.1"/>
  <pageSetup scale="70" fitToHeight="3" orientation="portrait" r:id="rId1"/>
  <headerFooter alignWithMargins="0">
    <oddFooter>&amp;R&amp;P of &amp;N</oddFooter>
  </headerFooter>
  <rowBreaks count="1" manualBreakCount="1">
    <brk id="138" max="16383" man="1"/>
  </rowBreaks>
  <colBreaks count="1" manualBreakCount="1">
    <brk id="9" max="1048575" man="1"/>
  </colBreaks>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1">
    <tabColor rgb="FFCCFFCC"/>
  </sheetPr>
  <dimension ref="A1:U206"/>
  <sheetViews>
    <sheetView showGridLines="0" zoomScaleNormal="100" workbookViewId="0">
      <pane ySplit="1" topLeftCell="A11" activePane="bottomLeft" state="frozen"/>
      <selection activeCell="I9" sqref="I9"/>
      <selection pane="bottomLeft" activeCell="D50" sqref="D50:D58"/>
    </sheetView>
  </sheetViews>
  <sheetFormatPr defaultRowHeight="15.75" x14ac:dyDescent="0.25"/>
  <cols>
    <col min="1" max="1" width="10.28515625" style="72"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72"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5">
        <v>50</v>
      </c>
      <c r="B1" s="441" t="s">
        <v>17</v>
      </c>
      <c r="C1" s="442"/>
      <c r="D1" s="442"/>
      <c r="E1" s="442"/>
      <c r="F1" s="442"/>
      <c r="G1" s="442"/>
      <c r="H1" s="442"/>
      <c r="I1" s="442"/>
      <c r="J1" s="157"/>
      <c r="K1" s="157"/>
      <c r="L1" s="157"/>
      <c r="N1" s="85">
        <f>A1</f>
        <v>50</v>
      </c>
      <c r="O1" s="527" t="s">
        <v>17</v>
      </c>
      <c r="P1" s="528"/>
      <c r="Q1" s="528"/>
      <c r="R1" s="528"/>
      <c r="S1" s="528"/>
      <c r="T1" s="528"/>
      <c r="U1" s="528"/>
    </row>
    <row r="2" spans="1:21" ht="21" x14ac:dyDescent="0.35">
      <c r="A2" s="1" t="s">
        <v>364</v>
      </c>
      <c r="B2" s="2"/>
      <c r="C2" s="2"/>
      <c r="D2" s="2"/>
      <c r="E2" s="2"/>
      <c r="F2" s="2"/>
      <c r="G2" s="2"/>
      <c r="H2" s="2"/>
      <c r="I2" s="2"/>
      <c r="N2" s="529" t="s">
        <v>23</v>
      </c>
      <c r="O2" s="529"/>
      <c r="P2" s="529"/>
      <c r="Q2" s="529"/>
      <c r="R2" s="529"/>
      <c r="S2" s="529"/>
      <c r="T2" s="529"/>
      <c r="U2" s="529"/>
    </row>
    <row r="3" spans="1:21" x14ac:dyDescent="0.25">
      <c r="A3" s="84" t="str">
        <f>'0664'!A3</f>
        <v>Based on the FLDOE 2022-23 FEFP Third Calculation</v>
      </c>
      <c r="N3" s="485" t="str">
        <f>A3</f>
        <v>Based on the FLDOE 2022-23 FEFP Third Calculation</v>
      </c>
      <c r="O3" s="485"/>
      <c r="P3" s="485"/>
      <c r="Q3" s="485"/>
      <c r="R3" s="485"/>
      <c r="S3" s="485"/>
      <c r="T3" s="485"/>
      <c r="U3" s="485"/>
    </row>
    <row r="4" spans="1:21" x14ac:dyDescent="0.25">
      <c r="A4" s="443" t="s">
        <v>0</v>
      </c>
      <c r="B4" s="443"/>
      <c r="C4" s="444" t="s">
        <v>9</v>
      </c>
      <c r="D4" s="444"/>
      <c r="E4" s="444"/>
      <c r="F4" s="4" t="str">
        <f>'0664'!F4</f>
        <v>Apr 2023</v>
      </c>
      <c r="G4" s="4"/>
      <c r="H4" s="4"/>
      <c r="I4" s="4"/>
      <c r="N4" s="530" t="s">
        <v>0</v>
      </c>
      <c r="O4" s="530"/>
      <c r="P4" s="531" t="str">
        <f>C4</f>
        <v>Palm Beach</v>
      </c>
      <c r="Q4" s="531"/>
      <c r="R4" s="5"/>
      <c r="S4" s="5"/>
      <c r="T4" s="5"/>
      <c r="U4" s="5"/>
    </row>
    <row r="5" spans="1:21" ht="12" customHeight="1" thickBot="1" x14ac:dyDescent="0.3">
      <c r="A5" s="262"/>
      <c r="B5" s="262"/>
      <c r="C5" s="253"/>
      <c r="D5" s="253"/>
      <c r="E5" s="253"/>
      <c r="F5" s="254"/>
      <c r="G5" s="254"/>
      <c r="H5" s="254"/>
      <c r="I5" s="254"/>
      <c r="N5" s="86"/>
      <c r="O5" s="86"/>
      <c r="P5" s="6"/>
      <c r="Q5" s="6"/>
      <c r="R5" s="5"/>
      <c r="S5" s="5"/>
      <c r="T5" s="5"/>
      <c r="U5" s="5"/>
    </row>
    <row r="6" spans="1:21" ht="12" customHeight="1" x14ac:dyDescent="0.25">
      <c r="A6" s="150"/>
      <c r="B6" s="150"/>
      <c r="C6" s="261"/>
      <c r="D6" s="261"/>
      <c r="E6" s="261"/>
      <c r="F6" s="4"/>
      <c r="G6" s="4"/>
      <c r="H6" s="4"/>
      <c r="I6" s="4"/>
      <c r="N6" s="86"/>
      <c r="O6" s="86"/>
      <c r="P6" s="6"/>
      <c r="Q6" s="6"/>
      <c r="R6" s="5"/>
      <c r="S6" s="5"/>
      <c r="T6" s="5"/>
      <c r="U6" s="5"/>
    </row>
    <row r="7" spans="1:21" x14ac:dyDescent="0.25">
      <c r="A7" s="445" t="str">
        <f>'0664'!A7:I7</f>
        <v>1.   2022-23 FEFP State and Local Funding</v>
      </c>
      <c r="B7" s="533"/>
      <c r="C7" s="533"/>
      <c r="D7" s="533"/>
      <c r="E7" s="533"/>
      <c r="F7" s="533"/>
      <c r="G7" s="533"/>
      <c r="H7" s="533"/>
      <c r="I7" s="533"/>
      <c r="N7" s="530" t="s">
        <v>86</v>
      </c>
      <c r="O7" s="530"/>
      <c r="P7" s="530"/>
      <c r="Q7" s="530"/>
      <c r="R7" s="530"/>
      <c r="S7" s="530"/>
      <c r="T7" s="530"/>
      <c r="U7" s="530"/>
    </row>
    <row r="8" spans="1:21" x14ac:dyDescent="0.25">
      <c r="A8" s="87"/>
      <c r="B8" s="88" t="s">
        <v>123</v>
      </c>
      <c r="C8" s="334">
        <f>'0664'!C8</f>
        <v>4587.3999999999996</v>
      </c>
      <c r="D8" s="89"/>
      <c r="E8" s="90"/>
      <c r="F8" s="87"/>
      <c r="G8" s="88" t="s">
        <v>122</v>
      </c>
      <c r="H8" s="320">
        <f>'0664'!H8</f>
        <v>1.0438000000000001</v>
      </c>
      <c r="I8" s="78"/>
      <c r="N8" s="534" t="s">
        <v>10</v>
      </c>
      <c r="O8" s="534"/>
      <c r="P8" s="535">
        <v>4154.45</v>
      </c>
      <c r="Q8" s="535"/>
      <c r="R8" s="518" t="s">
        <v>11</v>
      </c>
      <c r="S8" s="518"/>
      <c r="T8" s="519">
        <f>H8</f>
        <v>1.0438000000000001</v>
      </c>
      <c r="U8" s="519"/>
    </row>
    <row r="9" spans="1:21" x14ac:dyDescent="0.25">
      <c r="A9" s="7"/>
      <c r="B9" s="44" t="s">
        <v>370</v>
      </c>
      <c r="C9" s="372" t="s">
        <v>370</v>
      </c>
      <c r="D9" s="372" t="s">
        <v>370</v>
      </c>
      <c r="E9" s="8"/>
      <c r="F9" s="9"/>
      <c r="G9" s="9"/>
      <c r="H9" s="10"/>
      <c r="I9" s="340" t="str">
        <f>'0664'!I9</f>
        <v>2022-23</v>
      </c>
      <c r="N9" s="12"/>
      <c r="O9" s="12"/>
      <c r="P9" s="13"/>
      <c r="Q9" s="13"/>
      <c r="R9" s="14"/>
      <c r="S9" s="14"/>
      <c r="T9" s="15"/>
      <c r="U9" s="405" t="s">
        <v>405</v>
      </c>
    </row>
    <row r="10" spans="1:21" x14ac:dyDescent="0.25">
      <c r="A10" s="7"/>
      <c r="B10" s="7"/>
      <c r="C10" s="91" t="s">
        <v>463</v>
      </c>
      <c r="D10" s="371" t="s">
        <v>464</v>
      </c>
      <c r="E10" s="92" t="s">
        <v>8</v>
      </c>
      <c r="F10" s="446" t="s">
        <v>1</v>
      </c>
      <c r="G10" s="446"/>
      <c r="H10" s="10" t="s">
        <v>73</v>
      </c>
      <c r="I10" s="11" t="s">
        <v>36</v>
      </c>
      <c r="N10" s="12"/>
      <c r="O10" s="12"/>
      <c r="P10" s="13"/>
      <c r="Q10" s="13"/>
      <c r="R10" s="520" t="s">
        <v>1</v>
      </c>
      <c r="S10" s="520"/>
      <c r="T10" s="15" t="s">
        <v>73</v>
      </c>
      <c r="U10" s="16" t="s">
        <v>36</v>
      </c>
    </row>
    <row r="11" spans="1:21" x14ac:dyDescent="0.25">
      <c r="A11" s="447" t="s">
        <v>1</v>
      </c>
      <c r="B11" s="447"/>
      <c r="C11" s="364" t="s">
        <v>2</v>
      </c>
      <c r="D11" s="362" t="s">
        <v>2</v>
      </c>
      <c r="E11" s="362" t="s">
        <v>2</v>
      </c>
      <c r="F11" s="448" t="s">
        <v>76</v>
      </c>
      <c r="G11" s="448"/>
      <c r="H11" s="17" t="s">
        <v>72</v>
      </c>
      <c r="I11" s="18" t="s">
        <v>75</v>
      </c>
      <c r="N11" s="510" t="s">
        <v>1</v>
      </c>
      <c r="O11" s="510"/>
      <c r="P11" s="521" t="s">
        <v>24</v>
      </c>
      <c r="Q11" s="521"/>
      <c r="R11" s="522" t="s">
        <v>76</v>
      </c>
      <c r="S11" s="522"/>
      <c r="T11" s="19" t="s">
        <v>72</v>
      </c>
      <c r="U11" s="20" t="s">
        <v>75</v>
      </c>
    </row>
    <row r="12" spans="1:21" x14ac:dyDescent="0.25">
      <c r="A12" s="449" t="s">
        <v>47</v>
      </c>
      <c r="B12" s="449"/>
      <c r="C12" s="94"/>
      <c r="D12" s="94"/>
      <c r="E12" s="95" t="s">
        <v>48</v>
      </c>
      <c r="F12" s="450" t="s">
        <v>49</v>
      </c>
      <c r="G12" s="450"/>
      <c r="H12" s="21" t="s">
        <v>50</v>
      </c>
      <c r="I12" s="22" t="s">
        <v>51</v>
      </c>
      <c r="N12" s="523" t="s">
        <v>47</v>
      </c>
      <c r="O12" s="523"/>
      <c r="P12" s="524" t="s">
        <v>48</v>
      </c>
      <c r="Q12" s="524"/>
      <c r="R12" s="525" t="s">
        <v>49</v>
      </c>
      <c r="S12" s="525"/>
      <c r="T12" s="23" t="s">
        <v>50</v>
      </c>
      <c r="U12" s="24" t="s">
        <v>51</v>
      </c>
    </row>
    <row r="13" spans="1:21" x14ac:dyDescent="0.25">
      <c r="A13" s="451" t="s">
        <v>29</v>
      </c>
      <c r="B13" s="451"/>
      <c r="C13" s="165">
        <v>0</v>
      </c>
      <c r="D13" s="163">
        <v>0</v>
      </c>
      <c r="E13" s="210">
        <f>IF(D$29=0,C13*2,C13+D13)</f>
        <v>0</v>
      </c>
      <c r="F13" s="537">
        <f>'0664'!F13:G13</f>
        <v>1.1259999999999999</v>
      </c>
      <c r="G13" s="537"/>
      <c r="H13" s="167">
        <f>ROUND(E13*F13,4)</f>
        <v>0</v>
      </c>
      <c r="I13" s="119">
        <f t="shared" ref="I13:I28" si="0">ROUND(ROUND(H13*$C$8,4)*($H$8),2)</f>
        <v>0</v>
      </c>
      <c r="N13" s="512" t="s">
        <v>29</v>
      </c>
      <c r="O13" s="512"/>
      <c r="P13" s="513">
        <f t="shared" ref="P13:P28" si="1">IF($H$120=1,E13,0)</f>
        <v>0</v>
      </c>
      <c r="Q13" s="513"/>
      <c r="R13" s="526">
        <v>1</v>
      </c>
      <c r="S13" s="526"/>
      <c r="T13" s="98">
        <f>ROUND(P13*R13,4)</f>
        <v>0</v>
      </c>
      <c r="U13" s="99">
        <f t="shared" ref="U13:U28" si="2">ROUND(ROUND(T13*$C$8,4)*($H$8),0)</f>
        <v>0</v>
      </c>
    </row>
    <row r="14" spans="1:21" x14ac:dyDescent="0.25">
      <c r="A14" s="453" t="s">
        <v>30</v>
      </c>
      <c r="B14" s="453"/>
      <c r="C14" s="165">
        <v>0</v>
      </c>
      <c r="D14" s="165">
        <v>0</v>
      </c>
      <c r="E14" s="125">
        <f t="shared" ref="E14:E28" si="3">IF(D$29=0,C14*2,C14+D14)</f>
        <v>0</v>
      </c>
      <c r="F14" s="532">
        <f>'0664'!F14:G14</f>
        <v>1.1259999999999999</v>
      </c>
      <c r="G14" s="532"/>
      <c r="H14" s="83">
        <f t="shared" ref="H14:H28" si="4">ROUND(E14*F14,4)</f>
        <v>0</v>
      </c>
      <c r="I14" s="104">
        <f t="shared" si="0"/>
        <v>0</v>
      </c>
      <c r="J14" s="68" t="str">
        <f>IF(ROUND(E14,2)=ROUND(SUM(E50:E52),2)," ","CHECK PK-3 LINES BELOW")</f>
        <v xml:space="preserve"> </v>
      </c>
      <c r="N14" s="479" t="s">
        <v>30</v>
      </c>
      <c r="O14" s="479"/>
      <c r="P14" s="513">
        <f t="shared" si="1"/>
        <v>0</v>
      </c>
      <c r="Q14" s="513"/>
      <c r="R14" s="517">
        <v>1</v>
      </c>
      <c r="S14" s="517"/>
      <c r="T14" s="98">
        <f t="shared" ref="T14:T28" si="5">ROUND(P14*R14,4)</f>
        <v>0</v>
      </c>
      <c r="U14" s="99">
        <f t="shared" si="2"/>
        <v>0</v>
      </c>
    </row>
    <row r="15" spans="1:21" x14ac:dyDescent="0.25">
      <c r="A15" s="453" t="s">
        <v>31</v>
      </c>
      <c r="B15" s="453"/>
      <c r="C15" s="165">
        <v>195.19</v>
      </c>
      <c r="D15" s="165">
        <v>199.34</v>
      </c>
      <c r="E15" s="125">
        <f t="shared" si="3"/>
        <v>394.53</v>
      </c>
      <c r="F15" s="532">
        <f>'0664'!F15:G15</f>
        <v>1</v>
      </c>
      <c r="G15" s="532"/>
      <c r="H15" s="83">
        <f t="shared" si="4"/>
        <v>394.53</v>
      </c>
      <c r="I15" s="104">
        <f t="shared" si="0"/>
        <v>1889139.09</v>
      </c>
      <c r="N15" s="479" t="s">
        <v>31</v>
      </c>
      <c r="O15" s="479"/>
      <c r="P15" s="513">
        <f t="shared" si="1"/>
        <v>0</v>
      </c>
      <c r="Q15" s="513"/>
      <c r="R15" s="517">
        <v>1</v>
      </c>
      <c r="S15" s="517"/>
      <c r="T15" s="98">
        <f t="shared" si="5"/>
        <v>0</v>
      </c>
      <c r="U15" s="99">
        <f t="shared" si="2"/>
        <v>0</v>
      </c>
    </row>
    <row r="16" spans="1:21" x14ac:dyDescent="0.25">
      <c r="A16" s="453" t="s">
        <v>32</v>
      </c>
      <c r="B16" s="453"/>
      <c r="C16" s="165">
        <v>30</v>
      </c>
      <c r="D16" s="165">
        <v>31.22</v>
      </c>
      <c r="E16" s="125">
        <f t="shared" si="3"/>
        <v>61.22</v>
      </c>
      <c r="F16" s="532">
        <f>'0664'!F16:G16</f>
        <v>1</v>
      </c>
      <c r="G16" s="532"/>
      <c r="H16" s="83">
        <f t="shared" si="4"/>
        <v>61.22</v>
      </c>
      <c r="I16" s="104">
        <f t="shared" si="0"/>
        <v>293141.45</v>
      </c>
      <c r="J16" s="68" t="str">
        <f>IF(ROUND(E16,2)=ROUND(SUM(E53:E55),2)," ","CHECK 4-8 LINES BELOW")</f>
        <v xml:space="preserve"> </v>
      </c>
      <c r="N16" s="479" t="s">
        <v>32</v>
      </c>
      <c r="O16" s="479"/>
      <c r="P16" s="513">
        <f t="shared" si="1"/>
        <v>0</v>
      </c>
      <c r="Q16" s="513"/>
      <c r="R16" s="517">
        <v>1</v>
      </c>
      <c r="S16" s="517"/>
      <c r="T16" s="98">
        <f t="shared" si="5"/>
        <v>0</v>
      </c>
      <c r="U16" s="99">
        <f t="shared" si="2"/>
        <v>0</v>
      </c>
    </row>
    <row r="17" spans="1:21" x14ac:dyDescent="0.25">
      <c r="A17" s="453" t="s">
        <v>33</v>
      </c>
      <c r="B17" s="453"/>
      <c r="C17" s="165">
        <v>165.69</v>
      </c>
      <c r="D17" s="165">
        <v>160.24</v>
      </c>
      <c r="E17" s="125">
        <f t="shared" si="3"/>
        <v>325.93</v>
      </c>
      <c r="F17" s="532">
        <f>'0664'!F17:G17</f>
        <v>0.999</v>
      </c>
      <c r="G17" s="532"/>
      <c r="H17" s="83">
        <f t="shared" si="4"/>
        <v>325.60410000000002</v>
      </c>
      <c r="I17" s="104">
        <f t="shared" si="0"/>
        <v>1559099.27</v>
      </c>
      <c r="N17" s="479" t="s">
        <v>33</v>
      </c>
      <c r="O17" s="479"/>
      <c r="P17" s="513">
        <f t="shared" si="1"/>
        <v>0</v>
      </c>
      <c r="Q17" s="513"/>
      <c r="R17" s="517">
        <v>1</v>
      </c>
      <c r="S17" s="517"/>
      <c r="T17" s="98">
        <f t="shared" si="5"/>
        <v>0</v>
      </c>
      <c r="U17" s="99">
        <f t="shared" si="2"/>
        <v>0</v>
      </c>
    </row>
    <row r="18" spans="1:21" x14ac:dyDescent="0.25">
      <c r="A18" s="453" t="s">
        <v>34</v>
      </c>
      <c r="B18" s="453"/>
      <c r="C18" s="165">
        <v>18.5</v>
      </c>
      <c r="D18" s="165">
        <v>18.04</v>
      </c>
      <c r="E18" s="125">
        <f t="shared" si="3"/>
        <v>36.54</v>
      </c>
      <c r="F18" s="532">
        <f>'0664'!F18:G18</f>
        <v>0.999</v>
      </c>
      <c r="G18" s="532"/>
      <c r="H18" s="83">
        <f t="shared" si="4"/>
        <v>36.503500000000003</v>
      </c>
      <c r="I18" s="104">
        <f t="shared" si="0"/>
        <v>174790.74</v>
      </c>
      <c r="J18" s="68" t="str">
        <f>IF(ROUND(E18,2)=ROUND(SUM(E56:E58),2)," ","CHECK 4-8 LINES BELOW")</f>
        <v xml:space="preserve"> </v>
      </c>
      <c r="N18" s="479" t="s">
        <v>34</v>
      </c>
      <c r="O18" s="479"/>
      <c r="P18" s="513">
        <f t="shared" si="1"/>
        <v>0</v>
      </c>
      <c r="Q18" s="513"/>
      <c r="R18" s="517">
        <v>1</v>
      </c>
      <c r="S18" s="517"/>
      <c r="T18" s="98">
        <f t="shared" si="5"/>
        <v>0</v>
      </c>
      <c r="U18" s="101">
        <f t="shared" si="2"/>
        <v>0</v>
      </c>
    </row>
    <row r="19" spans="1:21" x14ac:dyDescent="0.25">
      <c r="A19" s="453" t="s">
        <v>108</v>
      </c>
      <c r="B19" s="453"/>
      <c r="C19" s="165">
        <v>0</v>
      </c>
      <c r="D19" s="165">
        <v>0</v>
      </c>
      <c r="E19" s="125">
        <f t="shared" si="3"/>
        <v>0</v>
      </c>
      <c r="F19" s="532">
        <f>'0664'!F19:G19</f>
        <v>3.6739999999999999</v>
      </c>
      <c r="G19" s="532"/>
      <c r="H19" s="83">
        <f t="shared" si="4"/>
        <v>0</v>
      </c>
      <c r="I19" s="104">
        <f t="shared" si="0"/>
        <v>0</v>
      </c>
      <c r="N19" s="479" t="s">
        <v>108</v>
      </c>
      <c r="O19" s="479"/>
      <c r="P19" s="513">
        <f t="shared" si="1"/>
        <v>0</v>
      </c>
      <c r="Q19" s="513"/>
      <c r="R19" s="517">
        <v>1</v>
      </c>
      <c r="S19" s="517"/>
      <c r="T19" s="98">
        <f t="shared" si="5"/>
        <v>0</v>
      </c>
      <c r="U19" s="99">
        <f t="shared" si="2"/>
        <v>0</v>
      </c>
    </row>
    <row r="20" spans="1:21" x14ac:dyDescent="0.25">
      <c r="A20" s="453" t="s">
        <v>109</v>
      </c>
      <c r="B20" s="453"/>
      <c r="C20" s="165">
        <v>0</v>
      </c>
      <c r="D20" s="165">
        <v>0</v>
      </c>
      <c r="E20" s="125">
        <f t="shared" si="3"/>
        <v>0</v>
      </c>
      <c r="F20" s="532">
        <f>'0664'!F20:G20</f>
        <v>3.6739999999999999</v>
      </c>
      <c r="G20" s="532"/>
      <c r="H20" s="83">
        <f t="shared" si="4"/>
        <v>0</v>
      </c>
      <c r="I20" s="104">
        <f t="shared" si="0"/>
        <v>0</v>
      </c>
      <c r="N20" s="479" t="s">
        <v>109</v>
      </c>
      <c r="O20" s="479"/>
      <c r="P20" s="513">
        <f t="shared" si="1"/>
        <v>0</v>
      </c>
      <c r="Q20" s="513"/>
      <c r="R20" s="517">
        <v>1</v>
      </c>
      <c r="S20" s="517"/>
      <c r="T20" s="98">
        <f t="shared" si="5"/>
        <v>0</v>
      </c>
      <c r="U20" s="99">
        <f t="shared" si="2"/>
        <v>0</v>
      </c>
    </row>
    <row r="21" spans="1:21" x14ac:dyDescent="0.25">
      <c r="A21" s="453" t="s">
        <v>110</v>
      </c>
      <c r="B21" s="453"/>
      <c r="C21" s="165">
        <v>0</v>
      </c>
      <c r="D21" s="165">
        <v>0</v>
      </c>
      <c r="E21" s="125">
        <f t="shared" si="3"/>
        <v>0</v>
      </c>
      <c r="F21" s="532">
        <f>'0664'!F21:G21</f>
        <v>3.6739999999999999</v>
      </c>
      <c r="G21" s="532"/>
      <c r="H21" s="83">
        <f t="shared" si="4"/>
        <v>0</v>
      </c>
      <c r="I21" s="104">
        <f t="shared" si="0"/>
        <v>0</v>
      </c>
      <c r="N21" s="479" t="s">
        <v>110</v>
      </c>
      <c r="O21" s="479"/>
      <c r="P21" s="513">
        <f t="shared" si="1"/>
        <v>0</v>
      </c>
      <c r="Q21" s="513"/>
      <c r="R21" s="517">
        <v>1</v>
      </c>
      <c r="S21" s="517"/>
      <c r="T21" s="98">
        <f t="shared" si="5"/>
        <v>0</v>
      </c>
      <c r="U21" s="99">
        <f t="shared" si="2"/>
        <v>0</v>
      </c>
    </row>
    <row r="22" spans="1:21" x14ac:dyDescent="0.25">
      <c r="A22" s="453" t="s">
        <v>111</v>
      </c>
      <c r="B22" s="453"/>
      <c r="C22" s="165">
        <v>0</v>
      </c>
      <c r="D22" s="165">
        <v>0</v>
      </c>
      <c r="E22" s="125">
        <f t="shared" si="3"/>
        <v>0</v>
      </c>
      <c r="F22" s="532">
        <f>'0664'!F22:G22</f>
        <v>5.4009999999999998</v>
      </c>
      <c r="G22" s="532"/>
      <c r="H22" s="83">
        <f t="shared" si="4"/>
        <v>0</v>
      </c>
      <c r="I22" s="104">
        <f t="shared" si="0"/>
        <v>0</v>
      </c>
      <c r="N22" s="479" t="s">
        <v>111</v>
      </c>
      <c r="O22" s="479"/>
      <c r="P22" s="513">
        <f t="shared" si="1"/>
        <v>0</v>
      </c>
      <c r="Q22" s="513"/>
      <c r="R22" s="517">
        <v>1</v>
      </c>
      <c r="S22" s="517"/>
      <c r="T22" s="98">
        <f t="shared" si="5"/>
        <v>0</v>
      </c>
      <c r="U22" s="99">
        <f t="shared" si="2"/>
        <v>0</v>
      </c>
    </row>
    <row r="23" spans="1:21" x14ac:dyDescent="0.25">
      <c r="A23" s="453" t="s">
        <v>112</v>
      </c>
      <c r="B23" s="453"/>
      <c r="C23" s="165">
        <v>0</v>
      </c>
      <c r="D23" s="165">
        <v>0</v>
      </c>
      <c r="E23" s="125">
        <f t="shared" si="3"/>
        <v>0</v>
      </c>
      <c r="F23" s="532">
        <f>'0664'!F23:G23</f>
        <v>5.4009999999999998</v>
      </c>
      <c r="G23" s="532"/>
      <c r="H23" s="83">
        <f t="shared" si="4"/>
        <v>0</v>
      </c>
      <c r="I23" s="104">
        <f t="shared" si="0"/>
        <v>0</v>
      </c>
      <c r="N23" s="479" t="s">
        <v>112</v>
      </c>
      <c r="O23" s="479"/>
      <c r="P23" s="513">
        <f t="shared" si="1"/>
        <v>0</v>
      </c>
      <c r="Q23" s="513"/>
      <c r="R23" s="517">
        <v>1</v>
      </c>
      <c r="S23" s="517"/>
      <c r="T23" s="98">
        <f t="shared" si="5"/>
        <v>0</v>
      </c>
      <c r="U23" s="99">
        <f t="shared" si="2"/>
        <v>0</v>
      </c>
    </row>
    <row r="24" spans="1:21" x14ac:dyDescent="0.25">
      <c r="A24" s="453" t="s">
        <v>113</v>
      </c>
      <c r="B24" s="453"/>
      <c r="C24" s="165">
        <v>0</v>
      </c>
      <c r="D24" s="165">
        <v>0</v>
      </c>
      <c r="E24" s="125">
        <f t="shared" si="3"/>
        <v>0</v>
      </c>
      <c r="F24" s="532">
        <f>'0664'!F24:G24</f>
        <v>5.4009999999999998</v>
      </c>
      <c r="G24" s="532"/>
      <c r="H24" s="83">
        <f t="shared" si="4"/>
        <v>0</v>
      </c>
      <c r="I24" s="104">
        <f t="shared" si="0"/>
        <v>0</v>
      </c>
      <c r="N24" s="479" t="s">
        <v>113</v>
      </c>
      <c r="O24" s="479"/>
      <c r="P24" s="513">
        <f t="shared" si="1"/>
        <v>0</v>
      </c>
      <c r="Q24" s="513"/>
      <c r="R24" s="517">
        <v>1</v>
      </c>
      <c r="S24" s="517"/>
      <c r="T24" s="98">
        <f t="shared" si="5"/>
        <v>0</v>
      </c>
      <c r="U24" s="99">
        <f t="shared" si="2"/>
        <v>0</v>
      </c>
    </row>
    <row r="25" spans="1:21" x14ac:dyDescent="0.25">
      <c r="A25" s="453" t="s">
        <v>114</v>
      </c>
      <c r="B25" s="453"/>
      <c r="C25" s="165">
        <v>0</v>
      </c>
      <c r="D25" s="165">
        <v>0</v>
      </c>
      <c r="E25" s="125">
        <f t="shared" si="3"/>
        <v>0</v>
      </c>
      <c r="F25" s="532">
        <f>'0664'!F25:G25</f>
        <v>1.206</v>
      </c>
      <c r="G25" s="532"/>
      <c r="H25" s="83">
        <f t="shared" si="4"/>
        <v>0</v>
      </c>
      <c r="I25" s="104">
        <f t="shared" si="0"/>
        <v>0</v>
      </c>
      <c r="N25" s="479" t="s">
        <v>114</v>
      </c>
      <c r="O25" s="479"/>
      <c r="P25" s="513">
        <f t="shared" si="1"/>
        <v>0</v>
      </c>
      <c r="Q25" s="513"/>
      <c r="R25" s="517">
        <v>1</v>
      </c>
      <c r="S25" s="517"/>
      <c r="T25" s="98">
        <f t="shared" si="5"/>
        <v>0</v>
      </c>
      <c r="U25" s="99">
        <f t="shared" si="2"/>
        <v>0</v>
      </c>
    </row>
    <row r="26" spans="1:21" x14ac:dyDescent="0.25">
      <c r="A26" s="453" t="s">
        <v>115</v>
      </c>
      <c r="B26" s="453"/>
      <c r="C26" s="165">
        <v>39.479999999999997</v>
      </c>
      <c r="D26" s="165">
        <v>41.89</v>
      </c>
      <c r="E26" s="125">
        <f t="shared" si="3"/>
        <v>81.37</v>
      </c>
      <c r="F26" s="532">
        <f>'0664'!F26:G26</f>
        <v>1.206</v>
      </c>
      <c r="G26" s="532"/>
      <c r="H26" s="83">
        <f t="shared" si="4"/>
        <v>98.132199999999997</v>
      </c>
      <c r="I26" s="104">
        <f t="shared" si="0"/>
        <v>469889.17</v>
      </c>
      <c r="N26" s="479" t="s">
        <v>115</v>
      </c>
      <c r="O26" s="479"/>
      <c r="P26" s="513">
        <f t="shared" si="1"/>
        <v>0</v>
      </c>
      <c r="Q26" s="513"/>
      <c r="R26" s="517">
        <v>1</v>
      </c>
      <c r="S26" s="517"/>
      <c r="T26" s="98">
        <f t="shared" si="5"/>
        <v>0</v>
      </c>
      <c r="U26" s="99">
        <f t="shared" si="2"/>
        <v>0</v>
      </c>
    </row>
    <row r="27" spans="1:21" x14ac:dyDescent="0.25">
      <c r="A27" s="453" t="s">
        <v>116</v>
      </c>
      <c r="B27" s="453"/>
      <c r="C27" s="165">
        <v>34.840000000000003</v>
      </c>
      <c r="D27" s="165">
        <v>33.46</v>
      </c>
      <c r="E27" s="125">
        <f t="shared" si="3"/>
        <v>68.300000000000011</v>
      </c>
      <c r="F27" s="532">
        <f>'0664'!F27:G27</f>
        <v>1.206</v>
      </c>
      <c r="G27" s="532"/>
      <c r="H27" s="83">
        <f t="shared" si="4"/>
        <v>82.369799999999998</v>
      </c>
      <c r="I27" s="104">
        <f t="shared" si="0"/>
        <v>394413.63</v>
      </c>
      <c r="N27" s="479" t="s">
        <v>116</v>
      </c>
      <c r="O27" s="479"/>
      <c r="P27" s="513">
        <f t="shared" si="1"/>
        <v>0</v>
      </c>
      <c r="Q27" s="513"/>
      <c r="R27" s="517">
        <v>1</v>
      </c>
      <c r="S27" s="517"/>
      <c r="T27" s="98">
        <f t="shared" si="5"/>
        <v>0</v>
      </c>
      <c r="U27" s="99">
        <f t="shared" si="2"/>
        <v>0</v>
      </c>
    </row>
    <row r="28" spans="1:21" x14ac:dyDescent="0.25">
      <c r="A28" s="453" t="s">
        <v>117</v>
      </c>
      <c r="B28" s="453"/>
      <c r="C28" s="116">
        <v>19.239999999999998</v>
      </c>
      <c r="D28" s="116">
        <v>20.22</v>
      </c>
      <c r="E28" s="177">
        <f t="shared" si="3"/>
        <v>39.459999999999994</v>
      </c>
      <c r="F28" s="532">
        <f>'0664'!F28:G28</f>
        <v>0.999</v>
      </c>
      <c r="G28" s="532"/>
      <c r="H28" s="96">
        <f t="shared" si="4"/>
        <v>39.420499999999997</v>
      </c>
      <c r="I28" s="97">
        <f t="shared" si="0"/>
        <v>188758.29</v>
      </c>
      <c r="N28" s="482" t="s">
        <v>117</v>
      </c>
      <c r="O28" s="482"/>
      <c r="P28" s="513">
        <f t="shared" si="1"/>
        <v>0</v>
      </c>
      <c r="Q28" s="513"/>
      <c r="R28" s="514">
        <v>1</v>
      </c>
      <c r="S28" s="514"/>
      <c r="T28" s="98">
        <f t="shared" si="5"/>
        <v>0</v>
      </c>
      <c r="U28" s="99">
        <f t="shared" si="2"/>
        <v>0</v>
      </c>
    </row>
    <row r="29" spans="1:21" x14ac:dyDescent="0.25">
      <c r="A29" s="461" t="s">
        <v>5</v>
      </c>
      <c r="B29" s="461"/>
      <c r="C29" s="97">
        <f>SUM(C13:C28)</f>
        <v>502.94000000000005</v>
      </c>
      <c r="D29" s="97">
        <f>SUM(D13:D28)</f>
        <v>504.40999999999997</v>
      </c>
      <c r="E29" s="97">
        <f>SUM(E13:E28)</f>
        <v>1007.3500000000001</v>
      </c>
      <c r="F29" s="457"/>
      <c r="G29" s="457"/>
      <c r="H29" s="102">
        <f>SUM(H13:H28)</f>
        <v>1037.7800999999999</v>
      </c>
      <c r="I29" s="97">
        <f>SUM(I13:I28)</f>
        <v>4969231.6399999997</v>
      </c>
      <c r="N29" s="515" t="s">
        <v>5</v>
      </c>
      <c r="O29" s="515"/>
      <c r="P29" s="516">
        <f>SUM(P13:P28)</f>
        <v>0</v>
      </c>
      <c r="Q29" s="516"/>
      <c r="R29" s="508"/>
      <c r="S29" s="508"/>
      <c r="T29" s="103">
        <f>SUM(T13:T28)</f>
        <v>0</v>
      </c>
      <c r="U29" s="99">
        <f>SUM(U13:U28)</f>
        <v>0</v>
      </c>
    </row>
    <row r="30" spans="1:21" x14ac:dyDescent="0.25">
      <c r="A30" s="27"/>
      <c r="B30" s="27"/>
      <c r="C30" s="104"/>
      <c r="D30" s="104"/>
      <c r="E30" s="104"/>
      <c r="F30" s="28"/>
      <c r="G30" s="28"/>
      <c r="H30" s="83"/>
      <c r="I30" s="104"/>
      <c r="N30" s="29"/>
      <c r="O30" s="29"/>
      <c r="P30" s="30"/>
      <c r="Q30" s="30"/>
      <c r="R30" s="31"/>
      <c r="S30" s="31"/>
      <c r="T30" s="105"/>
      <c r="U30" s="106"/>
    </row>
    <row r="31" spans="1:21" x14ac:dyDescent="0.25">
      <c r="A31" s="168" t="s">
        <v>97</v>
      </c>
      <c r="B31" s="27"/>
      <c r="C31" s="104"/>
      <c r="D31" s="104"/>
      <c r="E31" s="104"/>
      <c r="F31" s="28"/>
      <c r="G31" s="28"/>
      <c r="H31" s="83"/>
      <c r="I31" s="104"/>
      <c r="N31" s="29"/>
      <c r="O31" s="29"/>
      <c r="P31" s="30"/>
      <c r="Q31" s="30"/>
      <c r="R31" s="31"/>
      <c r="S31" s="31"/>
      <c r="T31" s="105"/>
      <c r="U31" s="106"/>
    </row>
    <row r="32" spans="1:21" hidden="1" x14ac:dyDescent="0.25">
      <c r="A32" s="168"/>
      <c r="B32" s="27"/>
      <c r="C32" s="104"/>
      <c r="D32" s="104"/>
      <c r="E32" s="104"/>
      <c r="F32" s="28"/>
      <c r="G32" s="28"/>
      <c r="H32" s="83"/>
      <c r="I32" s="104"/>
      <c r="N32" s="29"/>
      <c r="O32" s="29"/>
      <c r="P32" s="30"/>
      <c r="Q32" s="30"/>
      <c r="R32" s="31"/>
      <c r="S32" s="31"/>
      <c r="T32" s="105"/>
      <c r="U32" s="106"/>
    </row>
    <row r="33" spans="1:21" hidden="1" x14ac:dyDescent="0.25">
      <c r="A33" s="168"/>
      <c r="B33" s="27"/>
      <c r="C33" s="104"/>
      <c r="D33" s="104"/>
      <c r="E33" s="104"/>
      <c r="F33" s="541" t="s">
        <v>282</v>
      </c>
      <c r="G33" s="541"/>
      <c r="H33" s="541"/>
      <c r="I33" s="104"/>
      <c r="N33" s="29"/>
      <c r="O33" s="29"/>
      <c r="P33" s="30"/>
      <c r="Q33" s="30"/>
      <c r="R33" s="31"/>
      <c r="S33" s="31"/>
      <c r="T33" s="105"/>
      <c r="U33" s="106"/>
    </row>
    <row r="34" spans="1:21" hidden="1" x14ac:dyDescent="0.25">
      <c r="A34" s="3"/>
      <c r="B34" s="72"/>
      <c r="C34" s="72"/>
      <c r="D34" s="72"/>
      <c r="E34" s="72"/>
      <c r="F34" s="541"/>
      <c r="G34" s="541"/>
      <c r="H34" s="541"/>
      <c r="I34" s="25" t="s">
        <v>74</v>
      </c>
      <c r="N34" s="485" t="s">
        <v>35</v>
      </c>
      <c r="O34" s="485"/>
      <c r="P34" s="485"/>
      <c r="Q34" s="485"/>
      <c r="R34" s="485"/>
      <c r="S34" s="485"/>
      <c r="T34" s="485"/>
      <c r="U34" s="26" t="s">
        <v>74</v>
      </c>
    </row>
    <row r="35" spans="1:21" hidden="1" x14ac:dyDescent="0.25">
      <c r="A35" s="27"/>
      <c r="B35" s="27"/>
      <c r="C35" s="91" t="s">
        <v>124</v>
      </c>
      <c r="D35" s="91" t="s">
        <v>125</v>
      </c>
      <c r="E35" s="92" t="s">
        <v>8</v>
      </c>
      <c r="F35" s="541"/>
      <c r="G35" s="541"/>
      <c r="H35" s="541"/>
      <c r="I35" s="25" t="s">
        <v>36</v>
      </c>
      <c r="N35" s="29"/>
      <c r="O35" s="29"/>
      <c r="P35" s="30"/>
      <c r="Q35" s="30"/>
      <c r="R35" s="31"/>
      <c r="S35" s="31"/>
      <c r="T35" s="105"/>
      <c r="U35" s="26" t="s">
        <v>36</v>
      </c>
    </row>
    <row r="36" spans="1:21" hidden="1" x14ac:dyDescent="0.25">
      <c r="A36" s="447" t="s">
        <v>63</v>
      </c>
      <c r="B36" s="447"/>
      <c r="C36" s="93" t="s">
        <v>2</v>
      </c>
      <c r="D36" s="93" t="s">
        <v>2</v>
      </c>
      <c r="E36" s="93" t="s">
        <v>2</v>
      </c>
      <c r="F36" s="542"/>
      <c r="G36" s="542"/>
      <c r="H36" s="542"/>
      <c r="I36" s="32" t="s">
        <v>75</v>
      </c>
      <c r="N36" s="510" t="s">
        <v>63</v>
      </c>
      <c r="O36" s="510"/>
      <c r="P36" s="511" t="s">
        <v>24</v>
      </c>
      <c r="Q36" s="511"/>
      <c r="R36" s="511"/>
      <c r="S36" s="511"/>
      <c r="T36" s="511"/>
      <c r="U36" s="20" t="s">
        <v>75</v>
      </c>
    </row>
    <row r="37" spans="1:21" hidden="1" x14ac:dyDescent="0.25">
      <c r="A37" s="451" t="s">
        <v>56</v>
      </c>
      <c r="B37" s="451"/>
      <c r="C37" s="169">
        <v>0</v>
      </c>
      <c r="D37" s="169">
        <v>0</v>
      </c>
      <c r="E37" s="164">
        <f t="shared" ref="E37:E42" si="6">IF(D$43=0,C37*2,C37+D37)</f>
        <v>0</v>
      </c>
      <c r="F37" s="170"/>
      <c r="G37" s="170"/>
      <c r="H37" s="170"/>
      <c r="I37" s="119">
        <f t="shared" ref="I37:I42" si="7">ROUND(ROUND(E37*$C$8,4)*($H$8),2)</f>
        <v>0</v>
      </c>
      <c r="N37" s="512" t="s">
        <v>56</v>
      </c>
      <c r="O37" s="512"/>
      <c r="P37" s="483">
        <f t="shared" ref="P37:P42" si="8">IF($H$120=1,E37,0)</f>
        <v>0</v>
      </c>
      <c r="Q37" s="483"/>
      <c r="R37" s="483"/>
      <c r="S37" s="483"/>
      <c r="T37" s="483"/>
      <c r="U37" s="101">
        <f t="shared" ref="U37:U42" si="9">ROUND(ROUND(P37*$C$8,4)*($H$8),0)</f>
        <v>0</v>
      </c>
    </row>
    <row r="38" spans="1:21" hidden="1" x14ac:dyDescent="0.25">
      <c r="A38" s="453" t="s">
        <v>57</v>
      </c>
      <c r="B38" s="453"/>
      <c r="C38" s="172">
        <v>0</v>
      </c>
      <c r="D38" s="172">
        <v>0</v>
      </c>
      <c r="E38" s="166">
        <f t="shared" si="6"/>
        <v>0</v>
      </c>
      <c r="F38" s="173"/>
      <c r="G38" s="173"/>
      <c r="H38" s="173"/>
      <c r="I38" s="104">
        <f t="shared" si="7"/>
        <v>0</v>
      </c>
      <c r="N38" s="479" t="s">
        <v>57</v>
      </c>
      <c r="O38" s="479"/>
      <c r="P38" s="483">
        <f t="shared" si="8"/>
        <v>0</v>
      </c>
      <c r="Q38" s="483"/>
      <c r="R38" s="483"/>
      <c r="S38" s="483"/>
      <c r="T38" s="483"/>
      <c r="U38" s="101">
        <f t="shared" si="9"/>
        <v>0</v>
      </c>
    </row>
    <row r="39" spans="1:21" hidden="1" x14ac:dyDescent="0.25">
      <c r="A39" s="458" t="s">
        <v>58</v>
      </c>
      <c r="B39" s="458"/>
      <c r="C39" s="172">
        <v>0</v>
      </c>
      <c r="D39" s="172">
        <v>0</v>
      </c>
      <c r="E39" s="166">
        <f t="shared" si="6"/>
        <v>0</v>
      </c>
      <c r="F39" s="173"/>
      <c r="G39" s="173"/>
      <c r="H39" s="173"/>
      <c r="I39" s="104">
        <f t="shared" si="7"/>
        <v>0</v>
      </c>
      <c r="N39" s="509" t="s">
        <v>58</v>
      </c>
      <c r="O39" s="509"/>
      <c r="P39" s="483">
        <f t="shared" si="8"/>
        <v>0</v>
      </c>
      <c r="Q39" s="483"/>
      <c r="R39" s="483"/>
      <c r="S39" s="483"/>
      <c r="T39" s="483"/>
      <c r="U39" s="101">
        <f t="shared" si="9"/>
        <v>0</v>
      </c>
    </row>
    <row r="40" spans="1:21" hidden="1" x14ac:dyDescent="0.25">
      <c r="A40" s="453" t="s">
        <v>59</v>
      </c>
      <c r="B40" s="453"/>
      <c r="C40" s="172">
        <v>0</v>
      </c>
      <c r="D40" s="172">
        <v>0</v>
      </c>
      <c r="E40" s="166">
        <f t="shared" si="6"/>
        <v>0</v>
      </c>
      <c r="F40" s="173"/>
      <c r="G40" s="173"/>
      <c r="H40" s="173"/>
      <c r="I40" s="104">
        <f t="shared" si="7"/>
        <v>0</v>
      </c>
      <c r="N40" s="479" t="s">
        <v>59</v>
      </c>
      <c r="O40" s="479"/>
      <c r="P40" s="483">
        <f t="shared" si="8"/>
        <v>0</v>
      </c>
      <c r="Q40" s="483"/>
      <c r="R40" s="483"/>
      <c r="S40" s="483"/>
      <c r="T40" s="483"/>
      <c r="U40" s="101">
        <f t="shared" si="9"/>
        <v>0</v>
      </c>
    </row>
    <row r="41" spans="1:21" hidden="1" x14ac:dyDescent="0.25">
      <c r="A41" s="453" t="s">
        <v>60</v>
      </c>
      <c r="B41" s="453"/>
      <c r="C41" s="172">
        <v>0</v>
      </c>
      <c r="D41" s="172">
        <v>0</v>
      </c>
      <c r="E41" s="166">
        <f t="shared" si="6"/>
        <v>0</v>
      </c>
      <c r="F41" s="173"/>
      <c r="G41" s="173"/>
      <c r="H41" s="173"/>
      <c r="I41" s="104">
        <f t="shared" si="7"/>
        <v>0</v>
      </c>
      <c r="N41" s="479" t="s">
        <v>60</v>
      </c>
      <c r="O41" s="479"/>
      <c r="P41" s="483">
        <f t="shared" si="8"/>
        <v>0</v>
      </c>
      <c r="Q41" s="483"/>
      <c r="R41" s="483"/>
      <c r="S41" s="483"/>
      <c r="T41" s="483"/>
      <c r="U41" s="101">
        <f t="shared" si="9"/>
        <v>0</v>
      </c>
    </row>
    <row r="42" spans="1:21" hidden="1" x14ac:dyDescent="0.25">
      <c r="A42" s="453" t="s">
        <v>52</v>
      </c>
      <c r="B42" s="453"/>
      <c r="C42" s="171">
        <v>0</v>
      </c>
      <c r="D42" s="171">
        <v>0</v>
      </c>
      <c r="E42" s="158">
        <f t="shared" si="6"/>
        <v>0</v>
      </c>
      <c r="F42" s="173"/>
      <c r="G42" s="173"/>
      <c r="H42" s="173"/>
      <c r="I42" s="97">
        <f t="shared" si="7"/>
        <v>0</v>
      </c>
      <c r="N42" s="482" t="s">
        <v>52</v>
      </c>
      <c r="O42" s="482"/>
      <c r="P42" s="483">
        <f t="shared" si="8"/>
        <v>0</v>
      </c>
      <c r="Q42" s="483"/>
      <c r="R42" s="483"/>
      <c r="S42" s="483"/>
      <c r="T42" s="483"/>
      <c r="U42" s="101">
        <f t="shared" si="9"/>
        <v>0</v>
      </c>
    </row>
    <row r="43" spans="1:21" hidden="1" x14ac:dyDescent="0.25">
      <c r="A43" s="3"/>
      <c r="B43" s="55" t="s">
        <v>126</v>
      </c>
      <c r="C43" s="100">
        <f>SUM(C37:C42)</f>
        <v>0</v>
      </c>
      <c r="D43" s="100">
        <f>SUM(D37:D42)</f>
        <v>0</v>
      </c>
      <c r="E43" s="100">
        <f>SUM(E37:E42)</f>
        <v>0</v>
      </c>
      <c r="F43" s="33"/>
      <c r="G43" s="109"/>
      <c r="H43" s="110" t="s">
        <v>128</v>
      </c>
      <c r="I43" s="100">
        <f>SUM(I37:I42)</f>
        <v>0</v>
      </c>
      <c r="N43" s="480" t="s">
        <v>54</v>
      </c>
      <c r="O43" s="480"/>
      <c r="P43" s="480"/>
      <c r="Q43" s="480"/>
      <c r="R43" s="34">
        <f>SUM(P37:R42)</f>
        <v>0</v>
      </c>
      <c r="S43" s="508" t="s">
        <v>64</v>
      </c>
      <c r="T43" s="508"/>
      <c r="U43" s="106">
        <f>SUM(U37:U42)</f>
        <v>0</v>
      </c>
    </row>
    <row r="44" spans="1:21" hidden="1" x14ac:dyDescent="0.25">
      <c r="A44" s="3"/>
      <c r="B44" s="55"/>
      <c r="C44" s="104"/>
      <c r="D44" s="104"/>
      <c r="E44" s="119"/>
      <c r="F44" s="33"/>
      <c r="G44" s="109"/>
      <c r="H44" s="110"/>
      <c r="I44" s="104"/>
      <c r="N44" s="29"/>
      <c r="O44" s="29"/>
      <c r="P44" s="29"/>
      <c r="Q44" s="29"/>
      <c r="R44" s="34"/>
      <c r="S44" s="31"/>
      <c r="T44" s="31"/>
      <c r="U44" s="106"/>
    </row>
    <row r="45" spans="1:21" ht="16.5" hidden="1" thickBot="1" x14ac:dyDescent="0.3">
      <c r="A45" s="3"/>
      <c r="B45" s="55" t="s">
        <v>127</v>
      </c>
      <c r="E45" s="174">
        <f>H29+E43</f>
        <v>1037.7800999999999</v>
      </c>
      <c r="F45" s="35"/>
      <c r="G45" s="109"/>
      <c r="H45" s="110" t="s">
        <v>129</v>
      </c>
      <c r="I45" s="97">
        <f>SUM(I43,I29)</f>
        <v>4969231.6399999997</v>
      </c>
      <c r="N45" s="480" t="s">
        <v>55</v>
      </c>
      <c r="O45" s="480"/>
      <c r="P45" s="480"/>
      <c r="Q45" s="480"/>
      <c r="R45" s="36">
        <f>R43+T29</f>
        <v>0</v>
      </c>
      <c r="S45" s="508" t="s">
        <v>53</v>
      </c>
      <c r="T45" s="508"/>
      <c r="U45" s="111">
        <f>SUM(U43,U29)</f>
        <v>0</v>
      </c>
    </row>
    <row r="46" spans="1:21" hidden="1" x14ac:dyDescent="0.25">
      <c r="A46" s="27"/>
      <c r="B46" s="27"/>
      <c r="C46" s="27"/>
      <c r="D46" s="27"/>
      <c r="E46" s="27"/>
      <c r="F46" s="35"/>
      <c r="G46" s="28"/>
      <c r="H46" s="28"/>
      <c r="I46" s="104"/>
      <c r="N46" s="29"/>
      <c r="O46" s="29"/>
      <c r="P46" s="29"/>
      <c r="Q46" s="29"/>
      <c r="R46" s="36"/>
      <c r="S46" s="31"/>
      <c r="T46" s="31"/>
      <c r="U46" s="106"/>
    </row>
    <row r="47" spans="1:21" x14ac:dyDescent="0.25">
      <c r="A47" s="27"/>
      <c r="B47" s="55" t="s">
        <v>370</v>
      </c>
      <c r="C47" s="372" t="s">
        <v>370</v>
      </c>
      <c r="D47" s="372" t="s">
        <v>370</v>
      </c>
      <c r="E47" s="27"/>
      <c r="F47" s="35"/>
      <c r="G47" s="28"/>
      <c r="H47" s="28"/>
      <c r="I47" s="104"/>
      <c r="N47" s="29"/>
      <c r="O47" s="29"/>
      <c r="P47" s="29"/>
      <c r="Q47" s="29"/>
      <c r="R47" s="36"/>
      <c r="S47" s="31"/>
      <c r="T47" s="31"/>
      <c r="U47" s="106"/>
    </row>
    <row r="48" spans="1:21" x14ac:dyDescent="0.25">
      <c r="A48" s="27"/>
      <c r="B48" s="27"/>
      <c r="C48" s="91" t="s">
        <v>463</v>
      </c>
      <c r="D48" s="371" t="s">
        <v>464</v>
      </c>
      <c r="E48" s="92" t="s">
        <v>8</v>
      </c>
      <c r="F48" s="49" t="s">
        <v>130</v>
      </c>
      <c r="G48" s="112" t="s">
        <v>132</v>
      </c>
      <c r="H48" s="113" t="s">
        <v>133</v>
      </c>
      <c r="I48" s="104"/>
      <c r="N48" s="29"/>
      <c r="O48" s="29"/>
      <c r="P48" s="29"/>
      <c r="Q48" s="29"/>
      <c r="R48" s="36"/>
      <c r="S48" s="31"/>
      <c r="T48" s="31"/>
      <c r="U48" s="106"/>
    </row>
    <row r="49" spans="1:21" x14ac:dyDescent="0.25">
      <c r="A49" s="37" t="s">
        <v>87</v>
      </c>
      <c r="B49" s="37"/>
      <c r="C49" s="364" t="s">
        <v>2</v>
      </c>
      <c r="D49" s="362" t="s">
        <v>2</v>
      </c>
      <c r="E49" s="362" t="s">
        <v>2</v>
      </c>
      <c r="F49" s="95" t="s">
        <v>131</v>
      </c>
      <c r="G49" s="62" t="s">
        <v>131</v>
      </c>
      <c r="H49" s="114" t="s">
        <v>134</v>
      </c>
      <c r="I49" s="37"/>
      <c r="N49" s="482" t="s">
        <v>87</v>
      </c>
      <c r="O49" s="482"/>
      <c r="P49" s="503" t="s">
        <v>2</v>
      </c>
      <c r="Q49" s="503"/>
      <c r="R49" s="38" t="s">
        <v>25</v>
      </c>
      <c r="S49" s="63" t="s">
        <v>26</v>
      </c>
      <c r="T49" s="115" t="s">
        <v>27</v>
      </c>
      <c r="U49" s="38"/>
    </row>
    <row r="50" spans="1:21" x14ac:dyDescent="0.25">
      <c r="A50" s="459" t="s">
        <v>98</v>
      </c>
      <c r="B50" s="459"/>
      <c r="C50" s="165">
        <v>0</v>
      </c>
      <c r="D50" s="165">
        <v>0</v>
      </c>
      <c r="E50" s="125">
        <f>IF(D$59=0,C50*2,C50+D50)</f>
        <v>0</v>
      </c>
      <c r="F50" s="39" t="s">
        <v>21</v>
      </c>
      <c r="G50" s="39">
        <v>251</v>
      </c>
      <c r="H50" s="321">
        <f>'0664'!H50</f>
        <v>1047</v>
      </c>
      <c r="I50" s="104">
        <f>ROUND(E50*H50,2)</f>
        <v>0</v>
      </c>
      <c r="N50" s="504" t="s">
        <v>28</v>
      </c>
      <c r="O50" s="504"/>
      <c r="P50" s="505"/>
      <c r="Q50" s="505"/>
      <c r="R50" s="40" t="s">
        <v>21</v>
      </c>
      <c r="S50" s="40">
        <v>251</v>
      </c>
      <c r="T50" s="117">
        <f>H50</f>
        <v>1047</v>
      </c>
      <c r="U50" s="118">
        <f>ROUND(P50*T50,0)</f>
        <v>0</v>
      </c>
    </row>
    <row r="51" spans="1:21" x14ac:dyDescent="0.25">
      <c r="A51" s="460"/>
      <c r="B51" s="460"/>
      <c r="C51" s="165">
        <v>0</v>
      </c>
      <c r="D51" s="165">
        <v>0</v>
      </c>
      <c r="E51" s="125">
        <f t="shared" ref="E51:E58" si="10">IF(D$59=0,C51*2,C51+D51)</f>
        <v>0</v>
      </c>
      <c r="F51" s="39" t="s">
        <v>21</v>
      </c>
      <c r="G51" s="39">
        <v>252</v>
      </c>
      <c r="H51" s="321">
        <f>'0664'!H51</f>
        <v>3380</v>
      </c>
      <c r="I51" s="104">
        <f t="shared" ref="I51:I58" si="11">ROUND(E51*H51,2)</f>
        <v>0</v>
      </c>
      <c r="N51" s="504"/>
      <c r="O51" s="504"/>
      <c r="P51" s="506"/>
      <c r="Q51" s="506"/>
      <c r="R51" s="40" t="s">
        <v>21</v>
      </c>
      <c r="S51" s="40">
        <v>252</v>
      </c>
      <c r="T51" s="117">
        <f t="shared" ref="T51:T58" si="12">H51</f>
        <v>3380</v>
      </c>
      <c r="U51" s="118">
        <f t="shared" ref="U51:U58" si="13">ROUND(P51*T51,0)</f>
        <v>0</v>
      </c>
    </row>
    <row r="52" spans="1:21" x14ac:dyDescent="0.25">
      <c r="A52" s="460"/>
      <c r="B52" s="460"/>
      <c r="C52" s="165">
        <v>0</v>
      </c>
      <c r="D52" s="165">
        <v>0</v>
      </c>
      <c r="E52" s="125">
        <f t="shared" si="10"/>
        <v>0</v>
      </c>
      <c r="F52" s="39" t="s">
        <v>21</v>
      </c>
      <c r="G52" s="39">
        <v>253</v>
      </c>
      <c r="H52" s="321">
        <f>'0664'!H52</f>
        <v>6896</v>
      </c>
      <c r="I52" s="104">
        <f t="shared" si="11"/>
        <v>0</v>
      </c>
      <c r="N52" s="504"/>
      <c r="O52" s="504"/>
      <c r="P52" s="506"/>
      <c r="Q52" s="506"/>
      <c r="R52" s="40" t="s">
        <v>21</v>
      </c>
      <c r="S52" s="40">
        <v>253</v>
      </c>
      <c r="T52" s="117">
        <f t="shared" si="12"/>
        <v>6896</v>
      </c>
      <c r="U52" s="118">
        <f t="shared" si="13"/>
        <v>0</v>
      </c>
    </row>
    <row r="53" spans="1:21" x14ac:dyDescent="0.25">
      <c r="A53" s="460"/>
      <c r="B53" s="460"/>
      <c r="C53" s="165">
        <v>28</v>
      </c>
      <c r="D53" s="165">
        <v>29.14</v>
      </c>
      <c r="E53" s="125">
        <f t="shared" si="10"/>
        <v>57.14</v>
      </c>
      <c r="F53" s="41" t="s">
        <v>14</v>
      </c>
      <c r="G53" s="39">
        <v>251</v>
      </c>
      <c r="H53" s="321">
        <f>'0664'!H53</f>
        <v>1173</v>
      </c>
      <c r="I53" s="104">
        <f t="shared" si="11"/>
        <v>67025.22</v>
      </c>
      <c r="N53" s="504"/>
      <c r="O53" s="504"/>
      <c r="P53" s="506"/>
      <c r="Q53" s="506"/>
      <c r="R53" s="42" t="s">
        <v>14</v>
      </c>
      <c r="S53" s="40">
        <v>251</v>
      </c>
      <c r="T53" s="117">
        <f t="shared" si="12"/>
        <v>1173</v>
      </c>
      <c r="U53" s="118">
        <f t="shared" si="13"/>
        <v>0</v>
      </c>
    </row>
    <row r="54" spans="1:21" x14ac:dyDescent="0.25">
      <c r="A54" s="460"/>
      <c r="B54" s="460"/>
      <c r="C54" s="165">
        <v>1.5</v>
      </c>
      <c r="D54" s="165">
        <v>1.56</v>
      </c>
      <c r="E54" s="125">
        <f t="shared" si="10"/>
        <v>3.06</v>
      </c>
      <c r="F54" s="41" t="s">
        <v>14</v>
      </c>
      <c r="G54" s="39">
        <v>252</v>
      </c>
      <c r="H54" s="321">
        <f>'0664'!H54</f>
        <v>3506</v>
      </c>
      <c r="I54" s="104">
        <f t="shared" si="11"/>
        <v>10728.36</v>
      </c>
      <c r="N54" s="504"/>
      <c r="O54" s="504"/>
      <c r="P54" s="506"/>
      <c r="Q54" s="506"/>
      <c r="R54" s="42" t="s">
        <v>14</v>
      </c>
      <c r="S54" s="40">
        <v>252</v>
      </c>
      <c r="T54" s="117">
        <f t="shared" si="12"/>
        <v>3506</v>
      </c>
      <c r="U54" s="118">
        <f t="shared" si="13"/>
        <v>0</v>
      </c>
    </row>
    <row r="55" spans="1:21" x14ac:dyDescent="0.25">
      <c r="A55" s="460"/>
      <c r="B55" s="460"/>
      <c r="C55" s="165">
        <v>0.5</v>
      </c>
      <c r="D55" s="165">
        <v>0.52</v>
      </c>
      <c r="E55" s="125">
        <f t="shared" si="10"/>
        <v>1.02</v>
      </c>
      <c r="F55" s="41" t="s">
        <v>14</v>
      </c>
      <c r="G55" s="39">
        <v>253</v>
      </c>
      <c r="H55" s="321">
        <f>'0664'!H55</f>
        <v>7023</v>
      </c>
      <c r="I55" s="104">
        <f t="shared" si="11"/>
        <v>7163.46</v>
      </c>
      <c r="N55" s="504"/>
      <c r="O55" s="504"/>
      <c r="P55" s="506"/>
      <c r="Q55" s="506"/>
      <c r="R55" s="42" t="s">
        <v>14</v>
      </c>
      <c r="S55" s="40">
        <v>253</v>
      </c>
      <c r="T55" s="117">
        <f t="shared" si="12"/>
        <v>7023</v>
      </c>
      <c r="U55" s="118">
        <f t="shared" si="13"/>
        <v>0</v>
      </c>
    </row>
    <row r="56" spans="1:21" x14ac:dyDescent="0.25">
      <c r="A56" s="460"/>
      <c r="B56" s="460"/>
      <c r="C56" s="165">
        <v>16</v>
      </c>
      <c r="D56" s="165">
        <v>15.6</v>
      </c>
      <c r="E56" s="125">
        <f t="shared" si="10"/>
        <v>31.6</v>
      </c>
      <c r="F56" s="41" t="s">
        <v>15</v>
      </c>
      <c r="G56" s="39">
        <v>251</v>
      </c>
      <c r="H56" s="321">
        <f>'0664'!H56</f>
        <v>835</v>
      </c>
      <c r="I56" s="104">
        <f t="shared" si="11"/>
        <v>26386</v>
      </c>
      <c r="N56" s="504"/>
      <c r="O56" s="504"/>
      <c r="P56" s="506"/>
      <c r="Q56" s="506"/>
      <c r="R56" s="42" t="s">
        <v>15</v>
      </c>
      <c r="S56" s="40">
        <v>251</v>
      </c>
      <c r="T56" s="117">
        <f t="shared" si="12"/>
        <v>835</v>
      </c>
      <c r="U56" s="118">
        <f t="shared" si="13"/>
        <v>0</v>
      </c>
    </row>
    <row r="57" spans="1:21" x14ac:dyDescent="0.25">
      <c r="A57" s="460"/>
      <c r="B57" s="460"/>
      <c r="C57" s="165">
        <v>2.5</v>
      </c>
      <c r="D57" s="165">
        <v>2.44</v>
      </c>
      <c r="E57" s="125">
        <f t="shared" si="10"/>
        <v>4.9399999999999995</v>
      </c>
      <c r="F57" s="41" t="s">
        <v>15</v>
      </c>
      <c r="G57" s="39">
        <v>252</v>
      </c>
      <c r="H57" s="321">
        <f>'0664'!H57</f>
        <v>3168</v>
      </c>
      <c r="I57" s="104">
        <f t="shared" si="11"/>
        <v>15649.92</v>
      </c>
      <c r="N57" s="504"/>
      <c r="O57" s="504"/>
      <c r="P57" s="506"/>
      <c r="Q57" s="506"/>
      <c r="R57" s="42" t="s">
        <v>15</v>
      </c>
      <c r="S57" s="40">
        <v>252</v>
      </c>
      <c r="T57" s="117">
        <f t="shared" si="12"/>
        <v>3168</v>
      </c>
      <c r="U57" s="118">
        <f t="shared" si="13"/>
        <v>0</v>
      </c>
    </row>
    <row r="58" spans="1:21" ht="16.5" thickBot="1" x14ac:dyDescent="0.3">
      <c r="A58" s="460"/>
      <c r="B58" s="460"/>
      <c r="C58" s="165">
        <v>0</v>
      </c>
      <c r="D58" s="165">
        <v>0</v>
      </c>
      <c r="E58" s="125">
        <f t="shared" si="10"/>
        <v>0</v>
      </c>
      <c r="F58" s="41" t="s">
        <v>15</v>
      </c>
      <c r="G58" s="39">
        <v>253</v>
      </c>
      <c r="H58" s="321">
        <f>'0664'!H58</f>
        <v>6685</v>
      </c>
      <c r="I58" s="104">
        <f t="shared" si="11"/>
        <v>0</v>
      </c>
      <c r="N58" s="504"/>
      <c r="O58" s="504"/>
      <c r="P58" s="507"/>
      <c r="Q58" s="507"/>
      <c r="R58" s="42" t="s">
        <v>15</v>
      </c>
      <c r="S58" s="40">
        <v>253</v>
      </c>
      <c r="T58" s="117">
        <f t="shared" si="12"/>
        <v>6685</v>
      </c>
      <c r="U58" s="120">
        <f t="shared" si="13"/>
        <v>0</v>
      </c>
    </row>
    <row r="59" spans="1:21" ht="16.5" thickBot="1" x14ac:dyDescent="0.3">
      <c r="A59" s="461" t="s">
        <v>16</v>
      </c>
      <c r="B59" s="461"/>
      <c r="C59" s="100">
        <f>SUM(C50:C58)</f>
        <v>48.5</v>
      </c>
      <c r="D59" s="100">
        <f>SUM(D50:D58)</f>
        <v>49.26</v>
      </c>
      <c r="E59" s="100">
        <f>SUM(E50:E58)</f>
        <v>97.76</v>
      </c>
      <c r="F59" s="461" t="s">
        <v>77</v>
      </c>
      <c r="G59" s="461"/>
      <c r="H59" s="461"/>
      <c r="I59" s="100">
        <f>SUM(I50:I58)</f>
        <v>126952.96000000001</v>
      </c>
      <c r="N59" s="480" t="s">
        <v>16</v>
      </c>
      <c r="O59" s="480"/>
      <c r="P59" s="502">
        <f>SUM(P50:P58)</f>
        <v>0</v>
      </c>
      <c r="Q59" s="502"/>
      <c r="R59" s="480" t="s">
        <v>77</v>
      </c>
      <c r="S59" s="480"/>
      <c r="T59" s="480"/>
      <c r="U59" s="111">
        <f>SUM(U50:U58)</f>
        <v>0</v>
      </c>
    </row>
    <row r="60" spans="1:21" x14ac:dyDescent="0.25">
      <c r="A60" s="462"/>
      <c r="B60" s="462"/>
      <c r="C60" s="462"/>
      <c r="D60" s="462"/>
      <c r="E60" s="462"/>
      <c r="F60" s="462"/>
      <c r="G60" s="462"/>
      <c r="H60" s="462"/>
      <c r="I60" s="462"/>
      <c r="N60" s="484"/>
      <c r="O60" s="484"/>
      <c r="P60" s="484"/>
      <c r="Q60" s="484"/>
      <c r="R60" s="484"/>
      <c r="S60" s="484"/>
      <c r="T60" s="484"/>
      <c r="U60" s="484"/>
    </row>
    <row r="61" spans="1:21" x14ac:dyDescent="0.25">
      <c r="A61" s="463" t="s">
        <v>136</v>
      </c>
      <c r="B61" s="453"/>
      <c r="C61" s="453"/>
      <c r="D61" s="453"/>
      <c r="E61" s="453"/>
      <c r="F61" s="453"/>
      <c r="G61" s="453"/>
      <c r="H61" s="453"/>
      <c r="I61" s="453"/>
      <c r="N61" s="479" t="s">
        <v>88</v>
      </c>
      <c r="O61" s="479"/>
      <c r="P61" s="479"/>
      <c r="Q61" s="479"/>
      <c r="R61" s="479"/>
      <c r="S61" s="479"/>
      <c r="T61" s="479"/>
      <c r="U61" s="479"/>
    </row>
    <row r="62" spans="1:21" x14ac:dyDescent="0.25">
      <c r="A62" s="463" t="s">
        <v>138</v>
      </c>
      <c r="B62" s="453"/>
      <c r="C62" s="121">
        <f>E29</f>
        <v>1007.3500000000001</v>
      </c>
      <c r="D62" s="464" t="s">
        <v>135</v>
      </c>
      <c r="E62" s="464"/>
      <c r="F62" s="464"/>
      <c r="G62" s="464"/>
      <c r="H62" s="335">
        <f>'0664'!H62</f>
        <v>193340.76</v>
      </c>
      <c r="I62" s="122"/>
      <c r="N62" s="478" t="s">
        <v>312</v>
      </c>
      <c r="O62" s="479"/>
      <c r="P62" s="43">
        <f>P29</f>
        <v>0</v>
      </c>
      <c r="Q62" s="498" t="s">
        <v>78</v>
      </c>
      <c r="R62" s="498"/>
      <c r="S62" s="498"/>
      <c r="T62" s="497">
        <f>H62</f>
        <v>193340.76</v>
      </c>
      <c r="U62" s="497"/>
    </row>
    <row r="63" spans="1:21" x14ac:dyDescent="0.25">
      <c r="B63" s="72"/>
      <c r="G63" s="44" t="s">
        <v>13</v>
      </c>
      <c r="H63" s="123">
        <f>ROUND(C62/H62,6)</f>
        <v>5.2100000000000002E-3</v>
      </c>
      <c r="I63" s="124"/>
      <c r="N63" s="479" t="s">
        <v>19</v>
      </c>
      <c r="O63" s="479"/>
      <c r="P63" s="479"/>
      <c r="Q63" s="479"/>
      <c r="R63" s="479"/>
      <c r="S63" s="479"/>
      <c r="T63" s="501">
        <f>ROUND(P62/T62,6)</f>
        <v>0</v>
      </c>
      <c r="U63" s="501"/>
    </row>
    <row r="64" spans="1:21" x14ac:dyDescent="0.25">
      <c r="A64" s="463" t="s">
        <v>137</v>
      </c>
      <c r="B64" s="453"/>
      <c r="C64" s="453"/>
      <c r="D64" s="453"/>
      <c r="E64" s="453"/>
      <c r="F64" s="453"/>
      <c r="G64" s="453"/>
      <c r="H64" s="453"/>
      <c r="I64" s="453"/>
      <c r="N64" s="479" t="s">
        <v>89</v>
      </c>
      <c r="O64" s="479"/>
      <c r="P64" s="479"/>
      <c r="Q64" s="479"/>
      <c r="R64" s="479"/>
      <c r="S64" s="479"/>
      <c r="T64" s="479"/>
      <c r="U64" s="479"/>
    </row>
    <row r="65" spans="1:21" x14ac:dyDescent="0.25">
      <c r="A65" s="463" t="s">
        <v>139</v>
      </c>
      <c r="B65" s="453"/>
      <c r="C65" s="121">
        <f>E45</f>
        <v>1037.7800999999999</v>
      </c>
      <c r="D65" s="464" t="s">
        <v>140</v>
      </c>
      <c r="E65" s="464"/>
      <c r="F65" s="464"/>
      <c r="G65" s="464"/>
      <c r="H65" s="336">
        <f>'0664'!H65</f>
        <v>216845.88</v>
      </c>
      <c r="I65" s="125"/>
      <c r="N65" s="479" t="s">
        <v>80</v>
      </c>
      <c r="O65" s="479"/>
      <c r="P65" s="43">
        <f>R45</f>
        <v>0</v>
      </c>
      <c r="Q65" s="498" t="s">
        <v>79</v>
      </c>
      <c r="R65" s="498"/>
      <c r="S65" s="498"/>
      <c r="T65" s="497">
        <f>H65</f>
        <v>216845.88</v>
      </c>
      <c r="U65" s="497"/>
    </row>
    <row r="66" spans="1:21" s="37" customFormat="1" x14ac:dyDescent="0.25">
      <c r="A66" s="126"/>
      <c r="G66" s="45" t="s">
        <v>13</v>
      </c>
      <c r="H66" s="127">
        <f>ROUND(C65/H65,6)</f>
        <v>4.7860000000000003E-3</v>
      </c>
      <c r="I66" s="127"/>
      <c r="N66" s="482" t="s">
        <v>20</v>
      </c>
      <c r="O66" s="482"/>
      <c r="P66" s="482"/>
      <c r="Q66" s="482"/>
      <c r="R66" s="482"/>
      <c r="S66" s="482"/>
      <c r="T66" s="500">
        <f>ROUND(P65/T65,6)</f>
        <v>0</v>
      </c>
      <c r="U66" s="500"/>
    </row>
    <row r="67" spans="1:21" x14ac:dyDescent="0.25">
      <c r="G67" s="44"/>
      <c r="H67" s="123"/>
      <c r="I67" s="123"/>
      <c r="N67" s="48"/>
      <c r="O67" s="48"/>
      <c r="P67" s="48"/>
      <c r="Q67" s="48"/>
      <c r="R67" s="128"/>
      <c r="S67" s="48"/>
      <c r="T67" s="129"/>
      <c r="U67" s="130"/>
    </row>
    <row r="68" spans="1:21" x14ac:dyDescent="0.25">
      <c r="A68" s="453" t="s">
        <v>85</v>
      </c>
      <c r="B68" s="453"/>
      <c r="C68" s="453"/>
      <c r="D68" s="72"/>
      <c r="E68" s="46" t="s">
        <v>3</v>
      </c>
      <c r="F68" s="337">
        <f>'0664'!F68</f>
        <v>42465042</v>
      </c>
      <c r="G68" s="39" t="s">
        <v>6</v>
      </c>
      <c r="H68" s="131">
        <f>H63</f>
        <v>5.2100000000000002E-3</v>
      </c>
      <c r="I68" s="104">
        <f>ROUND(F68*H68,2)</f>
        <v>221242.87</v>
      </c>
      <c r="N68" s="479" t="s">
        <v>85</v>
      </c>
      <c r="O68" s="479"/>
      <c r="P68" s="479"/>
      <c r="Q68" s="47"/>
      <c r="R68" s="132">
        <f>F68</f>
        <v>42465042</v>
      </c>
      <c r="S68" s="40" t="s">
        <v>6</v>
      </c>
      <c r="T68" s="133">
        <f>T63</f>
        <v>0</v>
      </c>
      <c r="U68" s="99">
        <f>ROUND(R68*T68,0)</f>
        <v>0</v>
      </c>
    </row>
    <row r="69" spans="1:21" x14ac:dyDescent="0.25">
      <c r="A69" s="458" t="s">
        <v>96</v>
      </c>
      <c r="B69" s="453"/>
      <c r="C69" s="453"/>
      <c r="D69" s="72"/>
      <c r="E69" s="46"/>
      <c r="F69" s="175"/>
      <c r="G69" s="39"/>
      <c r="H69" s="131"/>
      <c r="I69" s="104"/>
      <c r="N69" s="479" t="s">
        <v>84</v>
      </c>
      <c r="O69" s="479"/>
      <c r="P69" s="479"/>
      <c r="Q69" s="54"/>
      <c r="R69" s="54"/>
      <c r="S69" s="54"/>
      <c r="T69" s="54"/>
      <c r="U69" s="54"/>
    </row>
    <row r="70" spans="1:21" x14ac:dyDescent="0.25">
      <c r="A70" s="465" t="s">
        <v>141</v>
      </c>
      <c r="B70" s="453"/>
      <c r="C70" s="453"/>
      <c r="D70" s="72"/>
      <c r="E70" s="46" t="s">
        <v>3</v>
      </c>
      <c r="F70" s="337">
        <f>'0664'!F70</f>
        <v>0</v>
      </c>
      <c r="G70" s="39" t="s">
        <v>6</v>
      </c>
      <c r="H70" s="131">
        <f>H63</f>
        <v>5.2100000000000002E-3</v>
      </c>
      <c r="I70" s="104">
        <f>ROUND(F70*H70,2)</f>
        <v>0</v>
      </c>
      <c r="N70" s="48"/>
      <c r="O70" s="48"/>
      <c r="P70" s="48"/>
      <c r="Q70" s="47"/>
      <c r="R70" s="132">
        <f>F70</f>
        <v>0</v>
      </c>
      <c r="S70" s="40" t="s">
        <v>6</v>
      </c>
      <c r="T70" s="133">
        <f>T63</f>
        <v>0</v>
      </c>
      <c r="U70" s="99">
        <f>ROUND(R70*T70,0)</f>
        <v>0</v>
      </c>
    </row>
    <row r="71" spans="1:21" x14ac:dyDescent="0.25">
      <c r="A71" s="463" t="s">
        <v>433</v>
      </c>
      <c r="B71" s="453"/>
      <c r="C71" s="453"/>
      <c r="D71" s="72"/>
      <c r="E71" s="46" t="s">
        <v>3</v>
      </c>
      <c r="F71" s="337">
        <f>'0664'!F71</f>
        <v>13414654</v>
      </c>
      <c r="G71" s="39" t="s">
        <v>6</v>
      </c>
      <c r="H71" s="131">
        <f>H63</f>
        <v>5.2100000000000002E-3</v>
      </c>
      <c r="I71" s="104">
        <f>ROUND(F71*H71,2)</f>
        <v>69890.350000000006</v>
      </c>
      <c r="N71" s="479" t="s">
        <v>83</v>
      </c>
      <c r="O71" s="479"/>
      <c r="P71" s="479"/>
      <c r="Q71" s="47"/>
      <c r="R71" s="132">
        <f>F71</f>
        <v>13414654</v>
      </c>
      <c r="S71" s="40" t="s">
        <v>6</v>
      </c>
      <c r="T71" s="133">
        <f>T63</f>
        <v>0</v>
      </c>
      <c r="U71" s="99">
        <f>ROUND(R71*T71,0)</f>
        <v>0</v>
      </c>
    </row>
    <row r="72" spans="1:21" x14ac:dyDescent="0.25">
      <c r="A72" s="463" t="s">
        <v>434</v>
      </c>
      <c r="B72" s="453"/>
      <c r="C72" s="453"/>
      <c r="D72" s="72"/>
      <c r="E72" s="46" t="s">
        <v>3</v>
      </c>
      <c r="F72" s="337">
        <f>'0664'!F72</f>
        <v>14708421</v>
      </c>
      <c r="G72" s="39" t="s">
        <v>6</v>
      </c>
      <c r="H72" s="131">
        <f>H63</f>
        <v>5.2100000000000002E-3</v>
      </c>
      <c r="I72" s="104">
        <f>ROUND(F72*H72,2)</f>
        <v>76630.87</v>
      </c>
      <c r="N72" s="479" t="s">
        <v>82</v>
      </c>
      <c r="O72" s="479"/>
      <c r="P72" s="479"/>
      <c r="Q72" s="47"/>
      <c r="R72" s="134">
        <f>F72</f>
        <v>14708421</v>
      </c>
      <c r="S72" s="40" t="s">
        <v>6</v>
      </c>
      <c r="T72" s="133">
        <f>T63</f>
        <v>0</v>
      </c>
      <c r="U72" s="99">
        <f>ROUND(R72*T72,0)</f>
        <v>0</v>
      </c>
    </row>
    <row r="73" spans="1:21" x14ac:dyDescent="0.25">
      <c r="A73" s="263" t="s">
        <v>99</v>
      </c>
      <c r="D73" s="72"/>
      <c r="E73" s="41" t="s">
        <v>353</v>
      </c>
      <c r="F73" s="466"/>
      <c r="G73" s="466"/>
      <c r="H73" s="466"/>
      <c r="I73" s="104">
        <v>0</v>
      </c>
      <c r="N73" s="499" t="s">
        <v>118</v>
      </c>
      <c r="O73" s="499"/>
      <c r="P73" s="499"/>
      <c r="Q73" s="499"/>
      <c r="R73" s="499"/>
      <c r="S73" s="499"/>
      <c r="T73" s="499"/>
      <c r="U73" s="99">
        <f>IF($H$120=1,I73,0)</f>
        <v>0</v>
      </c>
    </row>
    <row r="74" spans="1:21" x14ac:dyDescent="0.25">
      <c r="A74" s="264" t="s">
        <v>142</v>
      </c>
      <c r="I74" s="104"/>
      <c r="N74" s="499" t="s">
        <v>43</v>
      </c>
      <c r="O74" s="499"/>
      <c r="P74" s="499"/>
      <c r="Q74" s="499"/>
      <c r="R74" s="499"/>
      <c r="S74" s="499"/>
      <c r="T74" s="499"/>
      <c r="U74" s="99">
        <f>IF($H$120=1,I74,0)</f>
        <v>0</v>
      </c>
    </row>
    <row r="75" spans="1:21" x14ac:dyDescent="0.25">
      <c r="A75" s="324" t="s">
        <v>101</v>
      </c>
      <c r="B75" s="72"/>
      <c r="C75" s="72"/>
      <c r="D75" s="72"/>
      <c r="E75" s="72"/>
      <c r="F75" s="72"/>
      <c r="G75" s="72"/>
      <c r="H75" s="72"/>
      <c r="I75" s="135"/>
      <c r="N75" s="382" t="s">
        <v>44</v>
      </c>
      <c r="O75" s="48"/>
      <c r="P75" s="48"/>
      <c r="Q75" s="48"/>
      <c r="R75" s="48"/>
      <c r="S75" s="48"/>
      <c r="T75" s="48"/>
      <c r="U75" s="106"/>
    </row>
    <row r="76" spans="1:21" x14ac:dyDescent="0.25">
      <c r="A76" s="463" t="s">
        <v>435</v>
      </c>
      <c r="B76" s="453"/>
      <c r="C76" s="453"/>
      <c r="D76" s="72"/>
      <c r="E76" s="46" t="s">
        <v>3</v>
      </c>
      <c r="F76" s="337">
        <f>'0664'!F76</f>
        <v>8720092</v>
      </c>
      <c r="G76" s="39" t="s">
        <v>6</v>
      </c>
      <c r="H76" s="131">
        <f>H63</f>
        <v>5.2100000000000002E-3</v>
      </c>
      <c r="I76" s="104">
        <f t="shared" ref="I76:I85" si="14">ROUND(F76*H76,2)</f>
        <v>45431.68</v>
      </c>
      <c r="N76" s="478" t="s">
        <v>366</v>
      </c>
      <c r="O76" s="479"/>
      <c r="P76" s="479"/>
      <c r="Q76" s="47"/>
      <c r="R76" s="134">
        <f t="shared" ref="R76:R85" si="15">F76</f>
        <v>8720092</v>
      </c>
      <c r="S76" s="40" t="s">
        <v>6</v>
      </c>
      <c r="T76" s="133">
        <f>T63</f>
        <v>0</v>
      </c>
      <c r="U76" s="99">
        <f t="shared" ref="U76:U85" si="16">ROUND(R76*T76,0)</f>
        <v>0</v>
      </c>
    </row>
    <row r="77" spans="1:21" x14ac:dyDescent="0.25">
      <c r="A77" s="463" t="s">
        <v>436</v>
      </c>
      <c r="B77" s="453"/>
      <c r="C77" s="453"/>
      <c r="D77" s="72"/>
      <c r="E77" s="46" t="s">
        <v>3</v>
      </c>
      <c r="F77" s="337">
        <f>'0664'!F77</f>
        <v>0</v>
      </c>
      <c r="G77" s="39" t="s">
        <v>6</v>
      </c>
      <c r="H77" s="131">
        <f>H63</f>
        <v>5.2100000000000002E-3</v>
      </c>
      <c r="I77" s="104">
        <f t="shared" si="14"/>
        <v>0</v>
      </c>
      <c r="N77" s="479" t="s">
        <v>367</v>
      </c>
      <c r="O77" s="479"/>
      <c r="P77" s="479"/>
      <c r="Q77" s="47"/>
      <c r="R77" s="134">
        <f t="shared" si="15"/>
        <v>0</v>
      </c>
      <c r="S77" s="40" t="s">
        <v>6</v>
      </c>
      <c r="T77" s="133">
        <f>T63</f>
        <v>0</v>
      </c>
      <c r="U77" s="99">
        <f t="shared" si="16"/>
        <v>0</v>
      </c>
    </row>
    <row r="78" spans="1:21" x14ac:dyDescent="0.25">
      <c r="A78" s="463" t="s">
        <v>437</v>
      </c>
      <c r="B78" s="453"/>
      <c r="C78" s="453"/>
      <c r="D78" s="72"/>
      <c r="E78" s="46" t="s">
        <v>4</v>
      </c>
      <c r="F78" s="337">
        <f>'0664'!F78</f>
        <v>0</v>
      </c>
      <c r="G78" s="39" t="s">
        <v>6</v>
      </c>
      <c r="H78" s="131">
        <f>H66</f>
        <v>4.7860000000000003E-3</v>
      </c>
      <c r="I78" s="104">
        <f t="shared" si="14"/>
        <v>0</v>
      </c>
      <c r="N78" s="478" t="s">
        <v>392</v>
      </c>
      <c r="O78" s="479"/>
      <c r="P78" s="479"/>
      <c r="Q78" s="47"/>
      <c r="R78" s="134">
        <f t="shared" si="15"/>
        <v>0</v>
      </c>
      <c r="S78" s="40" t="s">
        <v>6</v>
      </c>
      <c r="T78" s="133">
        <f>T66</f>
        <v>0</v>
      </c>
      <c r="U78" s="99">
        <f t="shared" si="16"/>
        <v>0</v>
      </c>
    </row>
    <row r="79" spans="1:21" x14ac:dyDescent="0.25">
      <c r="A79" s="463" t="s">
        <v>438</v>
      </c>
      <c r="B79" s="453"/>
      <c r="C79" s="453"/>
      <c r="D79" s="72"/>
      <c r="E79" s="46" t="s">
        <v>4</v>
      </c>
      <c r="F79" s="337">
        <f>'0664'!F79</f>
        <v>11278687</v>
      </c>
      <c r="G79" s="39" t="s">
        <v>6</v>
      </c>
      <c r="H79" s="131">
        <f>H66</f>
        <v>4.7860000000000003E-3</v>
      </c>
      <c r="I79" s="104">
        <f t="shared" si="14"/>
        <v>53979.8</v>
      </c>
      <c r="N79" s="478" t="s">
        <v>393</v>
      </c>
      <c r="O79" s="479"/>
      <c r="P79" s="479"/>
      <c r="Q79" s="47"/>
      <c r="R79" s="134">
        <f t="shared" si="15"/>
        <v>11278687</v>
      </c>
      <c r="S79" s="40" t="s">
        <v>6</v>
      </c>
      <c r="T79" s="133">
        <f>T66</f>
        <v>0</v>
      </c>
      <c r="U79" s="99">
        <f t="shared" si="16"/>
        <v>0</v>
      </c>
    </row>
    <row r="80" spans="1:21" x14ac:dyDescent="0.25">
      <c r="A80" s="463" t="s">
        <v>439</v>
      </c>
      <c r="B80" s="453"/>
      <c r="C80" s="453"/>
      <c r="D80" s="72"/>
      <c r="E80" s="46" t="s">
        <v>4</v>
      </c>
      <c r="F80" s="337">
        <f>'0664'!F80</f>
        <v>206284749</v>
      </c>
      <c r="G80" s="39" t="s">
        <v>6</v>
      </c>
      <c r="H80" s="131">
        <f>H66</f>
        <v>4.7860000000000003E-3</v>
      </c>
      <c r="I80" s="104">
        <f t="shared" si="14"/>
        <v>987278.81</v>
      </c>
      <c r="N80" s="478" t="s">
        <v>397</v>
      </c>
      <c r="O80" s="479"/>
      <c r="P80" s="479"/>
      <c r="Q80" s="47"/>
      <c r="R80" s="134">
        <f t="shared" si="15"/>
        <v>206284749</v>
      </c>
      <c r="S80" s="40" t="s">
        <v>6</v>
      </c>
      <c r="T80" s="133">
        <f>T66</f>
        <v>0</v>
      </c>
      <c r="U80" s="99">
        <f t="shared" si="16"/>
        <v>0</v>
      </c>
    </row>
    <row r="81" spans="1:21" x14ac:dyDescent="0.25">
      <c r="A81" s="84" t="s">
        <v>440</v>
      </c>
      <c r="B81" s="72"/>
      <c r="C81" s="72"/>
      <c r="D81" s="72"/>
      <c r="E81" s="46"/>
      <c r="F81" s="337"/>
      <c r="G81" s="39"/>
      <c r="H81" s="131"/>
      <c r="I81" s="104"/>
      <c r="N81" s="419" t="s">
        <v>440</v>
      </c>
      <c r="O81" s="48"/>
      <c r="P81" s="48"/>
      <c r="Q81" s="47"/>
      <c r="R81" s="423"/>
      <c r="S81" s="40"/>
      <c r="T81" s="133"/>
      <c r="U81" s="120"/>
    </row>
    <row r="82" spans="1:21" x14ac:dyDescent="0.25">
      <c r="A82" s="264" t="s">
        <v>441</v>
      </c>
      <c r="B82" s="72"/>
      <c r="C82" s="72"/>
      <c r="D82" s="72"/>
      <c r="E82" s="46" t="s">
        <v>442</v>
      </c>
      <c r="F82" s="337">
        <f>'0664'!F82</f>
        <v>0</v>
      </c>
      <c r="G82" s="39" t="s">
        <v>6</v>
      </c>
      <c r="H82" s="131">
        <f>H66</f>
        <v>4.7860000000000003E-3</v>
      </c>
      <c r="I82" s="104">
        <v>147464.23000000001</v>
      </c>
      <c r="N82" s="422" t="s">
        <v>441</v>
      </c>
      <c r="O82" s="48"/>
      <c r="P82" s="48"/>
      <c r="Q82" s="47"/>
      <c r="R82" s="134">
        <f t="shared" si="15"/>
        <v>0</v>
      </c>
      <c r="S82" s="40"/>
      <c r="T82" s="133"/>
      <c r="U82" s="99">
        <f t="shared" si="16"/>
        <v>0</v>
      </c>
    </row>
    <row r="83" spans="1:21" x14ac:dyDescent="0.25">
      <c r="A83" s="264" t="s">
        <v>443</v>
      </c>
      <c r="B83" s="72"/>
      <c r="C83" s="72"/>
      <c r="D83" s="72"/>
      <c r="E83" s="46" t="s">
        <v>442</v>
      </c>
      <c r="F83" s="337">
        <f>'0664'!F83</f>
        <v>0</v>
      </c>
      <c r="G83" s="39" t="s">
        <v>6</v>
      </c>
      <c r="H83" s="131">
        <f>H66</f>
        <v>4.7860000000000003E-3</v>
      </c>
      <c r="I83" s="104">
        <v>67029.2</v>
      </c>
      <c r="N83" s="422" t="s">
        <v>443</v>
      </c>
      <c r="O83" s="48"/>
      <c r="P83" s="48"/>
      <c r="Q83" s="47"/>
      <c r="R83" s="134">
        <f t="shared" si="15"/>
        <v>0</v>
      </c>
      <c r="S83" s="40"/>
      <c r="T83" s="133"/>
      <c r="U83" s="99">
        <f t="shared" si="16"/>
        <v>0</v>
      </c>
    </row>
    <row r="84" spans="1:21" x14ac:dyDescent="0.25">
      <c r="A84" s="420" t="s">
        <v>444</v>
      </c>
      <c r="B84" s="72"/>
      <c r="C84" s="72"/>
      <c r="D84" s="72"/>
      <c r="E84" s="46"/>
      <c r="F84" s="337"/>
      <c r="G84" s="39"/>
      <c r="H84" s="131"/>
      <c r="I84" s="104">
        <f>I82+I83</f>
        <v>214493.43</v>
      </c>
      <c r="N84" s="421" t="s">
        <v>444</v>
      </c>
      <c r="O84" s="48"/>
      <c r="P84" s="48"/>
      <c r="Q84" s="47"/>
      <c r="R84" s="423"/>
      <c r="S84" s="40"/>
      <c r="T84" s="133"/>
      <c r="U84" s="99">
        <f>U82+U83</f>
        <v>0</v>
      </c>
    </row>
    <row r="85" spans="1:21" x14ac:dyDescent="0.25">
      <c r="A85" s="463" t="s">
        <v>398</v>
      </c>
      <c r="B85" s="453"/>
      <c r="C85" s="453"/>
      <c r="D85" s="72"/>
      <c r="E85" s="46" t="s">
        <v>4</v>
      </c>
      <c r="F85" s="337">
        <f>'0664'!F85</f>
        <v>0</v>
      </c>
      <c r="G85" s="39" t="s">
        <v>6</v>
      </c>
      <c r="H85" s="131">
        <f>H66</f>
        <v>4.7860000000000003E-3</v>
      </c>
      <c r="I85" s="104">
        <f t="shared" si="14"/>
        <v>0</v>
      </c>
      <c r="N85" s="478" t="s">
        <v>398</v>
      </c>
      <c r="O85" s="479"/>
      <c r="P85" s="479"/>
      <c r="Q85" s="47"/>
      <c r="R85" s="132">
        <f t="shared" si="15"/>
        <v>0</v>
      </c>
      <c r="S85" s="40" t="s">
        <v>6</v>
      </c>
      <c r="T85" s="133">
        <f>T66</f>
        <v>0</v>
      </c>
      <c r="U85" s="99">
        <f t="shared" si="16"/>
        <v>0</v>
      </c>
    </row>
    <row r="86" spans="1:21" x14ac:dyDescent="0.25">
      <c r="B86" s="72"/>
      <c r="C86" s="72"/>
      <c r="D86" s="72"/>
      <c r="E86" s="46"/>
      <c r="F86" s="136"/>
      <c r="G86" s="39"/>
      <c r="H86" s="131"/>
      <c r="I86" s="104"/>
      <c r="N86" s="48"/>
      <c r="O86" s="48"/>
      <c r="P86" s="48"/>
      <c r="Q86" s="47"/>
      <c r="R86" s="137"/>
      <c r="S86" s="40"/>
      <c r="T86" s="133"/>
      <c r="U86" s="106"/>
    </row>
    <row r="87" spans="1:21" x14ac:dyDescent="0.25">
      <c r="A87" s="463" t="s">
        <v>445</v>
      </c>
      <c r="B87" s="453"/>
      <c r="C87" s="453"/>
      <c r="D87" s="453"/>
      <c r="E87" s="453"/>
      <c r="F87" s="453"/>
      <c r="G87" s="453"/>
      <c r="H87" s="453"/>
      <c r="I87" s="453"/>
      <c r="N87" s="478" t="s">
        <v>429</v>
      </c>
      <c r="O87" s="479"/>
      <c r="P87" s="479"/>
      <c r="Q87" s="479"/>
      <c r="R87" s="479"/>
      <c r="S87" s="479"/>
      <c r="T87" s="479"/>
      <c r="U87" s="479"/>
    </row>
    <row r="88" spans="1:21" x14ac:dyDescent="0.25">
      <c r="B88" s="72"/>
      <c r="C88" s="466" t="s">
        <v>73</v>
      </c>
      <c r="D88" s="466"/>
      <c r="E88" s="72"/>
      <c r="F88" s="41" t="s">
        <v>37</v>
      </c>
      <c r="G88" s="72"/>
      <c r="H88" s="72"/>
      <c r="I88" s="72"/>
      <c r="N88" s="48"/>
      <c r="O88" s="48"/>
      <c r="P88" s="48"/>
      <c r="Q88" s="48"/>
      <c r="R88" s="48"/>
      <c r="S88" s="48"/>
      <c r="T88" s="48"/>
      <c r="U88" s="48"/>
    </row>
    <row r="89" spans="1:21" x14ac:dyDescent="0.25">
      <c r="A89" s="3"/>
      <c r="B89" s="138"/>
      <c r="C89" s="462" t="s">
        <v>144</v>
      </c>
      <c r="D89" s="462"/>
      <c r="E89" s="139" t="s">
        <v>150</v>
      </c>
      <c r="F89" s="140" t="s">
        <v>149</v>
      </c>
      <c r="G89" s="141"/>
      <c r="H89" s="141"/>
      <c r="I89" s="141"/>
      <c r="N89" s="495" t="s">
        <v>46</v>
      </c>
      <c r="O89" s="495"/>
      <c r="P89" s="496" t="s">
        <v>119</v>
      </c>
      <c r="Q89" s="496"/>
      <c r="R89" s="497" t="s">
        <v>40</v>
      </c>
      <c r="S89" s="497"/>
      <c r="T89" s="497"/>
      <c r="U89" s="497"/>
    </row>
    <row r="90" spans="1:21" x14ac:dyDescent="0.25">
      <c r="A90" s="27"/>
      <c r="B90" s="55" t="s">
        <v>148</v>
      </c>
      <c r="C90" s="467">
        <f>H13+H14+H19+H22+H25</f>
        <v>0</v>
      </c>
      <c r="D90" s="467"/>
      <c r="E90" s="49">
        <f>H8</f>
        <v>1.0438000000000001</v>
      </c>
      <c r="F90" s="338">
        <f>'0664'!F90</f>
        <v>957.94</v>
      </c>
      <c r="G90" s="41" t="s">
        <v>13</v>
      </c>
      <c r="H90" s="104">
        <f>ROUND(C90*E90*F90,2)</f>
        <v>0</v>
      </c>
      <c r="I90" s="107"/>
      <c r="N90" s="29" t="s">
        <v>22</v>
      </c>
      <c r="O90" s="50">
        <f>T13+T14+T19+T22+T25</f>
        <v>0</v>
      </c>
      <c r="P90" s="490">
        <f>T8</f>
        <v>1.0438000000000001</v>
      </c>
      <c r="Q90" s="490"/>
      <c r="R90" s="51">
        <f>F90</f>
        <v>957.94</v>
      </c>
      <c r="S90" s="42" t="s">
        <v>13</v>
      </c>
      <c r="T90" s="134">
        <f>ROUND(O90*P90*R90,0)</f>
        <v>0</v>
      </c>
      <c r="U90" s="105"/>
    </row>
    <row r="91" spans="1:21" x14ac:dyDescent="0.25">
      <c r="A91" s="52"/>
      <c r="B91" s="52" t="s">
        <v>147</v>
      </c>
      <c r="C91" s="467">
        <f>H15+H16+H20+H23+H26</f>
        <v>553.88220000000001</v>
      </c>
      <c r="D91" s="467"/>
      <c r="E91" s="49">
        <f>H8</f>
        <v>1.0438000000000001</v>
      </c>
      <c r="F91" s="338">
        <f>'0664'!F91</f>
        <v>914.63</v>
      </c>
      <c r="G91" s="41" t="s">
        <v>13</v>
      </c>
      <c r="H91" s="104">
        <f>ROUND(C91*E91*F91,2)</f>
        <v>528786.24</v>
      </c>
      <c r="N91" s="53" t="s">
        <v>14</v>
      </c>
      <c r="O91" s="50">
        <f>T15+T16+T20+T23+T26</f>
        <v>0</v>
      </c>
      <c r="P91" s="490">
        <f>T8</f>
        <v>1.0438000000000001</v>
      </c>
      <c r="Q91" s="490"/>
      <c r="R91" s="51">
        <f>F91</f>
        <v>914.63</v>
      </c>
      <c r="S91" s="42" t="s">
        <v>13</v>
      </c>
      <c r="T91" s="134">
        <f>ROUND(O91*P91*R91,0)</f>
        <v>0</v>
      </c>
      <c r="U91" s="54"/>
    </row>
    <row r="92" spans="1:21" ht="16.5" thickBot="1" x14ac:dyDescent="0.3">
      <c r="A92" s="55"/>
      <c r="B92" s="55" t="s">
        <v>146</v>
      </c>
      <c r="C92" s="467">
        <f>H17+H18+H21+H24+H27+H28</f>
        <v>483.89790000000005</v>
      </c>
      <c r="D92" s="467"/>
      <c r="E92" s="49">
        <f>H8</f>
        <v>1.0438000000000001</v>
      </c>
      <c r="F92" s="338">
        <f>'0664'!F92</f>
        <v>916.84</v>
      </c>
      <c r="G92" s="41" t="s">
        <v>13</v>
      </c>
      <c r="H92" s="97">
        <f>ROUND(C92*E92*F92,2)</f>
        <v>463089.13</v>
      </c>
      <c r="N92" s="56" t="s">
        <v>15</v>
      </c>
      <c r="O92" s="57">
        <f>T17+T18+T21+T24+T27+T28</f>
        <v>0</v>
      </c>
      <c r="P92" s="490">
        <f>T8</f>
        <v>1.0438000000000001</v>
      </c>
      <c r="Q92" s="490"/>
      <c r="R92" s="51">
        <f>F92</f>
        <v>916.84</v>
      </c>
      <c r="S92" s="42" t="s">
        <v>13</v>
      </c>
      <c r="T92" s="134">
        <f>ROUND(O92*P92*R92,0)</f>
        <v>0</v>
      </c>
      <c r="U92" s="54"/>
    </row>
    <row r="93" spans="1:21" ht="16.5" thickBot="1" x14ac:dyDescent="0.3">
      <c r="A93" s="58"/>
      <c r="B93" s="142" t="s">
        <v>145</v>
      </c>
      <c r="C93" s="469">
        <f>SUM(C90:C92)</f>
        <v>1037.7800999999999</v>
      </c>
      <c r="D93" s="469"/>
      <c r="E93" s="143"/>
      <c r="F93" s="143"/>
      <c r="G93" s="143"/>
      <c r="H93" s="144" t="s">
        <v>143</v>
      </c>
      <c r="I93" s="104">
        <f>IF(A1=75,0,H92+H91+H90)</f>
        <v>991875.37</v>
      </c>
      <c r="N93" s="59" t="s">
        <v>120</v>
      </c>
      <c r="O93" s="60">
        <f>SUM(O90:O92)</f>
        <v>0</v>
      </c>
      <c r="P93" s="491" t="s">
        <v>18</v>
      </c>
      <c r="Q93" s="492"/>
      <c r="R93" s="492"/>
      <c r="S93" s="492"/>
      <c r="T93" s="492"/>
      <c r="U93" s="99">
        <f>IF(N1=75,0,T92+T91+T90)</f>
        <v>0</v>
      </c>
    </row>
    <row r="94" spans="1:21" ht="16.5" thickTop="1" x14ac:dyDescent="0.25">
      <c r="A94" s="540" t="s">
        <v>90</v>
      </c>
      <c r="B94" s="540"/>
      <c r="C94" s="540"/>
      <c r="D94" s="540"/>
      <c r="E94" s="540"/>
      <c r="F94" s="540"/>
      <c r="G94" s="540"/>
      <c r="H94" s="540"/>
      <c r="I94" s="540"/>
      <c r="N94" s="493" t="s">
        <v>90</v>
      </c>
      <c r="O94" s="493"/>
      <c r="P94" s="493"/>
      <c r="Q94" s="493"/>
      <c r="R94" s="493"/>
      <c r="S94" s="493"/>
      <c r="T94" s="493"/>
      <c r="U94" s="493"/>
    </row>
    <row r="95" spans="1:21" x14ac:dyDescent="0.25">
      <c r="A95" s="145"/>
      <c r="B95" s="145"/>
      <c r="C95" s="145"/>
      <c r="D95" s="145"/>
      <c r="E95" s="145"/>
      <c r="F95" s="145"/>
      <c r="G95" s="145"/>
      <c r="H95" s="145"/>
      <c r="I95" s="145"/>
      <c r="N95" s="146"/>
      <c r="O95" s="146"/>
      <c r="P95" s="146"/>
      <c r="Q95" s="146"/>
      <c r="R95" s="146"/>
      <c r="S95" s="146"/>
      <c r="T95" s="146"/>
      <c r="U95" s="146"/>
    </row>
    <row r="96" spans="1:21" x14ac:dyDescent="0.25">
      <c r="A96" s="84" t="s">
        <v>446</v>
      </c>
      <c r="C96" s="46"/>
      <c r="D96" s="72"/>
      <c r="E96" s="46" t="s">
        <v>100</v>
      </c>
      <c r="F96" s="471"/>
      <c r="G96" s="471"/>
      <c r="H96" s="471"/>
      <c r="I96" s="471"/>
      <c r="N96" s="478" t="s">
        <v>426</v>
      </c>
      <c r="O96" s="479"/>
      <c r="P96" s="479"/>
      <c r="Q96" s="494"/>
      <c r="R96" s="494"/>
      <c r="S96" s="494"/>
      <c r="T96" s="494"/>
      <c r="U96" s="106"/>
    </row>
    <row r="97" spans="1:21" x14ac:dyDescent="0.25">
      <c r="B97" s="72"/>
      <c r="C97" s="91" t="s">
        <v>409</v>
      </c>
      <c r="D97" s="371" t="s">
        <v>410</v>
      </c>
      <c r="E97" s="92" t="s">
        <v>151</v>
      </c>
      <c r="F97" s="46"/>
      <c r="G97" s="46"/>
      <c r="H97" s="46"/>
      <c r="I97" s="46"/>
      <c r="N97" s="48"/>
      <c r="O97" s="48"/>
      <c r="P97" s="48"/>
      <c r="Q97" s="147"/>
      <c r="R97" s="147"/>
      <c r="S97" s="147"/>
      <c r="T97" s="147"/>
      <c r="U97" s="106"/>
    </row>
    <row r="98" spans="1:21" x14ac:dyDescent="0.25">
      <c r="B98" s="72"/>
      <c r="C98" s="364" t="s">
        <v>2</v>
      </c>
      <c r="D98" s="362" t="s">
        <v>2</v>
      </c>
      <c r="E98" s="362" t="s">
        <v>2</v>
      </c>
      <c r="F98" s="46"/>
      <c r="G98" s="46"/>
      <c r="H98" s="46"/>
      <c r="I98" s="46"/>
      <c r="N98" s="48"/>
      <c r="O98" s="48"/>
      <c r="P98" s="48"/>
      <c r="Q98" s="147"/>
      <c r="R98" s="147"/>
      <c r="S98" s="147"/>
      <c r="T98" s="147"/>
      <c r="U98" s="106"/>
    </row>
    <row r="99" spans="1:21" x14ac:dyDescent="0.25">
      <c r="A99" s="536" t="s">
        <v>470</v>
      </c>
      <c r="B99" s="461"/>
      <c r="C99" s="165">
        <v>5</v>
      </c>
      <c r="D99" s="165">
        <v>0</v>
      </c>
      <c r="E99" s="166">
        <f>C99</f>
        <v>5</v>
      </c>
      <c r="F99" s="148" t="s">
        <v>39</v>
      </c>
      <c r="G99" s="339">
        <f>'0664'!G99</f>
        <v>558</v>
      </c>
      <c r="I99" s="104">
        <f>ROUND(G99*E99,2)</f>
        <v>2790</v>
      </c>
      <c r="N99" s="488" t="s">
        <v>65</v>
      </c>
      <c r="O99" s="488"/>
      <c r="P99" s="489">
        <f>IF(H120=1,E99,0)</f>
        <v>0</v>
      </c>
      <c r="Q99" s="489"/>
      <c r="R99" s="489"/>
      <c r="S99" s="86" t="s">
        <v>39</v>
      </c>
      <c r="T99" s="61">
        <f>G99</f>
        <v>558</v>
      </c>
      <c r="U99" s="99">
        <f>ROUND(T99*P99,0)</f>
        <v>0</v>
      </c>
    </row>
    <row r="100" spans="1:21" x14ac:dyDescent="0.25">
      <c r="A100" s="536" t="s">
        <v>471</v>
      </c>
      <c r="B100" s="461"/>
      <c r="C100" s="165">
        <v>0</v>
      </c>
      <c r="D100" s="165">
        <v>0</v>
      </c>
      <c r="E100" s="166">
        <f>C100</f>
        <v>0</v>
      </c>
      <c r="F100" s="148" t="s">
        <v>39</v>
      </c>
      <c r="G100" s="339">
        <f>'0664'!G100</f>
        <v>1707</v>
      </c>
      <c r="I100" s="104">
        <f>ROUND(G100*E100,2)</f>
        <v>0</v>
      </c>
      <c r="N100" s="488" t="s">
        <v>81</v>
      </c>
      <c r="O100" s="488"/>
      <c r="P100" s="483"/>
      <c r="Q100" s="483"/>
      <c r="R100" s="483"/>
      <c r="S100" s="86" t="s">
        <v>39</v>
      </c>
      <c r="T100" s="61">
        <f>G100</f>
        <v>1707</v>
      </c>
      <c r="U100" s="99">
        <f>ROUND(T100*P100,0)</f>
        <v>0</v>
      </c>
    </row>
    <row r="101" spans="1:21" x14ac:dyDescent="0.25">
      <c r="A101" s="149"/>
      <c r="B101" s="149"/>
      <c r="C101" s="68"/>
      <c r="D101" s="68"/>
      <c r="E101" s="68"/>
      <c r="F101" s="68"/>
      <c r="G101" s="150"/>
      <c r="H101" s="151"/>
      <c r="I101" s="104"/>
      <c r="N101" s="152"/>
      <c r="O101" s="152"/>
      <c r="P101" s="153"/>
      <c r="Q101" s="153"/>
      <c r="R101" s="153"/>
      <c r="S101" s="86"/>
      <c r="T101" s="61"/>
      <c r="U101" s="106"/>
    </row>
    <row r="102" spans="1:21" x14ac:dyDescent="0.25">
      <c r="A102" s="149"/>
      <c r="B102" s="149"/>
      <c r="C102" s="68"/>
      <c r="D102" s="68"/>
      <c r="E102" s="68"/>
      <c r="F102" s="68"/>
      <c r="G102" s="150"/>
      <c r="H102" s="151"/>
      <c r="I102" s="104"/>
      <c r="N102" s="152"/>
      <c r="O102" s="152"/>
      <c r="P102" s="153"/>
      <c r="Q102" s="153"/>
      <c r="R102" s="153"/>
      <c r="S102" s="86"/>
      <c r="T102" s="61"/>
      <c r="U102" s="106"/>
    </row>
    <row r="103" spans="1:21" hidden="1" x14ac:dyDescent="0.25">
      <c r="A103" s="463" t="s">
        <v>447</v>
      </c>
      <c r="B103" s="453"/>
      <c r="C103" s="453"/>
      <c r="D103" s="72"/>
      <c r="E103" s="41" t="s">
        <v>41</v>
      </c>
      <c r="F103" s="466"/>
      <c r="G103" s="466"/>
      <c r="H103" s="466"/>
      <c r="I103" s="466"/>
      <c r="N103" s="478" t="s">
        <v>362</v>
      </c>
      <c r="O103" s="479"/>
      <c r="P103" s="479"/>
      <c r="Q103" s="479"/>
      <c r="R103" s="479"/>
      <c r="S103" s="479"/>
      <c r="T103" s="479"/>
      <c r="U103" s="479"/>
    </row>
    <row r="104" spans="1:21" hidden="1" x14ac:dyDescent="0.25">
      <c r="B104" s="72"/>
      <c r="C104" s="462" t="s">
        <v>91</v>
      </c>
      <c r="D104" s="462"/>
      <c r="E104" s="462"/>
      <c r="F104" s="39"/>
      <c r="G104" s="39"/>
      <c r="H104" s="41" t="s">
        <v>152</v>
      </c>
      <c r="I104" s="39"/>
      <c r="N104" s="48"/>
      <c r="O104" s="48"/>
      <c r="P104" s="48"/>
      <c r="Q104" s="48"/>
      <c r="R104" s="48"/>
      <c r="S104" s="48"/>
      <c r="T104" s="48"/>
      <c r="U104" s="48"/>
    </row>
    <row r="105" spans="1:21" hidden="1" x14ac:dyDescent="0.25">
      <c r="B105" s="72"/>
      <c r="C105" s="91" t="s">
        <v>371</v>
      </c>
      <c r="D105" s="91" t="s">
        <v>351</v>
      </c>
      <c r="E105" s="159" t="s">
        <v>8</v>
      </c>
      <c r="F105" s="464" t="s">
        <v>153</v>
      </c>
      <c r="G105" s="466"/>
      <c r="H105" s="39" t="s">
        <v>38</v>
      </c>
      <c r="I105" s="39"/>
      <c r="N105" s="48"/>
      <c r="O105" s="48"/>
      <c r="P105" s="48"/>
      <c r="Q105" s="48"/>
      <c r="R105" s="48"/>
      <c r="S105" s="48"/>
      <c r="T105" s="48"/>
      <c r="U105" s="48"/>
    </row>
    <row r="106" spans="1:21" hidden="1" x14ac:dyDescent="0.25">
      <c r="A106" s="462" t="s">
        <v>94</v>
      </c>
      <c r="B106" s="462"/>
      <c r="C106" s="93" t="s">
        <v>2</v>
      </c>
      <c r="D106" s="93" t="s">
        <v>2</v>
      </c>
      <c r="E106" s="62" t="s">
        <v>2</v>
      </c>
      <c r="F106" s="462" t="s">
        <v>37</v>
      </c>
      <c r="G106" s="462"/>
      <c r="H106" s="62" t="s">
        <v>37</v>
      </c>
      <c r="I106" s="62" t="s">
        <v>8</v>
      </c>
      <c r="N106" s="484" t="s">
        <v>66</v>
      </c>
      <c r="O106" s="484"/>
      <c r="P106" s="489" t="s">
        <v>91</v>
      </c>
      <c r="Q106" s="489"/>
      <c r="R106" s="484" t="s">
        <v>67</v>
      </c>
      <c r="S106" s="484"/>
      <c r="T106" s="63" t="s">
        <v>68</v>
      </c>
      <c r="U106" s="63" t="s">
        <v>8</v>
      </c>
    </row>
    <row r="107" spans="1:21" hidden="1" x14ac:dyDescent="0.25">
      <c r="A107" s="473" t="s">
        <v>69</v>
      </c>
      <c r="B107" s="473"/>
      <c r="C107" s="163">
        <v>0</v>
      </c>
      <c r="D107" s="163">
        <v>0</v>
      </c>
      <c r="E107" s="164">
        <f>IF(D$59=0,C107*2,C107+D107)</f>
        <v>0</v>
      </c>
      <c r="F107" s="543">
        <v>0</v>
      </c>
      <c r="G107" s="543"/>
      <c r="H107" s="64">
        <f>IF(C107=0,0,125)</f>
        <v>0</v>
      </c>
      <c r="I107" s="104">
        <f>ROUND((H107+F107)*E107,2)</f>
        <v>0</v>
      </c>
      <c r="N107" s="479" t="s">
        <v>69</v>
      </c>
      <c r="O107" s="479"/>
      <c r="P107" s="483">
        <f>IF(H$120=1,C107,0)</f>
        <v>0</v>
      </c>
      <c r="Q107" s="483"/>
      <c r="R107" s="486">
        <f>F107</f>
        <v>0</v>
      </c>
      <c r="S107" s="486"/>
      <c r="T107" s="65">
        <f>H107</f>
        <v>0</v>
      </c>
      <c r="U107" s="99">
        <f>ROUND((T107+R107)*P107,0)</f>
        <v>0</v>
      </c>
    </row>
    <row r="108" spans="1:21" hidden="1" x14ac:dyDescent="0.25">
      <c r="A108" s="456" t="s">
        <v>70</v>
      </c>
      <c r="B108" s="456"/>
      <c r="C108" s="165">
        <v>0</v>
      </c>
      <c r="D108" s="165">
        <v>0</v>
      </c>
      <c r="E108" s="166">
        <f>IF(D$59=0,C108*2,C108+D108)</f>
        <v>0</v>
      </c>
      <c r="F108" s="468">
        <f>ROUND(F107/2,2)</f>
        <v>0</v>
      </c>
      <c r="G108" s="468"/>
      <c r="H108" s="64">
        <f>IF(C108=0,0,62.5)</f>
        <v>0</v>
      </c>
      <c r="I108" s="104">
        <f>ROUND((H108+F108)*E108,2)</f>
        <v>0</v>
      </c>
      <c r="N108" s="479" t="s">
        <v>70</v>
      </c>
      <c r="O108" s="479"/>
      <c r="P108" s="483">
        <f>IF(H$120=1,C108,0)</f>
        <v>0</v>
      </c>
      <c r="Q108" s="483"/>
      <c r="R108" s="487">
        <f>ROUND(R107/2,2)</f>
        <v>0</v>
      </c>
      <c r="S108" s="487"/>
      <c r="T108" s="65">
        <f>H108</f>
        <v>0</v>
      </c>
      <c r="U108" s="99">
        <f>ROUND((T108+R108)*P108,0)</f>
        <v>0</v>
      </c>
    </row>
    <row r="109" spans="1:21" ht="16.5" hidden="1" thickBot="1" x14ac:dyDescent="0.3">
      <c r="A109" s="456" t="s">
        <v>71</v>
      </c>
      <c r="B109" s="456"/>
      <c r="C109" s="165">
        <v>0</v>
      </c>
      <c r="D109" s="165">
        <v>0</v>
      </c>
      <c r="E109" s="166">
        <f>IF(D$59=0,C109*2,C109+D109)</f>
        <v>0</v>
      </c>
      <c r="F109" s="475"/>
      <c r="G109" s="475"/>
      <c r="H109" s="66">
        <f>IF(H107&gt;0,436,0)</f>
        <v>0</v>
      </c>
      <c r="I109" s="104">
        <f>ROUND(H109*E109,2)</f>
        <v>0</v>
      </c>
      <c r="N109" s="482" t="s">
        <v>71</v>
      </c>
      <c r="O109" s="482"/>
      <c r="P109" s="483">
        <f>IF(H$120=1,C109,0)</f>
        <v>0</v>
      </c>
      <c r="Q109" s="483"/>
      <c r="R109" s="484"/>
      <c r="S109" s="484"/>
      <c r="T109" s="67">
        <f>H109</f>
        <v>0</v>
      </c>
      <c r="U109" s="106">
        <f>ROUND(T109*P109,0)</f>
        <v>0</v>
      </c>
    </row>
    <row r="110" spans="1:21" ht="16.5" hidden="1" thickBot="1" x14ac:dyDescent="0.3">
      <c r="A110" s="466" t="s">
        <v>8</v>
      </c>
      <c r="B110" s="466"/>
      <c r="C110" s="68"/>
      <c r="D110" s="68"/>
      <c r="E110" s="68"/>
      <c r="F110" s="68"/>
      <c r="G110" s="68"/>
      <c r="H110" s="68"/>
      <c r="I110" s="100">
        <f>SUM(I107:I109)</f>
        <v>0</v>
      </c>
      <c r="N110" s="485" t="s">
        <v>8</v>
      </c>
      <c r="O110" s="485"/>
      <c r="P110" s="69"/>
      <c r="Q110" s="69"/>
      <c r="R110" s="69"/>
      <c r="S110" s="69"/>
      <c r="T110" s="69"/>
      <c r="U110" s="70">
        <f>SUM(U107:U109)</f>
        <v>0</v>
      </c>
    </row>
    <row r="111" spans="1:21" hidden="1" x14ac:dyDescent="0.25">
      <c r="A111" s="39"/>
      <c r="B111" s="39"/>
      <c r="C111" s="68"/>
      <c r="D111" s="68"/>
      <c r="E111" s="68"/>
      <c r="F111" s="68"/>
      <c r="G111" s="68"/>
      <c r="H111" s="68"/>
      <c r="I111" s="104"/>
      <c r="N111" s="40"/>
      <c r="O111" s="40"/>
      <c r="P111" s="69"/>
      <c r="Q111" s="69"/>
      <c r="R111" s="69"/>
      <c r="S111" s="69"/>
      <c r="T111" s="69"/>
      <c r="U111" s="160"/>
    </row>
    <row r="112" spans="1:21" x14ac:dyDescent="0.25">
      <c r="A112" s="463" t="s">
        <v>448</v>
      </c>
      <c r="B112" s="453"/>
      <c r="C112" s="453"/>
      <c r="D112" s="72"/>
      <c r="E112" s="71" t="s">
        <v>354</v>
      </c>
      <c r="F112" s="472"/>
      <c r="G112" s="472"/>
      <c r="H112" s="472"/>
      <c r="I112" s="125">
        <v>0</v>
      </c>
      <c r="N112" s="478" t="s">
        <v>427</v>
      </c>
      <c r="O112" s="479"/>
      <c r="P112" s="479"/>
      <c r="Q112" s="341"/>
      <c r="R112" s="341"/>
      <c r="S112" s="341"/>
      <c r="T112" s="341"/>
      <c r="U112" s="99">
        <f>IF($H$120=1,I112,0)</f>
        <v>0</v>
      </c>
    </row>
    <row r="113" spans="1:21" x14ac:dyDescent="0.25">
      <c r="A113" s="463" t="s">
        <v>449</v>
      </c>
      <c r="B113" s="453"/>
      <c r="C113" s="453"/>
      <c r="D113" s="72"/>
      <c r="E113" s="71" t="s">
        <v>45</v>
      </c>
      <c r="F113" s="472"/>
      <c r="G113" s="472"/>
      <c r="H113" s="472"/>
      <c r="I113" s="177">
        <v>0</v>
      </c>
      <c r="N113" s="478" t="s">
        <v>428</v>
      </c>
      <c r="O113" s="479"/>
      <c r="P113" s="479"/>
      <c r="Q113" s="341"/>
      <c r="R113" s="341"/>
      <c r="S113" s="341"/>
      <c r="T113" s="341"/>
      <c r="U113" s="99">
        <f>IF($H$120=1,I113,0)</f>
        <v>0</v>
      </c>
    </row>
    <row r="114" spans="1:21" ht="16.5" thickBot="1" x14ac:dyDescent="0.3">
      <c r="B114" s="72"/>
      <c r="C114" s="72"/>
      <c r="D114" s="72"/>
      <c r="E114" s="71"/>
      <c r="F114" s="71"/>
      <c r="G114" s="71"/>
      <c r="H114" s="71"/>
      <c r="I114" s="125"/>
      <c r="N114" s="480" t="s">
        <v>42</v>
      </c>
      <c r="O114" s="480"/>
      <c r="P114" s="480"/>
      <c r="Q114" s="480"/>
      <c r="R114" s="480"/>
      <c r="S114" s="480"/>
      <c r="T114" s="480"/>
      <c r="U114" s="154">
        <f>SUM(U112,U110,U100,U99,U93,U77,U76,U74,U73,U72,U71,U70,U68,U59,U45,U78,U79,U80,U85,U113)</f>
        <v>0</v>
      </c>
    </row>
    <row r="115" spans="1:21" ht="16.5" thickTop="1" x14ac:dyDescent="0.25">
      <c r="A115" s="461" t="s">
        <v>8</v>
      </c>
      <c r="B115" s="461"/>
      <c r="C115" s="461"/>
      <c r="D115" s="461"/>
      <c r="E115" s="461"/>
      <c r="F115" s="461"/>
      <c r="G115" s="461"/>
      <c r="H115" s="461"/>
      <c r="I115" s="97">
        <f>SUM(I113,I112,I110,I100,I99,I93,I85,I84,I80,I79,I78,I77,I76,I74,I73,I72,I71,I70,I68,I59,I45)</f>
        <v>7759797.7800000003</v>
      </c>
      <c r="N115" s="29"/>
      <c r="O115" s="29"/>
      <c r="P115" s="29"/>
      <c r="Q115" s="29"/>
      <c r="R115" s="29"/>
      <c r="S115" s="29"/>
      <c r="T115" s="29"/>
      <c r="U115" s="160"/>
    </row>
    <row r="116" spans="1:21" x14ac:dyDescent="0.25">
      <c r="A116" s="27"/>
      <c r="B116" s="27"/>
      <c r="C116" s="27"/>
      <c r="D116" s="27"/>
      <c r="E116" s="27"/>
      <c r="F116" s="27"/>
      <c r="G116" s="27"/>
      <c r="H116" s="27"/>
      <c r="I116" s="104"/>
      <c r="N116" s="29"/>
      <c r="O116" s="29"/>
      <c r="P116" s="29"/>
      <c r="Q116" s="29"/>
      <c r="R116" s="29"/>
      <c r="S116" s="29"/>
      <c r="T116" s="29"/>
      <c r="U116" s="160"/>
    </row>
    <row r="117" spans="1:21" x14ac:dyDescent="0.25">
      <c r="A117" s="432" t="s">
        <v>467</v>
      </c>
      <c r="B117" s="27"/>
      <c r="C117" s="27"/>
      <c r="D117" s="27"/>
      <c r="E117" s="27"/>
      <c r="F117" s="27"/>
      <c r="G117" s="27"/>
      <c r="H117" s="27"/>
      <c r="I117" s="104">
        <f>I115-I84</f>
        <v>7545304.3500000006</v>
      </c>
      <c r="N117" s="29"/>
      <c r="O117" s="29"/>
      <c r="P117" s="29"/>
      <c r="Q117" s="29"/>
      <c r="R117" s="29"/>
      <c r="S117" s="29"/>
      <c r="T117" s="29"/>
      <c r="U117" s="160"/>
    </row>
    <row r="118" spans="1:21" x14ac:dyDescent="0.25">
      <c r="A118" s="27"/>
      <c r="B118" s="27"/>
      <c r="C118" s="27"/>
      <c r="D118" s="27"/>
      <c r="E118" s="27"/>
      <c r="F118" s="27"/>
      <c r="G118" s="27"/>
      <c r="H118" s="27"/>
      <c r="I118" s="104"/>
      <c r="N118" s="29"/>
      <c r="O118" s="29"/>
      <c r="P118" s="29"/>
      <c r="Q118" s="29"/>
      <c r="R118" s="29"/>
      <c r="S118" s="29"/>
      <c r="T118" s="29"/>
      <c r="U118" s="160"/>
    </row>
    <row r="119" spans="1:21" x14ac:dyDescent="0.25">
      <c r="A119" s="463" t="s">
        <v>468</v>
      </c>
      <c r="B119" s="453"/>
      <c r="C119" s="453"/>
      <c r="D119" s="453"/>
      <c r="E119" s="453"/>
      <c r="F119" s="453"/>
      <c r="G119" s="453"/>
      <c r="H119" s="84" t="s">
        <v>394</v>
      </c>
      <c r="I119" s="156"/>
      <c r="N119" s="481"/>
      <c r="O119" s="481"/>
      <c r="P119" s="481"/>
      <c r="Q119" s="481"/>
      <c r="R119" s="481"/>
      <c r="S119" s="481"/>
      <c r="T119" s="481"/>
      <c r="U119" s="481"/>
    </row>
    <row r="120" spans="1:21" x14ac:dyDescent="0.25">
      <c r="A120" s="453" t="s">
        <v>95</v>
      </c>
      <c r="B120" s="453"/>
      <c r="C120" s="453"/>
      <c r="D120" s="453"/>
      <c r="E120" s="453"/>
      <c r="F120" s="453"/>
      <c r="G120" s="453"/>
      <c r="H120" s="73" t="str">
        <f>IF(E29=0,"",IF((E14+E16+SUM(E18:E24))/E29&gt;0.75,1,""))</f>
        <v/>
      </c>
      <c r="I120" s="125">
        <f>U114</f>
        <v>0</v>
      </c>
      <c r="N120" s="476" t="s">
        <v>7</v>
      </c>
      <c r="O120" s="476"/>
      <c r="P120" s="476"/>
      <c r="Q120" s="476"/>
      <c r="R120" s="476"/>
      <c r="S120" s="476"/>
      <c r="T120" s="476"/>
      <c r="U120" s="476"/>
    </row>
    <row r="121" spans="1:21" x14ac:dyDescent="0.25">
      <c r="B121" s="72"/>
      <c r="C121" s="72"/>
      <c r="D121" s="72"/>
      <c r="E121" s="72"/>
      <c r="F121" s="72"/>
      <c r="G121" s="72"/>
      <c r="H121" s="68"/>
      <c r="I121" s="104"/>
      <c r="N121" s="74" t="s">
        <v>106</v>
      </c>
      <c r="O121" s="74"/>
      <c r="P121" s="74"/>
      <c r="Q121" s="74"/>
      <c r="R121" s="74"/>
      <c r="S121" s="74"/>
      <c r="T121" s="74"/>
      <c r="U121" s="74"/>
    </row>
    <row r="122" spans="1:21" x14ac:dyDescent="0.25">
      <c r="A122" s="3" t="s">
        <v>102</v>
      </c>
      <c r="B122" s="72"/>
      <c r="C122" s="72"/>
      <c r="D122" s="72"/>
      <c r="E122" s="72"/>
      <c r="F122" s="72"/>
      <c r="G122" s="286"/>
      <c r="H122" s="161">
        <f>IF(H120=1,I120,I117)</f>
        <v>7545304.3500000006</v>
      </c>
      <c r="I122" s="97">
        <f>ROUND(IF(E29=0,0,IF(E29&gt;250,-(((250/E29)*H122)*IF(G122="H",0.02,0.05)),IF(G122="H",-0.02*H122,-0.05*H122))),2)</f>
        <v>-93628.14</v>
      </c>
      <c r="N122" s="75" t="s">
        <v>107</v>
      </c>
      <c r="O122" s="74"/>
      <c r="P122" s="74"/>
      <c r="Q122" s="74"/>
      <c r="R122" s="74"/>
      <c r="S122" s="74"/>
      <c r="T122" s="74"/>
      <c r="U122" s="74"/>
    </row>
    <row r="123" spans="1:21" x14ac:dyDescent="0.25">
      <c r="B123" s="72"/>
      <c r="C123" s="72"/>
      <c r="D123" s="72"/>
      <c r="E123" s="72"/>
      <c r="F123" s="72"/>
      <c r="G123" s="72"/>
      <c r="H123" s="68"/>
      <c r="I123" s="104"/>
      <c r="N123" s="76"/>
      <c r="O123" s="76"/>
      <c r="P123" s="76"/>
      <c r="Q123" s="76"/>
      <c r="R123" s="76"/>
      <c r="S123" s="76"/>
      <c r="T123" s="76"/>
      <c r="U123" s="76"/>
    </row>
    <row r="124" spans="1:21" x14ac:dyDescent="0.25">
      <c r="A124" s="345" t="s">
        <v>103</v>
      </c>
      <c r="B124" s="346"/>
      <c r="C124" s="346"/>
      <c r="D124" s="346"/>
      <c r="E124" s="346"/>
      <c r="F124" s="346"/>
      <c r="G124" s="346"/>
      <c r="H124" s="347"/>
      <c r="I124" s="348">
        <f>I115+I122</f>
        <v>7666169.6400000006</v>
      </c>
      <c r="N124" s="76"/>
      <c r="O124" s="76"/>
      <c r="P124" s="76"/>
      <c r="Q124" s="76"/>
      <c r="R124" s="76"/>
      <c r="S124" s="76"/>
      <c r="T124" s="76"/>
      <c r="U124" s="76"/>
    </row>
    <row r="125" spans="1:21" x14ac:dyDescent="0.25">
      <c r="B125" s="72"/>
      <c r="C125" s="72"/>
      <c r="D125" s="72"/>
      <c r="E125" s="72"/>
      <c r="F125" s="72"/>
      <c r="G125" s="72"/>
      <c r="H125" s="68"/>
      <c r="I125" s="104"/>
      <c r="N125" s="76"/>
      <c r="O125" s="76"/>
      <c r="P125" s="76"/>
      <c r="Q125" s="76"/>
      <c r="R125" s="76"/>
      <c r="S125" s="76"/>
      <c r="T125" s="76"/>
      <c r="U125" s="76"/>
    </row>
    <row r="126" spans="1:21" x14ac:dyDescent="0.25">
      <c r="A126" s="3" t="s">
        <v>104</v>
      </c>
      <c r="B126" s="72"/>
      <c r="C126" s="162"/>
      <c r="D126" s="72"/>
      <c r="F126" s="72"/>
      <c r="G126" s="72"/>
      <c r="H126" s="68"/>
      <c r="I126" s="302">
        <v>-5366050.3099999996</v>
      </c>
      <c r="N126" s="76"/>
      <c r="O126" s="76"/>
      <c r="P126" s="76"/>
      <c r="Q126" s="76"/>
      <c r="R126" s="76"/>
      <c r="S126" s="76"/>
      <c r="T126" s="76"/>
      <c r="U126" s="76"/>
    </row>
    <row r="127" spans="1:21" x14ac:dyDescent="0.25">
      <c r="B127" s="72"/>
      <c r="C127" s="72"/>
      <c r="D127" s="72"/>
      <c r="E127" s="72"/>
      <c r="F127" s="72"/>
      <c r="G127" s="72"/>
      <c r="H127" s="68"/>
      <c r="I127" s="104"/>
      <c r="N127" s="76"/>
      <c r="O127" s="76"/>
      <c r="P127" s="76"/>
      <c r="Q127" s="76"/>
      <c r="R127" s="76"/>
      <c r="S127" s="76"/>
      <c r="T127" s="76"/>
      <c r="U127" s="76"/>
    </row>
    <row r="128" spans="1:21" x14ac:dyDescent="0.25">
      <c r="A128" s="84" t="s">
        <v>297</v>
      </c>
      <c r="B128" s="72"/>
      <c r="C128" s="72"/>
      <c r="D128" s="72"/>
      <c r="E128" s="72"/>
      <c r="F128" s="72"/>
      <c r="G128" s="72"/>
      <c r="H128" s="68"/>
      <c r="I128" s="104">
        <f>I124+I126</f>
        <v>2300119.330000001</v>
      </c>
      <c r="N128" s="76"/>
      <c r="O128" s="76"/>
      <c r="P128" s="76"/>
      <c r="Q128" s="76"/>
      <c r="R128" s="76"/>
      <c r="S128" s="76"/>
      <c r="T128" s="76"/>
      <c r="U128" s="76"/>
    </row>
    <row r="129" spans="1:21" x14ac:dyDescent="0.25">
      <c r="A129" s="84"/>
      <c r="B129" s="72"/>
      <c r="C129" s="72"/>
      <c r="D129" s="72"/>
      <c r="E129" s="72"/>
      <c r="F129" s="72"/>
      <c r="G129" s="72"/>
      <c r="H129" s="68"/>
      <c r="I129" s="104"/>
      <c r="N129" s="76"/>
      <c r="O129" s="76"/>
      <c r="P129" s="76"/>
      <c r="Q129" s="76"/>
      <c r="R129" s="76"/>
      <c r="S129" s="76"/>
      <c r="T129" s="76"/>
      <c r="U129" s="76"/>
    </row>
    <row r="130" spans="1:21" x14ac:dyDescent="0.25">
      <c r="A130" s="84" t="s">
        <v>298</v>
      </c>
      <c r="B130" s="72"/>
      <c r="C130" s="72"/>
      <c r="D130" s="72"/>
      <c r="E130" s="72"/>
      <c r="F130" s="72"/>
      <c r="G130" s="72"/>
      <c r="H130" s="68"/>
      <c r="I130" s="303">
        <f>'0664'!I130</f>
        <v>3</v>
      </c>
      <c r="N130" s="76"/>
      <c r="O130" s="76"/>
      <c r="P130" s="76"/>
      <c r="Q130" s="76"/>
      <c r="R130" s="76"/>
      <c r="S130" s="76"/>
      <c r="T130" s="76"/>
      <c r="U130" s="76"/>
    </row>
    <row r="131" spans="1:21" x14ac:dyDescent="0.25">
      <c r="B131" s="72"/>
      <c r="C131" s="72"/>
      <c r="D131" s="72"/>
      <c r="E131" s="72"/>
      <c r="F131" s="72"/>
      <c r="G131" s="72"/>
      <c r="H131" s="68"/>
      <c r="I131" s="104"/>
      <c r="N131" s="76"/>
      <c r="O131" s="76"/>
      <c r="P131" s="76"/>
      <c r="Q131" s="76"/>
      <c r="R131" s="76"/>
      <c r="S131" s="76"/>
      <c r="T131" s="76"/>
      <c r="U131" s="76"/>
    </row>
    <row r="132" spans="1:21" ht="16.5" thickBot="1" x14ac:dyDescent="0.3">
      <c r="A132" s="3" t="s">
        <v>105</v>
      </c>
      <c r="B132" s="72"/>
      <c r="C132" s="72"/>
      <c r="D132" s="72"/>
      <c r="E132" s="72"/>
      <c r="F132" s="72"/>
      <c r="G132" s="72"/>
      <c r="H132" s="68"/>
      <c r="I132" s="178">
        <f>ROUND(I128/I130,2)</f>
        <v>766706.44</v>
      </c>
      <c r="N132" s="76"/>
      <c r="O132" s="76"/>
      <c r="P132" s="76"/>
      <c r="Q132" s="76"/>
      <c r="R132" s="76"/>
      <c r="S132" s="76"/>
      <c r="T132" s="76"/>
      <c r="U132" s="76"/>
    </row>
    <row r="133" spans="1:21" ht="16.5" thickTop="1" x14ac:dyDescent="0.25">
      <c r="B133" s="72"/>
      <c r="C133" s="72"/>
      <c r="D133" s="72"/>
      <c r="E133" s="72"/>
      <c r="F133" s="72"/>
      <c r="G133" s="72"/>
      <c r="H133" s="68"/>
      <c r="I133" s="104"/>
      <c r="N133" s="76"/>
      <c r="O133" s="76"/>
      <c r="P133" s="76"/>
      <c r="Q133" s="76"/>
      <c r="R133" s="76"/>
      <c r="S133" s="76"/>
      <c r="T133" s="76"/>
      <c r="U133" s="76"/>
    </row>
    <row r="134" spans="1:21" ht="16.5" thickBot="1" x14ac:dyDescent="0.3">
      <c r="A134" s="3" t="s">
        <v>121</v>
      </c>
      <c r="B134" s="72"/>
      <c r="C134" s="72"/>
      <c r="D134" s="72"/>
      <c r="E134" s="72"/>
      <c r="F134" s="72"/>
      <c r="G134" s="72"/>
      <c r="H134" s="68"/>
      <c r="I134" s="155">
        <f>ROUND(IF(G122="H",(H122*0.02)+I122,(H122*0.05)+I122),2)</f>
        <v>283637.08</v>
      </c>
      <c r="N134" s="76"/>
      <c r="O134" s="76"/>
      <c r="P134" s="76"/>
      <c r="Q134" s="76"/>
      <c r="R134" s="76"/>
      <c r="S134" s="76"/>
      <c r="T134" s="76"/>
      <c r="U134" s="76"/>
    </row>
    <row r="135" spans="1:21" ht="16.5" thickTop="1" x14ac:dyDescent="0.25">
      <c r="B135" s="72"/>
      <c r="C135" s="72"/>
      <c r="D135" s="72"/>
      <c r="E135" s="72"/>
      <c r="F135" s="72"/>
      <c r="G135" s="72"/>
      <c r="H135" s="68"/>
      <c r="I135" s="156"/>
      <c r="N135" s="76"/>
      <c r="O135" s="76"/>
      <c r="P135" s="76"/>
      <c r="Q135" s="76"/>
      <c r="R135" s="76"/>
      <c r="S135" s="76"/>
      <c r="T135" s="76"/>
      <c r="U135" s="76"/>
    </row>
    <row r="136" spans="1:21" x14ac:dyDescent="0.25">
      <c r="B136" s="72"/>
      <c r="C136" s="72"/>
      <c r="D136" s="72"/>
      <c r="E136" s="72"/>
      <c r="F136" s="72"/>
      <c r="G136" s="72"/>
      <c r="H136" s="68"/>
      <c r="I136" s="104"/>
      <c r="N136" s="76"/>
      <c r="O136" s="76"/>
      <c r="P136" s="76"/>
      <c r="Q136" s="76"/>
      <c r="R136" s="76"/>
      <c r="S136" s="76"/>
      <c r="T136" s="76"/>
      <c r="U136" s="76"/>
    </row>
    <row r="137" spans="1:21" x14ac:dyDescent="0.25">
      <c r="B137" s="72"/>
      <c r="C137" s="72"/>
      <c r="D137" s="72"/>
      <c r="E137" s="72"/>
      <c r="F137" s="72"/>
      <c r="G137" s="72"/>
      <c r="H137" s="68"/>
      <c r="I137" s="156"/>
      <c r="N137" s="76"/>
      <c r="O137" s="76"/>
      <c r="P137" s="76"/>
      <c r="Q137" s="76"/>
      <c r="R137" s="76"/>
      <c r="S137" s="76"/>
      <c r="T137" s="76"/>
      <c r="U137" s="76"/>
    </row>
    <row r="138" spans="1:21" x14ac:dyDescent="0.25">
      <c r="A138" s="281" t="s">
        <v>7</v>
      </c>
      <c r="B138" s="281"/>
      <c r="C138" s="281"/>
      <c r="D138" s="281"/>
      <c r="E138" s="281"/>
      <c r="F138" s="281"/>
      <c r="G138" s="281"/>
      <c r="H138" s="281"/>
      <c r="I138" s="281"/>
      <c r="J138" s="156"/>
      <c r="N138" s="76"/>
      <c r="O138" s="76"/>
      <c r="P138" s="76"/>
      <c r="Q138" s="76"/>
      <c r="R138" s="76"/>
      <c r="S138" s="76"/>
      <c r="T138" s="76"/>
      <c r="U138" s="76"/>
    </row>
    <row r="139" spans="1:21" ht="15.75" customHeight="1" x14ac:dyDescent="0.25">
      <c r="A139" s="356" t="str">
        <f>'0664'!A139</f>
        <v>(a) Additional FTE includes FTE earned through Advanced Placement, International Baccalaureate, Advanced International Certificate of Education, Industry Certified Career</v>
      </c>
      <c r="B139" s="357"/>
      <c r="C139" s="357"/>
      <c r="D139" s="357"/>
      <c r="E139" s="357"/>
      <c r="F139" s="357"/>
      <c r="G139" s="357"/>
      <c r="H139" s="357"/>
      <c r="I139" s="357"/>
      <c r="J139" s="80"/>
      <c r="K139" s="79"/>
      <c r="L139" s="79"/>
      <c r="M139" s="79"/>
      <c r="N139" s="477"/>
      <c r="O139" s="477"/>
      <c r="P139" s="477"/>
      <c r="Q139" s="477"/>
      <c r="R139" s="477"/>
      <c r="S139" s="477"/>
      <c r="T139" s="477"/>
      <c r="U139" s="477"/>
    </row>
    <row r="140" spans="1:21" ht="15.75" customHeight="1" x14ac:dyDescent="0.25">
      <c r="A140" s="390" t="str">
        <f>'0664'!A140</f>
        <v xml:space="preserve">Education (CAPE), Early High School Graduation and the small district ESE Supplement, pursuant to s. 1011.62(1)(l-p), F.S. </v>
      </c>
      <c r="B140" s="357"/>
      <c r="C140" s="357"/>
      <c r="D140" s="357"/>
      <c r="E140" s="357"/>
      <c r="F140" s="357"/>
      <c r="G140" s="357"/>
      <c r="H140" s="357"/>
      <c r="I140" s="357"/>
      <c r="J140" s="80"/>
      <c r="K140" s="79"/>
      <c r="L140" s="79"/>
      <c r="M140" s="79"/>
      <c r="N140" s="76"/>
      <c r="O140" s="76"/>
      <c r="P140" s="76"/>
      <c r="Q140" s="76"/>
      <c r="R140" s="76"/>
      <c r="S140" s="76"/>
      <c r="T140" s="76"/>
      <c r="U140" s="76"/>
    </row>
    <row r="141" spans="1:21" x14ac:dyDescent="0.25">
      <c r="A141" s="356" t="str">
        <f>'0664'!A141</f>
        <v>(b) District allocations multiplied by percentage from item 3A.</v>
      </c>
      <c r="B141" s="281"/>
      <c r="C141" s="281"/>
      <c r="D141" s="281"/>
      <c r="E141" s="281"/>
      <c r="F141" s="281"/>
      <c r="G141" s="281"/>
      <c r="H141" s="281"/>
      <c r="I141" s="281"/>
      <c r="J141" s="79"/>
      <c r="K141" s="79"/>
      <c r="L141" s="79"/>
      <c r="M141" s="79"/>
      <c r="N141" s="81"/>
      <c r="O141" s="82"/>
      <c r="P141" s="82"/>
      <c r="Q141" s="82"/>
      <c r="R141" s="82"/>
      <c r="S141" s="82"/>
      <c r="T141" s="82"/>
      <c r="U141" s="82"/>
    </row>
    <row r="142" spans="1:21" s="79" customFormat="1" x14ac:dyDescent="0.2">
      <c r="A142" s="356" t="str">
        <f>'0664'!A142</f>
        <v>(c) District allocations multiplied by percentage from item 3B.</v>
      </c>
      <c r="B142" s="281"/>
      <c r="C142" s="281"/>
      <c r="D142" s="281"/>
      <c r="E142" s="281"/>
      <c r="F142" s="281"/>
      <c r="G142" s="281"/>
      <c r="H142" s="281"/>
      <c r="I142" s="281"/>
      <c r="N142" s="81"/>
    </row>
    <row r="143" spans="1:21" s="79" customFormat="1" ht="15.75" customHeight="1" x14ac:dyDescent="0.2">
      <c r="A143" s="356" t="str">
        <f>'0664'!A143</f>
        <v>(d) The Digital Classroom Allocation is provided pursuant to s. 1011.62(12), F.S.</v>
      </c>
      <c r="B143" s="281"/>
      <c r="C143" s="281"/>
      <c r="D143" s="281"/>
      <c r="E143" s="281"/>
      <c r="F143" s="281"/>
      <c r="G143" s="281"/>
      <c r="H143" s="281"/>
      <c r="I143" s="281"/>
      <c r="N143" s="81"/>
    </row>
    <row r="144" spans="1:21" s="79" customFormat="1" ht="15.75" customHeight="1" x14ac:dyDescent="0.2">
      <c r="A144" s="356" t="str">
        <f>'0664'!A144</f>
        <v>(e) School districts are required to pay for instructional materials used for the instruction of public high school students who are earning credit toward high school</v>
      </c>
      <c r="B144" s="281"/>
      <c r="C144" s="281"/>
      <c r="D144" s="281"/>
      <c r="E144" s="281"/>
      <c r="F144" s="281"/>
      <c r="G144" s="281"/>
      <c r="H144" s="281"/>
      <c r="I144" s="281"/>
      <c r="N144" s="81"/>
    </row>
    <row r="145" spans="1:14" s="79" customFormat="1" ht="15.75" customHeight="1" x14ac:dyDescent="0.2">
      <c r="A145" s="390" t="str">
        <f>'0664'!A145</f>
        <v xml:space="preserve">graduation under the dual enrollment program as provided in s. 1011.62(l)(i), F.S.  </v>
      </c>
      <c r="B145" s="281"/>
      <c r="C145" s="281"/>
      <c r="D145" s="281"/>
      <c r="E145" s="281"/>
      <c r="F145" s="281"/>
      <c r="G145" s="281"/>
      <c r="H145" s="281"/>
      <c r="I145" s="281"/>
      <c r="N145" s="81"/>
    </row>
    <row r="146" spans="1:14" s="79" customFormat="1" x14ac:dyDescent="0.2">
      <c r="A146" s="356" t="str">
        <f>'0664'!A146</f>
        <v>(f) This allocation will be frozen as of the 2021-22 FEFP Second Calculation and will not be recalculated throughout the year. Charter school allocations should be</v>
      </c>
      <c r="B146" s="281"/>
      <c r="C146" s="281"/>
      <c r="D146" s="281"/>
      <c r="E146" s="281"/>
      <c r="F146" s="281"/>
      <c r="G146" s="281"/>
      <c r="H146" s="281"/>
      <c r="I146" s="281"/>
      <c r="N146" s="81"/>
    </row>
    <row r="147" spans="1:14" s="79" customFormat="1" x14ac:dyDescent="0.2">
      <c r="A147" s="358" t="str">
        <f>'0664'!A147</f>
        <v xml:space="preserve">distributed on weighted FTE (or base funding as is done in the FEFP) and should not be recalculated with fluctuations in student enrollment later in the year. </v>
      </c>
      <c r="B147" s="281"/>
      <c r="C147" s="281"/>
      <c r="D147" s="281"/>
      <c r="E147" s="281"/>
      <c r="F147" s="281"/>
      <c r="G147" s="281"/>
      <c r="H147" s="281"/>
      <c r="I147" s="281"/>
      <c r="N147" s="81"/>
    </row>
    <row r="148" spans="1:14" s="79" customFormat="1" x14ac:dyDescent="0.2">
      <c r="A148" s="356" t="str">
        <f>'0664'!A148</f>
        <v>(g) Numbers entered here will be multiplied by the district level transportation funding per rider. "All Adjusted Fundable Riders" should include both basic and ESE Riders.</v>
      </c>
      <c r="B148" s="281"/>
      <c r="C148" s="281"/>
      <c r="D148" s="281"/>
      <c r="E148" s="281"/>
      <c r="F148" s="281"/>
      <c r="G148" s="281"/>
      <c r="H148" s="281"/>
      <c r="I148" s="281"/>
      <c r="N148" s="81"/>
    </row>
    <row r="149" spans="1:14" s="79" customFormat="1" x14ac:dyDescent="0.2">
      <c r="A149" s="390" t="str">
        <f>'0664'!A149</f>
        <v>"All Adjusted ESE Riders" should include only ESE Riders.</v>
      </c>
      <c r="B149" s="281"/>
      <c r="C149" s="281"/>
      <c r="D149" s="281"/>
      <c r="E149" s="281"/>
      <c r="F149" s="281"/>
      <c r="G149" s="281"/>
      <c r="H149" s="281"/>
      <c r="I149" s="281"/>
      <c r="N149" s="81"/>
    </row>
    <row r="150" spans="1:14" s="79" customFormat="1" x14ac:dyDescent="0.2">
      <c r="A150" s="356" t="str">
        <f>'0664'!A150</f>
        <v xml:space="preserve">(h) The Federally Connected Student Supplement provides additional funding for students on federal lands that receive Section 8003 impact aide pursuant to s. 1011.62(13), F.S. </v>
      </c>
      <c r="B150" s="281"/>
      <c r="C150" s="281"/>
      <c r="D150" s="281"/>
      <c r="E150" s="281"/>
      <c r="F150" s="281"/>
      <c r="G150" s="281"/>
      <c r="H150" s="281"/>
      <c r="I150" s="281"/>
      <c r="N150" s="81"/>
    </row>
    <row r="151" spans="1:14" s="79" customFormat="1" x14ac:dyDescent="0.2">
      <c r="A151" s="356" t="str">
        <f>'0664'!A151</f>
        <v>(i) Teacher Classroom Supply Assistance Program allocation pursuant to s. 1012.71, F.S., for certified teachers employed by a public school district or public charter school</v>
      </c>
      <c r="B151" s="281"/>
      <c r="C151" s="281"/>
      <c r="D151" s="281"/>
      <c r="E151" s="281"/>
      <c r="F151" s="281"/>
      <c r="G151" s="281"/>
      <c r="H151" s="281"/>
      <c r="I151" s="281"/>
      <c r="N151" s="81"/>
    </row>
    <row r="152" spans="1:14" s="79" customFormat="1" x14ac:dyDescent="0.2">
      <c r="A152" s="358" t="str">
        <f>'0664'!A152</f>
        <v xml:space="preserve">before September 1 of each year whose full-time or job-share responsibility is the classroom instruction of students in prekindergarten through grade 12, including </v>
      </c>
      <c r="B152" s="281"/>
      <c r="C152" s="281"/>
      <c r="D152" s="281"/>
      <c r="E152" s="281"/>
      <c r="F152" s="281"/>
      <c r="G152" s="281"/>
      <c r="H152" s="281"/>
      <c r="I152" s="281"/>
      <c r="N152" s="81"/>
    </row>
    <row r="153" spans="1:14" s="79" customFormat="1" ht="15.75" customHeight="1" x14ac:dyDescent="0.2">
      <c r="A153" s="358" t="str">
        <f>'0664'!A153</f>
        <v>full-time media specialists and certified school counselors serving students in prekindergarten through grade 12, who are funded through the FEFP.</v>
      </c>
      <c r="B153" s="281"/>
      <c r="C153" s="281"/>
      <c r="D153" s="281"/>
      <c r="E153" s="281"/>
      <c r="F153" s="281"/>
      <c r="G153" s="281"/>
      <c r="H153" s="281"/>
      <c r="I153" s="281"/>
      <c r="N153" s="81"/>
    </row>
    <row r="154" spans="1:14" s="79" customFormat="1" ht="15.75" customHeight="1" x14ac:dyDescent="0.2">
      <c r="A154" s="356" t="str">
        <f>'0664'!A154</f>
        <v xml:space="preserve">(j) Funding based on student eligibility and meals provided, if participating in the National School Lunch Program. </v>
      </c>
      <c r="B154" s="328"/>
      <c r="C154" s="328"/>
      <c r="D154" s="328"/>
      <c r="E154" s="328"/>
      <c r="F154" s="328"/>
      <c r="G154" s="328"/>
      <c r="H154" s="328"/>
      <c r="I154" s="328"/>
      <c r="N154" s="81"/>
    </row>
    <row r="155" spans="1:14" s="79" customFormat="1" ht="15.75" customHeight="1" x14ac:dyDescent="0.2">
      <c r="A155" s="356" t="str">
        <f>'0664'!A155</f>
        <v>(k) Consistent with s. 1002.33(20)(a), F.S., for charter schools with a population of 75% or more ESE students, the administrative fee shall be calculated based on</v>
      </c>
      <c r="B155" s="381"/>
      <c r="C155" s="381"/>
      <c r="D155" s="381"/>
      <c r="E155" s="381"/>
      <c r="F155" s="381"/>
      <c r="G155" s="381"/>
      <c r="H155" s="381"/>
      <c r="I155" s="381"/>
      <c r="N155" s="81"/>
    </row>
    <row r="156" spans="1:14" s="79" customFormat="1" ht="15.75" customHeight="1" x14ac:dyDescent="0.2">
      <c r="A156" s="390" t="str">
        <f>'0664'!A156</f>
        <v xml:space="preserve">unweighted full-time equivalent students. </v>
      </c>
      <c r="B156" s="381"/>
      <c r="C156" s="381"/>
      <c r="D156" s="381"/>
      <c r="E156" s="381"/>
      <c r="F156" s="381"/>
      <c r="G156" s="381"/>
      <c r="H156" s="381"/>
      <c r="I156" s="381"/>
      <c r="N156" s="81"/>
    </row>
    <row r="157" spans="1:14" s="79" customFormat="1" ht="15.75" customHeight="1" x14ac:dyDescent="0.2">
      <c r="A157" s="356"/>
      <c r="B157" s="381"/>
      <c r="C157" s="381"/>
      <c r="D157" s="381"/>
      <c r="E157" s="381"/>
      <c r="F157" s="381"/>
      <c r="G157" s="381"/>
      <c r="H157" s="381"/>
      <c r="I157" s="381"/>
      <c r="N157" s="81"/>
    </row>
    <row r="158" spans="1:14" s="79" customFormat="1" ht="15.75" customHeight="1" x14ac:dyDescent="0.25">
      <c r="A158" s="398" t="str">
        <f>'0664'!A158</f>
        <v>Administrative fees:</v>
      </c>
      <c r="B158" s="328"/>
      <c r="C158" s="328"/>
      <c r="D158" s="328"/>
      <c r="E158" s="328"/>
      <c r="F158" s="328"/>
      <c r="G158" s="328"/>
      <c r="H158" s="328"/>
      <c r="I158" s="328"/>
      <c r="J158" s="3"/>
      <c r="K158" s="3"/>
      <c r="L158" s="3"/>
      <c r="M158" s="3"/>
      <c r="N158" s="81"/>
    </row>
    <row r="159" spans="1:14" s="79" customFormat="1" ht="15.75" customHeight="1" x14ac:dyDescent="0.25">
      <c r="A159" s="399" t="str">
        <f>'0664'!A159</f>
        <v xml:space="preserve">Administrative fees charged by the school district pursuant to s. 1002.33(20)(a), F.S., shall be calculated based upon 5% of available funds from the FEFP and categorical </v>
      </c>
      <c r="B159" s="328"/>
      <c r="C159" s="328"/>
      <c r="D159" s="328"/>
      <c r="E159" s="328"/>
      <c r="F159" s="328"/>
      <c r="G159" s="328"/>
      <c r="H159" s="328"/>
      <c r="I159" s="328"/>
      <c r="J159" s="3"/>
      <c r="K159" s="3"/>
      <c r="L159" s="3"/>
      <c r="M159" s="3"/>
      <c r="N159" s="81"/>
    </row>
    <row r="160" spans="1:14" s="79" customFormat="1" ht="15.75" customHeight="1" x14ac:dyDescent="0.25">
      <c r="A160" s="400" t="str">
        <f>'0664'!A160</f>
        <v>funding for which charter students may be eligible.  To calculate the administrative fee to be withheld for schools with more than 250 students, divide the school</v>
      </c>
      <c r="B160" s="328"/>
      <c r="C160" s="328"/>
      <c r="D160" s="328"/>
      <c r="E160" s="328"/>
      <c r="F160" s="328"/>
      <c r="G160" s="328"/>
      <c r="H160" s="328"/>
      <c r="I160" s="328"/>
      <c r="J160" s="3"/>
      <c r="K160" s="3"/>
      <c r="L160" s="3"/>
      <c r="M160" s="3"/>
      <c r="N160" s="81"/>
    </row>
    <row r="161" spans="1:21" s="79" customFormat="1" ht="15.75" customHeight="1" x14ac:dyDescent="0.25">
      <c r="A161" s="400" t="str">
        <f>'0664'!A161</f>
        <v xml:space="preserve">population into 250. Multiply that fraction times the funds available, then times 5%.  </v>
      </c>
      <c r="B161" s="328"/>
      <c r="C161" s="328"/>
      <c r="D161" s="328"/>
      <c r="E161" s="328"/>
      <c r="F161" s="328"/>
      <c r="G161" s="328"/>
      <c r="H161" s="328"/>
      <c r="I161" s="328"/>
      <c r="J161" s="3"/>
      <c r="K161" s="3"/>
      <c r="L161" s="3"/>
      <c r="M161" s="3"/>
      <c r="N161" s="81"/>
    </row>
    <row r="162" spans="1:21" s="79" customFormat="1" ht="15.75" customHeight="1" x14ac:dyDescent="0.25">
      <c r="A162" s="399"/>
      <c r="B162" s="394"/>
      <c r="C162" s="394"/>
      <c r="D162" s="394"/>
      <c r="E162" s="394"/>
      <c r="F162" s="394"/>
      <c r="G162" s="394"/>
      <c r="H162" s="394"/>
      <c r="I162" s="394"/>
      <c r="N162" s="77"/>
      <c r="O162" s="3"/>
      <c r="P162" s="3"/>
      <c r="Q162" s="3"/>
      <c r="R162" s="3"/>
      <c r="S162" s="3"/>
      <c r="T162" s="3"/>
      <c r="U162" s="3"/>
    </row>
    <row r="163" spans="1:21" ht="15.75" customHeight="1" x14ac:dyDescent="0.25">
      <c r="A163" s="399" t="str">
        <f>'0664'!A163</f>
        <v xml:space="preserve">For high performing charter schools, administrative fees charged by the school district shall be calculated based upon 2% of available funds from the FEFP and categorical </v>
      </c>
      <c r="B163" s="328"/>
      <c r="C163" s="328"/>
      <c r="D163" s="328"/>
      <c r="E163" s="328"/>
      <c r="F163" s="328"/>
      <c r="G163" s="328"/>
      <c r="H163" s="328"/>
      <c r="I163" s="328"/>
      <c r="J163" s="79"/>
      <c r="K163" s="79"/>
      <c r="L163" s="79"/>
      <c r="M163" s="79"/>
      <c r="N163" s="81"/>
      <c r="O163" s="79"/>
      <c r="P163" s="79"/>
      <c r="Q163" s="79"/>
      <c r="R163" s="79"/>
      <c r="S163" s="79"/>
      <c r="T163" s="79"/>
      <c r="U163" s="79"/>
    </row>
    <row r="164" spans="1:21" ht="15.75" customHeight="1" x14ac:dyDescent="0.25">
      <c r="A164" s="400" t="str">
        <f>'0664'!A164</f>
        <v>funding for which charter students may be eligible.  To calculate the administrative fee to be withheld for schools with more than 250 students, divide the school</v>
      </c>
      <c r="B164" s="381"/>
      <c r="C164" s="381"/>
      <c r="D164" s="381"/>
      <c r="E164" s="381"/>
      <c r="F164" s="381"/>
      <c r="G164" s="381"/>
      <c r="H164" s="381"/>
      <c r="I164" s="381"/>
      <c r="J164" s="79"/>
      <c r="K164" s="79"/>
      <c r="L164" s="79"/>
      <c r="M164" s="79"/>
      <c r="N164" s="81"/>
      <c r="O164" s="79"/>
      <c r="P164" s="79"/>
      <c r="Q164" s="79"/>
      <c r="R164" s="79"/>
      <c r="S164" s="79"/>
      <c r="T164" s="79"/>
      <c r="U164" s="79"/>
    </row>
    <row r="165" spans="1:21" s="79" customFormat="1" ht="15.75" customHeight="1" x14ac:dyDescent="0.2">
      <c r="A165" s="400" t="str">
        <f>'0664'!A165</f>
        <v xml:space="preserve">population into 250. Multiply that fraction times the funds available, then times 2%.  </v>
      </c>
      <c r="B165" s="328"/>
      <c r="C165" s="328"/>
      <c r="D165" s="328"/>
      <c r="E165" s="328"/>
      <c r="F165" s="328"/>
      <c r="G165" s="328"/>
      <c r="H165" s="328"/>
      <c r="I165" s="328"/>
      <c r="N165" s="81"/>
    </row>
    <row r="166" spans="1:21" x14ac:dyDescent="0.25">
      <c r="A166" s="356"/>
      <c r="N166" s="77"/>
    </row>
    <row r="167" spans="1:21" x14ac:dyDescent="0.25">
      <c r="A167" s="398" t="str">
        <f>'0664'!A167</f>
        <v>Other:</v>
      </c>
      <c r="N167" s="77"/>
    </row>
    <row r="168" spans="1:21" x14ac:dyDescent="0.25">
      <c r="A168" s="399" t="str">
        <f>'0664'!A168</f>
        <v>FEFP and categorical funding are recalculated during the year to reflect the revised number of full-time equivalent students reported during the survey periods designated</v>
      </c>
      <c r="N168" s="77"/>
    </row>
    <row r="169" spans="1:21" x14ac:dyDescent="0.25">
      <c r="A169" s="402" t="str">
        <f>'0664'!A169</f>
        <v>by the Commissioner of Education.</v>
      </c>
      <c r="N169" s="77"/>
    </row>
    <row r="170" spans="1:21" x14ac:dyDescent="0.25">
      <c r="A170" s="399" t="str">
        <f>'0664'!A170</f>
        <v>Revenues flow to districts from state sources and from county tax collectors on various distribution schedules.</v>
      </c>
      <c r="N170" s="77"/>
    </row>
    <row r="171" spans="1:21" x14ac:dyDescent="0.25">
      <c r="A171" s="77"/>
      <c r="N171" s="77"/>
    </row>
    <row r="172" spans="1:21" x14ac:dyDescent="0.25">
      <c r="A172" s="77"/>
      <c r="N172" s="77"/>
    </row>
    <row r="173" spans="1:21" x14ac:dyDescent="0.25">
      <c r="A173" s="77"/>
      <c r="N173" s="77"/>
    </row>
    <row r="174" spans="1:21" x14ac:dyDescent="0.25">
      <c r="A174" s="77"/>
      <c r="N174" s="77"/>
    </row>
    <row r="175" spans="1:21" x14ac:dyDescent="0.25">
      <c r="A175" s="77"/>
      <c r="N175" s="77"/>
    </row>
    <row r="176" spans="1:21" x14ac:dyDescent="0.25">
      <c r="A176" s="77"/>
      <c r="N176" s="77"/>
    </row>
    <row r="177" spans="1:14" x14ac:dyDescent="0.25">
      <c r="A177" s="77"/>
      <c r="N177" s="77"/>
    </row>
    <row r="178" spans="1:14" x14ac:dyDescent="0.25">
      <c r="A178" s="77"/>
      <c r="N178" s="77"/>
    </row>
    <row r="179" spans="1:14" x14ac:dyDescent="0.25">
      <c r="A179" s="77"/>
      <c r="N179" s="77"/>
    </row>
    <row r="180" spans="1:14" x14ac:dyDescent="0.25">
      <c r="A180" s="77"/>
      <c r="N180" s="77"/>
    </row>
    <row r="181" spans="1:14" x14ac:dyDescent="0.25">
      <c r="A181" s="77"/>
      <c r="N181" s="77"/>
    </row>
    <row r="182" spans="1:14" x14ac:dyDescent="0.25">
      <c r="A182" s="77"/>
      <c r="N182" s="77"/>
    </row>
    <row r="183" spans="1:14" x14ac:dyDescent="0.25">
      <c r="A183" s="77"/>
      <c r="N183" s="77"/>
    </row>
    <row r="184" spans="1:14" x14ac:dyDescent="0.25">
      <c r="A184" s="77"/>
      <c r="N184" s="77"/>
    </row>
    <row r="185" spans="1:14" x14ac:dyDescent="0.25">
      <c r="A185" s="77"/>
      <c r="N185" s="77"/>
    </row>
    <row r="186" spans="1:14" x14ac:dyDescent="0.25">
      <c r="A186" s="77"/>
      <c r="N186" s="77"/>
    </row>
    <row r="187" spans="1:14" x14ac:dyDescent="0.25">
      <c r="A187" s="77"/>
      <c r="N187" s="77"/>
    </row>
    <row r="188" spans="1:14" x14ac:dyDescent="0.25">
      <c r="A188" s="77"/>
    </row>
    <row r="189" spans="1:14" x14ac:dyDescent="0.25">
      <c r="A189" s="77"/>
    </row>
    <row r="190" spans="1:14" x14ac:dyDescent="0.25">
      <c r="A190" s="77"/>
    </row>
    <row r="191" spans="1:14" x14ac:dyDescent="0.25">
      <c r="A191" s="77"/>
    </row>
    <row r="192" spans="1:14" x14ac:dyDescent="0.25">
      <c r="A192" s="77"/>
    </row>
    <row r="193" spans="1:1" x14ac:dyDescent="0.25">
      <c r="A193" s="77"/>
    </row>
    <row r="194" spans="1:1" x14ac:dyDescent="0.25">
      <c r="A194" s="77"/>
    </row>
    <row r="195" spans="1:1" x14ac:dyDescent="0.25">
      <c r="A195" s="77"/>
    </row>
    <row r="196" spans="1:1" x14ac:dyDescent="0.25">
      <c r="A196" s="77"/>
    </row>
    <row r="197" spans="1:1" x14ac:dyDescent="0.25">
      <c r="A197" s="77"/>
    </row>
    <row r="198" spans="1:1" x14ac:dyDescent="0.25">
      <c r="A198" s="77"/>
    </row>
    <row r="199" spans="1:1" x14ac:dyDescent="0.25">
      <c r="A199" s="77"/>
    </row>
    <row r="200" spans="1:1" x14ac:dyDescent="0.25">
      <c r="A200" s="77"/>
    </row>
    <row r="201" spans="1:1" x14ac:dyDescent="0.25">
      <c r="A201" s="77"/>
    </row>
    <row r="202" spans="1:1" x14ac:dyDescent="0.25">
      <c r="A202" s="77"/>
    </row>
    <row r="203" spans="1:1" x14ac:dyDescent="0.25">
      <c r="A203" s="77"/>
    </row>
    <row r="204" spans="1:1" x14ac:dyDescent="0.25">
      <c r="A204" s="77"/>
    </row>
    <row r="205" spans="1:1" x14ac:dyDescent="0.25">
      <c r="A205" s="77"/>
    </row>
    <row r="206" spans="1:1" x14ac:dyDescent="0.25">
      <c r="A206" s="77"/>
    </row>
  </sheetData>
  <mergeCells count="266">
    <mergeCell ref="A110:B110"/>
    <mergeCell ref="N110:O110"/>
    <mergeCell ref="A112:C112"/>
    <mergeCell ref="F112:H112"/>
    <mergeCell ref="N112:P112"/>
    <mergeCell ref="A113:C113"/>
    <mergeCell ref="F113:H113"/>
    <mergeCell ref="N113:P113"/>
    <mergeCell ref="N139:U139"/>
    <mergeCell ref="N114:T114"/>
    <mergeCell ref="A115:H115"/>
    <mergeCell ref="A119:G119"/>
    <mergeCell ref="N119:U119"/>
    <mergeCell ref="A120:G120"/>
    <mergeCell ref="N120:U120"/>
    <mergeCell ref="A108:B108"/>
    <mergeCell ref="F108:G108"/>
    <mergeCell ref="N108:O108"/>
    <mergeCell ref="P108:Q108"/>
    <mergeCell ref="R108:S108"/>
    <mergeCell ref="A109:B109"/>
    <mergeCell ref="F109:G109"/>
    <mergeCell ref="N109:O109"/>
    <mergeCell ref="P109:Q109"/>
    <mergeCell ref="R109:S109"/>
    <mergeCell ref="C104:E104"/>
    <mergeCell ref="F105:G105"/>
    <mergeCell ref="A106:B106"/>
    <mergeCell ref="F106:G106"/>
    <mergeCell ref="N106:O106"/>
    <mergeCell ref="P106:Q106"/>
    <mergeCell ref="R106:S106"/>
    <mergeCell ref="A107:B107"/>
    <mergeCell ref="F107:G107"/>
    <mergeCell ref="N107:O107"/>
    <mergeCell ref="P107:Q107"/>
    <mergeCell ref="R107:S107"/>
    <mergeCell ref="A99:B99"/>
    <mergeCell ref="N99:O99"/>
    <mergeCell ref="P99:R99"/>
    <mergeCell ref="A100:B100"/>
    <mergeCell ref="N100:O100"/>
    <mergeCell ref="P100:R100"/>
    <mergeCell ref="A103:C103"/>
    <mergeCell ref="F103:I103"/>
    <mergeCell ref="N103:U103"/>
    <mergeCell ref="C92:D92"/>
    <mergeCell ref="P92:Q92"/>
    <mergeCell ref="C93:D93"/>
    <mergeCell ref="P93:T93"/>
    <mergeCell ref="A94:I94"/>
    <mergeCell ref="N94:U94"/>
    <mergeCell ref="F96:I96"/>
    <mergeCell ref="N96:P96"/>
    <mergeCell ref="Q96:T96"/>
    <mergeCell ref="C88:D88"/>
    <mergeCell ref="C89:D89"/>
    <mergeCell ref="N89:O89"/>
    <mergeCell ref="P89:Q89"/>
    <mergeCell ref="R89:U89"/>
    <mergeCell ref="C90:D90"/>
    <mergeCell ref="P90:Q90"/>
    <mergeCell ref="C91:D91"/>
    <mergeCell ref="P91:Q91"/>
    <mergeCell ref="N74:T74"/>
    <mergeCell ref="A76:C76"/>
    <mergeCell ref="N76:P76"/>
    <mergeCell ref="A77:C77"/>
    <mergeCell ref="N77:P77"/>
    <mergeCell ref="A85:C85"/>
    <mergeCell ref="N85:P85"/>
    <mergeCell ref="A87:I87"/>
    <mergeCell ref="N87:U87"/>
    <mergeCell ref="A78:C78"/>
    <mergeCell ref="N78:P78"/>
    <mergeCell ref="A79:C79"/>
    <mergeCell ref="N79:P79"/>
    <mergeCell ref="A80:C80"/>
    <mergeCell ref="N80:P80"/>
    <mergeCell ref="A69:C69"/>
    <mergeCell ref="N69:P69"/>
    <mergeCell ref="A70:C70"/>
    <mergeCell ref="A71:C71"/>
    <mergeCell ref="N71:P71"/>
    <mergeCell ref="A72:C72"/>
    <mergeCell ref="N72:P72"/>
    <mergeCell ref="F73:H73"/>
    <mergeCell ref="N73:T73"/>
    <mergeCell ref="A65:B65"/>
    <mergeCell ref="D65:G65"/>
    <mergeCell ref="N65:O65"/>
    <mergeCell ref="Q65:S65"/>
    <mergeCell ref="T65:U65"/>
    <mergeCell ref="N66:S66"/>
    <mergeCell ref="T66:U66"/>
    <mergeCell ref="A68:C68"/>
    <mergeCell ref="N68:P68"/>
    <mergeCell ref="A62:B62"/>
    <mergeCell ref="D62:G62"/>
    <mergeCell ref="N62:O62"/>
    <mergeCell ref="Q62:S62"/>
    <mergeCell ref="T62:U62"/>
    <mergeCell ref="N63:S63"/>
    <mergeCell ref="T63:U63"/>
    <mergeCell ref="A64:I64"/>
    <mergeCell ref="N64:U64"/>
    <mergeCell ref="A59:B59"/>
    <mergeCell ref="F59:H59"/>
    <mergeCell ref="N59:O59"/>
    <mergeCell ref="P59:Q59"/>
    <mergeCell ref="R59:T59"/>
    <mergeCell ref="A60:I60"/>
    <mergeCell ref="N60:U60"/>
    <mergeCell ref="A61:I61"/>
    <mergeCell ref="N61:U61"/>
    <mergeCell ref="A50:B58"/>
    <mergeCell ref="N50:O58"/>
    <mergeCell ref="P50:Q50"/>
    <mergeCell ref="P51:Q51"/>
    <mergeCell ref="P52:Q52"/>
    <mergeCell ref="P53:Q53"/>
    <mergeCell ref="P54:Q54"/>
    <mergeCell ref="P55:Q55"/>
    <mergeCell ref="P56:Q56"/>
    <mergeCell ref="P57:Q57"/>
    <mergeCell ref="P58:Q58"/>
    <mergeCell ref="A42:B42"/>
    <mergeCell ref="N42:O42"/>
    <mergeCell ref="P42:T42"/>
    <mergeCell ref="N43:Q43"/>
    <mergeCell ref="S43:T43"/>
    <mergeCell ref="N45:Q45"/>
    <mergeCell ref="S45:T45"/>
    <mergeCell ref="N49:O49"/>
    <mergeCell ref="P49:Q49"/>
    <mergeCell ref="A39:B39"/>
    <mergeCell ref="N39:O39"/>
    <mergeCell ref="P39:T39"/>
    <mergeCell ref="A40:B40"/>
    <mergeCell ref="N40:O40"/>
    <mergeCell ref="P40:T40"/>
    <mergeCell ref="A41:B41"/>
    <mergeCell ref="N41:O41"/>
    <mergeCell ref="P41:T41"/>
    <mergeCell ref="F33:H36"/>
    <mergeCell ref="N34:T34"/>
    <mergeCell ref="A36:B36"/>
    <mergeCell ref="N36:O36"/>
    <mergeCell ref="P36:T36"/>
    <mergeCell ref="A37:B37"/>
    <mergeCell ref="N37:O37"/>
    <mergeCell ref="P37:T37"/>
    <mergeCell ref="A38:B38"/>
    <mergeCell ref="N38:O38"/>
    <mergeCell ref="P38:T38"/>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A20:B20"/>
    <mergeCell ref="F20:G20"/>
    <mergeCell ref="N20:O20"/>
    <mergeCell ref="P20:Q20"/>
    <mergeCell ref="R20:S20"/>
    <mergeCell ref="A21:B21"/>
    <mergeCell ref="F21:G21"/>
    <mergeCell ref="N21:O21"/>
    <mergeCell ref="P21:Q21"/>
    <mergeCell ref="R21:S21"/>
    <mergeCell ref="A18:B18"/>
    <mergeCell ref="F18:G18"/>
    <mergeCell ref="N18:O18"/>
    <mergeCell ref="P18:Q18"/>
    <mergeCell ref="R18:S18"/>
    <mergeCell ref="A19:B19"/>
    <mergeCell ref="F19:G19"/>
    <mergeCell ref="N19:O19"/>
    <mergeCell ref="P19:Q19"/>
    <mergeCell ref="R19:S19"/>
    <mergeCell ref="A16:B16"/>
    <mergeCell ref="F16:G16"/>
    <mergeCell ref="N16:O16"/>
    <mergeCell ref="P16:Q16"/>
    <mergeCell ref="R16:S16"/>
    <mergeCell ref="A17:B17"/>
    <mergeCell ref="F17:G17"/>
    <mergeCell ref="N17:O17"/>
    <mergeCell ref="P17:Q17"/>
    <mergeCell ref="R17:S17"/>
    <mergeCell ref="A14:B14"/>
    <mergeCell ref="F14:G14"/>
    <mergeCell ref="N14:O14"/>
    <mergeCell ref="P14:Q14"/>
    <mergeCell ref="R14:S14"/>
    <mergeCell ref="A15:B15"/>
    <mergeCell ref="F15:G15"/>
    <mergeCell ref="N15:O15"/>
    <mergeCell ref="P15:Q15"/>
    <mergeCell ref="R15:S15"/>
    <mergeCell ref="A12:B12"/>
    <mergeCell ref="F12:G12"/>
    <mergeCell ref="N12:O12"/>
    <mergeCell ref="P12:Q12"/>
    <mergeCell ref="R12:S12"/>
    <mergeCell ref="A13:B13"/>
    <mergeCell ref="F13:G13"/>
    <mergeCell ref="N13:O13"/>
    <mergeCell ref="P13:Q13"/>
    <mergeCell ref="R13:S13"/>
    <mergeCell ref="N8:O8"/>
    <mergeCell ref="P8:Q8"/>
    <mergeCell ref="R8:S8"/>
    <mergeCell ref="T8:U8"/>
    <mergeCell ref="F10:G10"/>
    <mergeCell ref="R10:S10"/>
    <mergeCell ref="A11:B11"/>
    <mergeCell ref="F11:G11"/>
    <mergeCell ref="N11:O11"/>
    <mergeCell ref="P11:Q11"/>
    <mergeCell ref="R11:S11"/>
    <mergeCell ref="B1:I1"/>
    <mergeCell ref="O1:U1"/>
    <mergeCell ref="N2:U2"/>
    <mergeCell ref="N3:U3"/>
    <mergeCell ref="A4:B4"/>
    <mergeCell ref="C4:E4"/>
    <mergeCell ref="N4:O4"/>
    <mergeCell ref="P4:Q4"/>
    <mergeCell ref="A7:I7"/>
    <mergeCell ref="N7:U7"/>
  </mergeCells>
  <pageMargins left="0.1" right="0.1" top="0.5" bottom="0.5" header="0" footer="0.1"/>
  <pageSetup scale="70" fitToHeight="3" orientation="portrait" r:id="rId1"/>
  <headerFooter alignWithMargins="0">
    <oddFooter>&amp;R&amp;P of &amp;N</oddFooter>
  </headerFooter>
  <rowBreaks count="1" manualBreakCount="1">
    <brk id="138" max="16383" man="1"/>
  </rowBreaks>
  <colBreaks count="1" manualBreakCount="1">
    <brk id="9" max="1048575" man="1"/>
  </colBreaks>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CCFFCC"/>
  </sheetPr>
  <dimension ref="A1:U206"/>
  <sheetViews>
    <sheetView showGridLines="0" zoomScaleNormal="100" workbookViewId="0">
      <pane ySplit="1" topLeftCell="A11" activePane="bottomLeft" state="frozen"/>
      <selection activeCell="E78" sqref="E78"/>
      <selection pane="bottomLeft" activeCell="A64" sqref="A64:I64"/>
    </sheetView>
  </sheetViews>
  <sheetFormatPr defaultRowHeight="15.75" x14ac:dyDescent="0.25"/>
  <cols>
    <col min="1" max="1" width="10.28515625" style="72"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72"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5">
        <v>50</v>
      </c>
      <c r="B1" s="441" t="s">
        <v>17</v>
      </c>
      <c r="C1" s="442"/>
      <c r="D1" s="442"/>
      <c r="E1" s="442"/>
      <c r="F1" s="442"/>
      <c r="G1" s="442"/>
      <c r="H1" s="442"/>
      <c r="I1" s="442"/>
      <c r="J1" s="157"/>
      <c r="K1" s="157"/>
      <c r="L1" s="157"/>
      <c r="N1" s="85">
        <f>A1</f>
        <v>50</v>
      </c>
      <c r="O1" s="527" t="s">
        <v>17</v>
      </c>
      <c r="P1" s="528"/>
      <c r="Q1" s="528"/>
      <c r="R1" s="528"/>
      <c r="S1" s="528"/>
      <c r="T1" s="528"/>
      <c r="U1" s="528"/>
    </row>
    <row r="2" spans="1:21" ht="21" x14ac:dyDescent="0.35">
      <c r="A2" s="1" t="s">
        <v>303</v>
      </c>
      <c r="B2" s="2"/>
      <c r="C2" s="2"/>
      <c r="D2" s="2"/>
      <c r="E2" s="2"/>
      <c r="F2" s="2"/>
      <c r="G2" s="2"/>
      <c r="H2" s="2"/>
      <c r="I2" s="2"/>
      <c r="N2" s="529" t="s">
        <v>23</v>
      </c>
      <c r="O2" s="529"/>
      <c r="P2" s="529"/>
      <c r="Q2" s="529"/>
      <c r="R2" s="529"/>
      <c r="S2" s="529"/>
      <c r="T2" s="529"/>
      <c r="U2" s="529"/>
    </row>
    <row r="3" spans="1:21" x14ac:dyDescent="0.25">
      <c r="A3" s="84" t="str">
        <f>'0664'!A3</f>
        <v>Based on the FLDOE 2022-23 FEFP Third Calculation</v>
      </c>
      <c r="N3" s="485" t="str">
        <f>A3</f>
        <v>Based on the FLDOE 2022-23 FEFP Third Calculation</v>
      </c>
      <c r="O3" s="485"/>
      <c r="P3" s="485"/>
      <c r="Q3" s="485"/>
      <c r="R3" s="485"/>
      <c r="S3" s="485"/>
      <c r="T3" s="485"/>
      <c r="U3" s="485"/>
    </row>
    <row r="4" spans="1:21" x14ac:dyDescent="0.25">
      <c r="A4" s="443" t="s">
        <v>0</v>
      </c>
      <c r="B4" s="443"/>
      <c r="C4" s="444" t="s">
        <v>9</v>
      </c>
      <c r="D4" s="444"/>
      <c r="E4" s="444"/>
      <c r="F4" s="4" t="str">
        <f>'0664'!F4</f>
        <v>Apr 2023</v>
      </c>
      <c r="G4" s="4"/>
      <c r="H4" s="4"/>
      <c r="I4" s="4"/>
      <c r="N4" s="530" t="s">
        <v>0</v>
      </c>
      <c r="O4" s="530"/>
      <c r="P4" s="531" t="str">
        <f>C4</f>
        <v>Palm Beach</v>
      </c>
      <c r="Q4" s="531"/>
      <c r="R4" s="5"/>
      <c r="S4" s="5"/>
      <c r="T4" s="5"/>
      <c r="U4" s="5"/>
    </row>
    <row r="5" spans="1:21" ht="12" customHeight="1" thickBot="1" x14ac:dyDescent="0.3">
      <c r="A5" s="262"/>
      <c r="B5" s="262"/>
      <c r="C5" s="253"/>
      <c r="D5" s="253"/>
      <c r="E5" s="253"/>
      <c r="F5" s="254"/>
      <c r="G5" s="254"/>
      <c r="H5" s="254"/>
      <c r="I5" s="254"/>
      <c r="N5" s="86"/>
      <c r="O5" s="86"/>
      <c r="P5" s="6"/>
      <c r="Q5" s="6"/>
      <c r="R5" s="5"/>
      <c r="S5" s="5"/>
      <c r="T5" s="5"/>
      <c r="U5" s="5"/>
    </row>
    <row r="6" spans="1:21" ht="12" customHeight="1" x14ac:dyDescent="0.25">
      <c r="A6" s="150"/>
      <c r="B6" s="150"/>
      <c r="C6" s="261"/>
      <c r="D6" s="261"/>
      <c r="E6" s="261"/>
      <c r="F6" s="4"/>
      <c r="G6" s="4"/>
      <c r="H6" s="4"/>
      <c r="I6" s="4"/>
      <c r="N6" s="86"/>
      <c r="O6" s="86"/>
      <c r="P6" s="6"/>
      <c r="Q6" s="6"/>
      <c r="R6" s="5"/>
      <c r="S6" s="5"/>
      <c r="T6" s="5"/>
      <c r="U6" s="5"/>
    </row>
    <row r="7" spans="1:21" x14ac:dyDescent="0.25">
      <c r="A7" s="445" t="str">
        <f>'0664'!A7:I7</f>
        <v>1.   2022-23 FEFP State and Local Funding</v>
      </c>
      <c r="B7" s="533"/>
      <c r="C7" s="533"/>
      <c r="D7" s="533"/>
      <c r="E7" s="533"/>
      <c r="F7" s="533"/>
      <c r="G7" s="533"/>
      <c r="H7" s="533"/>
      <c r="I7" s="533"/>
      <c r="N7" s="530" t="s">
        <v>86</v>
      </c>
      <c r="O7" s="530"/>
      <c r="P7" s="530"/>
      <c r="Q7" s="530"/>
      <c r="R7" s="530"/>
      <c r="S7" s="530"/>
      <c r="T7" s="530"/>
      <c r="U7" s="530"/>
    </row>
    <row r="8" spans="1:21" x14ac:dyDescent="0.25">
      <c r="A8" s="87"/>
      <c r="B8" s="88" t="s">
        <v>123</v>
      </c>
      <c r="C8" s="334">
        <f>'0664'!C8</f>
        <v>4587.3999999999996</v>
      </c>
      <c r="D8" s="89"/>
      <c r="E8" s="90"/>
      <c r="F8" s="87"/>
      <c r="G8" s="88" t="s">
        <v>122</v>
      </c>
      <c r="H8" s="320">
        <f>'0664'!H8</f>
        <v>1.0438000000000001</v>
      </c>
      <c r="I8" s="78"/>
      <c r="N8" s="534" t="s">
        <v>10</v>
      </c>
      <c r="O8" s="534"/>
      <c r="P8" s="535">
        <v>4154.45</v>
      </c>
      <c r="Q8" s="535"/>
      <c r="R8" s="518" t="s">
        <v>11</v>
      </c>
      <c r="S8" s="518"/>
      <c r="T8" s="519">
        <f>H8</f>
        <v>1.0438000000000001</v>
      </c>
      <c r="U8" s="519"/>
    </row>
    <row r="9" spans="1:21" x14ac:dyDescent="0.25">
      <c r="A9" s="7"/>
      <c r="B9" s="91" t="s">
        <v>370</v>
      </c>
      <c r="C9" s="41" t="s">
        <v>370</v>
      </c>
      <c r="D9" s="91" t="s">
        <v>370</v>
      </c>
      <c r="E9" s="8"/>
      <c r="F9" s="9"/>
      <c r="G9" s="9"/>
      <c r="H9" s="10"/>
      <c r="I9" s="340" t="str">
        <f>'0664'!I9</f>
        <v>2022-23</v>
      </c>
      <c r="N9" s="12"/>
      <c r="O9" s="12"/>
      <c r="P9" s="13"/>
      <c r="Q9" s="13"/>
      <c r="R9" s="14"/>
      <c r="S9" s="14"/>
      <c r="T9" s="15"/>
      <c r="U9" s="405" t="s">
        <v>405</v>
      </c>
    </row>
    <row r="10" spans="1:21" x14ac:dyDescent="0.25">
      <c r="A10" s="7"/>
      <c r="B10" s="68"/>
      <c r="C10" s="91" t="s">
        <v>463</v>
      </c>
      <c r="D10" s="371" t="s">
        <v>464</v>
      </c>
      <c r="E10" s="92" t="s">
        <v>8</v>
      </c>
      <c r="F10" s="446" t="s">
        <v>1</v>
      </c>
      <c r="G10" s="446"/>
      <c r="H10" s="10" t="s">
        <v>73</v>
      </c>
      <c r="I10" s="11" t="s">
        <v>36</v>
      </c>
      <c r="N10" s="12"/>
      <c r="O10" s="12"/>
      <c r="P10" s="13"/>
      <c r="Q10" s="13"/>
      <c r="R10" s="520" t="s">
        <v>1</v>
      </c>
      <c r="S10" s="520"/>
      <c r="T10" s="15" t="s">
        <v>73</v>
      </c>
      <c r="U10" s="16" t="s">
        <v>36</v>
      </c>
    </row>
    <row r="11" spans="1:21" x14ac:dyDescent="0.25">
      <c r="A11" s="37" t="s">
        <v>1</v>
      </c>
      <c r="B11" s="37"/>
      <c r="C11" s="362" t="s">
        <v>2</v>
      </c>
      <c r="D11" s="362" t="s">
        <v>2</v>
      </c>
      <c r="E11" s="362" t="s">
        <v>2</v>
      </c>
      <c r="F11" s="448" t="s">
        <v>76</v>
      </c>
      <c r="G11" s="448"/>
      <c r="H11" s="17" t="s">
        <v>72</v>
      </c>
      <c r="I11" s="18" t="s">
        <v>75</v>
      </c>
      <c r="N11" s="510" t="s">
        <v>1</v>
      </c>
      <c r="O11" s="510"/>
      <c r="P11" s="521" t="s">
        <v>24</v>
      </c>
      <c r="Q11" s="521"/>
      <c r="R11" s="522" t="s">
        <v>76</v>
      </c>
      <c r="S11" s="522"/>
      <c r="T11" s="19" t="s">
        <v>72</v>
      </c>
      <c r="U11" s="20" t="s">
        <v>75</v>
      </c>
    </row>
    <row r="12" spans="1:21" x14ac:dyDescent="0.25">
      <c r="A12" s="449" t="s">
        <v>47</v>
      </c>
      <c r="B12" s="449"/>
      <c r="C12" s="94"/>
      <c r="D12" s="94"/>
      <c r="E12" s="95" t="s">
        <v>48</v>
      </c>
      <c r="F12" s="450" t="s">
        <v>49</v>
      </c>
      <c r="G12" s="450"/>
      <c r="H12" s="21" t="s">
        <v>50</v>
      </c>
      <c r="I12" s="22" t="s">
        <v>51</v>
      </c>
      <c r="N12" s="523" t="s">
        <v>47</v>
      </c>
      <c r="O12" s="523"/>
      <c r="P12" s="524" t="s">
        <v>48</v>
      </c>
      <c r="Q12" s="524"/>
      <c r="R12" s="525" t="s">
        <v>49</v>
      </c>
      <c r="S12" s="525"/>
      <c r="T12" s="23" t="s">
        <v>50</v>
      </c>
      <c r="U12" s="24" t="s">
        <v>51</v>
      </c>
    </row>
    <row r="13" spans="1:21" x14ac:dyDescent="0.25">
      <c r="A13" s="451" t="s">
        <v>29</v>
      </c>
      <c r="B13" s="451"/>
      <c r="C13" s="165">
        <v>0</v>
      </c>
      <c r="D13" s="163">
        <v>0</v>
      </c>
      <c r="E13" s="210">
        <f>IF(D$29=0,C13*2,C13+D13)</f>
        <v>0</v>
      </c>
      <c r="F13" s="537">
        <f>'0664'!F13:G13</f>
        <v>1.1259999999999999</v>
      </c>
      <c r="G13" s="537"/>
      <c r="H13" s="167">
        <f>ROUND(E13*F13,4)</f>
        <v>0</v>
      </c>
      <c r="I13" s="119">
        <f t="shared" ref="I13:I28" si="0">ROUND(ROUND(H13*$C$8,4)*($H$8),2)</f>
        <v>0</v>
      </c>
      <c r="N13" s="512" t="s">
        <v>29</v>
      </c>
      <c r="O13" s="512"/>
      <c r="P13" s="513">
        <f t="shared" ref="P13:P28" si="1">IF($H$120=1,E13,0)</f>
        <v>0</v>
      </c>
      <c r="Q13" s="513"/>
      <c r="R13" s="526">
        <v>1</v>
      </c>
      <c r="S13" s="526"/>
      <c r="T13" s="98">
        <f>ROUND(P13*R13,4)</f>
        <v>0</v>
      </c>
      <c r="U13" s="99">
        <f t="shared" ref="U13:U28" si="2">ROUND(ROUND(T13*$C$8,4)*($H$8),0)</f>
        <v>0</v>
      </c>
    </row>
    <row r="14" spans="1:21" x14ac:dyDescent="0.25">
      <c r="A14" s="453" t="s">
        <v>30</v>
      </c>
      <c r="B14" s="453"/>
      <c r="C14" s="165">
        <v>0</v>
      </c>
      <c r="D14" s="165">
        <v>0</v>
      </c>
      <c r="E14" s="125">
        <f t="shared" ref="E14:E28" si="3">IF(D$29=0,C14*2,C14+D14)</f>
        <v>0</v>
      </c>
      <c r="F14" s="532">
        <f>'0664'!F14:G14</f>
        <v>1.1259999999999999</v>
      </c>
      <c r="G14" s="532"/>
      <c r="H14" s="83">
        <f t="shared" ref="H14:H28" si="4">ROUND(E14*F14,4)</f>
        <v>0</v>
      </c>
      <c r="I14" s="104">
        <f t="shared" si="0"/>
        <v>0</v>
      </c>
      <c r="J14" s="68" t="str">
        <f>IF(ROUND(E14,2)=ROUND(SUM(E50:E52),2)," ","CHECK PK-3 LINES BELOW")</f>
        <v xml:space="preserve"> </v>
      </c>
      <c r="N14" s="479" t="s">
        <v>30</v>
      </c>
      <c r="O14" s="479"/>
      <c r="P14" s="513">
        <f t="shared" si="1"/>
        <v>0</v>
      </c>
      <c r="Q14" s="513"/>
      <c r="R14" s="517">
        <v>1</v>
      </c>
      <c r="S14" s="517"/>
      <c r="T14" s="98">
        <f t="shared" ref="T14:T28" si="5">ROUND(P14*R14,4)</f>
        <v>0</v>
      </c>
      <c r="U14" s="99">
        <f t="shared" si="2"/>
        <v>0</v>
      </c>
    </row>
    <row r="15" spans="1:21" x14ac:dyDescent="0.25">
      <c r="A15" s="453" t="s">
        <v>31</v>
      </c>
      <c r="B15" s="453"/>
      <c r="C15" s="165">
        <v>0</v>
      </c>
      <c r="D15" s="165">
        <v>0</v>
      </c>
      <c r="E15" s="125">
        <f t="shared" si="3"/>
        <v>0</v>
      </c>
      <c r="F15" s="532">
        <f>'0664'!F15:G15</f>
        <v>1</v>
      </c>
      <c r="G15" s="532"/>
      <c r="H15" s="83">
        <f t="shared" si="4"/>
        <v>0</v>
      </c>
      <c r="I15" s="104">
        <f t="shared" si="0"/>
        <v>0</v>
      </c>
      <c r="N15" s="479" t="s">
        <v>31</v>
      </c>
      <c r="O15" s="479"/>
      <c r="P15" s="513">
        <f t="shared" si="1"/>
        <v>0</v>
      </c>
      <c r="Q15" s="513"/>
      <c r="R15" s="517">
        <v>1</v>
      </c>
      <c r="S15" s="517"/>
      <c r="T15" s="98">
        <f t="shared" si="5"/>
        <v>0</v>
      </c>
      <c r="U15" s="99">
        <f t="shared" si="2"/>
        <v>0</v>
      </c>
    </row>
    <row r="16" spans="1:21" x14ac:dyDescent="0.25">
      <c r="A16" s="453" t="s">
        <v>32</v>
      </c>
      <c r="B16" s="453"/>
      <c r="C16" s="165">
        <v>0</v>
      </c>
      <c r="D16" s="165">
        <v>0</v>
      </c>
      <c r="E16" s="125">
        <f t="shared" si="3"/>
        <v>0</v>
      </c>
      <c r="F16" s="532">
        <f>'0664'!F16:G16</f>
        <v>1</v>
      </c>
      <c r="G16" s="532"/>
      <c r="H16" s="83">
        <f t="shared" si="4"/>
        <v>0</v>
      </c>
      <c r="I16" s="104">
        <f t="shared" si="0"/>
        <v>0</v>
      </c>
      <c r="J16" s="68" t="str">
        <f>IF(ROUND(E16,2)=ROUND(SUM(E53:E55),2)," ","CHECK 4-8 LINES BELOW")</f>
        <v xml:space="preserve"> </v>
      </c>
      <c r="N16" s="479" t="s">
        <v>32</v>
      </c>
      <c r="O16" s="479"/>
      <c r="P16" s="513">
        <f t="shared" si="1"/>
        <v>0</v>
      </c>
      <c r="Q16" s="513"/>
      <c r="R16" s="517">
        <v>1</v>
      </c>
      <c r="S16" s="517"/>
      <c r="T16" s="98">
        <f t="shared" si="5"/>
        <v>0</v>
      </c>
      <c r="U16" s="99">
        <f t="shared" si="2"/>
        <v>0</v>
      </c>
    </row>
    <row r="17" spans="1:21" x14ac:dyDescent="0.25">
      <c r="A17" s="453" t="s">
        <v>33</v>
      </c>
      <c r="B17" s="453"/>
      <c r="C17" s="165">
        <v>256.52999999999997</v>
      </c>
      <c r="D17" s="165">
        <v>248.59</v>
      </c>
      <c r="E17" s="125">
        <f t="shared" si="3"/>
        <v>505.12</v>
      </c>
      <c r="F17" s="532">
        <f>'0664'!F17:G17</f>
        <v>0.999</v>
      </c>
      <c r="G17" s="532"/>
      <c r="H17" s="83">
        <f t="shared" si="4"/>
        <v>504.61489999999998</v>
      </c>
      <c r="I17" s="104">
        <f t="shared" si="0"/>
        <v>2416261.7200000002</v>
      </c>
      <c r="N17" s="479" t="s">
        <v>33</v>
      </c>
      <c r="O17" s="479"/>
      <c r="P17" s="513">
        <f t="shared" si="1"/>
        <v>0</v>
      </c>
      <c r="Q17" s="513"/>
      <c r="R17" s="517">
        <v>1</v>
      </c>
      <c r="S17" s="517"/>
      <c r="T17" s="98">
        <f t="shared" si="5"/>
        <v>0</v>
      </c>
      <c r="U17" s="99">
        <f t="shared" si="2"/>
        <v>0</v>
      </c>
    </row>
    <row r="18" spans="1:21" x14ac:dyDescent="0.25">
      <c r="A18" s="453" t="s">
        <v>34</v>
      </c>
      <c r="B18" s="453"/>
      <c r="C18" s="165">
        <v>37.35</v>
      </c>
      <c r="D18" s="165">
        <v>37.520000000000003</v>
      </c>
      <c r="E18" s="125">
        <f t="shared" si="3"/>
        <v>74.87</v>
      </c>
      <c r="F18" s="532">
        <f>'0664'!F18:G18</f>
        <v>0.999</v>
      </c>
      <c r="G18" s="532"/>
      <c r="H18" s="83">
        <f t="shared" si="4"/>
        <v>74.795100000000005</v>
      </c>
      <c r="I18" s="104">
        <f t="shared" si="0"/>
        <v>358143.48</v>
      </c>
      <c r="J18" s="68" t="str">
        <f>IF(ROUND(E18,2)=ROUND(SUM(E56:E58),2)," ","CHECK 4-8 LINES BELOW")</f>
        <v xml:space="preserve"> </v>
      </c>
      <c r="N18" s="479" t="s">
        <v>34</v>
      </c>
      <c r="O18" s="479"/>
      <c r="P18" s="513">
        <f t="shared" si="1"/>
        <v>0</v>
      </c>
      <c r="Q18" s="513"/>
      <c r="R18" s="517">
        <v>1</v>
      </c>
      <c r="S18" s="517"/>
      <c r="T18" s="98">
        <f t="shared" si="5"/>
        <v>0</v>
      </c>
      <c r="U18" s="101">
        <f t="shared" si="2"/>
        <v>0</v>
      </c>
    </row>
    <row r="19" spans="1:21" x14ac:dyDescent="0.25">
      <c r="A19" s="453" t="s">
        <v>108</v>
      </c>
      <c r="B19" s="453"/>
      <c r="C19" s="165">
        <v>0</v>
      </c>
      <c r="D19" s="165">
        <v>0</v>
      </c>
      <c r="E19" s="125">
        <f t="shared" si="3"/>
        <v>0</v>
      </c>
      <c r="F19" s="532">
        <f>'0664'!F19:G19</f>
        <v>3.6739999999999999</v>
      </c>
      <c r="G19" s="532"/>
      <c r="H19" s="83">
        <f t="shared" si="4"/>
        <v>0</v>
      </c>
      <c r="I19" s="104">
        <f t="shared" si="0"/>
        <v>0</v>
      </c>
      <c r="N19" s="479" t="s">
        <v>108</v>
      </c>
      <c r="O19" s="479"/>
      <c r="P19" s="513">
        <f t="shared" si="1"/>
        <v>0</v>
      </c>
      <c r="Q19" s="513"/>
      <c r="R19" s="517">
        <v>1</v>
      </c>
      <c r="S19" s="517"/>
      <c r="T19" s="98">
        <f t="shared" si="5"/>
        <v>0</v>
      </c>
      <c r="U19" s="99">
        <f t="shared" si="2"/>
        <v>0</v>
      </c>
    </row>
    <row r="20" spans="1:21" x14ac:dyDescent="0.25">
      <c r="A20" s="453" t="s">
        <v>109</v>
      </c>
      <c r="B20" s="453"/>
      <c r="C20" s="165">
        <v>0</v>
      </c>
      <c r="D20" s="165">
        <v>0</v>
      </c>
      <c r="E20" s="125">
        <f t="shared" si="3"/>
        <v>0</v>
      </c>
      <c r="F20" s="532">
        <f>'0664'!F20:G20</f>
        <v>3.6739999999999999</v>
      </c>
      <c r="G20" s="532"/>
      <c r="H20" s="83">
        <f t="shared" si="4"/>
        <v>0</v>
      </c>
      <c r="I20" s="104">
        <f t="shared" si="0"/>
        <v>0</v>
      </c>
      <c r="N20" s="479" t="s">
        <v>109</v>
      </c>
      <c r="O20" s="479"/>
      <c r="P20" s="513">
        <f t="shared" si="1"/>
        <v>0</v>
      </c>
      <c r="Q20" s="513"/>
      <c r="R20" s="517">
        <v>1</v>
      </c>
      <c r="S20" s="517"/>
      <c r="T20" s="98">
        <f t="shared" si="5"/>
        <v>0</v>
      </c>
      <c r="U20" s="99">
        <f t="shared" si="2"/>
        <v>0</v>
      </c>
    </row>
    <row r="21" spans="1:21" x14ac:dyDescent="0.25">
      <c r="A21" s="453" t="s">
        <v>110</v>
      </c>
      <c r="B21" s="453"/>
      <c r="C21" s="165">
        <v>0</v>
      </c>
      <c r="D21" s="165">
        <v>0</v>
      </c>
      <c r="E21" s="125">
        <f t="shared" si="3"/>
        <v>0</v>
      </c>
      <c r="F21" s="532">
        <f>'0664'!F21:G21</f>
        <v>3.6739999999999999</v>
      </c>
      <c r="G21" s="532"/>
      <c r="H21" s="83">
        <f t="shared" si="4"/>
        <v>0</v>
      </c>
      <c r="I21" s="104">
        <f t="shared" si="0"/>
        <v>0</v>
      </c>
      <c r="N21" s="479" t="s">
        <v>110</v>
      </c>
      <c r="O21" s="479"/>
      <c r="P21" s="513">
        <f t="shared" si="1"/>
        <v>0</v>
      </c>
      <c r="Q21" s="513"/>
      <c r="R21" s="517">
        <v>1</v>
      </c>
      <c r="S21" s="517"/>
      <c r="T21" s="98">
        <f t="shared" si="5"/>
        <v>0</v>
      </c>
      <c r="U21" s="99">
        <f t="shared" si="2"/>
        <v>0</v>
      </c>
    </row>
    <row r="22" spans="1:21" x14ac:dyDescent="0.25">
      <c r="A22" s="453" t="s">
        <v>111</v>
      </c>
      <c r="B22" s="453"/>
      <c r="C22" s="165">
        <v>0</v>
      </c>
      <c r="D22" s="165">
        <v>0</v>
      </c>
      <c r="E22" s="125">
        <f t="shared" si="3"/>
        <v>0</v>
      </c>
      <c r="F22" s="532">
        <f>'0664'!F22:G22</f>
        <v>5.4009999999999998</v>
      </c>
      <c r="G22" s="532"/>
      <c r="H22" s="83">
        <f t="shared" si="4"/>
        <v>0</v>
      </c>
      <c r="I22" s="104">
        <f t="shared" si="0"/>
        <v>0</v>
      </c>
      <c r="N22" s="479" t="s">
        <v>111</v>
      </c>
      <c r="O22" s="479"/>
      <c r="P22" s="513">
        <f t="shared" si="1"/>
        <v>0</v>
      </c>
      <c r="Q22" s="513"/>
      <c r="R22" s="517">
        <v>1</v>
      </c>
      <c r="S22" s="517"/>
      <c r="T22" s="98">
        <f t="shared" si="5"/>
        <v>0</v>
      </c>
      <c r="U22" s="99">
        <f t="shared" si="2"/>
        <v>0</v>
      </c>
    </row>
    <row r="23" spans="1:21" x14ac:dyDescent="0.25">
      <c r="A23" s="453" t="s">
        <v>112</v>
      </c>
      <c r="B23" s="453"/>
      <c r="C23" s="165">
        <v>0</v>
      </c>
      <c r="D23" s="165">
        <v>0</v>
      </c>
      <c r="E23" s="125">
        <f t="shared" si="3"/>
        <v>0</v>
      </c>
      <c r="F23" s="532">
        <f>'0664'!F23:G23</f>
        <v>5.4009999999999998</v>
      </c>
      <c r="G23" s="532"/>
      <c r="H23" s="83">
        <f t="shared" si="4"/>
        <v>0</v>
      </c>
      <c r="I23" s="104">
        <f t="shared" si="0"/>
        <v>0</v>
      </c>
      <c r="N23" s="479" t="s">
        <v>112</v>
      </c>
      <c r="O23" s="479"/>
      <c r="P23" s="513">
        <f t="shared" si="1"/>
        <v>0</v>
      </c>
      <c r="Q23" s="513"/>
      <c r="R23" s="517">
        <v>1</v>
      </c>
      <c r="S23" s="517"/>
      <c r="T23" s="98">
        <f t="shared" si="5"/>
        <v>0</v>
      </c>
      <c r="U23" s="99">
        <f t="shared" si="2"/>
        <v>0</v>
      </c>
    </row>
    <row r="24" spans="1:21" x14ac:dyDescent="0.25">
      <c r="A24" s="453" t="s">
        <v>113</v>
      </c>
      <c r="B24" s="453"/>
      <c r="C24" s="165">
        <v>0</v>
      </c>
      <c r="D24" s="165">
        <v>0</v>
      </c>
      <c r="E24" s="125">
        <f t="shared" si="3"/>
        <v>0</v>
      </c>
      <c r="F24" s="532">
        <f>'0664'!F24:G24</f>
        <v>5.4009999999999998</v>
      </c>
      <c r="G24" s="532"/>
      <c r="H24" s="83">
        <f t="shared" si="4"/>
        <v>0</v>
      </c>
      <c r="I24" s="104">
        <f t="shared" si="0"/>
        <v>0</v>
      </c>
      <c r="N24" s="479" t="s">
        <v>113</v>
      </c>
      <c r="O24" s="479"/>
      <c r="P24" s="513">
        <f t="shared" si="1"/>
        <v>0</v>
      </c>
      <c r="Q24" s="513"/>
      <c r="R24" s="517">
        <v>1</v>
      </c>
      <c r="S24" s="517"/>
      <c r="T24" s="98">
        <f t="shared" si="5"/>
        <v>0</v>
      </c>
      <c r="U24" s="99">
        <f t="shared" si="2"/>
        <v>0</v>
      </c>
    </row>
    <row r="25" spans="1:21" x14ac:dyDescent="0.25">
      <c r="A25" s="453" t="s">
        <v>114</v>
      </c>
      <c r="B25" s="453"/>
      <c r="C25" s="165">
        <v>0</v>
      </c>
      <c r="D25" s="165">
        <v>0</v>
      </c>
      <c r="E25" s="125">
        <f t="shared" si="3"/>
        <v>0</v>
      </c>
      <c r="F25" s="532">
        <f>'0664'!F25:G25</f>
        <v>1.206</v>
      </c>
      <c r="G25" s="532"/>
      <c r="H25" s="83">
        <f t="shared" si="4"/>
        <v>0</v>
      </c>
      <c r="I25" s="104">
        <f t="shared" si="0"/>
        <v>0</v>
      </c>
      <c r="N25" s="479" t="s">
        <v>114</v>
      </c>
      <c r="O25" s="479"/>
      <c r="P25" s="513">
        <f t="shared" si="1"/>
        <v>0</v>
      </c>
      <c r="Q25" s="513"/>
      <c r="R25" s="517">
        <v>1</v>
      </c>
      <c r="S25" s="517"/>
      <c r="T25" s="98">
        <f t="shared" si="5"/>
        <v>0</v>
      </c>
      <c r="U25" s="99">
        <f t="shared" si="2"/>
        <v>0</v>
      </c>
    </row>
    <row r="26" spans="1:21" x14ac:dyDescent="0.25">
      <c r="A26" s="453" t="s">
        <v>115</v>
      </c>
      <c r="B26" s="453"/>
      <c r="C26" s="165">
        <v>0</v>
      </c>
      <c r="D26" s="165">
        <v>0</v>
      </c>
      <c r="E26" s="125">
        <f t="shared" si="3"/>
        <v>0</v>
      </c>
      <c r="F26" s="532">
        <f>'0664'!F26:G26</f>
        <v>1.206</v>
      </c>
      <c r="G26" s="532"/>
      <c r="H26" s="83">
        <f t="shared" si="4"/>
        <v>0</v>
      </c>
      <c r="I26" s="104">
        <f t="shared" si="0"/>
        <v>0</v>
      </c>
      <c r="N26" s="479" t="s">
        <v>115</v>
      </c>
      <c r="O26" s="479"/>
      <c r="P26" s="513">
        <f t="shared" si="1"/>
        <v>0</v>
      </c>
      <c r="Q26" s="513"/>
      <c r="R26" s="517">
        <v>1</v>
      </c>
      <c r="S26" s="517"/>
      <c r="T26" s="98">
        <f t="shared" si="5"/>
        <v>0</v>
      </c>
      <c r="U26" s="99">
        <f t="shared" si="2"/>
        <v>0</v>
      </c>
    </row>
    <row r="27" spans="1:21" x14ac:dyDescent="0.25">
      <c r="A27" s="453" t="s">
        <v>116</v>
      </c>
      <c r="B27" s="453"/>
      <c r="C27" s="165">
        <v>8.8000000000000007</v>
      </c>
      <c r="D27" s="165">
        <v>6.27</v>
      </c>
      <c r="E27" s="125">
        <f t="shared" si="3"/>
        <v>15.07</v>
      </c>
      <c r="F27" s="532">
        <f>'0664'!F27:G27</f>
        <v>1.206</v>
      </c>
      <c r="G27" s="532"/>
      <c r="H27" s="83">
        <f t="shared" si="4"/>
        <v>18.174399999999999</v>
      </c>
      <c r="I27" s="104">
        <f t="shared" si="0"/>
        <v>87024.99</v>
      </c>
      <c r="N27" s="479" t="s">
        <v>116</v>
      </c>
      <c r="O27" s="479"/>
      <c r="P27" s="513">
        <f t="shared" si="1"/>
        <v>0</v>
      </c>
      <c r="Q27" s="513"/>
      <c r="R27" s="517">
        <v>1</v>
      </c>
      <c r="S27" s="517"/>
      <c r="T27" s="98">
        <f t="shared" si="5"/>
        <v>0</v>
      </c>
      <c r="U27" s="99">
        <f t="shared" si="2"/>
        <v>0</v>
      </c>
    </row>
    <row r="28" spans="1:21" x14ac:dyDescent="0.25">
      <c r="A28" s="453" t="s">
        <v>117</v>
      </c>
      <c r="B28" s="453"/>
      <c r="C28" s="116">
        <v>73.760000000000005</v>
      </c>
      <c r="D28" s="116">
        <v>73.31</v>
      </c>
      <c r="E28" s="177">
        <f t="shared" si="3"/>
        <v>147.07</v>
      </c>
      <c r="F28" s="532">
        <f>'0664'!F28:G28</f>
        <v>0.999</v>
      </c>
      <c r="G28" s="532"/>
      <c r="H28" s="96">
        <f t="shared" si="4"/>
        <v>146.9229</v>
      </c>
      <c r="I28" s="97">
        <f t="shared" si="0"/>
        <v>703515.05</v>
      </c>
      <c r="N28" s="482" t="s">
        <v>117</v>
      </c>
      <c r="O28" s="482"/>
      <c r="P28" s="513">
        <f t="shared" si="1"/>
        <v>0</v>
      </c>
      <c r="Q28" s="513"/>
      <c r="R28" s="514">
        <v>1</v>
      </c>
      <c r="S28" s="514"/>
      <c r="T28" s="98">
        <f t="shared" si="5"/>
        <v>0</v>
      </c>
      <c r="U28" s="99">
        <f t="shared" si="2"/>
        <v>0</v>
      </c>
    </row>
    <row r="29" spans="1:21" x14ac:dyDescent="0.25">
      <c r="A29" s="461" t="s">
        <v>5</v>
      </c>
      <c r="B29" s="461"/>
      <c r="C29" s="97">
        <f>SUM(C13:C28)</f>
        <v>376.44</v>
      </c>
      <c r="D29" s="97">
        <f>SUM(D13:D28)</f>
        <v>365.69</v>
      </c>
      <c r="E29" s="97">
        <f>SUM(E13:E28)</f>
        <v>742.13000000000011</v>
      </c>
      <c r="F29" s="457"/>
      <c r="G29" s="457"/>
      <c r="H29" s="102">
        <f>SUM(H13:H28)</f>
        <v>744.50729999999999</v>
      </c>
      <c r="I29" s="97">
        <f>SUM(I13:I28)</f>
        <v>3564945.24</v>
      </c>
      <c r="N29" s="515" t="s">
        <v>5</v>
      </c>
      <c r="O29" s="515"/>
      <c r="P29" s="516">
        <f>SUM(P13:P28)</f>
        <v>0</v>
      </c>
      <c r="Q29" s="516"/>
      <c r="R29" s="508"/>
      <c r="S29" s="508"/>
      <c r="T29" s="103">
        <f>SUM(T13:T28)</f>
        <v>0</v>
      </c>
      <c r="U29" s="99">
        <f>SUM(U13:U28)</f>
        <v>0</v>
      </c>
    </row>
    <row r="30" spans="1:21" x14ac:dyDescent="0.25">
      <c r="A30" s="27"/>
      <c r="B30" s="27"/>
      <c r="C30" s="104"/>
      <c r="D30" s="104"/>
      <c r="E30" s="104"/>
      <c r="F30" s="28"/>
      <c r="G30" s="28"/>
      <c r="H30" s="83"/>
      <c r="I30" s="104"/>
      <c r="N30" s="29"/>
      <c r="O30" s="29"/>
      <c r="P30" s="30"/>
      <c r="Q30" s="30"/>
      <c r="R30" s="31"/>
      <c r="S30" s="31"/>
      <c r="T30" s="105"/>
      <c r="U30" s="106"/>
    </row>
    <row r="31" spans="1:21" x14ac:dyDescent="0.25">
      <c r="A31" s="168" t="s">
        <v>97</v>
      </c>
      <c r="B31" s="27"/>
      <c r="C31" s="104"/>
      <c r="D31" s="104"/>
      <c r="E31" s="104"/>
      <c r="F31" s="28"/>
      <c r="G31" s="28"/>
      <c r="H31" s="83"/>
      <c r="I31" s="104"/>
      <c r="N31" s="29"/>
      <c r="O31" s="29"/>
      <c r="P31" s="30"/>
      <c r="Q31" s="30"/>
      <c r="R31" s="31"/>
      <c r="S31" s="31"/>
      <c r="T31" s="105"/>
      <c r="U31" s="106"/>
    </row>
    <row r="32" spans="1:21" hidden="1" x14ac:dyDescent="0.25">
      <c r="A32" s="168"/>
      <c r="B32" s="27"/>
      <c r="C32" s="104"/>
      <c r="D32" s="104"/>
      <c r="E32" s="104"/>
      <c r="F32" s="28"/>
      <c r="G32" s="28"/>
      <c r="H32" s="83"/>
      <c r="I32" s="104"/>
      <c r="N32" s="29"/>
      <c r="O32" s="29"/>
      <c r="P32" s="30"/>
      <c r="Q32" s="30"/>
      <c r="R32" s="31"/>
      <c r="S32" s="31"/>
      <c r="T32" s="105"/>
      <c r="U32" s="106"/>
    </row>
    <row r="33" spans="1:21" hidden="1" x14ac:dyDescent="0.25">
      <c r="A33" s="168"/>
      <c r="B33" s="27"/>
      <c r="C33" s="104"/>
      <c r="D33" s="104"/>
      <c r="E33" s="104"/>
      <c r="F33" s="541" t="s">
        <v>282</v>
      </c>
      <c r="G33" s="541"/>
      <c r="H33" s="541"/>
      <c r="I33" s="104"/>
      <c r="N33" s="29"/>
      <c r="O33" s="29"/>
      <c r="P33" s="30"/>
      <c r="Q33" s="30"/>
      <c r="R33" s="31"/>
      <c r="S33" s="31"/>
      <c r="T33" s="105"/>
      <c r="U33" s="106"/>
    </row>
    <row r="34" spans="1:21" hidden="1" x14ac:dyDescent="0.25">
      <c r="A34" s="3"/>
      <c r="B34" s="72"/>
      <c r="C34" s="72"/>
      <c r="D34" s="72"/>
      <c r="E34" s="72"/>
      <c r="F34" s="541"/>
      <c r="G34" s="541"/>
      <c r="H34" s="541"/>
      <c r="I34" s="25" t="s">
        <v>74</v>
      </c>
      <c r="N34" s="485" t="s">
        <v>35</v>
      </c>
      <c r="O34" s="485"/>
      <c r="P34" s="485"/>
      <c r="Q34" s="485"/>
      <c r="R34" s="485"/>
      <c r="S34" s="485"/>
      <c r="T34" s="485"/>
      <c r="U34" s="26" t="s">
        <v>74</v>
      </c>
    </row>
    <row r="35" spans="1:21" hidden="1" x14ac:dyDescent="0.25">
      <c r="A35" s="27"/>
      <c r="B35" s="27"/>
      <c r="C35" s="91" t="s">
        <v>124</v>
      </c>
      <c r="D35" s="91" t="s">
        <v>125</v>
      </c>
      <c r="E35" s="92" t="s">
        <v>8</v>
      </c>
      <c r="F35" s="541"/>
      <c r="G35" s="541"/>
      <c r="H35" s="541"/>
      <c r="I35" s="25" t="s">
        <v>36</v>
      </c>
      <c r="N35" s="29"/>
      <c r="O35" s="29"/>
      <c r="P35" s="30"/>
      <c r="Q35" s="30"/>
      <c r="R35" s="31"/>
      <c r="S35" s="31"/>
      <c r="T35" s="105"/>
      <c r="U35" s="26" t="s">
        <v>36</v>
      </c>
    </row>
    <row r="36" spans="1:21" hidden="1" x14ac:dyDescent="0.25">
      <c r="A36" s="447" t="s">
        <v>63</v>
      </c>
      <c r="B36" s="447"/>
      <c r="C36" s="93" t="s">
        <v>2</v>
      </c>
      <c r="D36" s="93" t="s">
        <v>2</v>
      </c>
      <c r="E36" s="93" t="s">
        <v>2</v>
      </c>
      <c r="F36" s="542"/>
      <c r="G36" s="542"/>
      <c r="H36" s="542"/>
      <c r="I36" s="32" t="s">
        <v>75</v>
      </c>
      <c r="N36" s="510" t="s">
        <v>63</v>
      </c>
      <c r="O36" s="510"/>
      <c r="P36" s="511" t="s">
        <v>24</v>
      </c>
      <c r="Q36" s="511"/>
      <c r="R36" s="511"/>
      <c r="S36" s="511"/>
      <c r="T36" s="511"/>
      <c r="U36" s="20" t="s">
        <v>75</v>
      </c>
    </row>
    <row r="37" spans="1:21" hidden="1" x14ac:dyDescent="0.25">
      <c r="A37" s="451" t="s">
        <v>56</v>
      </c>
      <c r="B37" s="451"/>
      <c r="C37" s="169">
        <v>0</v>
      </c>
      <c r="D37" s="169">
        <v>0</v>
      </c>
      <c r="E37" s="210">
        <f t="shared" ref="E37:E42" si="6">IF(D$43=0,C37*2,C37+D37)</f>
        <v>0</v>
      </c>
      <c r="F37" s="170"/>
      <c r="G37" s="170"/>
      <c r="H37" s="170"/>
      <c r="I37" s="119">
        <f t="shared" ref="I37:I42" si="7">ROUND(ROUND(E37*$C$8,4)*($H$8),2)</f>
        <v>0</v>
      </c>
      <c r="N37" s="512" t="s">
        <v>56</v>
      </c>
      <c r="O37" s="512"/>
      <c r="P37" s="483">
        <f t="shared" ref="P37:P42" si="8">IF($H$120=1,E37,0)</f>
        <v>0</v>
      </c>
      <c r="Q37" s="483"/>
      <c r="R37" s="483"/>
      <c r="S37" s="483"/>
      <c r="T37" s="483"/>
      <c r="U37" s="101">
        <f t="shared" ref="U37:U42" si="9">ROUND(ROUND(P37*$C$8,4)*($H$8),0)</f>
        <v>0</v>
      </c>
    </row>
    <row r="38" spans="1:21" hidden="1" x14ac:dyDescent="0.25">
      <c r="A38" s="453" t="s">
        <v>57</v>
      </c>
      <c r="B38" s="453"/>
      <c r="C38" s="172">
        <v>0</v>
      </c>
      <c r="D38" s="172">
        <v>0</v>
      </c>
      <c r="E38" s="125">
        <f t="shared" si="6"/>
        <v>0</v>
      </c>
      <c r="F38" s="173"/>
      <c r="G38" s="173"/>
      <c r="H38" s="173"/>
      <c r="I38" s="104">
        <f t="shared" si="7"/>
        <v>0</v>
      </c>
      <c r="N38" s="479" t="s">
        <v>57</v>
      </c>
      <c r="O38" s="479"/>
      <c r="P38" s="483">
        <f t="shared" si="8"/>
        <v>0</v>
      </c>
      <c r="Q38" s="483"/>
      <c r="R38" s="483"/>
      <c r="S38" s="483"/>
      <c r="T38" s="483"/>
      <c r="U38" s="101">
        <f t="shared" si="9"/>
        <v>0</v>
      </c>
    </row>
    <row r="39" spans="1:21" hidden="1" x14ac:dyDescent="0.25">
      <c r="A39" s="458" t="s">
        <v>58</v>
      </c>
      <c r="B39" s="458"/>
      <c r="C39" s="172">
        <v>0</v>
      </c>
      <c r="D39" s="172">
        <v>0</v>
      </c>
      <c r="E39" s="125">
        <f t="shared" si="6"/>
        <v>0</v>
      </c>
      <c r="F39" s="173"/>
      <c r="G39" s="173"/>
      <c r="H39" s="173"/>
      <c r="I39" s="104">
        <f t="shared" si="7"/>
        <v>0</v>
      </c>
      <c r="N39" s="509" t="s">
        <v>58</v>
      </c>
      <c r="O39" s="509"/>
      <c r="P39" s="483">
        <f t="shared" si="8"/>
        <v>0</v>
      </c>
      <c r="Q39" s="483"/>
      <c r="R39" s="483"/>
      <c r="S39" s="483"/>
      <c r="T39" s="483"/>
      <c r="U39" s="101">
        <f t="shared" si="9"/>
        <v>0</v>
      </c>
    </row>
    <row r="40" spans="1:21" hidden="1" x14ac:dyDescent="0.25">
      <c r="A40" s="453" t="s">
        <v>59</v>
      </c>
      <c r="B40" s="453"/>
      <c r="C40" s="172">
        <v>0</v>
      </c>
      <c r="D40" s="172">
        <v>0</v>
      </c>
      <c r="E40" s="125">
        <f t="shared" si="6"/>
        <v>0</v>
      </c>
      <c r="F40" s="173"/>
      <c r="G40" s="173"/>
      <c r="H40" s="173"/>
      <c r="I40" s="104">
        <f t="shared" si="7"/>
        <v>0</v>
      </c>
      <c r="N40" s="479" t="s">
        <v>59</v>
      </c>
      <c r="O40" s="479"/>
      <c r="P40" s="483">
        <f t="shared" si="8"/>
        <v>0</v>
      </c>
      <c r="Q40" s="483"/>
      <c r="R40" s="483"/>
      <c r="S40" s="483"/>
      <c r="T40" s="483"/>
      <c r="U40" s="101">
        <f t="shared" si="9"/>
        <v>0</v>
      </c>
    </row>
    <row r="41" spans="1:21" hidden="1" x14ac:dyDescent="0.25">
      <c r="A41" s="453" t="s">
        <v>60</v>
      </c>
      <c r="B41" s="453"/>
      <c r="C41" s="172">
        <v>0</v>
      </c>
      <c r="D41" s="172">
        <v>0</v>
      </c>
      <c r="E41" s="125">
        <f t="shared" si="6"/>
        <v>0</v>
      </c>
      <c r="F41" s="173"/>
      <c r="G41" s="173"/>
      <c r="H41" s="173"/>
      <c r="I41" s="104">
        <f t="shared" si="7"/>
        <v>0</v>
      </c>
      <c r="N41" s="479" t="s">
        <v>60</v>
      </c>
      <c r="O41" s="479"/>
      <c r="P41" s="483">
        <f t="shared" si="8"/>
        <v>0</v>
      </c>
      <c r="Q41" s="483"/>
      <c r="R41" s="483"/>
      <c r="S41" s="483"/>
      <c r="T41" s="483"/>
      <c r="U41" s="101">
        <f t="shared" si="9"/>
        <v>0</v>
      </c>
    </row>
    <row r="42" spans="1:21" hidden="1" x14ac:dyDescent="0.25">
      <c r="A42" s="453" t="s">
        <v>52</v>
      </c>
      <c r="B42" s="453"/>
      <c r="C42" s="171">
        <v>0</v>
      </c>
      <c r="D42" s="171">
        <v>0</v>
      </c>
      <c r="E42" s="177">
        <f t="shared" si="6"/>
        <v>0</v>
      </c>
      <c r="F42" s="173"/>
      <c r="G42" s="173"/>
      <c r="H42" s="173"/>
      <c r="I42" s="97">
        <f t="shared" si="7"/>
        <v>0</v>
      </c>
      <c r="N42" s="482" t="s">
        <v>52</v>
      </c>
      <c r="O42" s="482"/>
      <c r="P42" s="483">
        <f t="shared" si="8"/>
        <v>0</v>
      </c>
      <c r="Q42" s="483"/>
      <c r="R42" s="483"/>
      <c r="S42" s="483"/>
      <c r="T42" s="483"/>
      <c r="U42" s="101">
        <f t="shared" si="9"/>
        <v>0</v>
      </c>
    </row>
    <row r="43" spans="1:21" hidden="1" x14ac:dyDescent="0.25">
      <c r="A43" s="3"/>
      <c r="B43" s="55" t="s">
        <v>126</v>
      </c>
      <c r="C43" s="100">
        <f>SUM(C37:C42)</f>
        <v>0</v>
      </c>
      <c r="D43" s="100">
        <f>SUM(D37:D42)</f>
        <v>0</v>
      </c>
      <c r="E43" s="100">
        <f>SUM(E37:E42)</f>
        <v>0</v>
      </c>
      <c r="F43" s="33"/>
      <c r="G43" s="109"/>
      <c r="H43" s="110" t="s">
        <v>128</v>
      </c>
      <c r="I43" s="100">
        <f>SUM(I37:I42)</f>
        <v>0</v>
      </c>
      <c r="N43" s="480" t="s">
        <v>54</v>
      </c>
      <c r="O43" s="480"/>
      <c r="P43" s="480"/>
      <c r="Q43" s="480"/>
      <c r="R43" s="34">
        <f>SUM(P37:R42)</f>
        <v>0</v>
      </c>
      <c r="S43" s="508" t="s">
        <v>64</v>
      </c>
      <c r="T43" s="508"/>
      <c r="U43" s="106">
        <f>SUM(U37:U42)</f>
        <v>0</v>
      </c>
    </row>
    <row r="44" spans="1:21" ht="16.5" hidden="1" thickBot="1" x14ac:dyDescent="0.3">
      <c r="A44" s="3"/>
      <c r="B44" s="55"/>
      <c r="C44" s="104"/>
      <c r="D44" s="104"/>
      <c r="E44" s="119"/>
      <c r="F44" s="33"/>
      <c r="G44" s="109"/>
      <c r="H44" s="110"/>
      <c r="I44" s="104"/>
      <c r="N44" s="29"/>
      <c r="O44" s="29"/>
      <c r="P44" s="29"/>
      <c r="Q44" s="29"/>
      <c r="R44" s="34"/>
      <c r="S44" s="31"/>
      <c r="T44" s="31"/>
      <c r="U44" s="106"/>
    </row>
    <row r="45" spans="1:21" ht="16.5" hidden="1" thickBot="1" x14ac:dyDescent="0.3">
      <c r="A45" s="3"/>
      <c r="B45" s="55" t="s">
        <v>127</v>
      </c>
      <c r="E45" s="174">
        <f>H29+E43</f>
        <v>744.50729999999999</v>
      </c>
      <c r="F45" s="35"/>
      <c r="G45" s="109"/>
      <c r="H45" s="110" t="s">
        <v>129</v>
      </c>
      <c r="I45" s="97">
        <f>SUM(I43,I29)</f>
        <v>3564945.24</v>
      </c>
      <c r="N45" s="480" t="s">
        <v>55</v>
      </c>
      <c r="O45" s="480"/>
      <c r="P45" s="480"/>
      <c r="Q45" s="480"/>
      <c r="R45" s="36">
        <f>R43+T29</f>
        <v>0</v>
      </c>
      <c r="S45" s="508" t="s">
        <v>53</v>
      </c>
      <c r="T45" s="508"/>
      <c r="U45" s="111">
        <f>SUM(U43,U29)</f>
        <v>0</v>
      </c>
    </row>
    <row r="46" spans="1:21" hidden="1" x14ac:dyDescent="0.25">
      <c r="A46" s="27"/>
      <c r="B46" s="27"/>
      <c r="C46" s="27"/>
      <c r="D46" s="27"/>
      <c r="E46" s="27"/>
      <c r="F46" s="35"/>
      <c r="G46" s="28"/>
      <c r="H46" s="28"/>
      <c r="I46" s="104"/>
      <c r="N46" s="29"/>
      <c r="O46" s="29"/>
      <c r="P46" s="29"/>
      <c r="Q46" s="29"/>
      <c r="R46" s="36"/>
      <c r="S46" s="31"/>
      <c r="T46" s="31"/>
      <c r="U46" s="106"/>
    </row>
    <row r="47" spans="1:21" x14ac:dyDescent="0.25">
      <c r="A47" s="27"/>
      <c r="B47" s="55" t="s">
        <v>370</v>
      </c>
      <c r="C47" s="41" t="s">
        <v>370</v>
      </c>
      <c r="D47" s="91" t="s">
        <v>370</v>
      </c>
      <c r="E47" s="27"/>
      <c r="F47" s="35"/>
      <c r="G47" s="28"/>
      <c r="H47" s="28"/>
      <c r="I47" s="104"/>
      <c r="N47" s="29"/>
      <c r="O47" s="29"/>
      <c r="P47" s="29"/>
      <c r="Q47" s="29"/>
      <c r="R47" s="36"/>
      <c r="S47" s="31"/>
      <c r="T47" s="31"/>
      <c r="U47" s="106"/>
    </row>
    <row r="48" spans="1:21" x14ac:dyDescent="0.25">
      <c r="A48" s="27"/>
      <c r="B48" s="27"/>
      <c r="C48" s="91" t="s">
        <v>463</v>
      </c>
      <c r="D48" s="371" t="s">
        <v>464</v>
      </c>
      <c r="E48" s="92" t="s">
        <v>8</v>
      </c>
      <c r="F48" s="49" t="s">
        <v>130</v>
      </c>
      <c r="G48" s="112" t="s">
        <v>132</v>
      </c>
      <c r="H48" s="113" t="s">
        <v>133</v>
      </c>
      <c r="I48" s="104"/>
      <c r="N48" s="29"/>
      <c r="O48" s="29"/>
      <c r="P48" s="29"/>
      <c r="Q48" s="29"/>
      <c r="R48" s="36"/>
      <c r="S48" s="31"/>
      <c r="T48" s="31"/>
      <c r="U48" s="106"/>
    </row>
    <row r="49" spans="1:21" x14ac:dyDescent="0.25">
      <c r="A49" s="37" t="s">
        <v>87</v>
      </c>
      <c r="B49" s="37"/>
      <c r="C49" s="362" t="s">
        <v>2</v>
      </c>
      <c r="D49" s="362" t="s">
        <v>2</v>
      </c>
      <c r="E49" s="362" t="s">
        <v>2</v>
      </c>
      <c r="F49" s="95" t="s">
        <v>131</v>
      </c>
      <c r="G49" s="62" t="s">
        <v>131</v>
      </c>
      <c r="H49" s="114" t="s">
        <v>134</v>
      </c>
      <c r="I49" s="37"/>
      <c r="N49" s="482" t="s">
        <v>87</v>
      </c>
      <c r="O49" s="482"/>
      <c r="P49" s="503" t="s">
        <v>2</v>
      </c>
      <c r="Q49" s="503"/>
      <c r="R49" s="38" t="s">
        <v>25</v>
      </c>
      <c r="S49" s="63" t="s">
        <v>26</v>
      </c>
      <c r="T49" s="115" t="s">
        <v>27</v>
      </c>
      <c r="U49" s="38"/>
    </row>
    <row r="50" spans="1:21" x14ac:dyDescent="0.25">
      <c r="A50" s="459" t="s">
        <v>98</v>
      </c>
      <c r="B50" s="459"/>
      <c r="C50" s="165">
        <v>0</v>
      </c>
      <c r="D50" s="165">
        <v>0</v>
      </c>
      <c r="E50" s="125">
        <f>IF(D$59=0,C50*2,C50+D50)</f>
        <v>0</v>
      </c>
      <c r="F50" s="39" t="s">
        <v>21</v>
      </c>
      <c r="G50" s="39">
        <v>251</v>
      </c>
      <c r="H50" s="321">
        <f>'0664'!H50</f>
        <v>1047</v>
      </c>
      <c r="I50" s="104">
        <f>ROUND(E50*H50,2)</f>
        <v>0</v>
      </c>
      <c r="N50" s="504" t="s">
        <v>28</v>
      </c>
      <c r="O50" s="504"/>
      <c r="P50" s="505"/>
      <c r="Q50" s="505"/>
      <c r="R50" s="40" t="s">
        <v>21</v>
      </c>
      <c r="S50" s="40">
        <v>251</v>
      </c>
      <c r="T50" s="117">
        <f>H50</f>
        <v>1047</v>
      </c>
      <c r="U50" s="118">
        <f>ROUND(P50*T50,0)</f>
        <v>0</v>
      </c>
    </row>
    <row r="51" spans="1:21" x14ac:dyDescent="0.25">
      <c r="A51" s="460"/>
      <c r="B51" s="460"/>
      <c r="C51" s="165">
        <v>0</v>
      </c>
      <c r="D51" s="165">
        <v>0</v>
      </c>
      <c r="E51" s="125">
        <f t="shared" ref="E51:E58" si="10">IF(D$59=0,C51*2,C51+D51)</f>
        <v>0</v>
      </c>
      <c r="F51" s="39" t="s">
        <v>21</v>
      </c>
      <c r="G51" s="39">
        <v>252</v>
      </c>
      <c r="H51" s="321">
        <f>'0664'!H51</f>
        <v>3380</v>
      </c>
      <c r="I51" s="104">
        <f t="shared" ref="I51:I58" si="11">ROUND(E51*H51,2)</f>
        <v>0</v>
      </c>
      <c r="N51" s="504"/>
      <c r="O51" s="504"/>
      <c r="P51" s="506"/>
      <c r="Q51" s="506"/>
      <c r="R51" s="40" t="s">
        <v>21</v>
      </c>
      <c r="S51" s="40">
        <v>252</v>
      </c>
      <c r="T51" s="117">
        <f t="shared" ref="T51:T58" si="12">H51</f>
        <v>3380</v>
      </c>
      <c r="U51" s="118">
        <f t="shared" ref="U51:U58" si="13">ROUND(P51*T51,0)</f>
        <v>0</v>
      </c>
    </row>
    <row r="52" spans="1:21" x14ac:dyDescent="0.25">
      <c r="A52" s="460"/>
      <c r="B52" s="460"/>
      <c r="C52" s="165">
        <v>0</v>
      </c>
      <c r="D52" s="165">
        <v>0</v>
      </c>
      <c r="E52" s="125">
        <f t="shared" si="10"/>
        <v>0</v>
      </c>
      <c r="F52" s="39" t="s">
        <v>21</v>
      </c>
      <c r="G52" s="39">
        <v>253</v>
      </c>
      <c r="H52" s="321">
        <f>'0664'!H52</f>
        <v>6896</v>
      </c>
      <c r="I52" s="104">
        <f t="shared" si="11"/>
        <v>0</v>
      </c>
      <c r="N52" s="504"/>
      <c r="O52" s="504"/>
      <c r="P52" s="506"/>
      <c r="Q52" s="506"/>
      <c r="R52" s="40" t="s">
        <v>21</v>
      </c>
      <c r="S52" s="40">
        <v>253</v>
      </c>
      <c r="T52" s="117">
        <f t="shared" si="12"/>
        <v>6896</v>
      </c>
      <c r="U52" s="118">
        <f t="shared" si="13"/>
        <v>0</v>
      </c>
    </row>
    <row r="53" spans="1:21" x14ac:dyDescent="0.25">
      <c r="A53" s="460"/>
      <c r="B53" s="460"/>
      <c r="C53" s="165">
        <v>0</v>
      </c>
      <c r="D53" s="165">
        <v>0</v>
      </c>
      <c r="E53" s="125">
        <f t="shared" si="10"/>
        <v>0</v>
      </c>
      <c r="F53" s="41" t="s">
        <v>14</v>
      </c>
      <c r="G53" s="39">
        <v>251</v>
      </c>
      <c r="H53" s="321">
        <f>'0664'!H53</f>
        <v>1173</v>
      </c>
      <c r="I53" s="104">
        <f t="shared" si="11"/>
        <v>0</v>
      </c>
      <c r="N53" s="504"/>
      <c r="O53" s="504"/>
      <c r="P53" s="506"/>
      <c r="Q53" s="506"/>
      <c r="R53" s="42" t="s">
        <v>14</v>
      </c>
      <c r="S53" s="40">
        <v>251</v>
      </c>
      <c r="T53" s="117">
        <f t="shared" si="12"/>
        <v>1173</v>
      </c>
      <c r="U53" s="118">
        <f t="shared" si="13"/>
        <v>0</v>
      </c>
    </row>
    <row r="54" spans="1:21" x14ac:dyDescent="0.25">
      <c r="A54" s="460"/>
      <c r="B54" s="460"/>
      <c r="C54" s="165">
        <v>0</v>
      </c>
      <c r="D54" s="165">
        <v>0</v>
      </c>
      <c r="E54" s="125">
        <f t="shared" si="10"/>
        <v>0</v>
      </c>
      <c r="F54" s="41" t="s">
        <v>14</v>
      </c>
      <c r="G54" s="39">
        <v>252</v>
      </c>
      <c r="H54" s="321">
        <f>'0664'!H54</f>
        <v>3506</v>
      </c>
      <c r="I54" s="104">
        <f t="shared" si="11"/>
        <v>0</v>
      </c>
      <c r="N54" s="504"/>
      <c r="O54" s="504"/>
      <c r="P54" s="506"/>
      <c r="Q54" s="506"/>
      <c r="R54" s="42" t="s">
        <v>14</v>
      </c>
      <c r="S54" s="40">
        <v>252</v>
      </c>
      <c r="T54" s="117">
        <f t="shared" si="12"/>
        <v>3506</v>
      </c>
      <c r="U54" s="118">
        <f t="shared" si="13"/>
        <v>0</v>
      </c>
    </row>
    <row r="55" spans="1:21" x14ac:dyDescent="0.25">
      <c r="A55" s="460"/>
      <c r="B55" s="460"/>
      <c r="C55" s="165">
        <v>0</v>
      </c>
      <c r="D55" s="165">
        <v>0</v>
      </c>
      <c r="E55" s="125">
        <f t="shared" si="10"/>
        <v>0</v>
      </c>
      <c r="F55" s="41" t="s">
        <v>14</v>
      </c>
      <c r="G55" s="39">
        <v>253</v>
      </c>
      <c r="H55" s="321">
        <f>'0664'!H55</f>
        <v>7023</v>
      </c>
      <c r="I55" s="104">
        <f t="shared" si="11"/>
        <v>0</v>
      </c>
      <c r="N55" s="504"/>
      <c r="O55" s="504"/>
      <c r="P55" s="506"/>
      <c r="Q55" s="506"/>
      <c r="R55" s="42" t="s">
        <v>14</v>
      </c>
      <c r="S55" s="40">
        <v>253</v>
      </c>
      <c r="T55" s="117">
        <f t="shared" si="12"/>
        <v>7023</v>
      </c>
      <c r="U55" s="118">
        <f t="shared" si="13"/>
        <v>0</v>
      </c>
    </row>
    <row r="56" spans="1:21" x14ac:dyDescent="0.25">
      <c r="A56" s="460"/>
      <c r="B56" s="460"/>
      <c r="C56" s="165">
        <v>36.35</v>
      </c>
      <c r="D56" s="165">
        <v>36.520000000000003</v>
      </c>
      <c r="E56" s="125">
        <f t="shared" si="10"/>
        <v>72.87</v>
      </c>
      <c r="F56" s="41" t="s">
        <v>15</v>
      </c>
      <c r="G56" s="39">
        <v>251</v>
      </c>
      <c r="H56" s="321">
        <f>'0664'!H56</f>
        <v>835</v>
      </c>
      <c r="I56" s="104">
        <f t="shared" si="11"/>
        <v>60846.45</v>
      </c>
      <c r="N56" s="504"/>
      <c r="O56" s="504"/>
      <c r="P56" s="506"/>
      <c r="Q56" s="506"/>
      <c r="R56" s="42" t="s">
        <v>15</v>
      </c>
      <c r="S56" s="40">
        <v>251</v>
      </c>
      <c r="T56" s="117">
        <f t="shared" si="12"/>
        <v>835</v>
      </c>
      <c r="U56" s="118">
        <f t="shared" si="13"/>
        <v>0</v>
      </c>
    </row>
    <row r="57" spans="1:21" x14ac:dyDescent="0.25">
      <c r="A57" s="460"/>
      <c r="B57" s="460"/>
      <c r="C57" s="165">
        <v>1</v>
      </c>
      <c r="D57" s="165">
        <v>1</v>
      </c>
      <c r="E57" s="125">
        <f t="shared" si="10"/>
        <v>2</v>
      </c>
      <c r="F57" s="41" t="s">
        <v>15</v>
      </c>
      <c r="G57" s="39">
        <v>252</v>
      </c>
      <c r="H57" s="321">
        <f>'0664'!H57</f>
        <v>3168</v>
      </c>
      <c r="I57" s="104">
        <f t="shared" si="11"/>
        <v>6336</v>
      </c>
      <c r="N57" s="504"/>
      <c r="O57" s="504"/>
      <c r="P57" s="506"/>
      <c r="Q57" s="506"/>
      <c r="R57" s="42" t="s">
        <v>15</v>
      </c>
      <c r="S57" s="40">
        <v>252</v>
      </c>
      <c r="T57" s="117">
        <f t="shared" si="12"/>
        <v>3168</v>
      </c>
      <c r="U57" s="118">
        <f t="shared" si="13"/>
        <v>0</v>
      </c>
    </row>
    <row r="58" spans="1:21" ht="16.5" thickBot="1" x14ac:dyDescent="0.3">
      <c r="A58" s="460"/>
      <c r="B58" s="460"/>
      <c r="C58" s="165">
        <v>0</v>
      </c>
      <c r="D58" s="165">
        <v>0</v>
      </c>
      <c r="E58" s="125">
        <f t="shared" si="10"/>
        <v>0</v>
      </c>
      <c r="F58" s="41" t="s">
        <v>15</v>
      </c>
      <c r="G58" s="39">
        <v>253</v>
      </c>
      <c r="H58" s="321">
        <f>'0664'!H58</f>
        <v>6685</v>
      </c>
      <c r="I58" s="104">
        <f t="shared" si="11"/>
        <v>0</v>
      </c>
      <c r="N58" s="504"/>
      <c r="O58" s="504"/>
      <c r="P58" s="507"/>
      <c r="Q58" s="507"/>
      <c r="R58" s="42" t="s">
        <v>15</v>
      </c>
      <c r="S58" s="40">
        <v>253</v>
      </c>
      <c r="T58" s="117">
        <f t="shared" si="12"/>
        <v>6685</v>
      </c>
      <c r="U58" s="120">
        <f t="shared" si="13"/>
        <v>0</v>
      </c>
    </row>
    <row r="59" spans="1:21" ht="16.5" thickBot="1" x14ac:dyDescent="0.3">
      <c r="A59" s="461" t="s">
        <v>16</v>
      </c>
      <c r="B59" s="461"/>
      <c r="C59" s="100">
        <f>SUM(C50:C58)</f>
        <v>37.35</v>
      </c>
      <c r="D59" s="100">
        <f>SUM(D50:D58)</f>
        <v>37.520000000000003</v>
      </c>
      <c r="E59" s="100">
        <f>SUM(E50:E58)</f>
        <v>74.87</v>
      </c>
      <c r="F59" s="461" t="s">
        <v>77</v>
      </c>
      <c r="G59" s="461"/>
      <c r="H59" s="461"/>
      <c r="I59" s="100">
        <f>SUM(I50:I58)</f>
        <v>67182.45</v>
      </c>
      <c r="N59" s="480" t="s">
        <v>16</v>
      </c>
      <c r="O59" s="480"/>
      <c r="P59" s="502">
        <f>SUM(P50:P58)</f>
        <v>0</v>
      </c>
      <c r="Q59" s="502"/>
      <c r="R59" s="480" t="s">
        <v>77</v>
      </c>
      <c r="S59" s="480"/>
      <c r="T59" s="480"/>
      <c r="U59" s="111">
        <f>SUM(U50:U58)</f>
        <v>0</v>
      </c>
    </row>
    <row r="60" spans="1:21" x14ac:dyDescent="0.25">
      <c r="A60" s="462"/>
      <c r="B60" s="462"/>
      <c r="C60" s="462"/>
      <c r="D60" s="462"/>
      <c r="E60" s="462"/>
      <c r="F60" s="462"/>
      <c r="G60" s="462"/>
      <c r="H60" s="462"/>
      <c r="I60" s="462"/>
      <c r="N60" s="484"/>
      <c r="O60" s="484"/>
      <c r="P60" s="484"/>
      <c r="Q60" s="484"/>
      <c r="R60" s="484"/>
      <c r="S60" s="484"/>
      <c r="T60" s="484"/>
      <c r="U60" s="484"/>
    </row>
    <row r="61" spans="1:21" x14ac:dyDescent="0.25">
      <c r="A61" s="463" t="s">
        <v>136</v>
      </c>
      <c r="B61" s="453"/>
      <c r="C61" s="453"/>
      <c r="D61" s="453"/>
      <c r="E61" s="453"/>
      <c r="F61" s="453"/>
      <c r="G61" s="453"/>
      <c r="H61" s="453"/>
      <c r="I61" s="453"/>
      <c r="N61" s="479" t="s">
        <v>88</v>
      </c>
      <c r="O61" s="479"/>
      <c r="P61" s="479"/>
      <c r="Q61" s="479"/>
      <c r="R61" s="479"/>
      <c r="S61" s="479"/>
      <c r="T61" s="479"/>
      <c r="U61" s="479"/>
    </row>
    <row r="62" spans="1:21" x14ac:dyDescent="0.25">
      <c r="A62" s="463" t="s">
        <v>138</v>
      </c>
      <c r="B62" s="453"/>
      <c r="C62" s="121">
        <f>E29</f>
        <v>742.13000000000011</v>
      </c>
      <c r="D62" s="464" t="s">
        <v>135</v>
      </c>
      <c r="E62" s="464"/>
      <c r="F62" s="464"/>
      <c r="G62" s="464"/>
      <c r="H62" s="335">
        <f>'0664'!H62</f>
        <v>193340.76</v>
      </c>
      <c r="I62" s="122"/>
      <c r="N62" s="478" t="s">
        <v>312</v>
      </c>
      <c r="O62" s="479"/>
      <c r="P62" s="43">
        <f>P29</f>
        <v>0</v>
      </c>
      <c r="Q62" s="498" t="s">
        <v>78</v>
      </c>
      <c r="R62" s="498"/>
      <c r="S62" s="498"/>
      <c r="T62" s="497">
        <f>H62</f>
        <v>193340.76</v>
      </c>
      <c r="U62" s="497"/>
    </row>
    <row r="63" spans="1:21" x14ac:dyDescent="0.25">
      <c r="B63" s="72"/>
      <c r="G63" s="44" t="s">
        <v>13</v>
      </c>
      <c r="H63" s="123">
        <f>ROUND(C62/H62,6)</f>
        <v>3.8379999999999998E-3</v>
      </c>
      <c r="I63" s="124"/>
      <c r="N63" s="479" t="s">
        <v>19</v>
      </c>
      <c r="O63" s="479"/>
      <c r="P63" s="479"/>
      <c r="Q63" s="479"/>
      <c r="R63" s="479"/>
      <c r="S63" s="479"/>
      <c r="T63" s="501">
        <f>ROUND(P62/T62,6)</f>
        <v>0</v>
      </c>
      <c r="U63" s="501"/>
    </row>
    <row r="64" spans="1:21" x14ac:dyDescent="0.25">
      <c r="A64" s="463" t="s">
        <v>137</v>
      </c>
      <c r="B64" s="453"/>
      <c r="C64" s="453"/>
      <c r="D64" s="453"/>
      <c r="E64" s="453"/>
      <c r="F64" s="453"/>
      <c r="G64" s="453"/>
      <c r="H64" s="453"/>
      <c r="I64" s="453"/>
      <c r="N64" s="479" t="s">
        <v>89</v>
      </c>
      <c r="O64" s="479"/>
      <c r="P64" s="479"/>
      <c r="Q64" s="479"/>
      <c r="R64" s="479"/>
      <c r="S64" s="479"/>
      <c r="T64" s="479"/>
      <c r="U64" s="479"/>
    </row>
    <row r="65" spans="1:21" x14ac:dyDescent="0.25">
      <c r="A65" s="463" t="s">
        <v>139</v>
      </c>
      <c r="B65" s="453"/>
      <c r="C65" s="121">
        <f>E45</f>
        <v>744.50729999999999</v>
      </c>
      <c r="D65" s="464" t="s">
        <v>140</v>
      </c>
      <c r="E65" s="464"/>
      <c r="F65" s="464"/>
      <c r="G65" s="464"/>
      <c r="H65" s="336">
        <f>'0664'!H65</f>
        <v>216845.88</v>
      </c>
      <c r="I65" s="125"/>
      <c r="N65" s="479" t="s">
        <v>80</v>
      </c>
      <c r="O65" s="479"/>
      <c r="P65" s="43">
        <f>R45</f>
        <v>0</v>
      </c>
      <c r="Q65" s="498" t="s">
        <v>79</v>
      </c>
      <c r="R65" s="498"/>
      <c r="S65" s="498"/>
      <c r="T65" s="497">
        <f>H65</f>
        <v>216845.88</v>
      </c>
      <c r="U65" s="497"/>
    </row>
    <row r="66" spans="1:21" s="37" customFormat="1" x14ac:dyDescent="0.25">
      <c r="A66" s="126"/>
      <c r="G66" s="45" t="s">
        <v>13</v>
      </c>
      <c r="H66" s="127">
        <f>ROUND(C65/H65,6)</f>
        <v>3.4329999999999999E-3</v>
      </c>
      <c r="I66" s="127"/>
      <c r="N66" s="482" t="s">
        <v>20</v>
      </c>
      <c r="O66" s="482"/>
      <c r="P66" s="482"/>
      <c r="Q66" s="482"/>
      <c r="R66" s="482"/>
      <c r="S66" s="482"/>
      <c r="T66" s="500">
        <f>ROUND(P65/T65,6)</f>
        <v>0</v>
      </c>
      <c r="U66" s="500"/>
    </row>
    <row r="67" spans="1:21" x14ac:dyDescent="0.25">
      <c r="G67" s="44"/>
      <c r="H67" s="123"/>
      <c r="I67" s="123"/>
      <c r="N67" s="48"/>
      <c r="O67" s="48"/>
      <c r="P67" s="48"/>
      <c r="Q67" s="48"/>
      <c r="R67" s="128"/>
      <c r="S67" s="48"/>
      <c r="T67" s="129"/>
      <c r="U67" s="130"/>
    </row>
    <row r="68" spans="1:21" x14ac:dyDescent="0.25">
      <c r="A68" s="453" t="s">
        <v>85</v>
      </c>
      <c r="B68" s="453"/>
      <c r="C68" s="453"/>
      <c r="D68" s="72"/>
      <c r="E68" s="46" t="s">
        <v>3</v>
      </c>
      <c r="F68" s="337">
        <f>'0664'!F68</f>
        <v>42465042</v>
      </c>
      <c r="G68" s="39" t="s">
        <v>6</v>
      </c>
      <c r="H68" s="131">
        <f>H63</f>
        <v>3.8379999999999998E-3</v>
      </c>
      <c r="I68" s="104">
        <f>ROUND(F68*H68,2)</f>
        <v>162980.82999999999</v>
      </c>
      <c r="N68" s="479" t="s">
        <v>85</v>
      </c>
      <c r="O68" s="479"/>
      <c r="P68" s="479"/>
      <c r="Q68" s="47"/>
      <c r="R68" s="132">
        <f>F68</f>
        <v>42465042</v>
      </c>
      <c r="S68" s="40" t="s">
        <v>6</v>
      </c>
      <c r="T68" s="133">
        <f>T63</f>
        <v>0</v>
      </c>
      <c r="U68" s="99">
        <f>ROUND(R68*T68,0)</f>
        <v>0</v>
      </c>
    </row>
    <row r="69" spans="1:21" x14ac:dyDescent="0.25">
      <c r="A69" s="458" t="s">
        <v>96</v>
      </c>
      <c r="B69" s="453"/>
      <c r="C69" s="453"/>
      <c r="D69" s="72"/>
      <c r="E69" s="46"/>
      <c r="F69" s="136"/>
      <c r="G69" s="39"/>
      <c r="H69" s="131"/>
      <c r="I69" s="104"/>
      <c r="N69" s="479" t="s">
        <v>84</v>
      </c>
      <c r="O69" s="479"/>
      <c r="P69" s="479"/>
      <c r="Q69" s="54"/>
      <c r="R69" s="54"/>
      <c r="S69" s="54"/>
      <c r="T69" s="54"/>
      <c r="U69" s="54"/>
    </row>
    <row r="70" spans="1:21" x14ac:dyDescent="0.25">
      <c r="A70" s="465" t="s">
        <v>141</v>
      </c>
      <c r="B70" s="453"/>
      <c r="C70" s="453"/>
      <c r="D70" s="72"/>
      <c r="E70" s="46" t="s">
        <v>3</v>
      </c>
      <c r="F70" s="337">
        <f>'0664'!F70</f>
        <v>0</v>
      </c>
      <c r="G70" s="39" t="s">
        <v>6</v>
      </c>
      <c r="H70" s="131">
        <f>H63</f>
        <v>3.8379999999999998E-3</v>
      </c>
      <c r="I70" s="104">
        <f>ROUND(F70*H70,2)</f>
        <v>0</v>
      </c>
      <c r="N70" s="48"/>
      <c r="O70" s="48"/>
      <c r="P70" s="48"/>
      <c r="Q70" s="47"/>
      <c r="R70" s="132">
        <f>F70</f>
        <v>0</v>
      </c>
      <c r="S70" s="40" t="s">
        <v>6</v>
      </c>
      <c r="T70" s="133">
        <f>T63</f>
        <v>0</v>
      </c>
      <c r="U70" s="99">
        <f>ROUND(R70*T70,0)</f>
        <v>0</v>
      </c>
    </row>
    <row r="71" spans="1:21" x14ac:dyDescent="0.25">
      <c r="A71" s="463" t="s">
        <v>433</v>
      </c>
      <c r="B71" s="453"/>
      <c r="C71" s="453"/>
      <c r="D71" s="72"/>
      <c r="E71" s="46" t="s">
        <v>3</v>
      </c>
      <c r="F71" s="337">
        <f>'0664'!F71</f>
        <v>13414654</v>
      </c>
      <c r="G71" s="39" t="s">
        <v>6</v>
      </c>
      <c r="H71" s="131">
        <f>H63</f>
        <v>3.8379999999999998E-3</v>
      </c>
      <c r="I71" s="104">
        <f>ROUND(F71*H71,2)</f>
        <v>51485.440000000002</v>
      </c>
      <c r="N71" s="479" t="s">
        <v>83</v>
      </c>
      <c r="O71" s="479"/>
      <c r="P71" s="479"/>
      <c r="Q71" s="47"/>
      <c r="R71" s="132">
        <f>F71</f>
        <v>13414654</v>
      </c>
      <c r="S71" s="40" t="s">
        <v>6</v>
      </c>
      <c r="T71" s="133">
        <f>T63</f>
        <v>0</v>
      </c>
      <c r="U71" s="99">
        <f>ROUND(R71*T71,0)</f>
        <v>0</v>
      </c>
    </row>
    <row r="72" spans="1:21" x14ac:dyDescent="0.25">
      <c r="A72" s="463" t="s">
        <v>434</v>
      </c>
      <c r="B72" s="453"/>
      <c r="C72" s="453"/>
      <c r="D72" s="72"/>
      <c r="E72" s="46" t="s">
        <v>3</v>
      </c>
      <c r="F72" s="337">
        <f>'0664'!F72</f>
        <v>14708421</v>
      </c>
      <c r="G72" s="39" t="s">
        <v>6</v>
      </c>
      <c r="H72" s="131">
        <f>H63</f>
        <v>3.8379999999999998E-3</v>
      </c>
      <c r="I72" s="104">
        <f>ROUND(F72*H72,2)</f>
        <v>56450.92</v>
      </c>
      <c r="N72" s="479" t="s">
        <v>82</v>
      </c>
      <c r="O72" s="479"/>
      <c r="P72" s="479"/>
      <c r="Q72" s="47"/>
      <c r="R72" s="134">
        <f>F72</f>
        <v>14708421</v>
      </c>
      <c r="S72" s="40" t="s">
        <v>6</v>
      </c>
      <c r="T72" s="133">
        <f>T63</f>
        <v>0</v>
      </c>
      <c r="U72" s="99">
        <f>ROUND(R72*T72,0)</f>
        <v>0</v>
      </c>
    </row>
    <row r="73" spans="1:21" x14ac:dyDescent="0.25">
      <c r="A73" s="263" t="s">
        <v>99</v>
      </c>
      <c r="D73" s="72"/>
      <c r="E73" s="41" t="s">
        <v>353</v>
      </c>
      <c r="F73" s="466"/>
      <c r="G73" s="466"/>
      <c r="H73" s="466"/>
      <c r="I73" s="104">
        <v>0</v>
      </c>
      <c r="N73" s="499" t="s">
        <v>118</v>
      </c>
      <c r="O73" s="499"/>
      <c r="P73" s="499"/>
      <c r="Q73" s="499"/>
      <c r="R73" s="499"/>
      <c r="S73" s="499"/>
      <c r="T73" s="499"/>
      <c r="U73" s="99">
        <f>IF($H$120=1,I73,0)</f>
        <v>0</v>
      </c>
    </row>
    <row r="74" spans="1:21" x14ac:dyDescent="0.25">
      <c r="A74" s="264" t="s">
        <v>142</v>
      </c>
      <c r="I74" s="104"/>
      <c r="N74" s="499" t="s">
        <v>43</v>
      </c>
      <c r="O74" s="499"/>
      <c r="P74" s="499"/>
      <c r="Q74" s="499"/>
      <c r="R74" s="499"/>
      <c r="S74" s="499"/>
      <c r="T74" s="499"/>
      <c r="U74" s="99">
        <f>IF($H$120=1,I74,0)</f>
        <v>0</v>
      </c>
    </row>
    <row r="75" spans="1:21" x14ac:dyDescent="0.25">
      <c r="A75" s="324" t="s">
        <v>101</v>
      </c>
      <c r="B75" s="72"/>
      <c r="C75" s="72"/>
      <c r="D75" s="72"/>
      <c r="E75" s="72"/>
      <c r="F75" s="72"/>
      <c r="G75" s="72"/>
      <c r="H75" s="72"/>
      <c r="I75" s="135"/>
      <c r="N75" s="382" t="s">
        <v>44</v>
      </c>
      <c r="O75" s="48"/>
      <c r="P75" s="48"/>
      <c r="Q75" s="48"/>
      <c r="R75" s="48"/>
      <c r="S75" s="48"/>
      <c r="T75" s="48"/>
      <c r="U75" s="106"/>
    </row>
    <row r="76" spans="1:21" x14ac:dyDescent="0.25">
      <c r="A76" s="463" t="s">
        <v>435</v>
      </c>
      <c r="B76" s="453"/>
      <c r="C76" s="453"/>
      <c r="D76" s="72"/>
      <c r="E76" s="46" t="s">
        <v>3</v>
      </c>
      <c r="F76" s="337">
        <f>'0664'!F76</f>
        <v>8720092</v>
      </c>
      <c r="G76" s="39" t="s">
        <v>6</v>
      </c>
      <c r="H76" s="131">
        <f>H63</f>
        <v>3.8379999999999998E-3</v>
      </c>
      <c r="I76" s="104">
        <f t="shared" ref="I76:I85" si="14">ROUND(F76*H76,2)</f>
        <v>33467.71</v>
      </c>
      <c r="N76" s="478" t="s">
        <v>366</v>
      </c>
      <c r="O76" s="479"/>
      <c r="P76" s="479"/>
      <c r="Q76" s="47"/>
      <c r="R76" s="134">
        <f t="shared" ref="R76:R85" si="15">F76</f>
        <v>8720092</v>
      </c>
      <c r="S76" s="40" t="s">
        <v>6</v>
      </c>
      <c r="T76" s="133">
        <f>T63</f>
        <v>0</v>
      </c>
      <c r="U76" s="99">
        <f t="shared" ref="U76:U85" si="16">ROUND(R76*T76,0)</f>
        <v>0</v>
      </c>
    </row>
    <row r="77" spans="1:21" x14ac:dyDescent="0.25">
      <c r="A77" s="463" t="s">
        <v>436</v>
      </c>
      <c r="B77" s="453"/>
      <c r="C77" s="453"/>
      <c r="D77" s="72"/>
      <c r="E77" s="46" t="s">
        <v>3</v>
      </c>
      <c r="F77" s="337">
        <f>'0664'!F77</f>
        <v>0</v>
      </c>
      <c r="G77" s="39" t="s">
        <v>6</v>
      </c>
      <c r="H77" s="131">
        <f>H63</f>
        <v>3.8379999999999998E-3</v>
      </c>
      <c r="I77" s="104">
        <f t="shared" si="14"/>
        <v>0</v>
      </c>
      <c r="N77" s="479" t="s">
        <v>367</v>
      </c>
      <c r="O77" s="479"/>
      <c r="P77" s="479"/>
      <c r="Q77" s="47"/>
      <c r="R77" s="134">
        <f t="shared" si="15"/>
        <v>0</v>
      </c>
      <c r="S77" s="40" t="s">
        <v>6</v>
      </c>
      <c r="T77" s="133">
        <f>T63</f>
        <v>0</v>
      </c>
      <c r="U77" s="99">
        <f t="shared" si="16"/>
        <v>0</v>
      </c>
    </row>
    <row r="78" spans="1:21" x14ac:dyDescent="0.25">
      <c r="A78" s="463" t="s">
        <v>437</v>
      </c>
      <c r="B78" s="453"/>
      <c r="C78" s="453"/>
      <c r="D78" s="72"/>
      <c r="E78" s="46" t="s">
        <v>4</v>
      </c>
      <c r="F78" s="337">
        <f>'0664'!F78</f>
        <v>0</v>
      </c>
      <c r="G78" s="39" t="s">
        <v>6</v>
      </c>
      <c r="H78" s="131">
        <f>H66</f>
        <v>3.4329999999999999E-3</v>
      </c>
      <c r="I78" s="104">
        <f t="shared" si="14"/>
        <v>0</v>
      </c>
      <c r="N78" s="478" t="s">
        <v>392</v>
      </c>
      <c r="O78" s="479"/>
      <c r="P78" s="479"/>
      <c r="Q78" s="47"/>
      <c r="R78" s="134">
        <f t="shared" si="15"/>
        <v>0</v>
      </c>
      <c r="S78" s="40" t="s">
        <v>6</v>
      </c>
      <c r="T78" s="133">
        <f>T66</f>
        <v>0</v>
      </c>
      <c r="U78" s="99">
        <f t="shared" si="16"/>
        <v>0</v>
      </c>
    </row>
    <row r="79" spans="1:21" x14ac:dyDescent="0.25">
      <c r="A79" s="463" t="s">
        <v>438</v>
      </c>
      <c r="B79" s="453"/>
      <c r="C79" s="453"/>
      <c r="D79" s="72"/>
      <c r="E79" s="46" t="s">
        <v>4</v>
      </c>
      <c r="F79" s="337">
        <f>'0664'!F79</f>
        <v>11278687</v>
      </c>
      <c r="G79" s="39" t="s">
        <v>6</v>
      </c>
      <c r="H79" s="131">
        <f>H66</f>
        <v>3.4329999999999999E-3</v>
      </c>
      <c r="I79" s="104">
        <f t="shared" si="14"/>
        <v>38719.730000000003</v>
      </c>
      <c r="N79" s="478" t="s">
        <v>393</v>
      </c>
      <c r="O79" s="479"/>
      <c r="P79" s="479"/>
      <c r="Q79" s="47"/>
      <c r="R79" s="134">
        <f t="shared" si="15"/>
        <v>11278687</v>
      </c>
      <c r="S79" s="40" t="s">
        <v>6</v>
      </c>
      <c r="T79" s="133">
        <f>T66</f>
        <v>0</v>
      </c>
      <c r="U79" s="99">
        <f t="shared" si="16"/>
        <v>0</v>
      </c>
    </row>
    <row r="80" spans="1:21" x14ac:dyDescent="0.25">
      <c r="A80" s="463" t="s">
        <v>439</v>
      </c>
      <c r="B80" s="453"/>
      <c r="C80" s="453"/>
      <c r="D80" s="72"/>
      <c r="E80" s="46" t="s">
        <v>4</v>
      </c>
      <c r="F80" s="337">
        <f>'0664'!F80</f>
        <v>206284749</v>
      </c>
      <c r="G80" s="39" t="s">
        <v>6</v>
      </c>
      <c r="H80" s="131">
        <f>H66</f>
        <v>3.4329999999999999E-3</v>
      </c>
      <c r="I80" s="104">
        <f t="shared" si="14"/>
        <v>708175.54</v>
      </c>
      <c r="N80" s="478" t="s">
        <v>397</v>
      </c>
      <c r="O80" s="479"/>
      <c r="P80" s="479"/>
      <c r="Q80" s="47"/>
      <c r="R80" s="134">
        <f t="shared" si="15"/>
        <v>206284749</v>
      </c>
      <c r="S80" s="40" t="s">
        <v>6</v>
      </c>
      <c r="T80" s="133">
        <f>T66</f>
        <v>0</v>
      </c>
      <c r="U80" s="99">
        <f t="shared" si="16"/>
        <v>0</v>
      </c>
    </row>
    <row r="81" spans="1:21" x14ac:dyDescent="0.25">
      <c r="A81" s="84" t="s">
        <v>440</v>
      </c>
      <c r="B81" s="72"/>
      <c r="C81" s="72"/>
      <c r="D81" s="72"/>
      <c r="E81" s="46"/>
      <c r="F81" s="337"/>
      <c r="G81" s="39"/>
      <c r="H81" s="131"/>
      <c r="I81" s="104"/>
      <c r="N81" s="419" t="s">
        <v>440</v>
      </c>
      <c r="O81" s="48"/>
      <c r="P81" s="48"/>
      <c r="Q81" s="47"/>
      <c r="R81" s="423"/>
      <c r="S81" s="40"/>
      <c r="T81" s="133"/>
      <c r="U81" s="120"/>
    </row>
    <row r="82" spans="1:21" x14ac:dyDescent="0.25">
      <c r="A82" s="264" t="s">
        <v>441</v>
      </c>
      <c r="B82" s="72"/>
      <c r="C82" s="72"/>
      <c r="D82" s="72"/>
      <c r="E82" s="46" t="s">
        <v>442</v>
      </c>
      <c r="F82" s="337">
        <f>'0664'!F82</f>
        <v>0</v>
      </c>
      <c r="G82" s="39" t="s">
        <v>6</v>
      </c>
      <c r="H82" s="131">
        <f>H66</f>
        <v>3.4329999999999999E-3</v>
      </c>
      <c r="I82" s="104">
        <v>135732.51</v>
      </c>
      <c r="N82" s="422" t="s">
        <v>441</v>
      </c>
      <c r="O82" s="48"/>
      <c r="P82" s="48"/>
      <c r="Q82" s="47"/>
      <c r="R82" s="134">
        <f t="shared" si="15"/>
        <v>0</v>
      </c>
      <c r="S82" s="40"/>
      <c r="T82" s="133"/>
      <c r="U82" s="99">
        <f t="shared" si="16"/>
        <v>0</v>
      </c>
    </row>
    <row r="83" spans="1:21" x14ac:dyDescent="0.25">
      <c r="A83" s="264" t="s">
        <v>443</v>
      </c>
      <c r="B83" s="72"/>
      <c r="C83" s="72"/>
      <c r="D83" s="72"/>
      <c r="E83" s="46" t="s">
        <v>442</v>
      </c>
      <c r="F83" s="337">
        <f>'0664'!F83</f>
        <v>0</v>
      </c>
      <c r="G83" s="39" t="s">
        <v>6</v>
      </c>
      <c r="H83" s="131">
        <f>H66</f>
        <v>3.4329999999999999E-3</v>
      </c>
      <c r="I83" s="104">
        <v>61696.6</v>
      </c>
      <c r="N83" s="422" t="s">
        <v>443</v>
      </c>
      <c r="O83" s="48"/>
      <c r="P83" s="48"/>
      <c r="Q83" s="47"/>
      <c r="R83" s="134">
        <f t="shared" si="15"/>
        <v>0</v>
      </c>
      <c r="S83" s="40"/>
      <c r="T83" s="133"/>
      <c r="U83" s="99">
        <f t="shared" si="16"/>
        <v>0</v>
      </c>
    </row>
    <row r="84" spans="1:21" x14ac:dyDescent="0.25">
      <c r="A84" s="420" t="s">
        <v>444</v>
      </c>
      <c r="B84" s="72"/>
      <c r="C84" s="72"/>
      <c r="D84" s="72"/>
      <c r="E84" s="46"/>
      <c r="F84" s="337"/>
      <c r="G84" s="39"/>
      <c r="H84" s="131"/>
      <c r="I84" s="104">
        <f>I82+I83</f>
        <v>197429.11000000002</v>
      </c>
      <c r="N84" s="421" t="s">
        <v>444</v>
      </c>
      <c r="O84" s="48"/>
      <c r="P84" s="48"/>
      <c r="Q84" s="47"/>
      <c r="R84" s="423"/>
      <c r="S84" s="40"/>
      <c r="T84" s="133"/>
      <c r="U84" s="99">
        <f>U82+U83</f>
        <v>0</v>
      </c>
    </row>
    <row r="85" spans="1:21" x14ac:dyDescent="0.25">
      <c r="A85" s="463" t="s">
        <v>398</v>
      </c>
      <c r="B85" s="453"/>
      <c r="C85" s="453"/>
      <c r="D85" s="72"/>
      <c r="E85" s="46" t="s">
        <v>4</v>
      </c>
      <c r="F85" s="337">
        <f>'0664'!F85</f>
        <v>0</v>
      </c>
      <c r="G85" s="39" t="s">
        <v>6</v>
      </c>
      <c r="H85" s="131">
        <f>H66</f>
        <v>3.4329999999999999E-3</v>
      </c>
      <c r="I85" s="104">
        <f t="shared" si="14"/>
        <v>0</v>
      </c>
      <c r="N85" s="478" t="s">
        <v>398</v>
      </c>
      <c r="O85" s="479"/>
      <c r="P85" s="479"/>
      <c r="Q85" s="47"/>
      <c r="R85" s="132">
        <f t="shared" si="15"/>
        <v>0</v>
      </c>
      <c r="S85" s="40" t="s">
        <v>6</v>
      </c>
      <c r="T85" s="133">
        <f>T66</f>
        <v>0</v>
      </c>
      <c r="U85" s="99">
        <f t="shared" si="16"/>
        <v>0</v>
      </c>
    </row>
    <row r="86" spans="1:21" x14ac:dyDescent="0.25">
      <c r="B86" s="72"/>
      <c r="C86" s="72"/>
      <c r="D86" s="72"/>
      <c r="E86" s="46"/>
      <c r="F86" s="136"/>
      <c r="G86" s="39"/>
      <c r="H86" s="131"/>
      <c r="I86" s="104"/>
      <c r="N86" s="48"/>
      <c r="O86" s="48"/>
      <c r="P86" s="48"/>
      <c r="Q86" s="47"/>
      <c r="R86" s="137"/>
      <c r="S86" s="40"/>
      <c r="T86" s="133"/>
      <c r="U86" s="106"/>
    </row>
    <row r="87" spans="1:21" x14ac:dyDescent="0.25">
      <c r="A87" s="463" t="s">
        <v>445</v>
      </c>
      <c r="B87" s="453"/>
      <c r="C87" s="453"/>
      <c r="D87" s="453"/>
      <c r="E87" s="453"/>
      <c r="F87" s="453"/>
      <c r="G87" s="453"/>
      <c r="H87" s="453"/>
      <c r="I87" s="453"/>
      <c r="N87" s="478" t="s">
        <v>429</v>
      </c>
      <c r="O87" s="479"/>
      <c r="P87" s="479"/>
      <c r="Q87" s="479"/>
      <c r="R87" s="479"/>
      <c r="S87" s="479"/>
      <c r="T87" s="479"/>
      <c r="U87" s="479"/>
    </row>
    <row r="88" spans="1:21" x14ac:dyDescent="0.25">
      <c r="B88" s="72"/>
      <c r="C88" s="466" t="s">
        <v>73</v>
      </c>
      <c r="D88" s="466"/>
      <c r="E88" s="72"/>
      <c r="F88" s="41" t="s">
        <v>37</v>
      </c>
      <c r="G88" s="72"/>
      <c r="H88" s="72"/>
      <c r="I88" s="72"/>
      <c r="N88" s="48"/>
      <c r="O88" s="48"/>
      <c r="P88" s="48"/>
      <c r="Q88" s="48"/>
      <c r="R88" s="48"/>
      <c r="S88" s="48"/>
      <c r="T88" s="48"/>
      <c r="U88" s="48"/>
    </row>
    <row r="89" spans="1:21" x14ac:dyDescent="0.25">
      <c r="A89" s="3"/>
      <c r="B89" s="138"/>
      <c r="C89" s="462" t="s">
        <v>144</v>
      </c>
      <c r="D89" s="462"/>
      <c r="E89" s="139" t="s">
        <v>150</v>
      </c>
      <c r="F89" s="140" t="s">
        <v>149</v>
      </c>
      <c r="G89" s="141"/>
      <c r="H89" s="141"/>
      <c r="I89" s="141"/>
      <c r="N89" s="495" t="s">
        <v>46</v>
      </c>
      <c r="O89" s="495"/>
      <c r="P89" s="496" t="s">
        <v>119</v>
      </c>
      <c r="Q89" s="496"/>
      <c r="R89" s="497" t="s">
        <v>40</v>
      </c>
      <c r="S89" s="497"/>
      <c r="T89" s="497"/>
      <c r="U89" s="497"/>
    </row>
    <row r="90" spans="1:21" x14ac:dyDescent="0.25">
      <c r="A90" s="27"/>
      <c r="B90" s="55" t="s">
        <v>148</v>
      </c>
      <c r="C90" s="467">
        <f>H13+H14+H19+H22+H25</f>
        <v>0</v>
      </c>
      <c r="D90" s="467"/>
      <c r="E90" s="49">
        <f>H8</f>
        <v>1.0438000000000001</v>
      </c>
      <c r="F90" s="338">
        <f>'0664'!F90</f>
        <v>957.94</v>
      </c>
      <c r="G90" s="41" t="s">
        <v>13</v>
      </c>
      <c r="H90" s="104">
        <f>ROUND(C90*E90*F90,2)</f>
        <v>0</v>
      </c>
      <c r="I90" s="107"/>
      <c r="N90" s="29" t="s">
        <v>22</v>
      </c>
      <c r="O90" s="50">
        <f>T13+T14+T19+T22+T25</f>
        <v>0</v>
      </c>
      <c r="P90" s="490">
        <f>T8</f>
        <v>1.0438000000000001</v>
      </c>
      <c r="Q90" s="490"/>
      <c r="R90" s="51">
        <f>F90</f>
        <v>957.94</v>
      </c>
      <c r="S90" s="42" t="s">
        <v>13</v>
      </c>
      <c r="T90" s="134">
        <f>ROUND(O90*P90*R90,0)</f>
        <v>0</v>
      </c>
      <c r="U90" s="105"/>
    </row>
    <row r="91" spans="1:21" x14ac:dyDescent="0.25">
      <c r="A91" s="52"/>
      <c r="B91" s="52" t="s">
        <v>147</v>
      </c>
      <c r="C91" s="467">
        <f>H15+H16+H20+H23+H26</f>
        <v>0</v>
      </c>
      <c r="D91" s="467"/>
      <c r="E91" s="49">
        <f>H8</f>
        <v>1.0438000000000001</v>
      </c>
      <c r="F91" s="338">
        <f>'0664'!F91</f>
        <v>914.63</v>
      </c>
      <c r="G91" s="41" t="s">
        <v>13</v>
      </c>
      <c r="H91" s="104">
        <f>ROUND(C91*E91*F91,2)</f>
        <v>0</v>
      </c>
      <c r="N91" s="53" t="s">
        <v>14</v>
      </c>
      <c r="O91" s="50">
        <f>T15+T16+T20+T23+T26</f>
        <v>0</v>
      </c>
      <c r="P91" s="490">
        <f>T8</f>
        <v>1.0438000000000001</v>
      </c>
      <c r="Q91" s="490"/>
      <c r="R91" s="51">
        <f>F91</f>
        <v>914.63</v>
      </c>
      <c r="S91" s="42" t="s">
        <v>13</v>
      </c>
      <c r="T91" s="134">
        <f>ROUND(O91*P91*R91,0)</f>
        <v>0</v>
      </c>
      <c r="U91" s="54"/>
    </row>
    <row r="92" spans="1:21" ht="16.5" thickBot="1" x14ac:dyDescent="0.3">
      <c r="A92" s="55"/>
      <c r="B92" s="55" t="s">
        <v>146</v>
      </c>
      <c r="C92" s="467">
        <f>H17+H18+H21+H24+H27+H28</f>
        <v>744.50729999999999</v>
      </c>
      <c r="D92" s="467"/>
      <c r="E92" s="49">
        <f>H8</f>
        <v>1.0438000000000001</v>
      </c>
      <c r="F92" s="338">
        <f>'0664'!F92</f>
        <v>916.84</v>
      </c>
      <c r="G92" s="41" t="s">
        <v>13</v>
      </c>
      <c r="H92" s="97">
        <f>ROUND(C92*E92*F92,2)</f>
        <v>712491.69</v>
      </c>
      <c r="N92" s="56" t="s">
        <v>15</v>
      </c>
      <c r="O92" s="57">
        <f>T17+T18+T21+T24+T27+T28</f>
        <v>0</v>
      </c>
      <c r="P92" s="490">
        <f>T8</f>
        <v>1.0438000000000001</v>
      </c>
      <c r="Q92" s="490"/>
      <c r="R92" s="51">
        <f>F92</f>
        <v>916.84</v>
      </c>
      <c r="S92" s="42" t="s">
        <v>13</v>
      </c>
      <c r="T92" s="134">
        <f>ROUND(O92*P92*R92,0)</f>
        <v>0</v>
      </c>
      <c r="U92" s="54"/>
    </row>
    <row r="93" spans="1:21" ht="16.5" thickBot="1" x14ac:dyDescent="0.3">
      <c r="A93" s="58"/>
      <c r="B93" s="142" t="s">
        <v>145</v>
      </c>
      <c r="C93" s="469">
        <f>SUM(C90:C92)</f>
        <v>744.50729999999999</v>
      </c>
      <c r="D93" s="469"/>
      <c r="E93" s="143"/>
      <c r="F93" s="143"/>
      <c r="G93" s="143"/>
      <c r="H93" s="144" t="s">
        <v>143</v>
      </c>
      <c r="I93" s="104">
        <f>IF(A1=75,0,H92+H91+H90)</f>
        <v>712491.69</v>
      </c>
      <c r="N93" s="59" t="s">
        <v>120</v>
      </c>
      <c r="O93" s="60">
        <f>SUM(O90:O92)</f>
        <v>0</v>
      </c>
      <c r="P93" s="491" t="s">
        <v>18</v>
      </c>
      <c r="Q93" s="492"/>
      <c r="R93" s="492"/>
      <c r="S93" s="492"/>
      <c r="T93" s="492"/>
      <c r="U93" s="99">
        <f>IF(N1=75,0,T92+T91+T90)</f>
        <v>0</v>
      </c>
    </row>
    <row r="94" spans="1:21" ht="16.5" thickTop="1" x14ac:dyDescent="0.25">
      <c r="A94" s="540" t="s">
        <v>90</v>
      </c>
      <c r="B94" s="540"/>
      <c r="C94" s="540"/>
      <c r="D94" s="540"/>
      <c r="E94" s="540"/>
      <c r="F94" s="540"/>
      <c r="G94" s="540"/>
      <c r="H94" s="540"/>
      <c r="I94" s="540"/>
      <c r="N94" s="493" t="s">
        <v>90</v>
      </c>
      <c r="O94" s="493"/>
      <c r="P94" s="493"/>
      <c r="Q94" s="493"/>
      <c r="R94" s="493"/>
      <c r="S94" s="493"/>
      <c r="T94" s="493"/>
      <c r="U94" s="493"/>
    </row>
    <row r="95" spans="1:21" x14ac:dyDescent="0.25">
      <c r="A95" s="145"/>
      <c r="B95" s="145"/>
      <c r="C95" s="145"/>
      <c r="D95" s="145"/>
      <c r="E95" s="145"/>
      <c r="F95" s="145"/>
      <c r="G95" s="145"/>
      <c r="H95" s="145"/>
      <c r="I95" s="145"/>
      <c r="N95" s="146"/>
      <c r="O95" s="146"/>
      <c r="P95" s="146"/>
      <c r="Q95" s="146"/>
      <c r="R95" s="146"/>
      <c r="S95" s="146"/>
      <c r="T95" s="146"/>
      <c r="U95" s="146"/>
    </row>
    <row r="96" spans="1:21" x14ac:dyDescent="0.25">
      <c r="A96" s="84" t="s">
        <v>446</v>
      </c>
      <c r="C96" s="8"/>
      <c r="D96" s="8"/>
      <c r="E96" s="46" t="s">
        <v>100</v>
      </c>
      <c r="F96" s="471"/>
      <c r="G96" s="471"/>
      <c r="H96" s="471"/>
      <c r="I96" s="471"/>
      <c r="N96" s="478" t="s">
        <v>426</v>
      </c>
      <c r="O96" s="479"/>
      <c r="P96" s="479"/>
      <c r="Q96" s="494"/>
      <c r="R96" s="494"/>
      <c r="S96" s="494"/>
      <c r="T96" s="494"/>
      <c r="U96" s="106"/>
    </row>
    <row r="97" spans="1:21" x14ac:dyDescent="0.25">
      <c r="B97" s="72"/>
      <c r="C97" s="91" t="s">
        <v>409</v>
      </c>
      <c r="D97" s="371" t="s">
        <v>410</v>
      </c>
      <c r="E97" s="92" t="s">
        <v>151</v>
      </c>
      <c r="F97" s="46"/>
      <c r="G97" s="46"/>
      <c r="H97" s="46"/>
      <c r="I97" s="46"/>
      <c r="N97" s="48"/>
      <c r="O97" s="48"/>
      <c r="P97" s="48"/>
      <c r="Q97" s="147"/>
      <c r="R97" s="147"/>
      <c r="S97" s="147"/>
      <c r="T97" s="147"/>
      <c r="U97" s="106"/>
    </row>
    <row r="98" spans="1:21" x14ac:dyDescent="0.25">
      <c r="B98" s="72"/>
      <c r="C98" s="362" t="s">
        <v>2</v>
      </c>
      <c r="D98" s="362" t="s">
        <v>2</v>
      </c>
      <c r="E98" s="362" t="s">
        <v>2</v>
      </c>
      <c r="F98" s="46"/>
      <c r="G98" s="46"/>
      <c r="H98" s="46"/>
      <c r="I98" s="46"/>
      <c r="N98" s="48"/>
      <c r="O98" s="48"/>
      <c r="P98" s="48"/>
      <c r="Q98" s="147"/>
      <c r="R98" s="147"/>
      <c r="S98" s="147"/>
      <c r="T98" s="147"/>
      <c r="U98" s="106"/>
    </row>
    <row r="99" spans="1:21" x14ac:dyDescent="0.25">
      <c r="A99" s="536" t="s">
        <v>470</v>
      </c>
      <c r="B99" s="461"/>
      <c r="C99" s="165">
        <v>471</v>
      </c>
      <c r="D99" s="165">
        <v>0</v>
      </c>
      <c r="E99" s="125">
        <f>C99</f>
        <v>471</v>
      </c>
      <c r="F99" s="148" t="s">
        <v>39</v>
      </c>
      <c r="G99" s="339">
        <f>'0664'!G99</f>
        <v>558</v>
      </c>
      <c r="I99" s="104">
        <f>ROUND(G99*E99,2)</f>
        <v>262818</v>
      </c>
      <c r="N99" s="488" t="s">
        <v>65</v>
      </c>
      <c r="O99" s="488"/>
      <c r="P99" s="489">
        <f>IF(H120=1,E99,0)</f>
        <v>0</v>
      </c>
      <c r="Q99" s="489"/>
      <c r="R99" s="489"/>
      <c r="S99" s="86" t="s">
        <v>39</v>
      </c>
      <c r="T99" s="61">
        <f>G99</f>
        <v>558</v>
      </c>
      <c r="U99" s="99">
        <f>ROUND(T99*P99,0)</f>
        <v>0</v>
      </c>
    </row>
    <row r="100" spans="1:21" x14ac:dyDescent="0.25">
      <c r="A100" s="536" t="s">
        <v>471</v>
      </c>
      <c r="B100" s="461"/>
      <c r="C100" s="165">
        <v>0</v>
      </c>
      <c r="D100" s="165">
        <v>0</v>
      </c>
      <c r="E100" s="125">
        <f>C100</f>
        <v>0</v>
      </c>
      <c r="F100" s="148" t="s">
        <v>39</v>
      </c>
      <c r="G100" s="339">
        <f>'0664'!G100</f>
        <v>1707</v>
      </c>
      <c r="I100" s="104">
        <f>ROUND(G100*E100,2)</f>
        <v>0</v>
      </c>
      <c r="N100" s="488" t="s">
        <v>81</v>
      </c>
      <c r="O100" s="488"/>
      <c r="P100" s="483"/>
      <c r="Q100" s="483"/>
      <c r="R100" s="483"/>
      <c r="S100" s="86" t="s">
        <v>39</v>
      </c>
      <c r="T100" s="61">
        <f>G100</f>
        <v>1707</v>
      </c>
      <c r="U100" s="99">
        <f>ROUND(T100*P100,0)</f>
        <v>0</v>
      </c>
    </row>
    <row r="101" spans="1:21" x14ac:dyDescent="0.25">
      <c r="A101" s="149"/>
      <c r="B101" s="149"/>
      <c r="C101" s="68"/>
      <c r="D101" s="68"/>
      <c r="E101" s="68"/>
      <c r="F101" s="68"/>
      <c r="G101" s="150"/>
      <c r="H101" s="151"/>
      <c r="I101" s="104"/>
      <c r="N101" s="152"/>
      <c r="O101" s="152"/>
      <c r="P101" s="153"/>
      <c r="Q101" s="153"/>
      <c r="R101" s="153"/>
      <c r="S101" s="86"/>
      <c r="T101" s="61"/>
      <c r="U101" s="106"/>
    </row>
    <row r="102" spans="1:21" x14ac:dyDescent="0.25">
      <c r="A102" s="149"/>
      <c r="B102" s="149"/>
      <c r="C102" s="68"/>
      <c r="D102" s="68"/>
      <c r="E102" s="68"/>
      <c r="F102" s="68"/>
      <c r="G102" s="150"/>
      <c r="H102" s="151"/>
      <c r="I102" s="104"/>
      <c r="N102" s="152"/>
      <c r="O102" s="152"/>
      <c r="P102" s="153"/>
      <c r="Q102" s="153"/>
      <c r="R102" s="153"/>
      <c r="S102" s="86"/>
      <c r="T102" s="61"/>
      <c r="U102" s="106"/>
    </row>
    <row r="103" spans="1:21" hidden="1" x14ac:dyDescent="0.25">
      <c r="A103" s="463" t="s">
        <v>447</v>
      </c>
      <c r="B103" s="453"/>
      <c r="C103" s="453"/>
      <c r="D103" s="72"/>
      <c r="E103" s="41" t="s">
        <v>41</v>
      </c>
      <c r="F103" s="466"/>
      <c r="G103" s="466"/>
      <c r="H103" s="466"/>
      <c r="I103" s="466"/>
      <c r="N103" s="478" t="s">
        <v>362</v>
      </c>
      <c r="O103" s="479"/>
      <c r="P103" s="479"/>
      <c r="Q103" s="479"/>
      <c r="R103" s="479"/>
      <c r="S103" s="479"/>
      <c r="T103" s="479"/>
      <c r="U103" s="479"/>
    </row>
    <row r="104" spans="1:21" hidden="1" x14ac:dyDescent="0.25">
      <c r="B104" s="72"/>
      <c r="C104" s="462" t="s">
        <v>91</v>
      </c>
      <c r="D104" s="462"/>
      <c r="E104" s="462"/>
      <c r="F104" s="39"/>
      <c r="G104" s="39"/>
      <c r="H104" s="41" t="s">
        <v>152</v>
      </c>
      <c r="I104" s="39"/>
      <c r="N104" s="48"/>
      <c r="O104" s="48"/>
      <c r="P104" s="48"/>
      <c r="Q104" s="48"/>
      <c r="R104" s="48"/>
      <c r="S104" s="48"/>
      <c r="T104" s="48"/>
      <c r="U104" s="48"/>
    </row>
    <row r="105" spans="1:21" hidden="1" x14ac:dyDescent="0.25">
      <c r="B105" s="72"/>
      <c r="C105" s="91" t="s">
        <v>371</v>
      </c>
      <c r="D105" s="91" t="s">
        <v>351</v>
      </c>
      <c r="E105" s="159" t="s">
        <v>8</v>
      </c>
      <c r="F105" s="464" t="s">
        <v>153</v>
      </c>
      <c r="G105" s="466"/>
      <c r="H105" s="39" t="s">
        <v>38</v>
      </c>
      <c r="I105" s="39"/>
      <c r="N105" s="48"/>
      <c r="O105" s="48"/>
      <c r="P105" s="48"/>
      <c r="Q105" s="48"/>
      <c r="R105" s="48"/>
      <c r="S105" s="48"/>
      <c r="T105" s="48"/>
      <c r="U105" s="48"/>
    </row>
    <row r="106" spans="1:21" hidden="1" x14ac:dyDescent="0.25">
      <c r="A106" s="462" t="s">
        <v>94</v>
      </c>
      <c r="B106" s="462"/>
      <c r="C106" s="93" t="s">
        <v>2</v>
      </c>
      <c r="D106" s="93" t="s">
        <v>2</v>
      </c>
      <c r="E106" s="62" t="s">
        <v>2</v>
      </c>
      <c r="F106" s="462" t="s">
        <v>37</v>
      </c>
      <c r="G106" s="462"/>
      <c r="H106" s="62" t="s">
        <v>37</v>
      </c>
      <c r="I106" s="62" t="s">
        <v>8</v>
      </c>
      <c r="N106" s="484" t="s">
        <v>66</v>
      </c>
      <c r="O106" s="484"/>
      <c r="P106" s="489" t="s">
        <v>91</v>
      </c>
      <c r="Q106" s="489"/>
      <c r="R106" s="484" t="s">
        <v>67</v>
      </c>
      <c r="S106" s="484"/>
      <c r="T106" s="63" t="s">
        <v>68</v>
      </c>
      <c r="U106" s="63" t="s">
        <v>8</v>
      </c>
    </row>
    <row r="107" spans="1:21" hidden="1" x14ac:dyDescent="0.25">
      <c r="A107" s="473" t="s">
        <v>69</v>
      </c>
      <c r="B107" s="473"/>
      <c r="C107" s="163">
        <v>0</v>
      </c>
      <c r="D107" s="163">
        <v>0</v>
      </c>
      <c r="E107" s="210">
        <f>IF(D$59=0,C107*2,C107+D107)</f>
        <v>0</v>
      </c>
      <c r="F107" s="474">
        <v>0</v>
      </c>
      <c r="G107" s="474"/>
      <c r="H107" s="250">
        <f>IF(C107=0,0,125)</f>
        <v>0</v>
      </c>
      <c r="I107" s="104">
        <f>ROUND((H107+F107)*E107,2)</f>
        <v>0</v>
      </c>
      <c r="N107" s="479" t="s">
        <v>69</v>
      </c>
      <c r="O107" s="479"/>
      <c r="P107" s="483">
        <f>IF(H$120=1,C107,0)</f>
        <v>0</v>
      </c>
      <c r="Q107" s="483"/>
      <c r="R107" s="486">
        <f>F107</f>
        <v>0</v>
      </c>
      <c r="S107" s="486"/>
      <c r="T107" s="65">
        <f>H107</f>
        <v>0</v>
      </c>
      <c r="U107" s="99">
        <f>ROUND((T107+R107)*P107,0)</f>
        <v>0</v>
      </c>
    </row>
    <row r="108" spans="1:21" hidden="1" x14ac:dyDescent="0.25">
      <c r="A108" s="456" t="s">
        <v>70</v>
      </c>
      <c r="B108" s="456"/>
      <c r="C108" s="165">
        <v>0</v>
      </c>
      <c r="D108" s="165">
        <v>0</v>
      </c>
      <c r="E108" s="125">
        <f>IF(D$59=0,C108*2,C108+D108)</f>
        <v>0</v>
      </c>
      <c r="F108" s="468">
        <f>ROUND(F107/2,2)</f>
        <v>0</v>
      </c>
      <c r="G108" s="468"/>
      <c r="H108" s="250">
        <f>IF(C108=0,0,62.5)</f>
        <v>0</v>
      </c>
      <c r="I108" s="104">
        <f>ROUND((H108+F108)*E108,2)</f>
        <v>0</v>
      </c>
      <c r="N108" s="479" t="s">
        <v>70</v>
      </c>
      <c r="O108" s="479"/>
      <c r="P108" s="483">
        <f>IF(H$120=1,C108,0)</f>
        <v>0</v>
      </c>
      <c r="Q108" s="483"/>
      <c r="R108" s="487">
        <f>ROUND(R107/2,2)</f>
        <v>0</v>
      </c>
      <c r="S108" s="487"/>
      <c r="T108" s="65">
        <f>H108</f>
        <v>0</v>
      </c>
      <c r="U108" s="99">
        <f>ROUND((T108+R108)*P108,0)</f>
        <v>0</v>
      </c>
    </row>
    <row r="109" spans="1:21" ht="16.5" hidden="1" thickBot="1" x14ac:dyDescent="0.3">
      <c r="A109" s="456" t="s">
        <v>71</v>
      </c>
      <c r="B109" s="456"/>
      <c r="C109" s="165">
        <v>0</v>
      </c>
      <c r="D109" s="165">
        <v>0</v>
      </c>
      <c r="E109" s="125">
        <f>IF(D$59=0,C109*2,C109+D109)</f>
        <v>0</v>
      </c>
      <c r="F109" s="475"/>
      <c r="G109" s="475"/>
      <c r="H109" s="251">
        <f>IF(H107&gt;0,436,0)</f>
        <v>0</v>
      </c>
      <c r="I109" s="104">
        <f>ROUND(H109*E109,2)</f>
        <v>0</v>
      </c>
      <c r="N109" s="482" t="s">
        <v>71</v>
      </c>
      <c r="O109" s="482"/>
      <c r="P109" s="483">
        <f>IF(H$120=1,C109,0)</f>
        <v>0</v>
      </c>
      <c r="Q109" s="483"/>
      <c r="R109" s="484"/>
      <c r="S109" s="484"/>
      <c r="T109" s="67">
        <f>H109</f>
        <v>0</v>
      </c>
      <c r="U109" s="106">
        <f>ROUND(T109*P109,0)</f>
        <v>0</v>
      </c>
    </row>
    <row r="110" spans="1:21" ht="16.5" hidden="1" thickBot="1" x14ac:dyDescent="0.3">
      <c r="A110" s="466" t="s">
        <v>8</v>
      </c>
      <c r="B110" s="466"/>
      <c r="C110" s="68"/>
      <c r="D110" s="68"/>
      <c r="E110" s="68"/>
      <c r="F110" s="68"/>
      <c r="G110" s="68"/>
      <c r="H110" s="68"/>
      <c r="I110" s="100">
        <f>SUM(I107:I109)</f>
        <v>0</v>
      </c>
      <c r="N110" s="485" t="s">
        <v>8</v>
      </c>
      <c r="O110" s="485"/>
      <c r="P110" s="69"/>
      <c r="Q110" s="69"/>
      <c r="R110" s="69"/>
      <c r="S110" s="69"/>
      <c r="T110" s="69"/>
      <c r="U110" s="70">
        <f>SUM(U107:U109)</f>
        <v>0</v>
      </c>
    </row>
    <row r="111" spans="1:21" hidden="1" x14ac:dyDescent="0.25">
      <c r="A111" s="39"/>
      <c r="B111" s="39"/>
      <c r="C111" s="68"/>
      <c r="D111" s="68"/>
      <c r="E111" s="68"/>
      <c r="F111" s="68"/>
      <c r="G111" s="68"/>
      <c r="H111" s="68"/>
      <c r="I111" s="104"/>
      <c r="N111" s="40"/>
      <c r="O111" s="40"/>
      <c r="P111" s="69"/>
      <c r="Q111" s="69"/>
      <c r="R111" s="69"/>
      <c r="S111" s="69"/>
      <c r="T111" s="69"/>
      <c r="U111" s="160"/>
    </row>
    <row r="112" spans="1:21" x14ac:dyDescent="0.25">
      <c r="A112" s="463" t="s">
        <v>448</v>
      </c>
      <c r="B112" s="453"/>
      <c r="C112" s="453"/>
      <c r="D112" s="72"/>
      <c r="E112" s="71" t="s">
        <v>354</v>
      </c>
      <c r="F112" s="472"/>
      <c r="G112" s="472"/>
      <c r="H112" s="472"/>
      <c r="I112" s="125">
        <v>0</v>
      </c>
      <c r="N112" s="478" t="s">
        <v>427</v>
      </c>
      <c r="O112" s="479"/>
      <c r="P112" s="479"/>
      <c r="Q112" s="341"/>
      <c r="R112" s="341"/>
      <c r="S112" s="341"/>
      <c r="T112" s="341"/>
      <c r="U112" s="99">
        <f>IF($H$120=1,I112,0)</f>
        <v>0</v>
      </c>
    </row>
    <row r="113" spans="1:21" x14ac:dyDescent="0.25">
      <c r="A113" s="463" t="s">
        <v>449</v>
      </c>
      <c r="B113" s="453"/>
      <c r="C113" s="453"/>
      <c r="D113" s="72"/>
      <c r="E113" s="71" t="s">
        <v>45</v>
      </c>
      <c r="F113" s="472"/>
      <c r="G113" s="472"/>
      <c r="H113" s="472"/>
      <c r="I113" s="177">
        <v>0</v>
      </c>
      <c r="N113" s="478" t="s">
        <v>428</v>
      </c>
      <c r="O113" s="479"/>
      <c r="P113" s="479"/>
      <c r="Q113" s="341"/>
      <c r="R113" s="341"/>
      <c r="S113" s="341"/>
      <c r="T113" s="341"/>
      <c r="U113" s="99">
        <f>IF($H$120=1,I113,0)</f>
        <v>0</v>
      </c>
    </row>
    <row r="114" spans="1:21" ht="16.5" thickBot="1" x14ac:dyDescent="0.3">
      <c r="B114" s="72"/>
      <c r="C114" s="72"/>
      <c r="D114" s="72"/>
      <c r="E114" s="71"/>
      <c r="F114" s="71"/>
      <c r="G114" s="71"/>
      <c r="H114" s="71"/>
      <c r="I114" s="125"/>
      <c r="N114" s="480" t="s">
        <v>42</v>
      </c>
      <c r="O114" s="480"/>
      <c r="P114" s="480"/>
      <c r="Q114" s="480"/>
      <c r="R114" s="480"/>
      <c r="S114" s="480"/>
      <c r="T114" s="480"/>
      <c r="U114" s="154">
        <f>SUM(U112,U110,U100,U99,U93,U77,U76,U74,U73,U72,U71,U70,U68,U59,U45,U78,U79,U80,U85,U113)</f>
        <v>0</v>
      </c>
    </row>
    <row r="115" spans="1:21" ht="16.5" thickTop="1" x14ac:dyDescent="0.25">
      <c r="A115" s="461" t="s">
        <v>8</v>
      </c>
      <c r="B115" s="461"/>
      <c r="C115" s="461"/>
      <c r="D115" s="461"/>
      <c r="E115" s="461"/>
      <c r="F115" s="461"/>
      <c r="G115" s="461"/>
      <c r="H115" s="461"/>
      <c r="I115" s="97">
        <f>SUM(I113,I112,I110,I100,I99,I93,I85,I84,I80,I79,I78,I77,I76,I74,I73,I72,I71,I70,I68,I59,I45)</f>
        <v>5856146.6600000001</v>
      </c>
      <c r="N115" s="29"/>
      <c r="O115" s="29"/>
      <c r="P115" s="29"/>
      <c r="Q115" s="29"/>
      <c r="R115" s="29"/>
      <c r="S115" s="29"/>
      <c r="T115" s="29"/>
      <c r="U115" s="160"/>
    </row>
    <row r="116" spans="1:21" x14ac:dyDescent="0.25">
      <c r="A116" s="27"/>
      <c r="B116" s="27"/>
      <c r="C116" s="27"/>
      <c r="D116" s="27"/>
      <c r="E116" s="27"/>
      <c r="F116" s="27"/>
      <c r="G116" s="27"/>
      <c r="H116" s="27"/>
      <c r="I116" s="104"/>
      <c r="N116" s="29"/>
      <c r="O116" s="29"/>
      <c r="P116" s="29"/>
      <c r="Q116" s="29"/>
      <c r="R116" s="29"/>
      <c r="S116" s="29"/>
      <c r="T116" s="29"/>
      <c r="U116" s="160"/>
    </row>
    <row r="117" spans="1:21" x14ac:dyDescent="0.25">
      <c r="A117" s="432" t="s">
        <v>467</v>
      </c>
      <c r="B117" s="27"/>
      <c r="C117" s="27"/>
      <c r="D117" s="27"/>
      <c r="E117" s="27"/>
      <c r="F117" s="27"/>
      <c r="G117" s="27"/>
      <c r="H117" s="27"/>
      <c r="I117" s="104">
        <f>I115-I84</f>
        <v>5658717.5499999998</v>
      </c>
      <c r="N117" s="29"/>
      <c r="O117" s="29"/>
      <c r="P117" s="29"/>
      <c r="Q117" s="29"/>
      <c r="R117" s="29"/>
      <c r="S117" s="29"/>
      <c r="T117" s="29"/>
      <c r="U117" s="160"/>
    </row>
    <row r="118" spans="1:21" x14ac:dyDescent="0.25">
      <c r="A118" s="27"/>
      <c r="B118" s="27"/>
      <c r="C118" s="27"/>
      <c r="D118" s="27"/>
      <c r="E118" s="27"/>
      <c r="F118" s="27"/>
      <c r="G118" s="27"/>
      <c r="H118" s="27"/>
      <c r="I118" s="104"/>
      <c r="N118" s="29"/>
      <c r="O118" s="29"/>
      <c r="P118" s="29"/>
      <c r="Q118" s="29"/>
      <c r="R118" s="29"/>
      <c r="S118" s="29"/>
      <c r="T118" s="29"/>
      <c r="U118" s="160"/>
    </row>
    <row r="119" spans="1:21" x14ac:dyDescent="0.25">
      <c r="A119" s="463" t="s">
        <v>468</v>
      </c>
      <c r="B119" s="453"/>
      <c r="C119" s="453"/>
      <c r="D119" s="453"/>
      <c r="E119" s="453"/>
      <c r="F119" s="453"/>
      <c r="G119" s="453"/>
      <c r="H119" s="84" t="s">
        <v>394</v>
      </c>
      <c r="I119" s="156"/>
      <c r="N119" s="481"/>
      <c r="O119" s="481"/>
      <c r="P119" s="481"/>
      <c r="Q119" s="481"/>
      <c r="R119" s="481"/>
      <c r="S119" s="481"/>
      <c r="T119" s="481"/>
      <c r="U119" s="481"/>
    </row>
    <row r="120" spans="1:21" x14ac:dyDescent="0.25">
      <c r="A120" s="453" t="s">
        <v>95</v>
      </c>
      <c r="B120" s="453"/>
      <c r="C120" s="453"/>
      <c r="D120" s="453"/>
      <c r="E120" s="453"/>
      <c r="F120" s="453"/>
      <c r="G120" s="453"/>
      <c r="H120" s="73" t="str">
        <f>IF(E29=0,"",IF((E14+E16+SUM(E18:E24))/E29&gt;0.75,1,""))</f>
        <v/>
      </c>
      <c r="I120" s="125">
        <f>U114</f>
        <v>0</v>
      </c>
      <c r="N120" s="476" t="s">
        <v>7</v>
      </c>
      <c r="O120" s="476"/>
      <c r="P120" s="476"/>
      <c r="Q120" s="476"/>
      <c r="R120" s="476"/>
      <c r="S120" s="476"/>
      <c r="T120" s="476"/>
      <c r="U120" s="476"/>
    </row>
    <row r="121" spans="1:21" x14ac:dyDescent="0.25">
      <c r="B121" s="72"/>
      <c r="C121" s="72"/>
      <c r="D121" s="72"/>
      <c r="E121" s="72"/>
      <c r="F121" s="72"/>
      <c r="G121" s="72"/>
      <c r="H121" s="68"/>
      <c r="I121" s="104"/>
      <c r="N121" s="74" t="s">
        <v>106</v>
      </c>
      <c r="O121" s="74"/>
      <c r="P121" s="74"/>
      <c r="Q121" s="74"/>
      <c r="R121" s="74"/>
      <c r="S121" s="74"/>
      <c r="T121" s="74"/>
      <c r="U121" s="74"/>
    </row>
    <row r="122" spans="1:21" x14ac:dyDescent="0.25">
      <c r="A122" s="3" t="s">
        <v>102</v>
      </c>
      <c r="B122" s="72"/>
      <c r="C122" s="72"/>
      <c r="D122" s="72"/>
      <c r="E122" s="72"/>
      <c r="F122" s="72"/>
      <c r="G122" s="287" t="s">
        <v>290</v>
      </c>
      <c r="H122" s="161">
        <f>IF(H120=1,I120,I117)</f>
        <v>5658717.5499999998</v>
      </c>
      <c r="I122" s="97">
        <f>ROUND(IF(E29=0,0,IF(E29&gt;250,-(((250/E29)*H122)*IF(G122="H",0.02,0.05)),IF(G122="H",-0.02*H122,-0.05*H122))),2)</f>
        <v>-38124.839999999997</v>
      </c>
      <c r="N122" s="75" t="s">
        <v>107</v>
      </c>
      <c r="O122" s="74"/>
      <c r="P122" s="74"/>
      <c r="Q122" s="74"/>
      <c r="R122" s="74"/>
      <c r="S122" s="74"/>
      <c r="T122" s="74"/>
      <c r="U122" s="74"/>
    </row>
    <row r="123" spans="1:21" x14ac:dyDescent="0.25">
      <c r="B123" s="72"/>
      <c r="C123" s="72"/>
      <c r="D123" s="72"/>
      <c r="E123" s="72"/>
      <c r="F123" s="72"/>
      <c r="G123" s="72"/>
      <c r="H123" s="68"/>
      <c r="I123" s="104"/>
      <c r="N123" s="76"/>
      <c r="O123" s="76"/>
      <c r="P123" s="76"/>
      <c r="Q123" s="76"/>
      <c r="R123" s="76"/>
      <c r="S123" s="76"/>
      <c r="T123" s="76"/>
      <c r="U123" s="76"/>
    </row>
    <row r="124" spans="1:21" x14ac:dyDescent="0.25">
      <c r="A124" s="345" t="s">
        <v>103</v>
      </c>
      <c r="B124" s="346"/>
      <c r="C124" s="346"/>
      <c r="D124" s="346"/>
      <c r="E124" s="346"/>
      <c r="F124" s="346"/>
      <c r="G124" s="346"/>
      <c r="H124" s="347"/>
      <c r="I124" s="348">
        <f>I115+I122</f>
        <v>5818021.8200000003</v>
      </c>
      <c r="N124" s="76"/>
      <c r="O124" s="76"/>
      <c r="P124" s="76"/>
      <c r="Q124" s="76"/>
      <c r="R124" s="76"/>
      <c r="S124" s="76"/>
      <c r="T124" s="76"/>
      <c r="U124" s="76"/>
    </row>
    <row r="125" spans="1:21" x14ac:dyDescent="0.25">
      <c r="B125" s="72"/>
      <c r="C125" s="72"/>
      <c r="D125" s="72"/>
      <c r="E125" s="72"/>
      <c r="F125" s="72"/>
      <c r="G125" s="72"/>
      <c r="H125" s="68"/>
      <c r="I125" s="104"/>
      <c r="N125" s="76"/>
      <c r="O125" s="76"/>
      <c r="P125" s="76"/>
      <c r="Q125" s="76"/>
      <c r="R125" s="76"/>
      <c r="S125" s="76"/>
      <c r="T125" s="76"/>
      <c r="U125" s="76"/>
    </row>
    <row r="126" spans="1:21" x14ac:dyDescent="0.25">
      <c r="A126" s="3" t="s">
        <v>104</v>
      </c>
      <c r="B126" s="72"/>
      <c r="C126" s="162"/>
      <c r="D126" s="72"/>
      <c r="F126" s="72"/>
      <c r="G126" s="72"/>
      <c r="H126" s="68"/>
      <c r="I126" s="302">
        <v>-4443417.3</v>
      </c>
      <c r="N126" s="76"/>
      <c r="O126" s="76"/>
      <c r="P126" s="76"/>
      <c r="Q126" s="76"/>
      <c r="R126" s="76"/>
      <c r="S126" s="76"/>
      <c r="T126" s="76"/>
      <c r="U126" s="76"/>
    </row>
    <row r="127" spans="1:21" x14ac:dyDescent="0.25">
      <c r="B127" s="72"/>
      <c r="C127" s="72"/>
      <c r="D127" s="72"/>
      <c r="E127" s="72"/>
      <c r="F127" s="72"/>
      <c r="G127" s="72"/>
      <c r="H127" s="68"/>
      <c r="I127" s="104"/>
      <c r="N127" s="76"/>
      <c r="O127" s="76"/>
      <c r="P127" s="76"/>
      <c r="Q127" s="76"/>
      <c r="R127" s="76"/>
      <c r="S127" s="76"/>
      <c r="T127" s="76"/>
      <c r="U127" s="76"/>
    </row>
    <row r="128" spans="1:21" x14ac:dyDescent="0.25">
      <c r="A128" s="84" t="s">
        <v>297</v>
      </c>
      <c r="B128" s="72"/>
      <c r="C128" s="72"/>
      <c r="D128" s="72"/>
      <c r="E128" s="72"/>
      <c r="F128" s="72"/>
      <c r="G128" s="72"/>
      <c r="H128" s="68"/>
      <c r="I128" s="104">
        <f>I124+I126</f>
        <v>1374604.5200000005</v>
      </c>
      <c r="N128" s="76"/>
      <c r="O128" s="76"/>
      <c r="P128" s="76"/>
      <c r="Q128" s="76"/>
      <c r="R128" s="76"/>
      <c r="S128" s="76"/>
      <c r="T128" s="76"/>
      <c r="U128" s="76"/>
    </row>
    <row r="129" spans="1:21" x14ac:dyDescent="0.25">
      <c r="A129" s="84"/>
      <c r="B129" s="72"/>
      <c r="C129" s="72"/>
      <c r="D129" s="72"/>
      <c r="E129" s="72"/>
      <c r="F129" s="72"/>
      <c r="G129" s="72"/>
      <c r="H129" s="68"/>
      <c r="I129" s="104"/>
      <c r="N129" s="76"/>
      <c r="O129" s="76"/>
      <c r="P129" s="76"/>
      <c r="Q129" s="76"/>
      <c r="R129" s="76"/>
      <c r="S129" s="76"/>
      <c r="T129" s="76"/>
      <c r="U129" s="76"/>
    </row>
    <row r="130" spans="1:21" x14ac:dyDescent="0.25">
      <c r="A130" s="84" t="s">
        <v>298</v>
      </c>
      <c r="B130" s="72"/>
      <c r="C130" s="72"/>
      <c r="D130" s="72"/>
      <c r="E130" s="72"/>
      <c r="F130" s="72"/>
      <c r="G130" s="72"/>
      <c r="H130" s="68"/>
      <c r="I130" s="303">
        <f>'0664'!I130</f>
        <v>3</v>
      </c>
      <c r="N130" s="76"/>
      <c r="O130" s="76"/>
      <c r="P130" s="76"/>
      <c r="Q130" s="76"/>
      <c r="R130" s="76"/>
      <c r="S130" s="76"/>
      <c r="T130" s="76"/>
      <c r="U130" s="76"/>
    </row>
    <row r="131" spans="1:21" x14ac:dyDescent="0.25">
      <c r="B131" s="72"/>
      <c r="C131" s="72"/>
      <c r="D131" s="72"/>
      <c r="E131" s="72"/>
      <c r="F131" s="72"/>
      <c r="G131" s="72"/>
      <c r="H131" s="68"/>
      <c r="I131" s="104"/>
      <c r="N131" s="76"/>
      <c r="O131" s="76"/>
      <c r="P131" s="76"/>
      <c r="Q131" s="76"/>
      <c r="R131" s="76"/>
      <c r="S131" s="76"/>
      <c r="T131" s="76"/>
      <c r="U131" s="76"/>
    </row>
    <row r="132" spans="1:21" ht="16.5" thickBot="1" x14ac:dyDescent="0.3">
      <c r="A132" s="3" t="s">
        <v>105</v>
      </c>
      <c r="B132" s="72"/>
      <c r="C132" s="72"/>
      <c r="D132" s="72"/>
      <c r="E132" s="72"/>
      <c r="F132" s="72"/>
      <c r="G132" s="72"/>
      <c r="H132" s="68"/>
      <c r="I132" s="178">
        <f>ROUND(I128/I130,2)</f>
        <v>458201.51</v>
      </c>
      <c r="N132" s="76"/>
      <c r="O132" s="76"/>
      <c r="P132" s="76"/>
      <c r="Q132" s="76"/>
      <c r="R132" s="76"/>
      <c r="S132" s="76"/>
      <c r="T132" s="76"/>
      <c r="U132" s="76"/>
    </row>
    <row r="133" spans="1:21" ht="16.5" thickTop="1" x14ac:dyDescent="0.25">
      <c r="B133" s="72"/>
      <c r="C133" s="72"/>
      <c r="D133" s="72"/>
      <c r="E133" s="72"/>
      <c r="F133" s="72"/>
      <c r="G133" s="72"/>
      <c r="H133" s="68"/>
      <c r="I133" s="104"/>
      <c r="N133" s="76"/>
      <c r="O133" s="76"/>
      <c r="P133" s="76"/>
      <c r="Q133" s="76"/>
      <c r="R133" s="76"/>
      <c r="S133" s="76"/>
      <c r="T133" s="76"/>
      <c r="U133" s="76"/>
    </row>
    <row r="134" spans="1:21" ht="16.5" thickBot="1" x14ac:dyDescent="0.3">
      <c r="A134" s="3" t="s">
        <v>121</v>
      </c>
      <c r="B134" s="72"/>
      <c r="C134" s="72"/>
      <c r="D134" s="72"/>
      <c r="E134" s="72"/>
      <c r="F134" s="72"/>
      <c r="G134" s="72"/>
      <c r="H134" s="68"/>
      <c r="I134" s="155">
        <f>IF(G122="H",(H122*0.02)+I122,(H122*0.05)+I122)</f>
        <v>75049.510999999999</v>
      </c>
      <c r="N134" s="76"/>
      <c r="O134" s="76"/>
      <c r="P134" s="76"/>
      <c r="Q134" s="76"/>
      <c r="R134" s="76"/>
      <c r="S134" s="76"/>
      <c r="T134" s="76"/>
      <c r="U134" s="76"/>
    </row>
    <row r="135" spans="1:21" ht="16.5" thickTop="1" x14ac:dyDescent="0.25">
      <c r="B135" s="72"/>
      <c r="C135" s="72"/>
      <c r="D135" s="72"/>
      <c r="E135" s="72"/>
      <c r="F135" s="72"/>
      <c r="G135" s="72"/>
      <c r="H135" s="68"/>
      <c r="I135" s="156"/>
      <c r="N135" s="76"/>
      <c r="O135" s="76"/>
      <c r="P135" s="76"/>
      <c r="Q135" s="76"/>
      <c r="R135" s="76"/>
      <c r="S135" s="76"/>
      <c r="T135" s="76"/>
      <c r="U135" s="76"/>
    </row>
    <row r="136" spans="1:21" x14ac:dyDescent="0.25">
      <c r="B136" s="72"/>
      <c r="C136" s="72"/>
      <c r="D136" s="72"/>
      <c r="E136" s="72"/>
      <c r="F136" s="72"/>
      <c r="G136" s="72"/>
      <c r="H136" s="68"/>
      <c r="I136" s="104"/>
      <c r="N136" s="76"/>
      <c r="O136" s="76"/>
      <c r="P136" s="76"/>
      <c r="Q136" s="76"/>
      <c r="R136" s="76"/>
      <c r="S136" s="76"/>
      <c r="T136" s="76"/>
      <c r="U136" s="76"/>
    </row>
    <row r="137" spans="1:21" x14ac:dyDescent="0.25">
      <c r="B137" s="72"/>
      <c r="C137" s="72"/>
      <c r="D137" s="72"/>
      <c r="E137" s="72"/>
      <c r="F137" s="72"/>
      <c r="G137" s="72"/>
      <c r="H137" s="68"/>
      <c r="I137" s="156"/>
      <c r="N137" s="76"/>
      <c r="O137" s="76"/>
      <c r="P137" s="76"/>
      <c r="Q137" s="76"/>
      <c r="R137" s="76"/>
      <c r="S137" s="76"/>
      <c r="T137" s="76"/>
      <c r="U137" s="76"/>
    </row>
    <row r="138" spans="1:21" x14ac:dyDescent="0.25">
      <c r="A138" s="281" t="s">
        <v>7</v>
      </c>
      <c r="B138" s="281"/>
      <c r="C138" s="281"/>
      <c r="D138" s="281"/>
      <c r="E138" s="281"/>
      <c r="F138" s="281"/>
      <c r="G138" s="281"/>
      <c r="H138" s="281"/>
      <c r="I138" s="281"/>
      <c r="J138" s="156"/>
      <c r="N138" s="76"/>
      <c r="O138" s="76"/>
      <c r="P138" s="76"/>
      <c r="Q138" s="76"/>
      <c r="R138" s="76"/>
      <c r="S138" s="76"/>
      <c r="T138" s="76"/>
      <c r="U138" s="76"/>
    </row>
    <row r="139" spans="1:21" ht="15.75" customHeight="1" x14ac:dyDescent="0.25">
      <c r="A139" s="384" t="str">
        <f>'0664'!A139</f>
        <v>(a) Additional FTE includes FTE earned through Advanced Placement, International Baccalaureate, Advanced International Certificate of Education, Industry Certified Career</v>
      </c>
      <c r="B139" s="385"/>
      <c r="C139" s="385"/>
      <c r="D139" s="385"/>
      <c r="E139" s="385"/>
      <c r="F139" s="385"/>
      <c r="G139" s="385"/>
      <c r="H139" s="385"/>
      <c r="I139" s="385"/>
      <c r="J139" s="80"/>
      <c r="K139" s="79"/>
      <c r="L139" s="79"/>
      <c r="M139" s="79"/>
      <c r="N139" s="477"/>
      <c r="O139" s="477"/>
      <c r="P139" s="477"/>
      <c r="Q139" s="477"/>
      <c r="R139" s="477"/>
      <c r="S139" s="477"/>
      <c r="T139" s="477"/>
      <c r="U139" s="477"/>
    </row>
    <row r="140" spans="1:21" ht="15.75" customHeight="1" x14ac:dyDescent="0.25">
      <c r="A140" s="390" t="str">
        <f>'0664'!A140</f>
        <v xml:space="preserve">Education (CAPE), Early High School Graduation and the small district ESE Supplement, pursuant to s. 1011.62(1)(l-p), F.S. </v>
      </c>
      <c r="B140" s="385"/>
      <c r="C140" s="385"/>
      <c r="D140" s="385"/>
      <c r="E140" s="385"/>
      <c r="F140" s="385"/>
      <c r="G140" s="385"/>
      <c r="H140" s="385"/>
      <c r="I140" s="385"/>
      <c r="J140" s="80"/>
      <c r="K140" s="79"/>
      <c r="L140" s="79"/>
      <c r="M140" s="79"/>
      <c r="N140" s="76"/>
      <c r="O140" s="76"/>
      <c r="P140" s="76"/>
      <c r="Q140" s="76"/>
      <c r="R140" s="76"/>
      <c r="S140" s="76"/>
      <c r="T140" s="76"/>
      <c r="U140" s="76"/>
    </row>
    <row r="141" spans="1:21" x14ac:dyDescent="0.25">
      <c r="A141" s="384" t="str">
        <f>'0664'!A141</f>
        <v>(b) District allocations multiplied by percentage from item 3A.</v>
      </c>
      <c r="B141" s="386"/>
      <c r="C141" s="386"/>
      <c r="D141" s="386"/>
      <c r="E141" s="386"/>
      <c r="F141" s="386"/>
      <c r="G141" s="386"/>
      <c r="H141" s="386"/>
      <c r="I141" s="386"/>
      <c r="J141" s="79"/>
      <c r="K141" s="79"/>
      <c r="L141" s="79"/>
      <c r="M141" s="79"/>
      <c r="N141" s="81"/>
      <c r="O141" s="82"/>
      <c r="P141" s="82"/>
      <c r="Q141" s="82"/>
      <c r="R141" s="82"/>
      <c r="S141" s="82"/>
      <c r="T141" s="82"/>
      <c r="U141" s="82"/>
    </row>
    <row r="142" spans="1:21" s="79" customFormat="1" x14ac:dyDescent="0.2">
      <c r="A142" s="384" t="str">
        <f>'0664'!A142</f>
        <v>(c) District allocations multiplied by percentage from item 3B.</v>
      </c>
      <c r="B142" s="386"/>
      <c r="C142" s="386"/>
      <c r="D142" s="386"/>
      <c r="E142" s="386"/>
      <c r="F142" s="386"/>
      <c r="G142" s="386"/>
      <c r="H142" s="386"/>
      <c r="I142" s="386"/>
      <c r="N142" s="81"/>
    </row>
    <row r="143" spans="1:21" s="79" customFormat="1" ht="15.75" customHeight="1" x14ac:dyDescent="0.2">
      <c r="A143" s="384" t="str">
        <f>'0664'!A143</f>
        <v>(d) The Digital Classroom Allocation is provided pursuant to s. 1011.62(12), F.S.</v>
      </c>
      <c r="B143" s="386"/>
      <c r="C143" s="386"/>
      <c r="D143" s="386"/>
      <c r="E143" s="386"/>
      <c r="F143" s="386"/>
      <c r="G143" s="386"/>
      <c r="H143" s="386"/>
      <c r="I143" s="386"/>
      <c r="N143" s="81"/>
    </row>
    <row r="144" spans="1:21" s="79" customFormat="1" ht="15.75" customHeight="1" x14ac:dyDescent="0.2">
      <c r="A144" s="384" t="str">
        <f>'0664'!A144</f>
        <v>(e) School districts are required to pay for instructional materials used for the instruction of public high school students who are earning credit toward high school</v>
      </c>
      <c r="B144" s="386"/>
      <c r="C144" s="386"/>
      <c r="D144" s="386"/>
      <c r="E144" s="386"/>
      <c r="F144" s="386"/>
      <c r="G144" s="386"/>
      <c r="H144" s="386"/>
      <c r="I144" s="386"/>
      <c r="N144" s="81"/>
    </row>
    <row r="145" spans="1:14" s="79" customFormat="1" ht="15.75" customHeight="1" x14ac:dyDescent="0.2">
      <c r="A145" s="390" t="str">
        <f>'0664'!A145</f>
        <v xml:space="preserve">graduation under the dual enrollment program as provided in s. 1011.62(l)(i), F.S.  </v>
      </c>
      <c r="B145" s="386"/>
      <c r="C145" s="386"/>
      <c r="D145" s="386"/>
      <c r="E145" s="386"/>
      <c r="F145" s="386"/>
      <c r="G145" s="386"/>
      <c r="H145" s="386"/>
      <c r="I145" s="386"/>
      <c r="N145" s="81"/>
    </row>
    <row r="146" spans="1:14" s="79" customFormat="1" x14ac:dyDescent="0.2">
      <c r="A146" s="384" t="str">
        <f>'0664'!A146</f>
        <v>(f) This allocation will be frozen as of the 2021-22 FEFP Second Calculation and will not be recalculated throughout the year. Charter school allocations should be</v>
      </c>
      <c r="B146" s="386"/>
      <c r="C146" s="386"/>
      <c r="D146" s="386"/>
      <c r="E146" s="386"/>
      <c r="F146" s="386"/>
      <c r="G146" s="386"/>
      <c r="H146" s="386"/>
      <c r="I146" s="386"/>
      <c r="N146" s="81"/>
    </row>
    <row r="147" spans="1:14" s="79" customFormat="1" x14ac:dyDescent="0.2">
      <c r="A147" s="390" t="str">
        <f>'0664'!A147</f>
        <v xml:space="preserve">distributed on weighted FTE (or base funding as is done in the FEFP) and should not be recalculated with fluctuations in student enrollment later in the year. </v>
      </c>
      <c r="B147" s="386"/>
      <c r="C147" s="386"/>
      <c r="D147" s="386"/>
      <c r="E147" s="386"/>
      <c r="F147" s="386"/>
      <c r="G147" s="386"/>
      <c r="H147" s="386"/>
      <c r="I147" s="386"/>
      <c r="N147" s="81"/>
    </row>
    <row r="148" spans="1:14" s="79" customFormat="1" x14ac:dyDescent="0.2">
      <c r="A148" s="384" t="str">
        <f>'0664'!A148</f>
        <v>(g) Numbers entered here will be multiplied by the district level transportation funding per rider. "All Adjusted Fundable Riders" should include both basic and ESE Riders.</v>
      </c>
      <c r="B148" s="386"/>
      <c r="C148" s="386"/>
      <c r="D148" s="386"/>
      <c r="E148" s="386"/>
      <c r="F148" s="386"/>
      <c r="G148" s="386"/>
      <c r="H148" s="386"/>
      <c r="I148" s="386"/>
      <c r="N148" s="81"/>
    </row>
    <row r="149" spans="1:14" s="79" customFormat="1" x14ac:dyDescent="0.2">
      <c r="A149" s="390" t="str">
        <f>'0664'!A149</f>
        <v>"All Adjusted ESE Riders" should include only ESE Riders.</v>
      </c>
      <c r="B149" s="386"/>
      <c r="C149" s="386"/>
      <c r="D149" s="386"/>
      <c r="E149" s="386"/>
      <c r="F149" s="386"/>
      <c r="G149" s="386"/>
      <c r="H149" s="386"/>
      <c r="I149" s="386"/>
      <c r="N149" s="81"/>
    </row>
    <row r="150" spans="1:14" s="79" customFormat="1" x14ac:dyDescent="0.2">
      <c r="A150" s="384" t="str">
        <f>'0664'!A150</f>
        <v xml:space="preserve">(h) The Federally Connected Student Supplement provides additional funding for students on federal lands that receive Section 8003 impact aide pursuant to s. 1011.62(13), F.S. </v>
      </c>
      <c r="B150" s="386"/>
      <c r="C150" s="386"/>
      <c r="D150" s="386"/>
      <c r="E150" s="386"/>
      <c r="F150" s="386"/>
      <c r="G150" s="386"/>
      <c r="H150" s="386"/>
      <c r="I150" s="386"/>
      <c r="N150" s="81"/>
    </row>
    <row r="151" spans="1:14" s="79" customFormat="1" x14ac:dyDescent="0.2">
      <c r="A151" s="384" t="str">
        <f>'0664'!A151</f>
        <v>(i) Teacher Classroom Supply Assistance Program allocation pursuant to s. 1012.71, F.S., for certified teachers employed by a public school district or public charter school</v>
      </c>
      <c r="B151" s="386"/>
      <c r="C151" s="386"/>
      <c r="D151" s="386"/>
      <c r="E151" s="386"/>
      <c r="F151" s="386"/>
      <c r="G151" s="386"/>
      <c r="H151" s="386"/>
      <c r="I151" s="386"/>
      <c r="N151" s="81"/>
    </row>
    <row r="152" spans="1:14" s="79" customFormat="1" x14ac:dyDescent="0.2">
      <c r="A152" s="390" t="str">
        <f>'0664'!A152</f>
        <v xml:space="preserve">before September 1 of each year whose full-time or job-share responsibility is the classroom instruction of students in prekindergarten through grade 12, including </v>
      </c>
      <c r="B152" s="386"/>
      <c r="C152" s="386"/>
      <c r="D152" s="386"/>
      <c r="E152" s="386"/>
      <c r="F152" s="386"/>
      <c r="G152" s="386"/>
      <c r="H152" s="386"/>
      <c r="I152" s="386"/>
      <c r="N152" s="81"/>
    </row>
    <row r="153" spans="1:14" s="79" customFormat="1" ht="15.75" customHeight="1" x14ac:dyDescent="0.2">
      <c r="A153" s="390" t="str">
        <f>'0664'!A153</f>
        <v>full-time media specialists and certified school counselors serving students in prekindergarten through grade 12, who are funded through the FEFP.</v>
      </c>
      <c r="B153" s="386"/>
      <c r="C153" s="386"/>
      <c r="D153" s="386"/>
      <c r="E153" s="386"/>
      <c r="F153" s="386"/>
      <c r="G153" s="386"/>
      <c r="H153" s="386"/>
      <c r="I153" s="386"/>
      <c r="N153" s="81"/>
    </row>
    <row r="154" spans="1:14" s="79" customFormat="1" ht="15.75" customHeight="1" x14ac:dyDescent="0.2">
      <c r="A154" s="384" t="str">
        <f>'0664'!A154</f>
        <v xml:space="preserve">(j) Funding based on student eligibility and meals provided, if participating in the National School Lunch Program. </v>
      </c>
      <c r="B154" s="386"/>
      <c r="C154" s="386"/>
      <c r="D154" s="386"/>
      <c r="E154" s="386"/>
      <c r="F154" s="386"/>
      <c r="G154" s="386"/>
      <c r="H154" s="386"/>
      <c r="I154" s="386"/>
      <c r="N154" s="81"/>
    </row>
    <row r="155" spans="1:14" s="79" customFormat="1" ht="15.75" customHeight="1" x14ac:dyDescent="0.2">
      <c r="A155" s="384" t="str">
        <f>'0664'!A155</f>
        <v>(k) Consistent with s. 1002.33(20)(a), F.S., for charter schools with a population of 75% or more ESE students, the administrative fee shall be calculated based on</v>
      </c>
      <c r="B155" s="386"/>
      <c r="C155" s="386"/>
      <c r="D155" s="386"/>
      <c r="E155" s="386"/>
      <c r="F155" s="386"/>
      <c r="G155" s="386"/>
      <c r="H155" s="386"/>
      <c r="I155" s="386"/>
      <c r="N155" s="81"/>
    </row>
    <row r="156" spans="1:14" s="79" customFormat="1" ht="15.75" customHeight="1" x14ac:dyDescent="0.2">
      <c r="A156" s="390" t="str">
        <f>'0664'!A156</f>
        <v xml:space="preserve">unweighted full-time equivalent students. </v>
      </c>
      <c r="B156" s="386"/>
      <c r="C156" s="386"/>
      <c r="D156" s="386"/>
      <c r="E156" s="386"/>
      <c r="F156" s="386"/>
      <c r="G156" s="386"/>
      <c r="H156" s="386"/>
      <c r="I156" s="386"/>
      <c r="N156" s="81"/>
    </row>
    <row r="157" spans="1:14" s="79" customFormat="1" ht="15.75" customHeight="1" x14ac:dyDescent="0.2">
      <c r="A157" s="384"/>
      <c r="B157" s="386"/>
      <c r="C157" s="386"/>
      <c r="D157" s="386"/>
      <c r="E157" s="386"/>
      <c r="F157" s="386"/>
      <c r="G157" s="386"/>
      <c r="H157" s="386"/>
      <c r="I157" s="386"/>
      <c r="N157" s="81"/>
    </row>
    <row r="158" spans="1:14" s="79" customFormat="1" ht="15.75" customHeight="1" x14ac:dyDescent="0.25">
      <c r="A158" s="397" t="str">
        <f>'0664'!A158</f>
        <v>Administrative fees:</v>
      </c>
      <c r="B158" s="386"/>
      <c r="C158" s="386"/>
      <c r="D158" s="386"/>
      <c r="E158" s="386"/>
      <c r="F158" s="386"/>
      <c r="G158" s="386"/>
      <c r="H158" s="386"/>
      <c r="I158" s="386"/>
      <c r="J158" s="3"/>
      <c r="K158" s="3"/>
      <c r="L158" s="3"/>
      <c r="M158" s="3"/>
      <c r="N158" s="81"/>
    </row>
    <row r="159" spans="1:14" s="79" customFormat="1" ht="15.75" customHeight="1" x14ac:dyDescent="0.25">
      <c r="A159" s="401" t="str">
        <f>'0664'!A159</f>
        <v xml:space="preserve">Administrative fees charged by the school district pursuant to s. 1002.33(20)(a), F.S., shall be calculated based upon 5% of available funds from the FEFP and categorical </v>
      </c>
      <c r="B159" s="389"/>
      <c r="C159" s="389"/>
      <c r="D159" s="389"/>
      <c r="E159" s="389"/>
      <c r="F159" s="389"/>
      <c r="G159" s="389"/>
      <c r="H159" s="389"/>
      <c r="I159" s="389"/>
      <c r="J159" s="3"/>
      <c r="K159" s="3"/>
      <c r="L159" s="3"/>
      <c r="M159" s="3"/>
      <c r="N159" s="81"/>
    </row>
    <row r="160" spans="1:14" s="79" customFormat="1" ht="15.75" customHeight="1" x14ac:dyDescent="0.25">
      <c r="A160" s="402" t="str">
        <f>'0664'!A160</f>
        <v>funding for which charter students may be eligible.  To calculate the administrative fee to be withheld for schools with more than 250 students, divide the school</v>
      </c>
      <c r="B160" s="396"/>
      <c r="C160" s="396"/>
      <c r="D160" s="396"/>
      <c r="E160" s="396"/>
      <c r="F160" s="396"/>
      <c r="G160" s="396"/>
      <c r="H160" s="396"/>
      <c r="I160" s="396"/>
      <c r="J160" s="3"/>
      <c r="K160" s="3"/>
      <c r="L160" s="3"/>
      <c r="M160" s="3"/>
      <c r="N160" s="81"/>
    </row>
    <row r="161" spans="1:21" s="79" customFormat="1" ht="15.75" customHeight="1" x14ac:dyDescent="0.25">
      <c r="A161" s="402" t="str">
        <f>'0664'!A161</f>
        <v xml:space="preserve">population into 250. Multiply that fraction times the funds available, then times 5%.  </v>
      </c>
      <c r="B161" s="396"/>
      <c r="C161" s="396"/>
      <c r="D161" s="396"/>
      <c r="E161" s="396"/>
      <c r="F161" s="396"/>
      <c r="G161" s="396"/>
      <c r="H161" s="396"/>
      <c r="I161" s="396"/>
      <c r="J161" s="3"/>
      <c r="K161" s="3"/>
      <c r="L161" s="3"/>
      <c r="M161" s="3"/>
      <c r="N161" s="81"/>
    </row>
    <row r="162" spans="1:21" s="79" customFormat="1" ht="15.75" customHeight="1" x14ac:dyDescent="0.25">
      <c r="A162" s="401"/>
      <c r="B162" s="396"/>
      <c r="C162" s="396"/>
      <c r="D162" s="396"/>
      <c r="E162" s="396"/>
      <c r="F162" s="396"/>
      <c r="G162" s="396"/>
      <c r="H162" s="396"/>
      <c r="I162" s="396"/>
      <c r="N162" s="77"/>
      <c r="O162" s="3"/>
      <c r="P162" s="3"/>
      <c r="Q162" s="3"/>
      <c r="R162" s="3"/>
      <c r="S162" s="3"/>
      <c r="T162" s="3"/>
      <c r="U162" s="3"/>
    </row>
    <row r="163" spans="1:21" ht="15.75" customHeight="1" x14ac:dyDescent="0.25">
      <c r="A163" s="401" t="str">
        <f>'0664'!A163</f>
        <v xml:space="preserve">For high performing charter schools, administrative fees charged by the school district shall be calculated based upon 2% of available funds from the FEFP and categorical </v>
      </c>
      <c r="B163" s="389"/>
      <c r="C163" s="389"/>
      <c r="D163" s="389"/>
      <c r="E163" s="389"/>
      <c r="F163" s="389"/>
      <c r="G163" s="389"/>
      <c r="H163" s="389"/>
      <c r="I163" s="389"/>
      <c r="J163" s="79"/>
      <c r="K163" s="79"/>
      <c r="L163" s="79"/>
      <c r="M163" s="79"/>
      <c r="N163" s="81"/>
      <c r="O163" s="79"/>
      <c r="P163" s="79"/>
      <c r="Q163" s="79"/>
      <c r="R163" s="79"/>
      <c r="S163" s="79"/>
      <c r="T163" s="79"/>
      <c r="U163" s="79"/>
    </row>
    <row r="164" spans="1:21" ht="15.75" customHeight="1" x14ac:dyDescent="0.25">
      <c r="A164" s="402" t="str">
        <f>'0664'!A164</f>
        <v>funding for which charter students may be eligible.  To calculate the administrative fee to be withheld for schools with more than 250 students, divide the school</v>
      </c>
      <c r="B164" s="389"/>
      <c r="C164" s="389"/>
      <c r="D164" s="389"/>
      <c r="E164" s="389"/>
      <c r="F164" s="389"/>
      <c r="G164" s="389"/>
      <c r="H164" s="389"/>
      <c r="I164" s="389"/>
      <c r="J164" s="79"/>
      <c r="K164" s="79"/>
      <c r="L164" s="79"/>
      <c r="M164" s="79"/>
      <c r="N164" s="81"/>
      <c r="O164" s="79"/>
      <c r="P164" s="79"/>
      <c r="Q164" s="79"/>
      <c r="R164" s="79"/>
      <c r="S164" s="79"/>
      <c r="T164" s="79"/>
      <c r="U164" s="79"/>
    </row>
    <row r="165" spans="1:21" s="79" customFormat="1" ht="15.75" customHeight="1" x14ac:dyDescent="0.2">
      <c r="A165" s="402" t="str">
        <f>'0664'!A165</f>
        <v xml:space="preserve">population into 250. Multiply that fraction times the funds available, then times 2%.  </v>
      </c>
      <c r="B165" s="389"/>
      <c r="C165" s="389"/>
      <c r="D165" s="389"/>
      <c r="E165" s="389"/>
      <c r="F165" s="389"/>
      <c r="G165" s="389"/>
      <c r="H165" s="389"/>
      <c r="I165" s="389"/>
      <c r="N165" s="81"/>
    </row>
    <row r="166" spans="1:21" x14ac:dyDescent="0.25">
      <c r="A166" s="384"/>
      <c r="B166" s="389"/>
      <c r="C166" s="389"/>
      <c r="D166" s="389"/>
      <c r="E166" s="389"/>
      <c r="F166" s="389"/>
      <c r="G166" s="389"/>
      <c r="H166" s="389"/>
      <c r="I166" s="389"/>
      <c r="N166" s="77"/>
    </row>
    <row r="167" spans="1:21" x14ac:dyDescent="0.25">
      <c r="A167" s="397" t="str">
        <f>'0664'!A167</f>
        <v>Other:</v>
      </c>
      <c r="B167" s="395"/>
      <c r="C167" s="395"/>
      <c r="D167" s="395"/>
      <c r="E167" s="395"/>
      <c r="F167" s="395"/>
      <c r="G167" s="395"/>
      <c r="H167" s="395"/>
      <c r="I167" s="395"/>
      <c r="N167" s="77"/>
    </row>
    <row r="168" spans="1:21" x14ac:dyDescent="0.25">
      <c r="A168" s="401" t="str">
        <f>'0664'!A168</f>
        <v>FEFP and categorical funding are recalculated during the year to reflect the revised number of full-time equivalent students reported during the survey periods designated</v>
      </c>
      <c r="B168" s="389"/>
      <c r="C168" s="389"/>
      <c r="D168" s="389"/>
      <c r="E168" s="389"/>
      <c r="F168" s="389"/>
      <c r="G168" s="389"/>
      <c r="H168" s="389"/>
      <c r="I168" s="389"/>
      <c r="N168" s="77"/>
    </row>
    <row r="169" spans="1:21" x14ac:dyDescent="0.25">
      <c r="A169" s="402" t="str">
        <f>'0664'!A169</f>
        <v>by the Commissioner of Education.</v>
      </c>
      <c r="B169" s="396"/>
      <c r="C169" s="396"/>
      <c r="D169" s="396"/>
      <c r="E169" s="396"/>
      <c r="F169" s="396"/>
      <c r="G169" s="396"/>
      <c r="H169" s="396"/>
      <c r="I169" s="396"/>
      <c r="N169" s="77"/>
    </row>
    <row r="170" spans="1:21" x14ac:dyDescent="0.25">
      <c r="A170" s="401" t="str">
        <f>'0664'!A170</f>
        <v>Revenues flow to districts from state sources and from county tax collectors on various distribution schedules.</v>
      </c>
      <c r="B170" s="389"/>
      <c r="C170" s="389"/>
      <c r="D170" s="389"/>
      <c r="E170" s="389"/>
      <c r="F170" s="389"/>
      <c r="G170" s="389"/>
      <c r="H170" s="389"/>
      <c r="I170" s="389"/>
      <c r="N170" s="77"/>
    </row>
    <row r="171" spans="1:21" x14ac:dyDescent="0.25">
      <c r="A171" s="328"/>
      <c r="B171" s="328"/>
      <c r="C171" s="328"/>
      <c r="D171" s="328"/>
      <c r="E171" s="328"/>
      <c r="F171" s="328"/>
      <c r="G171" s="328"/>
      <c r="H171" s="328"/>
      <c r="I171" s="328"/>
      <c r="N171" s="77"/>
    </row>
    <row r="172" spans="1:21" x14ac:dyDescent="0.25">
      <c r="A172" s="77"/>
      <c r="N172" s="77"/>
    </row>
    <row r="173" spans="1:21" x14ac:dyDescent="0.25">
      <c r="A173" s="77"/>
      <c r="N173" s="77"/>
    </row>
    <row r="174" spans="1:21" x14ac:dyDescent="0.25">
      <c r="A174" s="77"/>
      <c r="N174" s="77"/>
    </row>
    <row r="175" spans="1:21" x14ac:dyDescent="0.25">
      <c r="A175" s="77"/>
      <c r="B175" s="157"/>
      <c r="C175" s="157"/>
      <c r="D175" s="157"/>
      <c r="E175" s="157"/>
      <c r="F175" s="157"/>
      <c r="G175" s="157"/>
      <c r="H175" s="157"/>
      <c r="I175" s="157"/>
      <c r="N175" s="77"/>
    </row>
    <row r="176" spans="1:21" x14ac:dyDescent="0.25">
      <c r="A176" s="77"/>
      <c r="N176" s="77"/>
    </row>
    <row r="177" spans="1:14" x14ac:dyDescent="0.25">
      <c r="A177" s="77"/>
      <c r="N177" s="77"/>
    </row>
    <row r="178" spans="1:14" x14ac:dyDescent="0.25">
      <c r="A178" s="77"/>
      <c r="N178" s="77"/>
    </row>
    <row r="179" spans="1:14" x14ac:dyDescent="0.25">
      <c r="A179" s="77"/>
      <c r="N179" s="77"/>
    </row>
    <row r="180" spans="1:14" x14ac:dyDescent="0.25">
      <c r="A180" s="77"/>
      <c r="N180" s="77"/>
    </row>
    <row r="181" spans="1:14" x14ac:dyDescent="0.25">
      <c r="A181" s="77"/>
      <c r="N181" s="77"/>
    </row>
    <row r="182" spans="1:14" x14ac:dyDescent="0.25">
      <c r="A182" s="77"/>
      <c r="N182" s="77"/>
    </row>
    <row r="183" spans="1:14" x14ac:dyDescent="0.25">
      <c r="A183" s="77"/>
      <c r="N183" s="77"/>
    </row>
    <row r="184" spans="1:14" x14ac:dyDescent="0.25">
      <c r="A184" s="77"/>
      <c r="N184" s="77"/>
    </row>
    <row r="185" spans="1:14" x14ac:dyDescent="0.25">
      <c r="A185" s="77"/>
      <c r="N185" s="77"/>
    </row>
    <row r="186" spans="1:14" x14ac:dyDescent="0.25">
      <c r="A186" s="77"/>
      <c r="N186" s="77"/>
    </row>
    <row r="187" spans="1:14" x14ac:dyDescent="0.25">
      <c r="A187" s="77"/>
      <c r="N187" s="77"/>
    </row>
    <row r="188" spans="1:14" x14ac:dyDescent="0.25">
      <c r="A188" s="77"/>
    </row>
    <row r="189" spans="1:14" x14ac:dyDescent="0.25">
      <c r="A189" s="77"/>
    </row>
    <row r="190" spans="1:14" x14ac:dyDescent="0.25">
      <c r="A190" s="77"/>
    </row>
    <row r="191" spans="1:14" x14ac:dyDescent="0.25">
      <c r="A191" s="77"/>
    </row>
    <row r="192" spans="1:14" x14ac:dyDescent="0.25">
      <c r="A192" s="77"/>
    </row>
    <row r="193" spans="1:1" x14ac:dyDescent="0.25">
      <c r="A193" s="77"/>
    </row>
    <row r="194" spans="1:1" x14ac:dyDescent="0.25">
      <c r="A194" s="77"/>
    </row>
    <row r="195" spans="1:1" x14ac:dyDescent="0.25">
      <c r="A195" s="77"/>
    </row>
    <row r="196" spans="1:1" x14ac:dyDescent="0.25">
      <c r="A196" s="77"/>
    </row>
    <row r="197" spans="1:1" x14ac:dyDescent="0.25">
      <c r="A197" s="77"/>
    </row>
    <row r="198" spans="1:1" x14ac:dyDescent="0.25">
      <c r="A198" s="77"/>
    </row>
    <row r="199" spans="1:1" x14ac:dyDescent="0.25">
      <c r="A199" s="77"/>
    </row>
    <row r="200" spans="1:1" x14ac:dyDescent="0.25">
      <c r="A200" s="77"/>
    </row>
    <row r="201" spans="1:1" x14ac:dyDescent="0.25">
      <c r="A201" s="77"/>
    </row>
    <row r="202" spans="1:1" x14ac:dyDescent="0.25">
      <c r="A202" s="77"/>
    </row>
    <row r="203" spans="1:1" x14ac:dyDescent="0.25">
      <c r="A203" s="77"/>
    </row>
    <row r="204" spans="1:1" x14ac:dyDescent="0.25">
      <c r="A204" s="77"/>
    </row>
    <row r="205" spans="1:1" x14ac:dyDescent="0.25">
      <c r="A205" s="77"/>
    </row>
    <row r="206" spans="1:1" x14ac:dyDescent="0.25">
      <c r="A206" s="77"/>
    </row>
  </sheetData>
  <mergeCells count="265">
    <mergeCell ref="A112:C112"/>
    <mergeCell ref="F112:H112"/>
    <mergeCell ref="N112:P112"/>
    <mergeCell ref="A109:B109"/>
    <mergeCell ref="F109:G109"/>
    <mergeCell ref="N109:O109"/>
    <mergeCell ref="P109:Q109"/>
    <mergeCell ref="N139:U139"/>
    <mergeCell ref="N119:U119"/>
    <mergeCell ref="N113:P113"/>
    <mergeCell ref="A113:C113"/>
    <mergeCell ref="F113:H113"/>
    <mergeCell ref="N114:T114"/>
    <mergeCell ref="A115:H115"/>
    <mergeCell ref="A119:G119"/>
    <mergeCell ref="N120:U120"/>
    <mergeCell ref="A120:G120"/>
    <mergeCell ref="R109:S109"/>
    <mergeCell ref="A110:B110"/>
    <mergeCell ref="N110:O110"/>
    <mergeCell ref="A107:B107"/>
    <mergeCell ref="F107:G107"/>
    <mergeCell ref="N107:O107"/>
    <mergeCell ref="P107:Q107"/>
    <mergeCell ref="R107:S107"/>
    <mergeCell ref="A108:B108"/>
    <mergeCell ref="F108:G108"/>
    <mergeCell ref="N108:O108"/>
    <mergeCell ref="P108:Q108"/>
    <mergeCell ref="R108:S108"/>
    <mergeCell ref="A103:C103"/>
    <mergeCell ref="F103:I103"/>
    <mergeCell ref="N103:U103"/>
    <mergeCell ref="C104:E104"/>
    <mergeCell ref="F105:G105"/>
    <mergeCell ref="A106:B106"/>
    <mergeCell ref="F106:G106"/>
    <mergeCell ref="N106:O106"/>
    <mergeCell ref="P106:Q106"/>
    <mergeCell ref="R106:S106"/>
    <mergeCell ref="A99:B99"/>
    <mergeCell ref="N99:O99"/>
    <mergeCell ref="P99:R99"/>
    <mergeCell ref="A100:B100"/>
    <mergeCell ref="N100:O100"/>
    <mergeCell ref="P100:R100"/>
    <mergeCell ref="C91:D91"/>
    <mergeCell ref="P91:Q91"/>
    <mergeCell ref="C92:D92"/>
    <mergeCell ref="P92:Q92"/>
    <mergeCell ref="C93:D93"/>
    <mergeCell ref="P93:T93"/>
    <mergeCell ref="A94:I94"/>
    <mergeCell ref="N94:U94"/>
    <mergeCell ref="F96:I96"/>
    <mergeCell ref="N96:P96"/>
    <mergeCell ref="Q96:T96"/>
    <mergeCell ref="A87:I87"/>
    <mergeCell ref="N87:U87"/>
    <mergeCell ref="C88:D88"/>
    <mergeCell ref="C89:D89"/>
    <mergeCell ref="N89:O89"/>
    <mergeCell ref="P89:Q89"/>
    <mergeCell ref="R89:U89"/>
    <mergeCell ref="C90:D90"/>
    <mergeCell ref="P90:Q90"/>
    <mergeCell ref="A80:C80"/>
    <mergeCell ref="N80:P80"/>
    <mergeCell ref="A85:C85"/>
    <mergeCell ref="N85:P85"/>
    <mergeCell ref="F73:H73"/>
    <mergeCell ref="N73:T73"/>
    <mergeCell ref="N74:T74"/>
    <mergeCell ref="A78:C78"/>
    <mergeCell ref="N78:P78"/>
    <mergeCell ref="A79:C79"/>
    <mergeCell ref="A69:C69"/>
    <mergeCell ref="N69:P69"/>
    <mergeCell ref="N79:P79"/>
    <mergeCell ref="A76:C76"/>
    <mergeCell ref="N76:P76"/>
    <mergeCell ref="A77:C77"/>
    <mergeCell ref="A70:C70"/>
    <mergeCell ref="A71:C71"/>
    <mergeCell ref="N71:P71"/>
    <mergeCell ref="A72:C72"/>
    <mergeCell ref="N77:P77"/>
    <mergeCell ref="N72:P72"/>
    <mergeCell ref="A65:B65"/>
    <mergeCell ref="D65:G65"/>
    <mergeCell ref="N65:O65"/>
    <mergeCell ref="Q65:S65"/>
    <mergeCell ref="T65:U65"/>
    <mergeCell ref="N66:S66"/>
    <mergeCell ref="T66:U66"/>
    <mergeCell ref="A68:C68"/>
    <mergeCell ref="N68:P68"/>
    <mergeCell ref="A62:B62"/>
    <mergeCell ref="D62:G62"/>
    <mergeCell ref="N62:O62"/>
    <mergeCell ref="Q62:S62"/>
    <mergeCell ref="T62:U62"/>
    <mergeCell ref="N63:S63"/>
    <mergeCell ref="T63:U63"/>
    <mergeCell ref="A64:I64"/>
    <mergeCell ref="N64:U64"/>
    <mergeCell ref="A59:B59"/>
    <mergeCell ref="F59:H59"/>
    <mergeCell ref="N59:O59"/>
    <mergeCell ref="P59:Q59"/>
    <mergeCell ref="R59:T59"/>
    <mergeCell ref="A60:I60"/>
    <mergeCell ref="N60:U60"/>
    <mergeCell ref="A61:I61"/>
    <mergeCell ref="N61:U61"/>
    <mergeCell ref="A50:B58"/>
    <mergeCell ref="N50:O58"/>
    <mergeCell ref="P50:Q50"/>
    <mergeCell ref="P51:Q51"/>
    <mergeCell ref="P52:Q52"/>
    <mergeCell ref="P53:Q53"/>
    <mergeCell ref="P54:Q54"/>
    <mergeCell ref="P55:Q55"/>
    <mergeCell ref="P56:Q56"/>
    <mergeCell ref="P57:Q57"/>
    <mergeCell ref="P58:Q58"/>
    <mergeCell ref="A42:B42"/>
    <mergeCell ref="N42:O42"/>
    <mergeCell ref="P42:T42"/>
    <mergeCell ref="N43:Q43"/>
    <mergeCell ref="S43:T43"/>
    <mergeCell ref="N45:Q45"/>
    <mergeCell ref="S45:T45"/>
    <mergeCell ref="N49:O49"/>
    <mergeCell ref="P49:Q49"/>
    <mergeCell ref="A39:B39"/>
    <mergeCell ref="N39:O39"/>
    <mergeCell ref="P39:T39"/>
    <mergeCell ref="A40:B40"/>
    <mergeCell ref="N40:O40"/>
    <mergeCell ref="P40:T40"/>
    <mergeCell ref="A41:B41"/>
    <mergeCell ref="N41:O41"/>
    <mergeCell ref="P41:T41"/>
    <mergeCell ref="N34:T34"/>
    <mergeCell ref="A36:B36"/>
    <mergeCell ref="N36:O36"/>
    <mergeCell ref="P36:T36"/>
    <mergeCell ref="A37:B37"/>
    <mergeCell ref="N37:O37"/>
    <mergeCell ref="P37:T37"/>
    <mergeCell ref="F33:H36"/>
    <mergeCell ref="A38:B38"/>
    <mergeCell ref="N38:O38"/>
    <mergeCell ref="P38:T38"/>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A20:B20"/>
    <mergeCell ref="F20:G20"/>
    <mergeCell ref="N20:O20"/>
    <mergeCell ref="P20:Q20"/>
    <mergeCell ref="R20:S20"/>
    <mergeCell ref="A19:B19"/>
    <mergeCell ref="A21:B21"/>
    <mergeCell ref="F21:G21"/>
    <mergeCell ref="N21:O21"/>
    <mergeCell ref="P21:Q21"/>
    <mergeCell ref="R21:S21"/>
    <mergeCell ref="A18:B18"/>
    <mergeCell ref="F18:G18"/>
    <mergeCell ref="N18:O18"/>
    <mergeCell ref="P18:Q18"/>
    <mergeCell ref="R18:S18"/>
    <mergeCell ref="A17:B17"/>
    <mergeCell ref="F17:G17"/>
    <mergeCell ref="F19:G19"/>
    <mergeCell ref="N19:O19"/>
    <mergeCell ref="P19:Q19"/>
    <mergeCell ref="R19:S19"/>
    <mergeCell ref="A16:B16"/>
    <mergeCell ref="F16:G16"/>
    <mergeCell ref="N16:O16"/>
    <mergeCell ref="P16:Q16"/>
    <mergeCell ref="R16:S16"/>
    <mergeCell ref="A15:B15"/>
    <mergeCell ref="F15:G15"/>
    <mergeCell ref="N17:O17"/>
    <mergeCell ref="P17:Q17"/>
    <mergeCell ref="R17:S17"/>
    <mergeCell ref="A14:B14"/>
    <mergeCell ref="F14:G14"/>
    <mergeCell ref="N14:O14"/>
    <mergeCell ref="P14:Q14"/>
    <mergeCell ref="R14:S14"/>
    <mergeCell ref="A13:B13"/>
    <mergeCell ref="F13:G13"/>
    <mergeCell ref="N15:O15"/>
    <mergeCell ref="P15:Q15"/>
    <mergeCell ref="R15:S15"/>
    <mergeCell ref="A12:B12"/>
    <mergeCell ref="F12:G12"/>
    <mergeCell ref="N12:O12"/>
    <mergeCell ref="P12:Q12"/>
    <mergeCell ref="R12:S12"/>
    <mergeCell ref="F11:G11"/>
    <mergeCell ref="N13:O13"/>
    <mergeCell ref="P13:Q13"/>
    <mergeCell ref="R13:S13"/>
    <mergeCell ref="N8:O8"/>
    <mergeCell ref="P8:Q8"/>
    <mergeCell ref="R8:S8"/>
    <mergeCell ref="T8:U8"/>
    <mergeCell ref="F10:G10"/>
    <mergeCell ref="R10:S10"/>
    <mergeCell ref="A7:I7"/>
    <mergeCell ref="N11:O11"/>
    <mergeCell ref="P11:Q11"/>
    <mergeCell ref="R11:S11"/>
    <mergeCell ref="B1:I1"/>
    <mergeCell ref="O1:U1"/>
    <mergeCell ref="N2:U2"/>
    <mergeCell ref="N3:U3"/>
    <mergeCell ref="A4:B4"/>
    <mergeCell ref="C4:E4"/>
    <mergeCell ref="N4:O4"/>
    <mergeCell ref="P4:Q4"/>
    <mergeCell ref="N7:U7"/>
  </mergeCells>
  <pageMargins left="0.1" right="0.1" top="0.5" bottom="0.5" header="0" footer="0.1"/>
  <pageSetup scale="70" fitToHeight="3" orientation="portrait" r:id="rId1"/>
  <headerFooter alignWithMargins="0">
    <oddFooter>&amp;R&amp;P of &amp;N</oddFooter>
  </headerFooter>
  <rowBreaks count="1" manualBreakCount="1">
    <brk id="138" max="16383" man="1"/>
  </rowBreaks>
  <colBreaks count="1" manualBreakCount="1">
    <brk id="9" max="1048575" man="1"/>
  </colBreaks>
  <legacyDrawing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2">
    <tabColor rgb="FFCCFFCC"/>
  </sheetPr>
  <dimension ref="A1:U206"/>
  <sheetViews>
    <sheetView showGridLines="0" zoomScaleNormal="100" workbookViewId="0">
      <pane ySplit="1" topLeftCell="A11" activePane="bottomLeft" state="frozen"/>
      <selection activeCell="I9" sqref="I9"/>
      <selection pane="bottomLeft" activeCell="J54" sqref="J54"/>
    </sheetView>
  </sheetViews>
  <sheetFormatPr defaultRowHeight="15.75" x14ac:dyDescent="0.25"/>
  <cols>
    <col min="1" max="1" width="10.28515625" style="72"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72"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5">
        <v>50</v>
      </c>
      <c r="B1" s="441" t="s">
        <v>17</v>
      </c>
      <c r="C1" s="442"/>
      <c r="D1" s="442"/>
      <c r="E1" s="442"/>
      <c r="F1" s="442"/>
      <c r="G1" s="442"/>
      <c r="H1" s="442"/>
      <c r="I1" s="442"/>
      <c r="J1" s="157"/>
      <c r="K1" s="157"/>
      <c r="L1" s="157"/>
      <c r="N1" s="85">
        <f>A1</f>
        <v>50</v>
      </c>
      <c r="O1" s="527" t="s">
        <v>17</v>
      </c>
      <c r="P1" s="528"/>
      <c r="Q1" s="528"/>
      <c r="R1" s="528"/>
      <c r="S1" s="528"/>
      <c r="T1" s="528"/>
      <c r="U1" s="528"/>
    </row>
    <row r="2" spans="1:21" ht="21" x14ac:dyDescent="0.35">
      <c r="A2" s="1" t="s">
        <v>375</v>
      </c>
      <c r="B2" s="2"/>
      <c r="C2" s="2"/>
      <c r="D2" s="2"/>
      <c r="E2" s="2"/>
      <c r="F2" s="2"/>
      <c r="G2" s="2"/>
      <c r="H2" s="2"/>
      <c r="I2" s="2"/>
      <c r="N2" s="529" t="s">
        <v>23</v>
      </c>
      <c r="O2" s="529"/>
      <c r="P2" s="529"/>
      <c r="Q2" s="529"/>
      <c r="R2" s="529"/>
      <c r="S2" s="529"/>
      <c r="T2" s="529"/>
      <c r="U2" s="529"/>
    </row>
    <row r="3" spans="1:21" x14ac:dyDescent="0.25">
      <c r="A3" s="84" t="str">
        <f>'0664'!A3</f>
        <v>Based on the FLDOE 2022-23 FEFP Third Calculation</v>
      </c>
      <c r="N3" s="485" t="str">
        <f>A3</f>
        <v>Based on the FLDOE 2022-23 FEFP Third Calculation</v>
      </c>
      <c r="O3" s="485"/>
      <c r="P3" s="485"/>
      <c r="Q3" s="485"/>
      <c r="R3" s="485"/>
      <c r="S3" s="485"/>
      <c r="T3" s="485"/>
      <c r="U3" s="485"/>
    </row>
    <row r="4" spans="1:21" x14ac:dyDescent="0.25">
      <c r="A4" s="443" t="s">
        <v>0</v>
      </c>
      <c r="B4" s="443"/>
      <c r="C4" s="444" t="s">
        <v>9</v>
      </c>
      <c r="D4" s="444"/>
      <c r="E4" s="444"/>
      <c r="F4" s="4" t="str">
        <f>'0664'!F4</f>
        <v>Apr 2023</v>
      </c>
      <c r="G4" s="4"/>
      <c r="H4" s="4"/>
      <c r="I4" s="4"/>
      <c r="N4" s="530" t="s">
        <v>0</v>
      </c>
      <c r="O4" s="530"/>
      <c r="P4" s="531" t="str">
        <f>C4</f>
        <v>Palm Beach</v>
      </c>
      <c r="Q4" s="531"/>
      <c r="R4" s="5"/>
      <c r="S4" s="5"/>
      <c r="T4" s="5"/>
      <c r="U4" s="5"/>
    </row>
    <row r="5" spans="1:21" ht="12" customHeight="1" thickBot="1" x14ac:dyDescent="0.3">
      <c r="A5" s="262"/>
      <c r="B5" s="262"/>
      <c r="C5" s="253"/>
      <c r="D5" s="253"/>
      <c r="E5" s="253"/>
      <c r="F5" s="254"/>
      <c r="G5" s="254"/>
      <c r="H5" s="254"/>
      <c r="I5" s="254"/>
      <c r="N5" s="86"/>
      <c r="O5" s="86"/>
      <c r="P5" s="6"/>
      <c r="Q5" s="6"/>
      <c r="R5" s="5"/>
      <c r="S5" s="5"/>
      <c r="T5" s="5"/>
      <c r="U5" s="5"/>
    </row>
    <row r="6" spans="1:21" ht="12" customHeight="1" x14ac:dyDescent="0.25">
      <c r="A6" s="150"/>
      <c r="B6" s="150"/>
      <c r="C6" s="261"/>
      <c r="D6" s="261"/>
      <c r="E6" s="261"/>
      <c r="F6" s="4"/>
      <c r="G6" s="4"/>
      <c r="H6" s="4"/>
      <c r="I6" s="4"/>
      <c r="N6" s="86"/>
      <c r="O6" s="86"/>
      <c r="P6" s="6"/>
      <c r="Q6" s="6"/>
      <c r="R6" s="5"/>
      <c r="S6" s="5"/>
      <c r="T6" s="5"/>
      <c r="U6" s="5"/>
    </row>
    <row r="7" spans="1:21" x14ac:dyDescent="0.25">
      <c r="A7" s="445" t="str">
        <f>'0664'!A7:I7</f>
        <v>1.   2022-23 FEFP State and Local Funding</v>
      </c>
      <c r="B7" s="533"/>
      <c r="C7" s="533"/>
      <c r="D7" s="533"/>
      <c r="E7" s="533"/>
      <c r="F7" s="533"/>
      <c r="G7" s="533"/>
      <c r="H7" s="533"/>
      <c r="I7" s="533"/>
      <c r="N7" s="530" t="s">
        <v>86</v>
      </c>
      <c r="O7" s="530"/>
      <c r="P7" s="530"/>
      <c r="Q7" s="530"/>
      <c r="R7" s="530"/>
      <c r="S7" s="530"/>
      <c r="T7" s="530"/>
      <c r="U7" s="530"/>
    </row>
    <row r="8" spans="1:21" x14ac:dyDescent="0.25">
      <c r="A8" s="87"/>
      <c r="B8" s="88" t="s">
        <v>123</v>
      </c>
      <c r="C8" s="334">
        <f>'0664'!C8</f>
        <v>4587.3999999999996</v>
      </c>
      <c r="D8" s="89"/>
      <c r="E8" s="90"/>
      <c r="F8" s="87"/>
      <c r="G8" s="88" t="s">
        <v>122</v>
      </c>
      <c r="H8" s="320">
        <f>'0664'!H8</f>
        <v>1.0438000000000001</v>
      </c>
      <c r="I8" s="78"/>
      <c r="N8" s="534" t="s">
        <v>10</v>
      </c>
      <c r="O8" s="534"/>
      <c r="P8" s="535">
        <v>4154.45</v>
      </c>
      <c r="Q8" s="535"/>
      <c r="R8" s="518" t="s">
        <v>11</v>
      </c>
      <c r="S8" s="518"/>
      <c r="T8" s="519">
        <f>H8</f>
        <v>1.0438000000000001</v>
      </c>
      <c r="U8" s="519"/>
    </row>
    <row r="9" spans="1:21" x14ac:dyDescent="0.25">
      <c r="A9" s="7"/>
      <c r="B9" s="44" t="s">
        <v>370</v>
      </c>
      <c r="C9" s="372" t="s">
        <v>370</v>
      </c>
      <c r="D9" s="372" t="s">
        <v>370</v>
      </c>
      <c r="E9" s="8"/>
      <c r="F9" s="9"/>
      <c r="G9" s="9"/>
      <c r="H9" s="10"/>
      <c r="I9" s="340" t="str">
        <f>'0664'!I9</f>
        <v>2022-23</v>
      </c>
      <c r="N9" s="12"/>
      <c r="O9" s="12"/>
      <c r="P9" s="13"/>
      <c r="Q9" s="13"/>
      <c r="R9" s="14"/>
      <c r="S9" s="14"/>
      <c r="T9" s="15"/>
      <c r="U9" s="405" t="s">
        <v>405</v>
      </c>
    </row>
    <row r="10" spans="1:21" x14ac:dyDescent="0.25">
      <c r="A10" s="7"/>
      <c r="B10" s="7"/>
      <c r="C10" s="91" t="s">
        <v>463</v>
      </c>
      <c r="D10" s="371" t="s">
        <v>464</v>
      </c>
      <c r="E10" s="92" t="s">
        <v>8</v>
      </c>
      <c r="F10" s="446" t="s">
        <v>1</v>
      </c>
      <c r="G10" s="446"/>
      <c r="H10" s="10" t="s">
        <v>73</v>
      </c>
      <c r="I10" s="11" t="s">
        <v>36</v>
      </c>
      <c r="N10" s="12"/>
      <c r="O10" s="12"/>
      <c r="P10" s="13"/>
      <c r="Q10" s="13"/>
      <c r="R10" s="520" t="s">
        <v>1</v>
      </c>
      <c r="S10" s="520"/>
      <c r="T10" s="15" t="s">
        <v>73</v>
      </c>
      <c r="U10" s="16" t="s">
        <v>36</v>
      </c>
    </row>
    <row r="11" spans="1:21" x14ac:dyDescent="0.25">
      <c r="A11" s="447" t="s">
        <v>1</v>
      </c>
      <c r="B11" s="447"/>
      <c r="C11" s="364" t="s">
        <v>2</v>
      </c>
      <c r="D11" s="362" t="s">
        <v>2</v>
      </c>
      <c r="E11" s="362" t="s">
        <v>2</v>
      </c>
      <c r="F11" s="448" t="s">
        <v>76</v>
      </c>
      <c r="G11" s="448"/>
      <c r="H11" s="17" t="s">
        <v>72</v>
      </c>
      <c r="I11" s="18" t="s">
        <v>75</v>
      </c>
      <c r="N11" s="510" t="s">
        <v>1</v>
      </c>
      <c r="O11" s="510"/>
      <c r="P11" s="521" t="s">
        <v>24</v>
      </c>
      <c r="Q11" s="521"/>
      <c r="R11" s="522" t="s">
        <v>76</v>
      </c>
      <c r="S11" s="522"/>
      <c r="T11" s="19" t="s">
        <v>72</v>
      </c>
      <c r="U11" s="20" t="s">
        <v>75</v>
      </c>
    </row>
    <row r="12" spans="1:21" x14ac:dyDescent="0.25">
      <c r="A12" s="449" t="s">
        <v>47</v>
      </c>
      <c r="B12" s="449"/>
      <c r="C12" s="94"/>
      <c r="D12" s="94"/>
      <c r="E12" s="95" t="s">
        <v>48</v>
      </c>
      <c r="F12" s="450" t="s">
        <v>49</v>
      </c>
      <c r="G12" s="450"/>
      <c r="H12" s="21" t="s">
        <v>50</v>
      </c>
      <c r="I12" s="22" t="s">
        <v>51</v>
      </c>
      <c r="N12" s="523" t="s">
        <v>47</v>
      </c>
      <c r="O12" s="523"/>
      <c r="P12" s="524" t="s">
        <v>48</v>
      </c>
      <c r="Q12" s="524"/>
      <c r="R12" s="525" t="s">
        <v>49</v>
      </c>
      <c r="S12" s="525"/>
      <c r="T12" s="23" t="s">
        <v>50</v>
      </c>
      <c r="U12" s="24" t="s">
        <v>51</v>
      </c>
    </row>
    <row r="13" spans="1:21" x14ac:dyDescent="0.25">
      <c r="A13" s="451" t="s">
        <v>29</v>
      </c>
      <c r="B13" s="451"/>
      <c r="C13" s="165">
        <v>0</v>
      </c>
      <c r="D13" s="163">
        <v>0</v>
      </c>
      <c r="E13" s="210">
        <f>IF(D$29=0,C13*2,C13+D13)</f>
        <v>0</v>
      </c>
      <c r="F13" s="537">
        <f>'0664'!F13:G13</f>
        <v>1.1259999999999999</v>
      </c>
      <c r="G13" s="537"/>
      <c r="H13" s="167">
        <f>ROUND(E13*F13,4)</f>
        <v>0</v>
      </c>
      <c r="I13" s="119">
        <f t="shared" ref="I13:I28" si="0">ROUND(ROUND(H13*$C$8,4)*($H$8),2)</f>
        <v>0</v>
      </c>
      <c r="N13" s="512" t="s">
        <v>29</v>
      </c>
      <c r="O13" s="512"/>
      <c r="P13" s="513">
        <f t="shared" ref="P13:P28" si="1">IF($H$120=1,E13,0)</f>
        <v>0</v>
      </c>
      <c r="Q13" s="513"/>
      <c r="R13" s="526">
        <v>1</v>
      </c>
      <c r="S13" s="526"/>
      <c r="T13" s="98">
        <f>ROUND(P13*R13,4)</f>
        <v>0</v>
      </c>
      <c r="U13" s="99">
        <f t="shared" ref="U13:U28" si="2">ROUND(ROUND(T13*$C$8,4)*($H$8),0)</f>
        <v>0</v>
      </c>
    </row>
    <row r="14" spans="1:21" x14ac:dyDescent="0.25">
      <c r="A14" s="453" t="s">
        <v>30</v>
      </c>
      <c r="B14" s="453"/>
      <c r="C14" s="165">
        <v>0</v>
      </c>
      <c r="D14" s="165">
        <v>0</v>
      </c>
      <c r="E14" s="125">
        <f t="shared" ref="E14:E28" si="3">IF(D$29=0,C14*2,C14+D14)</f>
        <v>0</v>
      </c>
      <c r="F14" s="532">
        <f>'0664'!F14:G14</f>
        <v>1.1259999999999999</v>
      </c>
      <c r="G14" s="532"/>
      <c r="H14" s="83">
        <f t="shared" ref="H14:H28" si="4">ROUND(E14*F14,4)</f>
        <v>0</v>
      </c>
      <c r="I14" s="104">
        <f t="shared" si="0"/>
        <v>0</v>
      </c>
      <c r="J14" s="68" t="str">
        <f>IF(ROUND(E14,2)=ROUND(SUM(E50:E52),2)," ","CHECK PK-3 LINES BELOW")</f>
        <v xml:space="preserve"> </v>
      </c>
      <c r="N14" s="479" t="s">
        <v>30</v>
      </c>
      <c r="O14" s="479"/>
      <c r="P14" s="513">
        <f t="shared" si="1"/>
        <v>0</v>
      </c>
      <c r="Q14" s="513"/>
      <c r="R14" s="517">
        <v>1</v>
      </c>
      <c r="S14" s="517"/>
      <c r="T14" s="98">
        <f t="shared" ref="T14:T28" si="5">ROUND(P14*R14,4)</f>
        <v>0</v>
      </c>
      <c r="U14" s="99">
        <f t="shared" si="2"/>
        <v>0</v>
      </c>
    </row>
    <row r="15" spans="1:21" x14ac:dyDescent="0.25">
      <c r="A15" s="453" t="s">
        <v>31</v>
      </c>
      <c r="B15" s="453"/>
      <c r="C15" s="165">
        <v>0</v>
      </c>
      <c r="D15" s="165">
        <v>0</v>
      </c>
      <c r="E15" s="125">
        <f t="shared" si="3"/>
        <v>0</v>
      </c>
      <c r="F15" s="532">
        <f>'0664'!F15:G15</f>
        <v>1</v>
      </c>
      <c r="G15" s="532"/>
      <c r="H15" s="83">
        <f t="shared" si="4"/>
        <v>0</v>
      </c>
      <c r="I15" s="104">
        <f t="shared" si="0"/>
        <v>0</v>
      </c>
      <c r="N15" s="479" t="s">
        <v>31</v>
      </c>
      <c r="O15" s="479"/>
      <c r="P15" s="513">
        <f t="shared" si="1"/>
        <v>0</v>
      </c>
      <c r="Q15" s="513"/>
      <c r="R15" s="517">
        <v>1</v>
      </c>
      <c r="S15" s="517"/>
      <c r="T15" s="98">
        <f t="shared" si="5"/>
        <v>0</v>
      </c>
      <c r="U15" s="99">
        <f t="shared" si="2"/>
        <v>0</v>
      </c>
    </row>
    <row r="16" spans="1:21" x14ac:dyDescent="0.25">
      <c r="A16" s="453" t="s">
        <v>32</v>
      </c>
      <c r="B16" s="453"/>
      <c r="C16" s="165">
        <v>0</v>
      </c>
      <c r="D16" s="165">
        <v>0</v>
      </c>
      <c r="E16" s="125">
        <f t="shared" si="3"/>
        <v>0</v>
      </c>
      <c r="F16" s="532">
        <f>'0664'!F16:G16</f>
        <v>1</v>
      </c>
      <c r="G16" s="532"/>
      <c r="H16" s="83">
        <f t="shared" si="4"/>
        <v>0</v>
      </c>
      <c r="I16" s="104">
        <f t="shared" si="0"/>
        <v>0</v>
      </c>
      <c r="J16" s="68" t="str">
        <f>IF(ROUND(E16,2)=ROUND(SUM(E53:E55),2)," ","CHECK 4-8 LINES BELOW")</f>
        <v xml:space="preserve"> </v>
      </c>
      <c r="N16" s="479" t="s">
        <v>32</v>
      </c>
      <c r="O16" s="479"/>
      <c r="P16" s="513">
        <f t="shared" si="1"/>
        <v>0</v>
      </c>
      <c r="Q16" s="513"/>
      <c r="R16" s="517">
        <v>1</v>
      </c>
      <c r="S16" s="517"/>
      <c r="T16" s="98">
        <f t="shared" si="5"/>
        <v>0</v>
      </c>
      <c r="U16" s="99">
        <f t="shared" si="2"/>
        <v>0</v>
      </c>
    </row>
    <row r="17" spans="1:21" x14ac:dyDescent="0.25">
      <c r="A17" s="453" t="s">
        <v>33</v>
      </c>
      <c r="B17" s="453"/>
      <c r="C17" s="165">
        <v>91.76</v>
      </c>
      <c r="D17" s="165">
        <v>87.5</v>
      </c>
      <c r="E17" s="125">
        <f t="shared" si="3"/>
        <v>179.26</v>
      </c>
      <c r="F17" s="532">
        <f>'0664'!F17:G17</f>
        <v>0.999</v>
      </c>
      <c r="G17" s="532"/>
      <c r="H17" s="83">
        <f t="shared" si="4"/>
        <v>179.08070000000001</v>
      </c>
      <c r="I17" s="104">
        <f t="shared" si="0"/>
        <v>857497.15</v>
      </c>
      <c r="N17" s="479" t="s">
        <v>33</v>
      </c>
      <c r="O17" s="479"/>
      <c r="P17" s="513">
        <f t="shared" si="1"/>
        <v>0</v>
      </c>
      <c r="Q17" s="513"/>
      <c r="R17" s="517">
        <v>1</v>
      </c>
      <c r="S17" s="517"/>
      <c r="T17" s="98">
        <f t="shared" si="5"/>
        <v>0</v>
      </c>
      <c r="U17" s="99">
        <f t="shared" si="2"/>
        <v>0</v>
      </c>
    </row>
    <row r="18" spans="1:21" x14ac:dyDescent="0.25">
      <c r="A18" s="453" t="s">
        <v>34</v>
      </c>
      <c r="B18" s="453"/>
      <c r="C18" s="165">
        <v>24.44</v>
      </c>
      <c r="D18" s="165">
        <v>24.61</v>
      </c>
      <c r="E18" s="125">
        <f t="shared" si="3"/>
        <v>49.05</v>
      </c>
      <c r="F18" s="532">
        <f>'0664'!F18:G18</f>
        <v>0.999</v>
      </c>
      <c r="G18" s="532"/>
      <c r="H18" s="83">
        <f t="shared" si="4"/>
        <v>49.000999999999998</v>
      </c>
      <c r="I18" s="104">
        <f t="shared" si="0"/>
        <v>234632.87</v>
      </c>
      <c r="J18" s="68" t="str">
        <f>IF(ROUND(E18,2)=ROUND(SUM(E56:E58),2)," ","CHECK 4-8 LINES BELOW")</f>
        <v xml:space="preserve"> </v>
      </c>
      <c r="N18" s="479" t="s">
        <v>34</v>
      </c>
      <c r="O18" s="479"/>
      <c r="P18" s="513">
        <f t="shared" si="1"/>
        <v>0</v>
      </c>
      <c r="Q18" s="513"/>
      <c r="R18" s="517">
        <v>1</v>
      </c>
      <c r="S18" s="517"/>
      <c r="T18" s="98">
        <f t="shared" si="5"/>
        <v>0</v>
      </c>
      <c r="U18" s="101">
        <f t="shared" si="2"/>
        <v>0</v>
      </c>
    </row>
    <row r="19" spans="1:21" x14ac:dyDescent="0.25">
      <c r="A19" s="453" t="s">
        <v>108</v>
      </c>
      <c r="B19" s="453"/>
      <c r="C19" s="165">
        <v>0</v>
      </c>
      <c r="D19" s="165">
        <v>0</v>
      </c>
      <c r="E19" s="125">
        <f t="shared" si="3"/>
        <v>0</v>
      </c>
      <c r="F19" s="532">
        <f>'0664'!F19:G19</f>
        <v>3.6739999999999999</v>
      </c>
      <c r="G19" s="532"/>
      <c r="H19" s="83">
        <f t="shared" si="4"/>
        <v>0</v>
      </c>
      <c r="I19" s="104">
        <f t="shared" si="0"/>
        <v>0</v>
      </c>
      <c r="N19" s="479" t="s">
        <v>108</v>
      </c>
      <c r="O19" s="479"/>
      <c r="P19" s="513">
        <f t="shared" si="1"/>
        <v>0</v>
      </c>
      <c r="Q19" s="513"/>
      <c r="R19" s="517">
        <v>1</v>
      </c>
      <c r="S19" s="517"/>
      <c r="T19" s="98">
        <f t="shared" si="5"/>
        <v>0</v>
      </c>
      <c r="U19" s="99">
        <f t="shared" si="2"/>
        <v>0</v>
      </c>
    </row>
    <row r="20" spans="1:21" x14ac:dyDescent="0.25">
      <c r="A20" s="453" t="s">
        <v>109</v>
      </c>
      <c r="B20" s="453"/>
      <c r="C20" s="165">
        <v>0</v>
      </c>
      <c r="D20" s="165">
        <v>0</v>
      </c>
      <c r="E20" s="125">
        <f t="shared" si="3"/>
        <v>0</v>
      </c>
      <c r="F20" s="532">
        <f>'0664'!F20:G20</f>
        <v>3.6739999999999999</v>
      </c>
      <c r="G20" s="532"/>
      <c r="H20" s="83">
        <f t="shared" si="4"/>
        <v>0</v>
      </c>
      <c r="I20" s="104">
        <f t="shared" si="0"/>
        <v>0</v>
      </c>
      <c r="N20" s="479" t="s">
        <v>109</v>
      </c>
      <c r="O20" s="479"/>
      <c r="P20" s="513">
        <f t="shared" si="1"/>
        <v>0</v>
      </c>
      <c r="Q20" s="513"/>
      <c r="R20" s="517">
        <v>1</v>
      </c>
      <c r="S20" s="517"/>
      <c r="T20" s="98">
        <f t="shared" si="5"/>
        <v>0</v>
      </c>
      <c r="U20" s="99">
        <f t="shared" si="2"/>
        <v>0</v>
      </c>
    </row>
    <row r="21" spans="1:21" x14ac:dyDescent="0.25">
      <c r="A21" s="453" t="s">
        <v>110</v>
      </c>
      <c r="B21" s="453"/>
      <c r="C21" s="165">
        <v>0</v>
      </c>
      <c r="D21" s="165">
        <v>0</v>
      </c>
      <c r="E21" s="125">
        <f t="shared" si="3"/>
        <v>0</v>
      </c>
      <c r="F21" s="532">
        <f>'0664'!F21:G21</f>
        <v>3.6739999999999999</v>
      </c>
      <c r="G21" s="532"/>
      <c r="H21" s="83">
        <f t="shared" si="4"/>
        <v>0</v>
      </c>
      <c r="I21" s="104">
        <f t="shared" si="0"/>
        <v>0</v>
      </c>
      <c r="N21" s="479" t="s">
        <v>110</v>
      </c>
      <c r="O21" s="479"/>
      <c r="P21" s="513">
        <f t="shared" si="1"/>
        <v>0</v>
      </c>
      <c r="Q21" s="513"/>
      <c r="R21" s="517">
        <v>1</v>
      </c>
      <c r="S21" s="517"/>
      <c r="T21" s="98">
        <f t="shared" si="5"/>
        <v>0</v>
      </c>
      <c r="U21" s="99">
        <f t="shared" si="2"/>
        <v>0</v>
      </c>
    </row>
    <row r="22" spans="1:21" x14ac:dyDescent="0.25">
      <c r="A22" s="453" t="s">
        <v>111</v>
      </c>
      <c r="B22" s="453"/>
      <c r="C22" s="165">
        <v>0</v>
      </c>
      <c r="D22" s="165">
        <v>0</v>
      </c>
      <c r="E22" s="125">
        <f t="shared" si="3"/>
        <v>0</v>
      </c>
      <c r="F22" s="532">
        <f>'0664'!F22:G22</f>
        <v>5.4009999999999998</v>
      </c>
      <c r="G22" s="532"/>
      <c r="H22" s="83">
        <f t="shared" si="4"/>
        <v>0</v>
      </c>
      <c r="I22" s="104">
        <f t="shared" si="0"/>
        <v>0</v>
      </c>
      <c r="N22" s="479" t="s">
        <v>111</v>
      </c>
      <c r="O22" s="479"/>
      <c r="P22" s="513">
        <f t="shared" si="1"/>
        <v>0</v>
      </c>
      <c r="Q22" s="513"/>
      <c r="R22" s="517">
        <v>1</v>
      </c>
      <c r="S22" s="517"/>
      <c r="T22" s="98">
        <f t="shared" si="5"/>
        <v>0</v>
      </c>
      <c r="U22" s="99">
        <f t="shared" si="2"/>
        <v>0</v>
      </c>
    </row>
    <row r="23" spans="1:21" x14ac:dyDescent="0.25">
      <c r="A23" s="453" t="s">
        <v>112</v>
      </c>
      <c r="B23" s="453"/>
      <c r="C23" s="165">
        <v>0</v>
      </c>
      <c r="D23" s="165">
        <v>0</v>
      </c>
      <c r="E23" s="125">
        <f t="shared" si="3"/>
        <v>0</v>
      </c>
      <c r="F23" s="532">
        <f>'0664'!F23:G23</f>
        <v>5.4009999999999998</v>
      </c>
      <c r="G23" s="532"/>
      <c r="H23" s="83">
        <f t="shared" si="4"/>
        <v>0</v>
      </c>
      <c r="I23" s="104">
        <f t="shared" si="0"/>
        <v>0</v>
      </c>
      <c r="N23" s="479" t="s">
        <v>112</v>
      </c>
      <c r="O23" s="479"/>
      <c r="P23" s="513">
        <f t="shared" si="1"/>
        <v>0</v>
      </c>
      <c r="Q23" s="513"/>
      <c r="R23" s="517">
        <v>1</v>
      </c>
      <c r="S23" s="517"/>
      <c r="T23" s="98">
        <f t="shared" si="5"/>
        <v>0</v>
      </c>
      <c r="U23" s="99">
        <f t="shared" si="2"/>
        <v>0</v>
      </c>
    </row>
    <row r="24" spans="1:21" x14ac:dyDescent="0.25">
      <c r="A24" s="453" t="s">
        <v>113</v>
      </c>
      <c r="B24" s="453"/>
      <c r="C24" s="165">
        <v>0</v>
      </c>
      <c r="D24" s="165">
        <v>0</v>
      </c>
      <c r="E24" s="125">
        <f t="shared" si="3"/>
        <v>0</v>
      </c>
      <c r="F24" s="532">
        <f>'0664'!F24:G24</f>
        <v>5.4009999999999998</v>
      </c>
      <c r="G24" s="532"/>
      <c r="H24" s="83">
        <f t="shared" si="4"/>
        <v>0</v>
      </c>
      <c r="I24" s="104">
        <f t="shared" si="0"/>
        <v>0</v>
      </c>
      <c r="N24" s="479" t="s">
        <v>113</v>
      </c>
      <c r="O24" s="479"/>
      <c r="P24" s="513">
        <f t="shared" si="1"/>
        <v>0</v>
      </c>
      <c r="Q24" s="513"/>
      <c r="R24" s="517">
        <v>1</v>
      </c>
      <c r="S24" s="517"/>
      <c r="T24" s="98">
        <f t="shared" si="5"/>
        <v>0</v>
      </c>
      <c r="U24" s="99">
        <f t="shared" si="2"/>
        <v>0</v>
      </c>
    </row>
    <row r="25" spans="1:21" x14ac:dyDescent="0.25">
      <c r="A25" s="453" t="s">
        <v>114</v>
      </c>
      <c r="B25" s="453"/>
      <c r="C25" s="165">
        <v>0</v>
      </c>
      <c r="D25" s="165">
        <v>0</v>
      </c>
      <c r="E25" s="125">
        <f t="shared" si="3"/>
        <v>0</v>
      </c>
      <c r="F25" s="532">
        <f>'0664'!F25:G25</f>
        <v>1.206</v>
      </c>
      <c r="G25" s="532"/>
      <c r="H25" s="83">
        <f t="shared" si="4"/>
        <v>0</v>
      </c>
      <c r="I25" s="104">
        <f t="shared" si="0"/>
        <v>0</v>
      </c>
      <c r="N25" s="479" t="s">
        <v>114</v>
      </c>
      <c r="O25" s="479"/>
      <c r="P25" s="513">
        <f t="shared" si="1"/>
        <v>0</v>
      </c>
      <c r="Q25" s="513"/>
      <c r="R25" s="517">
        <v>1</v>
      </c>
      <c r="S25" s="517"/>
      <c r="T25" s="98">
        <f t="shared" si="5"/>
        <v>0</v>
      </c>
      <c r="U25" s="99">
        <f t="shared" si="2"/>
        <v>0</v>
      </c>
    </row>
    <row r="26" spans="1:21" x14ac:dyDescent="0.25">
      <c r="A26" s="453" t="s">
        <v>115</v>
      </c>
      <c r="B26" s="453"/>
      <c r="C26" s="165">
        <v>0</v>
      </c>
      <c r="D26" s="165">
        <v>0</v>
      </c>
      <c r="E26" s="125">
        <f t="shared" si="3"/>
        <v>0</v>
      </c>
      <c r="F26" s="532">
        <f>'0664'!F26:G26</f>
        <v>1.206</v>
      </c>
      <c r="G26" s="532"/>
      <c r="H26" s="83">
        <f t="shared" si="4"/>
        <v>0</v>
      </c>
      <c r="I26" s="104">
        <f t="shared" si="0"/>
        <v>0</v>
      </c>
      <c r="N26" s="479" t="s">
        <v>115</v>
      </c>
      <c r="O26" s="479"/>
      <c r="P26" s="513">
        <f t="shared" si="1"/>
        <v>0</v>
      </c>
      <c r="Q26" s="513"/>
      <c r="R26" s="517">
        <v>1</v>
      </c>
      <c r="S26" s="517"/>
      <c r="T26" s="98">
        <f t="shared" si="5"/>
        <v>0</v>
      </c>
      <c r="U26" s="99">
        <f t="shared" si="2"/>
        <v>0</v>
      </c>
    </row>
    <row r="27" spans="1:21" x14ac:dyDescent="0.25">
      <c r="A27" s="453" t="s">
        <v>116</v>
      </c>
      <c r="B27" s="453"/>
      <c r="C27" s="165">
        <v>15.59</v>
      </c>
      <c r="D27" s="165">
        <v>15.98</v>
      </c>
      <c r="E27" s="125">
        <f t="shared" si="3"/>
        <v>31.57</v>
      </c>
      <c r="F27" s="532">
        <f>'0664'!F27:G27</f>
        <v>1.206</v>
      </c>
      <c r="G27" s="532"/>
      <c r="H27" s="83">
        <f t="shared" si="4"/>
        <v>38.073399999999999</v>
      </c>
      <c r="I27" s="104">
        <f t="shared" si="0"/>
        <v>182307.93</v>
      </c>
      <c r="N27" s="479" t="s">
        <v>116</v>
      </c>
      <c r="O27" s="479"/>
      <c r="P27" s="513">
        <f t="shared" si="1"/>
        <v>0</v>
      </c>
      <c r="Q27" s="513"/>
      <c r="R27" s="517">
        <v>1</v>
      </c>
      <c r="S27" s="517"/>
      <c r="T27" s="98">
        <f t="shared" si="5"/>
        <v>0</v>
      </c>
      <c r="U27" s="99">
        <f t="shared" si="2"/>
        <v>0</v>
      </c>
    </row>
    <row r="28" spans="1:21" x14ac:dyDescent="0.25">
      <c r="A28" s="453" t="s">
        <v>117</v>
      </c>
      <c r="B28" s="453"/>
      <c r="C28" s="116">
        <v>25.21</v>
      </c>
      <c r="D28" s="116">
        <v>27.65</v>
      </c>
      <c r="E28" s="125">
        <f t="shared" si="3"/>
        <v>52.86</v>
      </c>
      <c r="F28" s="532">
        <f>'0664'!F28:G28</f>
        <v>0.999</v>
      </c>
      <c r="G28" s="532"/>
      <c r="H28" s="96">
        <f t="shared" si="4"/>
        <v>52.807099999999998</v>
      </c>
      <c r="I28" s="97">
        <f t="shared" si="0"/>
        <v>252857.72</v>
      </c>
      <c r="N28" s="482" t="s">
        <v>117</v>
      </c>
      <c r="O28" s="482"/>
      <c r="P28" s="513">
        <f t="shared" si="1"/>
        <v>0</v>
      </c>
      <c r="Q28" s="513"/>
      <c r="R28" s="514">
        <v>1</v>
      </c>
      <c r="S28" s="514"/>
      <c r="T28" s="98">
        <f t="shared" si="5"/>
        <v>0</v>
      </c>
      <c r="U28" s="99">
        <f t="shared" si="2"/>
        <v>0</v>
      </c>
    </row>
    <row r="29" spans="1:21" x14ac:dyDescent="0.25">
      <c r="A29" s="461" t="s">
        <v>5</v>
      </c>
      <c r="B29" s="461"/>
      <c r="C29" s="97">
        <f>SUM(C13:C28)</f>
        <v>157</v>
      </c>
      <c r="D29" s="97">
        <f>SUM(D13:D28)</f>
        <v>155.74</v>
      </c>
      <c r="E29" s="100">
        <f>SUM(E13:E28)</f>
        <v>312.74</v>
      </c>
      <c r="F29" s="457"/>
      <c r="G29" s="457"/>
      <c r="H29" s="102">
        <f>SUM(H13:H28)</f>
        <v>318.9622</v>
      </c>
      <c r="I29" s="97">
        <f>SUM(I13:I28)</f>
        <v>1527295.67</v>
      </c>
      <c r="N29" s="515" t="s">
        <v>5</v>
      </c>
      <c r="O29" s="515"/>
      <c r="P29" s="516">
        <f>SUM(P13:P28)</f>
        <v>0</v>
      </c>
      <c r="Q29" s="516"/>
      <c r="R29" s="508"/>
      <c r="S29" s="508"/>
      <c r="T29" s="103">
        <f>SUM(T13:T28)</f>
        <v>0</v>
      </c>
      <c r="U29" s="99">
        <f>SUM(U13:U28)</f>
        <v>0</v>
      </c>
    </row>
    <row r="30" spans="1:21" x14ac:dyDescent="0.25">
      <c r="A30" s="27"/>
      <c r="B30" s="27"/>
      <c r="C30" s="104"/>
      <c r="D30" s="104"/>
      <c r="E30" s="104"/>
      <c r="F30" s="28"/>
      <c r="G30" s="28"/>
      <c r="H30" s="83"/>
      <c r="I30" s="104"/>
      <c r="N30" s="29"/>
      <c r="O30" s="29"/>
      <c r="P30" s="30"/>
      <c r="Q30" s="30"/>
      <c r="R30" s="31"/>
      <c r="S30" s="31"/>
      <c r="T30" s="105"/>
      <c r="U30" s="106"/>
    </row>
    <row r="31" spans="1:21" x14ac:dyDescent="0.25">
      <c r="A31" s="168" t="s">
        <v>97</v>
      </c>
      <c r="B31" s="27"/>
      <c r="C31" s="104"/>
      <c r="D31" s="104"/>
      <c r="E31" s="104"/>
      <c r="F31" s="28"/>
      <c r="G31" s="28"/>
      <c r="H31" s="83"/>
      <c r="I31" s="104"/>
      <c r="N31" s="29"/>
      <c r="O31" s="29"/>
      <c r="P31" s="30"/>
      <c r="Q31" s="30"/>
      <c r="R31" s="31"/>
      <c r="S31" s="31"/>
      <c r="T31" s="105"/>
      <c r="U31" s="106"/>
    </row>
    <row r="32" spans="1:21" hidden="1" x14ac:dyDescent="0.25">
      <c r="A32" s="168"/>
      <c r="B32" s="27"/>
      <c r="C32" s="104"/>
      <c r="D32" s="104"/>
      <c r="E32" s="104"/>
      <c r="F32" s="28"/>
      <c r="G32" s="28"/>
      <c r="H32" s="83"/>
      <c r="I32" s="104"/>
      <c r="N32" s="29"/>
      <c r="O32" s="29"/>
      <c r="P32" s="30"/>
      <c r="Q32" s="30"/>
      <c r="R32" s="31"/>
      <c r="S32" s="31"/>
      <c r="T32" s="105"/>
      <c r="U32" s="106"/>
    </row>
    <row r="33" spans="1:21" hidden="1" x14ac:dyDescent="0.25">
      <c r="A33" s="168"/>
      <c r="B33" s="27"/>
      <c r="C33" s="104"/>
      <c r="D33" s="104"/>
      <c r="E33" s="104"/>
      <c r="F33" s="541" t="s">
        <v>282</v>
      </c>
      <c r="G33" s="541"/>
      <c r="H33" s="541"/>
      <c r="I33" s="104"/>
      <c r="N33" s="29"/>
      <c r="O33" s="29"/>
      <c r="P33" s="30"/>
      <c r="Q33" s="30"/>
      <c r="R33" s="31"/>
      <c r="S33" s="31"/>
      <c r="T33" s="105"/>
      <c r="U33" s="106"/>
    </row>
    <row r="34" spans="1:21" hidden="1" x14ac:dyDescent="0.25">
      <c r="A34" s="3"/>
      <c r="B34" s="72"/>
      <c r="C34" s="72"/>
      <c r="D34" s="72"/>
      <c r="E34" s="72"/>
      <c r="F34" s="541"/>
      <c r="G34" s="541"/>
      <c r="H34" s="541"/>
      <c r="I34" s="25" t="s">
        <v>74</v>
      </c>
      <c r="N34" s="485" t="s">
        <v>35</v>
      </c>
      <c r="O34" s="485"/>
      <c r="P34" s="485"/>
      <c r="Q34" s="485"/>
      <c r="R34" s="485"/>
      <c r="S34" s="485"/>
      <c r="T34" s="485"/>
      <c r="U34" s="26" t="s">
        <v>74</v>
      </c>
    </row>
    <row r="35" spans="1:21" hidden="1" x14ac:dyDescent="0.25">
      <c r="A35" s="27"/>
      <c r="B35" s="27"/>
      <c r="C35" s="91" t="s">
        <v>124</v>
      </c>
      <c r="D35" s="91" t="s">
        <v>125</v>
      </c>
      <c r="E35" s="92" t="s">
        <v>8</v>
      </c>
      <c r="F35" s="541"/>
      <c r="G35" s="541"/>
      <c r="H35" s="541"/>
      <c r="I35" s="25" t="s">
        <v>36</v>
      </c>
      <c r="N35" s="29"/>
      <c r="O35" s="29"/>
      <c r="P35" s="30"/>
      <c r="Q35" s="30"/>
      <c r="R35" s="31"/>
      <c r="S35" s="31"/>
      <c r="T35" s="105"/>
      <c r="U35" s="26" t="s">
        <v>36</v>
      </c>
    </row>
    <row r="36" spans="1:21" hidden="1" x14ac:dyDescent="0.25">
      <c r="A36" s="447" t="s">
        <v>63</v>
      </c>
      <c r="B36" s="447"/>
      <c r="C36" s="93" t="s">
        <v>2</v>
      </c>
      <c r="D36" s="93" t="s">
        <v>2</v>
      </c>
      <c r="E36" s="93" t="s">
        <v>2</v>
      </c>
      <c r="F36" s="542"/>
      <c r="G36" s="542"/>
      <c r="H36" s="542"/>
      <c r="I36" s="32" t="s">
        <v>75</v>
      </c>
      <c r="N36" s="510" t="s">
        <v>63</v>
      </c>
      <c r="O36" s="510"/>
      <c r="P36" s="511" t="s">
        <v>24</v>
      </c>
      <c r="Q36" s="511"/>
      <c r="R36" s="511"/>
      <c r="S36" s="511"/>
      <c r="T36" s="511"/>
      <c r="U36" s="20" t="s">
        <v>75</v>
      </c>
    </row>
    <row r="37" spans="1:21" hidden="1" x14ac:dyDescent="0.25">
      <c r="A37" s="451" t="s">
        <v>56</v>
      </c>
      <c r="B37" s="451"/>
      <c r="C37" s="169">
        <v>0</v>
      </c>
      <c r="D37" s="169">
        <v>0</v>
      </c>
      <c r="E37" s="164">
        <f t="shared" ref="E37:E42" si="6">IF(D$43=0,C37*2,C37+D37)</f>
        <v>0</v>
      </c>
      <c r="F37" s="170"/>
      <c r="G37" s="170"/>
      <c r="H37" s="170"/>
      <c r="I37" s="119">
        <f t="shared" ref="I37:I42" si="7">ROUND(ROUND(E37*$C$8,4)*($H$8),2)</f>
        <v>0</v>
      </c>
      <c r="N37" s="512" t="s">
        <v>56</v>
      </c>
      <c r="O37" s="512"/>
      <c r="P37" s="483">
        <f t="shared" ref="P37:P42" si="8">IF($H$120=1,E37,0)</f>
        <v>0</v>
      </c>
      <c r="Q37" s="483"/>
      <c r="R37" s="483"/>
      <c r="S37" s="483"/>
      <c r="T37" s="483"/>
      <c r="U37" s="101">
        <f t="shared" ref="U37:U42" si="9">ROUND(ROUND(P37*$C$8,4)*($H$8),0)</f>
        <v>0</v>
      </c>
    </row>
    <row r="38" spans="1:21" hidden="1" x14ac:dyDescent="0.25">
      <c r="A38" s="453" t="s">
        <v>57</v>
      </c>
      <c r="B38" s="453"/>
      <c r="C38" s="172">
        <v>0</v>
      </c>
      <c r="D38" s="172">
        <v>0</v>
      </c>
      <c r="E38" s="166">
        <f t="shared" si="6"/>
        <v>0</v>
      </c>
      <c r="F38" s="173"/>
      <c r="G38" s="173"/>
      <c r="H38" s="173"/>
      <c r="I38" s="104">
        <f t="shared" si="7"/>
        <v>0</v>
      </c>
      <c r="N38" s="479" t="s">
        <v>57</v>
      </c>
      <c r="O38" s="479"/>
      <c r="P38" s="483">
        <f t="shared" si="8"/>
        <v>0</v>
      </c>
      <c r="Q38" s="483"/>
      <c r="R38" s="483"/>
      <c r="S38" s="483"/>
      <c r="T38" s="483"/>
      <c r="U38" s="101">
        <f t="shared" si="9"/>
        <v>0</v>
      </c>
    </row>
    <row r="39" spans="1:21" hidden="1" x14ac:dyDescent="0.25">
      <c r="A39" s="458" t="s">
        <v>58</v>
      </c>
      <c r="B39" s="458"/>
      <c r="C39" s="172">
        <v>0</v>
      </c>
      <c r="D39" s="172">
        <v>0</v>
      </c>
      <c r="E39" s="166">
        <f t="shared" si="6"/>
        <v>0</v>
      </c>
      <c r="F39" s="173"/>
      <c r="G39" s="173"/>
      <c r="H39" s="173"/>
      <c r="I39" s="104">
        <f t="shared" si="7"/>
        <v>0</v>
      </c>
      <c r="N39" s="509" t="s">
        <v>58</v>
      </c>
      <c r="O39" s="509"/>
      <c r="P39" s="483">
        <f t="shared" si="8"/>
        <v>0</v>
      </c>
      <c r="Q39" s="483"/>
      <c r="R39" s="483"/>
      <c r="S39" s="483"/>
      <c r="T39" s="483"/>
      <c r="U39" s="101">
        <f t="shared" si="9"/>
        <v>0</v>
      </c>
    </row>
    <row r="40" spans="1:21" hidden="1" x14ac:dyDescent="0.25">
      <c r="A40" s="453" t="s">
        <v>59</v>
      </c>
      <c r="B40" s="453"/>
      <c r="C40" s="172">
        <v>0</v>
      </c>
      <c r="D40" s="172">
        <v>0</v>
      </c>
      <c r="E40" s="166">
        <f t="shared" si="6"/>
        <v>0</v>
      </c>
      <c r="F40" s="173"/>
      <c r="G40" s="173"/>
      <c r="H40" s="173"/>
      <c r="I40" s="104">
        <f t="shared" si="7"/>
        <v>0</v>
      </c>
      <c r="N40" s="479" t="s">
        <v>59</v>
      </c>
      <c r="O40" s="479"/>
      <c r="P40" s="483">
        <f t="shared" si="8"/>
        <v>0</v>
      </c>
      <c r="Q40" s="483"/>
      <c r="R40" s="483"/>
      <c r="S40" s="483"/>
      <c r="T40" s="483"/>
      <c r="U40" s="101">
        <f t="shared" si="9"/>
        <v>0</v>
      </c>
    </row>
    <row r="41" spans="1:21" hidden="1" x14ac:dyDescent="0.25">
      <c r="A41" s="453" t="s">
        <v>60</v>
      </c>
      <c r="B41" s="453"/>
      <c r="C41" s="172">
        <v>0</v>
      </c>
      <c r="D41" s="172">
        <v>0</v>
      </c>
      <c r="E41" s="166">
        <f t="shared" si="6"/>
        <v>0</v>
      </c>
      <c r="F41" s="173"/>
      <c r="G41" s="173"/>
      <c r="H41" s="173"/>
      <c r="I41" s="104">
        <f t="shared" si="7"/>
        <v>0</v>
      </c>
      <c r="N41" s="479" t="s">
        <v>60</v>
      </c>
      <c r="O41" s="479"/>
      <c r="P41" s="483">
        <f t="shared" si="8"/>
        <v>0</v>
      </c>
      <c r="Q41" s="483"/>
      <c r="R41" s="483"/>
      <c r="S41" s="483"/>
      <c r="T41" s="483"/>
      <c r="U41" s="101">
        <f t="shared" si="9"/>
        <v>0</v>
      </c>
    </row>
    <row r="42" spans="1:21" hidden="1" x14ac:dyDescent="0.25">
      <c r="A42" s="453" t="s">
        <v>52</v>
      </c>
      <c r="B42" s="453"/>
      <c r="C42" s="171">
        <v>0</v>
      </c>
      <c r="D42" s="171">
        <v>0</v>
      </c>
      <c r="E42" s="158">
        <f t="shared" si="6"/>
        <v>0</v>
      </c>
      <c r="F42" s="173"/>
      <c r="G42" s="173"/>
      <c r="H42" s="173"/>
      <c r="I42" s="97">
        <f t="shared" si="7"/>
        <v>0</v>
      </c>
      <c r="N42" s="482" t="s">
        <v>52</v>
      </c>
      <c r="O42" s="482"/>
      <c r="P42" s="483">
        <f t="shared" si="8"/>
        <v>0</v>
      </c>
      <c r="Q42" s="483"/>
      <c r="R42" s="483"/>
      <c r="S42" s="483"/>
      <c r="T42" s="483"/>
      <c r="U42" s="101">
        <f t="shared" si="9"/>
        <v>0</v>
      </c>
    </row>
    <row r="43" spans="1:21" hidden="1" x14ac:dyDescent="0.25">
      <c r="A43" s="3"/>
      <c r="B43" s="55" t="s">
        <v>126</v>
      </c>
      <c r="C43" s="100">
        <f>SUM(C37:C42)</f>
        <v>0</v>
      </c>
      <c r="D43" s="100">
        <f>SUM(D37:D42)</f>
        <v>0</v>
      </c>
      <c r="E43" s="100">
        <f>SUM(E37:E42)</f>
        <v>0</v>
      </c>
      <c r="F43" s="33"/>
      <c r="G43" s="109"/>
      <c r="H43" s="110" t="s">
        <v>128</v>
      </c>
      <c r="I43" s="100">
        <f>SUM(I37:I42)</f>
        <v>0</v>
      </c>
      <c r="N43" s="480" t="s">
        <v>54</v>
      </c>
      <c r="O43" s="480"/>
      <c r="P43" s="480"/>
      <c r="Q43" s="480"/>
      <c r="R43" s="34">
        <f>SUM(P37:R42)</f>
        <v>0</v>
      </c>
      <c r="S43" s="508" t="s">
        <v>64</v>
      </c>
      <c r="T43" s="508"/>
      <c r="U43" s="106">
        <f>SUM(U37:U42)</f>
        <v>0</v>
      </c>
    </row>
    <row r="44" spans="1:21" hidden="1" x14ac:dyDescent="0.25">
      <c r="A44" s="3"/>
      <c r="B44" s="55"/>
      <c r="C44" s="104"/>
      <c r="D44" s="104"/>
      <c r="E44" s="119"/>
      <c r="F44" s="33"/>
      <c r="G44" s="109"/>
      <c r="H44" s="110"/>
      <c r="I44" s="104"/>
      <c r="N44" s="29"/>
      <c r="O44" s="29"/>
      <c r="P44" s="29"/>
      <c r="Q44" s="29"/>
      <c r="R44" s="34"/>
      <c r="S44" s="31"/>
      <c r="T44" s="31"/>
      <c r="U44" s="106"/>
    </row>
    <row r="45" spans="1:21" ht="16.5" hidden="1" thickBot="1" x14ac:dyDescent="0.3">
      <c r="A45" s="3"/>
      <c r="B45" s="55" t="s">
        <v>127</v>
      </c>
      <c r="E45" s="174">
        <f>H29+E43</f>
        <v>318.9622</v>
      </c>
      <c r="F45" s="35"/>
      <c r="G45" s="109"/>
      <c r="H45" s="110" t="s">
        <v>129</v>
      </c>
      <c r="I45" s="97">
        <f>SUM(I43,I29)</f>
        <v>1527295.67</v>
      </c>
      <c r="N45" s="480" t="s">
        <v>55</v>
      </c>
      <c r="O45" s="480"/>
      <c r="P45" s="480"/>
      <c r="Q45" s="480"/>
      <c r="R45" s="36">
        <f>R43+T29</f>
        <v>0</v>
      </c>
      <c r="S45" s="508" t="s">
        <v>53</v>
      </c>
      <c r="T45" s="508"/>
      <c r="U45" s="111">
        <f>SUM(U43,U29)</f>
        <v>0</v>
      </c>
    </row>
    <row r="46" spans="1:21" hidden="1" x14ac:dyDescent="0.25">
      <c r="A46" s="27"/>
      <c r="B46" s="27"/>
      <c r="C46" s="27"/>
      <c r="D46" s="27"/>
      <c r="E46" s="27"/>
      <c r="F46" s="35"/>
      <c r="G46" s="28"/>
      <c r="H46" s="28"/>
      <c r="I46" s="104"/>
      <c r="N46" s="29"/>
      <c r="O46" s="29"/>
      <c r="P46" s="29"/>
      <c r="Q46" s="29"/>
      <c r="R46" s="36"/>
      <c r="S46" s="31"/>
      <c r="T46" s="31"/>
      <c r="U46" s="106"/>
    </row>
    <row r="47" spans="1:21" x14ac:dyDescent="0.25">
      <c r="A47" s="27"/>
      <c r="B47" s="55" t="s">
        <v>370</v>
      </c>
      <c r="C47" s="372" t="s">
        <v>370</v>
      </c>
      <c r="D47" s="372" t="s">
        <v>370</v>
      </c>
      <c r="E47" s="27"/>
      <c r="F47" s="35"/>
      <c r="G47" s="28"/>
      <c r="H47" s="28"/>
      <c r="I47" s="104"/>
      <c r="N47" s="29"/>
      <c r="O47" s="29"/>
      <c r="P47" s="29"/>
      <c r="Q47" s="29"/>
      <c r="R47" s="36"/>
      <c r="S47" s="31"/>
      <c r="T47" s="31"/>
      <c r="U47" s="106"/>
    </row>
    <row r="48" spans="1:21" x14ac:dyDescent="0.25">
      <c r="A48" s="27"/>
      <c r="B48" s="27"/>
      <c r="C48" s="91" t="s">
        <v>463</v>
      </c>
      <c r="D48" s="371" t="s">
        <v>464</v>
      </c>
      <c r="E48" s="92" t="s">
        <v>8</v>
      </c>
      <c r="F48" s="49" t="s">
        <v>130</v>
      </c>
      <c r="G48" s="112" t="s">
        <v>132</v>
      </c>
      <c r="H48" s="113" t="s">
        <v>133</v>
      </c>
      <c r="I48" s="104"/>
      <c r="N48" s="29"/>
      <c r="O48" s="29"/>
      <c r="P48" s="29"/>
      <c r="Q48" s="29"/>
      <c r="R48" s="36"/>
      <c r="S48" s="31"/>
      <c r="T48" s="31"/>
      <c r="U48" s="106"/>
    </row>
    <row r="49" spans="1:21" x14ac:dyDescent="0.25">
      <c r="A49" s="37" t="s">
        <v>87</v>
      </c>
      <c r="B49" s="37"/>
      <c r="C49" s="364" t="s">
        <v>2</v>
      </c>
      <c r="D49" s="362" t="s">
        <v>2</v>
      </c>
      <c r="E49" s="362" t="s">
        <v>2</v>
      </c>
      <c r="F49" s="95" t="s">
        <v>131</v>
      </c>
      <c r="G49" s="62" t="s">
        <v>131</v>
      </c>
      <c r="H49" s="114" t="s">
        <v>134</v>
      </c>
      <c r="I49" s="37"/>
      <c r="N49" s="482" t="s">
        <v>87</v>
      </c>
      <c r="O49" s="482"/>
      <c r="P49" s="503" t="s">
        <v>2</v>
      </c>
      <c r="Q49" s="503"/>
      <c r="R49" s="38" t="s">
        <v>25</v>
      </c>
      <c r="S49" s="63" t="s">
        <v>26</v>
      </c>
      <c r="T49" s="115" t="s">
        <v>27</v>
      </c>
      <c r="U49" s="38"/>
    </row>
    <row r="50" spans="1:21" x14ac:dyDescent="0.25">
      <c r="A50" s="459" t="s">
        <v>98</v>
      </c>
      <c r="B50" s="459"/>
      <c r="C50" s="165">
        <v>0</v>
      </c>
      <c r="D50" s="165">
        <v>0</v>
      </c>
      <c r="E50" s="125">
        <f>IF(D$59=0,C50*2,C50+D50)</f>
        <v>0</v>
      </c>
      <c r="F50" s="39" t="s">
        <v>21</v>
      </c>
      <c r="G50" s="39">
        <v>251</v>
      </c>
      <c r="H50" s="321">
        <f>'0664'!H50</f>
        <v>1047</v>
      </c>
      <c r="I50" s="104">
        <f>ROUND(E50*H50,2)</f>
        <v>0</v>
      </c>
      <c r="N50" s="504" t="s">
        <v>28</v>
      </c>
      <c r="O50" s="504"/>
      <c r="P50" s="505"/>
      <c r="Q50" s="505"/>
      <c r="R50" s="40" t="s">
        <v>21</v>
      </c>
      <c r="S50" s="40">
        <v>251</v>
      </c>
      <c r="T50" s="117">
        <f>H50</f>
        <v>1047</v>
      </c>
      <c r="U50" s="118">
        <f>ROUND(P50*T50,0)</f>
        <v>0</v>
      </c>
    </row>
    <row r="51" spans="1:21" x14ac:dyDescent="0.25">
      <c r="A51" s="460"/>
      <c r="B51" s="460"/>
      <c r="C51" s="165">
        <v>0</v>
      </c>
      <c r="D51" s="165">
        <v>0</v>
      </c>
      <c r="E51" s="125">
        <f t="shared" ref="E51:E58" si="10">IF(D$59=0,C51*2,C51+D51)</f>
        <v>0</v>
      </c>
      <c r="F51" s="39" t="s">
        <v>21</v>
      </c>
      <c r="G51" s="39">
        <v>252</v>
      </c>
      <c r="H51" s="321">
        <f>'0664'!H51</f>
        <v>3380</v>
      </c>
      <c r="I51" s="104">
        <f t="shared" ref="I51:I58" si="11">ROUND(E51*H51,2)</f>
        <v>0</v>
      </c>
      <c r="N51" s="504"/>
      <c r="O51" s="504"/>
      <c r="P51" s="506"/>
      <c r="Q51" s="506"/>
      <c r="R51" s="40" t="s">
        <v>21</v>
      </c>
      <c r="S51" s="40">
        <v>252</v>
      </c>
      <c r="T51" s="117">
        <f t="shared" ref="T51:T58" si="12">H51</f>
        <v>3380</v>
      </c>
      <c r="U51" s="118">
        <f t="shared" ref="U51:U58" si="13">ROUND(P51*T51,0)</f>
        <v>0</v>
      </c>
    </row>
    <row r="52" spans="1:21" x14ac:dyDescent="0.25">
      <c r="A52" s="460"/>
      <c r="B52" s="460"/>
      <c r="C52" s="165">
        <v>0</v>
      </c>
      <c r="D52" s="165">
        <v>0</v>
      </c>
      <c r="E52" s="125">
        <f t="shared" si="10"/>
        <v>0</v>
      </c>
      <c r="F52" s="39" t="s">
        <v>21</v>
      </c>
      <c r="G52" s="39">
        <v>253</v>
      </c>
      <c r="H52" s="321">
        <f>'0664'!H52</f>
        <v>6896</v>
      </c>
      <c r="I52" s="104">
        <f t="shared" si="11"/>
        <v>0</v>
      </c>
      <c r="N52" s="504"/>
      <c r="O52" s="504"/>
      <c r="P52" s="506"/>
      <c r="Q52" s="506"/>
      <c r="R52" s="40" t="s">
        <v>21</v>
      </c>
      <c r="S52" s="40">
        <v>253</v>
      </c>
      <c r="T52" s="117">
        <f t="shared" si="12"/>
        <v>6896</v>
      </c>
      <c r="U52" s="118">
        <f t="shared" si="13"/>
        <v>0</v>
      </c>
    </row>
    <row r="53" spans="1:21" x14ac:dyDescent="0.25">
      <c r="A53" s="460"/>
      <c r="B53" s="460"/>
      <c r="C53" s="165">
        <v>0</v>
      </c>
      <c r="D53" s="165">
        <v>0</v>
      </c>
      <c r="E53" s="125">
        <f t="shared" si="10"/>
        <v>0</v>
      </c>
      <c r="F53" s="41" t="s">
        <v>14</v>
      </c>
      <c r="G53" s="39">
        <v>251</v>
      </c>
      <c r="H53" s="321">
        <f>'0664'!H53</f>
        <v>1173</v>
      </c>
      <c r="I53" s="104">
        <f t="shared" si="11"/>
        <v>0</v>
      </c>
      <c r="N53" s="504"/>
      <c r="O53" s="504"/>
      <c r="P53" s="506"/>
      <c r="Q53" s="506"/>
      <c r="R53" s="42" t="s">
        <v>14</v>
      </c>
      <c r="S53" s="40">
        <v>251</v>
      </c>
      <c r="T53" s="117">
        <f t="shared" si="12"/>
        <v>1173</v>
      </c>
      <c r="U53" s="118">
        <f t="shared" si="13"/>
        <v>0</v>
      </c>
    </row>
    <row r="54" spans="1:21" x14ac:dyDescent="0.25">
      <c r="A54" s="460"/>
      <c r="B54" s="460"/>
      <c r="C54" s="165">
        <v>0</v>
      </c>
      <c r="D54" s="165">
        <v>0</v>
      </c>
      <c r="E54" s="125">
        <f t="shared" si="10"/>
        <v>0</v>
      </c>
      <c r="F54" s="41" t="s">
        <v>14</v>
      </c>
      <c r="G54" s="39">
        <v>252</v>
      </c>
      <c r="H54" s="321">
        <f>'0664'!H54</f>
        <v>3506</v>
      </c>
      <c r="I54" s="104">
        <f t="shared" si="11"/>
        <v>0</v>
      </c>
      <c r="N54" s="504"/>
      <c r="O54" s="504"/>
      <c r="P54" s="506"/>
      <c r="Q54" s="506"/>
      <c r="R54" s="42" t="s">
        <v>14</v>
      </c>
      <c r="S54" s="40">
        <v>252</v>
      </c>
      <c r="T54" s="117">
        <f t="shared" si="12"/>
        <v>3506</v>
      </c>
      <c r="U54" s="118">
        <f t="shared" si="13"/>
        <v>0</v>
      </c>
    </row>
    <row r="55" spans="1:21" x14ac:dyDescent="0.25">
      <c r="A55" s="460"/>
      <c r="B55" s="460"/>
      <c r="C55" s="165">
        <v>0</v>
      </c>
      <c r="D55" s="165">
        <v>0</v>
      </c>
      <c r="E55" s="125">
        <f t="shared" si="10"/>
        <v>0</v>
      </c>
      <c r="F55" s="41" t="s">
        <v>14</v>
      </c>
      <c r="G55" s="39">
        <v>253</v>
      </c>
      <c r="H55" s="321">
        <f>'0664'!H55</f>
        <v>7023</v>
      </c>
      <c r="I55" s="104">
        <f t="shared" si="11"/>
        <v>0</v>
      </c>
      <c r="N55" s="504"/>
      <c r="O55" s="504"/>
      <c r="P55" s="506"/>
      <c r="Q55" s="506"/>
      <c r="R55" s="42" t="s">
        <v>14</v>
      </c>
      <c r="S55" s="40">
        <v>253</v>
      </c>
      <c r="T55" s="117">
        <f t="shared" si="12"/>
        <v>7023</v>
      </c>
      <c r="U55" s="118">
        <f t="shared" si="13"/>
        <v>0</v>
      </c>
    </row>
    <row r="56" spans="1:21" x14ac:dyDescent="0.25">
      <c r="A56" s="460"/>
      <c r="B56" s="460"/>
      <c r="C56" s="165">
        <v>22.94</v>
      </c>
      <c r="D56" s="165">
        <v>23.1</v>
      </c>
      <c r="E56" s="125">
        <f t="shared" si="10"/>
        <v>46.040000000000006</v>
      </c>
      <c r="F56" s="41" t="s">
        <v>15</v>
      </c>
      <c r="G56" s="39">
        <v>251</v>
      </c>
      <c r="H56" s="321">
        <f>'0664'!H56</f>
        <v>835</v>
      </c>
      <c r="I56" s="104">
        <f t="shared" si="11"/>
        <v>38443.4</v>
      </c>
      <c r="N56" s="504"/>
      <c r="O56" s="504"/>
      <c r="P56" s="506"/>
      <c r="Q56" s="506"/>
      <c r="R56" s="42" t="s">
        <v>15</v>
      </c>
      <c r="S56" s="40">
        <v>251</v>
      </c>
      <c r="T56" s="117">
        <f t="shared" si="12"/>
        <v>835</v>
      </c>
      <c r="U56" s="118">
        <f t="shared" si="13"/>
        <v>0</v>
      </c>
    </row>
    <row r="57" spans="1:21" x14ac:dyDescent="0.25">
      <c r="A57" s="460"/>
      <c r="B57" s="460"/>
      <c r="C57" s="165">
        <v>1.5</v>
      </c>
      <c r="D57" s="165">
        <v>1.51</v>
      </c>
      <c r="E57" s="125">
        <f t="shared" si="10"/>
        <v>3.01</v>
      </c>
      <c r="F57" s="41" t="s">
        <v>15</v>
      </c>
      <c r="G57" s="39">
        <v>252</v>
      </c>
      <c r="H57" s="321">
        <f>'0664'!H57</f>
        <v>3168</v>
      </c>
      <c r="I57" s="104">
        <f t="shared" si="11"/>
        <v>9535.68</v>
      </c>
      <c r="N57" s="504"/>
      <c r="O57" s="504"/>
      <c r="P57" s="506"/>
      <c r="Q57" s="506"/>
      <c r="R57" s="42" t="s">
        <v>15</v>
      </c>
      <c r="S57" s="40">
        <v>252</v>
      </c>
      <c r="T57" s="117">
        <f t="shared" si="12"/>
        <v>3168</v>
      </c>
      <c r="U57" s="118">
        <f t="shared" si="13"/>
        <v>0</v>
      </c>
    </row>
    <row r="58" spans="1:21" ht="16.5" thickBot="1" x14ac:dyDescent="0.3">
      <c r="A58" s="460"/>
      <c r="B58" s="460"/>
      <c r="C58" s="165">
        <v>0</v>
      </c>
      <c r="D58" s="165">
        <v>0</v>
      </c>
      <c r="E58" s="125">
        <f t="shared" si="10"/>
        <v>0</v>
      </c>
      <c r="F58" s="41" t="s">
        <v>15</v>
      </c>
      <c r="G58" s="39">
        <v>253</v>
      </c>
      <c r="H58" s="321">
        <f>'0664'!H58</f>
        <v>6685</v>
      </c>
      <c r="I58" s="104">
        <f t="shared" si="11"/>
        <v>0</v>
      </c>
      <c r="N58" s="504"/>
      <c r="O58" s="504"/>
      <c r="P58" s="507"/>
      <c r="Q58" s="507"/>
      <c r="R58" s="42" t="s">
        <v>15</v>
      </c>
      <c r="S58" s="40">
        <v>253</v>
      </c>
      <c r="T58" s="117">
        <f t="shared" si="12"/>
        <v>6685</v>
      </c>
      <c r="U58" s="120">
        <f t="shared" si="13"/>
        <v>0</v>
      </c>
    </row>
    <row r="59" spans="1:21" ht="16.5" thickBot="1" x14ac:dyDescent="0.3">
      <c r="A59" s="461" t="s">
        <v>16</v>
      </c>
      <c r="B59" s="461"/>
      <c r="C59" s="100">
        <f>SUM(C50:C58)</f>
        <v>24.44</v>
      </c>
      <c r="D59" s="100">
        <f>SUM(D50:D58)</f>
        <v>24.610000000000003</v>
      </c>
      <c r="E59" s="100">
        <f>SUM(E50:E58)</f>
        <v>49.050000000000004</v>
      </c>
      <c r="F59" s="461" t="s">
        <v>77</v>
      </c>
      <c r="G59" s="461"/>
      <c r="H59" s="461"/>
      <c r="I59" s="100">
        <f>SUM(I50:I58)</f>
        <v>47979.08</v>
      </c>
      <c r="N59" s="480" t="s">
        <v>16</v>
      </c>
      <c r="O59" s="480"/>
      <c r="P59" s="502">
        <f>SUM(P50:P58)</f>
        <v>0</v>
      </c>
      <c r="Q59" s="502"/>
      <c r="R59" s="480" t="s">
        <v>77</v>
      </c>
      <c r="S59" s="480"/>
      <c r="T59" s="480"/>
      <c r="U59" s="111">
        <f>SUM(U50:U58)</f>
        <v>0</v>
      </c>
    </row>
    <row r="60" spans="1:21" x14ac:dyDescent="0.25">
      <c r="A60" s="462"/>
      <c r="B60" s="462"/>
      <c r="C60" s="462"/>
      <c r="D60" s="462"/>
      <c r="E60" s="462"/>
      <c r="F60" s="462"/>
      <c r="G60" s="462"/>
      <c r="H60" s="462"/>
      <c r="I60" s="462"/>
      <c r="N60" s="484"/>
      <c r="O60" s="484"/>
      <c r="P60" s="484"/>
      <c r="Q60" s="484"/>
      <c r="R60" s="484"/>
      <c r="S60" s="484"/>
      <c r="T60" s="484"/>
      <c r="U60" s="484"/>
    </row>
    <row r="61" spans="1:21" x14ac:dyDescent="0.25">
      <c r="A61" s="463" t="s">
        <v>136</v>
      </c>
      <c r="B61" s="453"/>
      <c r="C61" s="453"/>
      <c r="D61" s="453"/>
      <c r="E61" s="453"/>
      <c r="F61" s="453"/>
      <c r="G61" s="453"/>
      <c r="H61" s="453"/>
      <c r="I61" s="453"/>
      <c r="N61" s="479" t="s">
        <v>88</v>
      </c>
      <c r="O61" s="479"/>
      <c r="P61" s="479"/>
      <c r="Q61" s="479"/>
      <c r="R61" s="479"/>
      <c r="S61" s="479"/>
      <c r="T61" s="479"/>
      <c r="U61" s="479"/>
    </row>
    <row r="62" spans="1:21" x14ac:dyDescent="0.25">
      <c r="A62" s="463" t="s">
        <v>138</v>
      </c>
      <c r="B62" s="453"/>
      <c r="C62" s="121">
        <f>E29</f>
        <v>312.74</v>
      </c>
      <c r="D62" s="464" t="s">
        <v>135</v>
      </c>
      <c r="E62" s="464"/>
      <c r="F62" s="464"/>
      <c r="G62" s="464"/>
      <c r="H62" s="335">
        <f>'0664'!H62</f>
        <v>193340.76</v>
      </c>
      <c r="I62" s="122"/>
      <c r="N62" s="478" t="s">
        <v>312</v>
      </c>
      <c r="O62" s="479"/>
      <c r="P62" s="43">
        <f>P29</f>
        <v>0</v>
      </c>
      <c r="Q62" s="498" t="s">
        <v>78</v>
      </c>
      <c r="R62" s="498"/>
      <c r="S62" s="498"/>
      <c r="T62" s="497">
        <f>H62</f>
        <v>193340.76</v>
      </c>
      <c r="U62" s="497"/>
    </row>
    <row r="63" spans="1:21" x14ac:dyDescent="0.25">
      <c r="B63" s="72"/>
      <c r="G63" s="44" t="s">
        <v>13</v>
      </c>
      <c r="H63" s="123">
        <f>ROUND(C62/H62,6)</f>
        <v>1.6180000000000001E-3</v>
      </c>
      <c r="I63" s="124"/>
      <c r="N63" s="479" t="s">
        <v>19</v>
      </c>
      <c r="O63" s="479"/>
      <c r="P63" s="479"/>
      <c r="Q63" s="479"/>
      <c r="R63" s="479"/>
      <c r="S63" s="479"/>
      <c r="T63" s="501">
        <f>ROUND(P62/T62,6)</f>
        <v>0</v>
      </c>
      <c r="U63" s="501"/>
    </row>
    <row r="64" spans="1:21" x14ac:dyDescent="0.25">
      <c r="A64" s="463" t="s">
        <v>137</v>
      </c>
      <c r="B64" s="453"/>
      <c r="C64" s="453"/>
      <c r="D64" s="453"/>
      <c r="E64" s="453"/>
      <c r="F64" s="453"/>
      <c r="G64" s="453"/>
      <c r="H64" s="453"/>
      <c r="I64" s="453"/>
      <c r="N64" s="479" t="s">
        <v>89</v>
      </c>
      <c r="O64" s="479"/>
      <c r="P64" s="479"/>
      <c r="Q64" s="479"/>
      <c r="R64" s="479"/>
      <c r="S64" s="479"/>
      <c r="T64" s="479"/>
      <c r="U64" s="479"/>
    </row>
    <row r="65" spans="1:21" x14ac:dyDescent="0.25">
      <c r="A65" s="463" t="s">
        <v>139</v>
      </c>
      <c r="B65" s="453"/>
      <c r="C65" s="121">
        <f>E45</f>
        <v>318.9622</v>
      </c>
      <c r="D65" s="464" t="s">
        <v>140</v>
      </c>
      <c r="E65" s="464"/>
      <c r="F65" s="464"/>
      <c r="G65" s="464"/>
      <c r="H65" s="336">
        <f>'0664'!H65</f>
        <v>216845.88</v>
      </c>
      <c r="I65" s="125"/>
      <c r="N65" s="479" t="s">
        <v>80</v>
      </c>
      <c r="O65" s="479"/>
      <c r="P65" s="43">
        <f>R45</f>
        <v>0</v>
      </c>
      <c r="Q65" s="498" t="s">
        <v>79</v>
      </c>
      <c r="R65" s="498"/>
      <c r="S65" s="498"/>
      <c r="T65" s="497">
        <f>H65</f>
        <v>216845.88</v>
      </c>
      <c r="U65" s="497"/>
    </row>
    <row r="66" spans="1:21" s="37" customFormat="1" x14ac:dyDescent="0.25">
      <c r="A66" s="126"/>
      <c r="G66" s="45" t="s">
        <v>13</v>
      </c>
      <c r="H66" s="127">
        <f>ROUND(C65/H65,6)</f>
        <v>1.4710000000000001E-3</v>
      </c>
      <c r="I66" s="127"/>
      <c r="N66" s="482" t="s">
        <v>20</v>
      </c>
      <c r="O66" s="482"/>
      <c r="P66" s="482"/>
      <c r="Q66" s="482"/>
      <c r="R66" s="482"/>
      <c r="S66" s="482"/>
      <c r="T66" s="500">
        <f>ROUND(P65/T65,6)</f>
        <v>0</v>
      </c>
      <c r="U66" s="500"/>
    </row>
    <row r="67" spans="1:21" x14ac:dyDescent="0.25">
      <c r="G67" s="44"/>
      <c r="H67" s="123"/>
      <c r="I67" s="123"/>
      <c r="N67" s="48"/>
      <c r="O67" s="48"/>
      <c r="P67" s="48"/>
      <c r="Q67" s="48"/>
      <c r="R67" s="128"/>
      <c r="S67" s="48"/>
      <c r="T67" s="129"/>
      <c r="U67" s="130"/>
    </row>
    <row r="68" spans="1:21" x14ac:dyDescent="0.25">
      <c r="A68" s="453" t="s">
        <v>85</v>
      </c>
      <c r="B68" s="453"/>
      <c r="C68" s="453"/>
      <c r="D68" s="72"/>
      <c r="E68" s="46" t="s">
        <v>3</v>
      </c>
      <c r="F68" s="337">
        <f>'0664'!F68</f>
        <v>42465042</v>
      </c>
      <c r="G68" s="39" t="s">
        <v>6</v>
      </c>
      <c r="H68" s="131">
        <f>H63</f>
        <v>1.6180000000000001E-3</v>
      </c>
      <c r="I68" s="104">
        <f>ROUND(F68*H68,2)</f>
        <v>68708.44</v>
      </c>
      <c r="N68" s="479" t="s">
        <v>85</v>
      </c>
      <c r="O68" s="479"/>
      <c r="P68" s="479"/>
      <c r="Q68" s="47"/>
      <c r="R68" s="132">
        <f>F68</f>
        <v>42465042</v>
      </c>
      <c r="S68" s="40" t="s">
        <v>6</v>
      </c>
      <c r="T68" s="133">
        <f>T63</f>
        <v>0</v>
      </c>
      <c r="U68" s="99">
        <f>ROUND(R68*T68,0)</f>
        <v>0</v>
      </c>
    </row>
    <row r="69" spans="1:21" x14ac:dyDescent="0.25">
      <c r="A69" s="458" t="s">
        <v>96</v>
      </c>
      <c r="B69" s="453"/>
      <c r="C69" s="453"/>
      <c r="D69" s="72"/>
      <c r="E69" s="46"/>
      <c r="F69" s="175"/>
      <c r="G69" s="39"/>
      <c r="H69" s="131"/>
      <c r="I69" s="104"/>
      <c r="N69" s="479" t="s">
        <v>84</v>
      </c>
      <c r="O69" s="479"/>
      <c r="P69" s="479"/>
      <c r="Q69" s="54"/>
      <c r="R69" s="54"/>
      <c r="S69" s="54"/>
      <c r="T69" s="54"/>
      <c r="U69" s="54"/>
    </row>
    <row r="70" spans="1:21" x14ac:dyDescent="0.25">
      <c r="A70" s="465" t="s">
        <v>141</v>
      </c>
      <c r="B70" s="453"/>
      <c r="C70" s="453"/>
      <c r="D70" s="72"/>
      <c r="E70" s="46" t="s">
        <v>3</v>
      </c>
      <c r="F70" s="337">
        <f>'0664'!F70</f>
        <v>0</v>
      </c>
      <c r="G70" s="39" t="s">
        <v>6</v>
      </c>
      <c r="H70" s="131">
        <f>H63</f>
        <v>1.6180000000000001E-3</v>
      </c>
      <c r="I70" s="104">
        <f>ROUND(F70*H70,2)</f>
        <v>0</v>
      </c>
      <c r="N70" s="48"/>
      <c r="O70" s="48"/>
      <c r="P70" s="48"/>
      <c r="Q70" s="47"/>
      <c r="R70" s="132">
        <f>F70</f>
        <v>0</v>
      </c>
      <c r="S70" s="40" t="s">
        <v>6</v>
      </c>
      <c r="T70" s="133">
        <f>T63</f>
        <v>0</v>
      </c>
      <c r="U70" s="99">
        <f>ROUND(R70*T70,0)</f>
        <v>0</v>
      </c>
    </row>
    <row r="71" spans="1:21" x14ac:dyDescent="0.25">
      <c r="A71" s="463" t="s">
        <v>433</v>
      </c>
      <c r="B71" s="453"/>
      <c r="C71" s="453"/>
      <c r="D71" s="72"/>
      <c r="E71" s="46" t="s">
        <v>3</v>
      </c>
      <c r="F71" s="337">
        <f>'0664'!F71</f>
        <v>13414654</v>
      </c>
      <c r="G71" s="39" t="s">
        <v>6</v>
      </c>
      <c r="H71" s="131">
        <f>H63</f>
        <v>1.6180000000000001E-3</v>
      </c>
      <c r="I71" s="104">
        <f>ROUND(F71*H71,2)</f>
        <v>21704.91</v>
      </c>
      <c r="N71" s="479" t="s">
        <v>83</v>
      </c>
      <c r="O71" s="479"/>
      <c r="P71" s="479"/>
      <c r="Q71" s="47"/>
      <c r="R71" s="132">
        <f>F71</f>
        <v>13414654</v>
      </c>
      <c r="S71" s="40" t="s">
        <v>6</v>
      </c>
      <c r="T71" s="133">
        <f>T63</f>
        <v>0</v>
      </c>
      <c r="U71" s="99">
        <f>ROUND(R71*T71,0)</f>
        <v>0</v>
      </c>
    </row>
    <row r="72" spans="1:21" x14ac:dyDescent="0.25">
      <c r="A72" s="463" t="s">
        <v>434</v>
      </c>
      <c r="B72" s="453"/>
      <c r="C72" s="453"/>
      <c r="D72" s="72"/>
      <c r="E72" s="46" t="s">
        <v>3</v>
      </c>
      <c r="F72" s="337">
        <f>'0664'!F72</f>
        <v>14708421</v>
      </c>
      <c r="G72" s="39" t="s">
        <v>6</v>
      </c>
      <c r="H72" s="131">
        <f>H63</f>
        <v>1.6180000000000001E-3</v>
      </c>
      <c r="I72" s="104">
        <f>ROUND(F72*H72,2)</f>
        <v>23798.23</v>
      </c>
      <c r="N72" s="479" t="s">
        <v>82</v>
      </c>
      <c r="O72" s="479"/>
      <c r="P72" s="479"/>
      <c r="Q72" s="47"/>
      <c r="R72" s="134">
        <f>F72</f>
        <v>14708421</v>
      </c>
      <c r="S72" s="40" t="s">
        <v>6</v>
      </c>
      <c r="T72" s="133">
        <f>T63</f>
        <v>0</v>
      </c>
      <c r="U72" s="99">
        <f>ROUND(R72*T72,0)</f>
        <v>0</v>
      </c>
    </row>
    <row r="73" spans="1:21" x14ac:dyDescent="0.25">
      <c r="A73" s="263" t="s">
        <v>99</v>
      </c>
      <c r="D73" s="72"/>
      <c r="E73" s="41" t="s">
        <v>353</v>
      </c>
      <c r="F73" s="466"/>
      <c r="G73" s="466"/>
      <c r="H73" s="466"/>
      <c r="I73" s="104">
        <v>0</v>
      </c>
      <c r="N73" s="499" t="s">
        <v>118</v>
      </c>
      <c r="O73" s="499"/>
      <c r="P73" s="499"/>
      <c r="Q73" s="499"/>
      <c r="R73" s="499"/>
      <c r="S73" s="499"/>
      <c r="T73" s="499"/>
      <c r="U73" s="99">
        <f>IF($H$120=1,I73,0)</f>
        <v>0</v>
      </c>
    </row>
    <row r="74" spans="1:21" x14ac:dyDescent="0.25">
      <c r="A74" s="264" t="s">
        <v>142</v>
      </c>
      <c r="I74" s="104"/>
      <c r="N74" s="499" t="s">
        <v>43</v>
      </c>
      <c r="O74" s="499"/>
      <c r="P74" s="499"/>
      <c r="Q74" s="499"/>
      <c r="R74" s="499"/>
      <c r="S74" s="499"/>
      <c r="T74" s="499"/>
      <c r="U74" s="99">
        <f>IF($H$120=1,I74,0)</f>
        <v>0</v>
      </c>
    </row>
    <row r="75" spans="1:21" x14ac:dyDescent="0.25">
      <c r="A75" s="324" t="s">
        <v>101</v>
      </c>
      <c r="B75" s="72"/>
      <c r="C75" s="72"/>
      <c r="D75" s="72"/>
      <c r="E75" s="72"/>
      <c r="F75" s="72"/>
      <c r="G75" s="72"/>
      <c r="H75" s="72"/>
      <c r="I75" s="135"/>
      <c r="N75" s="382" t="s">
        <v>44</v>
      </c>
      <c r="O75" s="48"/>
      <c r="P75" s="48"/>
      <c r="Q75" s="48"/>
      <c r="R75" s="48"/>
      <c r="S75" s="48"/>
      <c r="T75" s="48"/>
      <c r="U75" s="106"/>
    </row>
    <row r="76" spans="1:21" x14ac:dyDescent="0.25">
      <c r="A76" s="463" t="s">
        <v>435</v>
      </c>
      <c r="B76" s="453"/>
      <c r="C76" s="453"/>
      <c r="D76" s="72"/>
      <c r="E76" s="46" t="s">
        <v>3</v>
      </c>
      <c r="F76" s="337">
        <f>'0664'!F76</f>
        <v>8720092</v>
      </c>
      <c r="G76" s="39" t="s">
        <v>6</v>
      </c>
      <c r="H76" s="131">
        <f>H63</f>
        <v>1.6180000000000001E-3</v>
      </c>
      <c r="I76" s="104">
        <f t="shared" ref="I76:I85" si="14">ROUND(F76*H76,2)</f>
        <v>14109.11</v>
      </c>
      <c r="N76" s="478" t="s">
        <v>366</v>
      </c>
      <c r="O76" s="479"/>
      <c r="P76" s="479"/>
      <c r="Q76" s="47"/>
      <c r="R76" s="134">
        <f t="shared" ref="R76:R85" si="15">F76</f>
        <v>8720092</v>
      </c>
      <c r="S76" s="40" t="s">
        <v>6</v>
      </c>
      <c r="T76" s="133">
        <f>T63</f>
        <v>0</v>
      </c>
      <c r="U76" s="99">
        <f t="shared" ref="U76:U85" si="16">ROUND(R76*T76,0)</f>
        <v>0</v>
      </c>
    </row>
    <row r="77" spans="1:21" x14ac:dyDescent="0.25">
      <c r="A77" s="463" t="s">
        <v>436</v>
      </c>
      <c r="B77" s="453"/>
      <c r="C77" s="453"/>
      <c r="D77" s="72"/>
      <c r="E77" s="46" t="s">
        <v>3</v>
      </c>
      <c r="F77" s="337">
        <f>'0664'!F77</f>
        <v>0</v>
      </c>
      <c r="G77" s="39" t="s">
        <v>6</v>
      </c>
      <c r="H77" s="131">
        <f>H63</f>
        <v>1.6180000000000001E-3</v>
      </c>
      <c r="I77" s="104">
        <f t="shared" si="14"/>
        <v>0</v>
      </c>
      <c r="N77" s="479" t="s">
        <v>367</v>
      </c>
      <c r="O77" s="479"/>
      <c r="P77" s="479"/>
      <c r="Q77" s="47"/>
      <c r="R77" s="134">
        <f t="shared" si="15"/>
        <v>0</v>
      </c>
      <c r="S77" s="40" t="s">
        <v>6</v>
      </c>
      <c r="T77" s="133">
        <f>T63</f>
        <v>0</v>
      </c>
      <c r="U77" s="99">
        <f t="shared" si="16"/>
        <v>0</v>
      </c>
    </row>
    <row r="78" spans="1:21" x14ac:dyDescent="0.25">
      <c r="A78" s="463" t="s">
        <v>437</v>
      </c>
      <c r="B78" s="453"/>
      <c r="C78" s="453"/>
      <c r="D78" s="72"/>
      <c r="E78" s="46" t="s">
        <v>4</v>
      </c>
      <c r="F78" s="337">
        <f>'0664'!F78</f>
        <v>0</v>
      </c>
      <c r="G78" s="39" t="s">
        <v>6</v>
      </c>
      <c r="H78" s="131">
        <f>H66</f>
        <v>1.4710000000000001E-3</v>
      </c>
      <c r="I78" s="104">
        <f t="shared" si="14"/>
        <v>0</v>
      </c>
      <c r="N78" s="478" t="s">
        <v>392</v>
      </c>
      <c r="O78" s="479"/>
      <c r="P78" s="479"/>
      <c r="Q78" s="47"/>
      <c r="R78" s="134">
        <f t="shared" si="15"/>
        <v>0</v>
      </c>
      <c r="S78" s="40" t="s">
        <v>6</v>
      </c>
      <c r="T78" s="133">
        <f>T66</f>
        <v>0</v>
      </c>
      <c r="U78" s="99">
        <f t="shared" si="16"/>
        <v>0</v>
      </c>
    </row>
    <row r="79" spans="1:21" x14ac:dyDescent="0.25">
      <c r="A79" s="463" t="s">
        <v>438</v>
      </c>
      <c r="B79" s="453"/>
      <c r="C79" s="453"/>
      <c r="D79" s="72"/>
      <c r="E79" s="46" t="s">
        <v>4</v>
      </c>
      <c r="F79" s="337">
        <f>'0664'!F79</f>
        <v>11278687</v>
      </c>
      <c r="G79" s="39" t="s">
        <v>6</v>
      </c>
      <c r="H79" s="131">
        <f>H66</f>
        <v>1.4710000000000001E-3</v>
      </c>
      <c r="I79" s="104">
        <f t="shared" si="14"/>
        <v>16590.95</v>
      </c>
      <c r="N79" s="478" t="s">
        <v>393</v>
      </c>
      <c r="O79" s="479"/>
      <c r="P79" s="479"/>
      <c r="Q79" s="47"/>
      <c r="R79" s="134">
        <f t="shared" si="15"/>
        <v>11278687</v>
      </c>
      <c r="S79" s="40" t="s">
        <v>6</v>
      </c>
      <c r="T79" s="133">
        <f>T66</f>
        <v>0</v>
      </c>
      <c r="U79" s="99">
        <f t="shared" si="16"/>
        <v>0</v>
      </c>
    </row>
    <row r="80" spans="1:21" x14ac:dyDescent="0.25">
      <c r="A80" s="463" t="s">
        <v>439</v>
      </c>
      <c r="B80" s="453"/>
      <c r="C80" s="453"/>
      <c r="D80" s="72"/>
      <c r="E80" s="46" t="s">
        <v>4</v>
      </c>
      <c r="F80" s="337">
        <f>'0664'!F80</f>
        <v>206284749</v>
      </c>
      <c r="G80" s="39" t="s">
        <v>6</v>
      </c>
      <c r="H80" s="131">
        <f>H66</f>
        <v>1.4710000000000001E-3</v>
      </c>
      <c r="I80" s="104">
        <f t="shared" si="14"/>
        <v>303444.87</v>
      </c>
      <c r="N80" s="478" t="s">
        <v>397</v>
      </c>
      <c r="O80" s="479"/>
      <c r="P80" s="479"/>
      <c r="Q80" s="47"/>
      <c r="R80" s="134">
        <f t="shared" si="15"/>
        <v>206284749</v>
      </c>
      <c r="S80" s="40" t="s">
        <v>6</v>
      </c>
      <c r="T80" s="133">
        <f>T66</f>
        <v>0</v>
      </c>
      <c r="U80" s="99">
        <f t="shared" si="16"/>
        <v>0</v>
      </c>
    </row>
    <row r="81" spans="1:21" x14ac:dyDescent="0.25">
      <c r="A81" s="84" t="s">
        <v>440</v>
      </c>
      <c r="B81" s="72"/>
      <c r="C81" s="72"/>
      <c r="D81" s="72"/>
      <c r="E81" s="46"/>
      <c r="F81" s="337"/>
      <c r="G81" s="39"/>
      <c r="H81" s="131"/>
      <c r="I81" s="104"/>
      <c r="N81" s="419" t="s">
        <v>440</v>
      </c>
      <c r="O81" s="48"/>
      <c r="P81" s="48"/>
      <c r="Q81" s="47"/>
      <c r="R81" s="423"/>
      <c r="S81" s="40"/>
      <c r="T81" s="133"/>
      <c r="U81" s="120"/>
    </row>
    <row r="82" spans="1:21" x14ac:dyDescent="0.25">
      <c r="A82" s="264" t="s">
        <v>441</v>
      </c>
      <c r="B82" s="72"/>
      <c r="C82" s="72"/>
      <c r="D82" s="72"/>
      <c r="E82" s="46" t="s">
        <v>442</v>
      </c>
      <c r="F82" s="337">
        <f>'0664'!F82</f>
        <v>0</v>
      </c>
      <c r="G82" s="39" t="s">
        <v>6</v>
      </c>
      <c r="H82" s="131">
        <f>H66</f>
        <v>1.4710000000000001E-3</v>
      </c>
      <c r="I82" s="104">
        <v>49281.98</v>
      </c>
      <c r="N82" s="422" t="s">
        <v>441</v>
      </c>
      <c r="O82" s="48"/>
      <c r="P82" s="48"/>
      <c r="Q82" s="47"/>
      <c r="R82" s="134">
        <f t="shared" si="15"/>
        <v>0</v>
      </c>
      <c r="S82" s="40"/>
      <c r="T82" s="133"/>
      <c r="U82" s="99">
        <f t="shared" si="16"/>
        <v>0</v>
      </c>
    </row>
    <row r="83" spans="1:21" x14ac:dyDescent="0.25">
      <c r="A83" s="264" t="s">
        <v>443</v>
      </c>
      <c r="B83" s="72"/>
      <c r="C83" s="72"/>
      <c r="D83" s="72"/>
      <c r="E83" s="46" t="s">
        <v>442</v>
      </c>
      <c r="F83" s="337">
        <f>'0664'!F83</f>
        <v>0</v>
      </c>
      <c r="G83" s="39" t="s">
        <v>6</v>
      </c>
      <c r="H83" s="131">
        <f>H66</f>
        <v>1.4710000000000001E-3</v>
      </c>
      <c r="I83" s="104">
        <v>22400.9</v>
      </c>
      <c r="N83" s="422" t="s">
        <v>443</v>
      </c>
      <c r="O83" s="48"/>
      <c r="P83" s="48"/>
      <c r="Q83" s="47"/>
      <c r="R83" s="134">
        <f t="shared" si="15"/>
        <v>0</v>
      </c>
      <c r="S83" s="40"/>
      <c r="T83" s="133"/>
      <c r="U83" s="99">
        <f t="shared" si="16"/>
        <v>0</v>
      </c>
    </row>
    <row r="84" spans="1:21" x14ac:dyDescent="0.25">
      <c r="A84" s="420" t="s">
        <v>444</v>
      </c>
      <c r="B84" s="72"/>
      <c r="C84" s="72"/>
      <c r="D84" s="72"/>
      <c r="E84" s="46"/>
      <c r="F84" s="337"/>
      <c r="G84" s="39"/>
      <c r="H84" s="131"/>
      <c r="I84" s="104">
        <f>I82+I83</f>
        <v>71682.880000000005</v>
      </c>
      <c r="N84" s="421" t="s">
        <v>444</v>
      </c>
      <c r="O84" s="48"/>
      <c r="P84" s="48"/>
      <c r="Q84" s="47"/>
      <c r="R84" s="423"/>
      <c r="S84" s="40"/>
      <c r="T84" s="133"/>
      <c r="U84" s="99">
        <f>U82+U83</f>
        <v>0</v>
      </c>
    </row>
    <row r="85" spans="1:21" x14ac:dyDescent="0.25">
      <c r="A85" s="463" t="s">
        <v>398</v>
      </c>
      <c r="B85" s="453"/>
      <c r="C85" s="453"/>
      <c r="D85" s="72"/>
      <c r="E85" s="46" t="s">
        <v>4</v>
      </c>
      <c r="F85" s="337">
        <f>'0664'!F85</f>
        <v>0</v>
      </c>
      <c r="G85" s="39" t="s">
        <v>6</v>
      </c>
      <c r="H85" s="131">
        <f>H66</f>
        <v>1.4710000000000001E-3</v>
      </c>
      <c r="I85" s="104">
        <f t="shared" si="14"/>
        <v>0</v>
      </c>
      <c r="N85" s="478" t="s">
        <v>398</v>
      </c>
      <c r="O85" s="479"/>
      <c r="P85" s="479"/>
      <c r="Q85" s="47"/>
      <c r="R85" s="132">
        <f t="shared" si="15"/>
        <v>0</v>
      </c>
      <c r="S85" s="40" t="s">
        <v>6</v>
      </c>
      <c r="T85" s="133">
        <f>T66</f>
        <v>0</v>
      </c>
      <c r="U85" s="99">
        <f t="shared" si="16"/>
        <v>0</v>
      </c>
    </row>
    <row r="86" spans="1:21" x14ac:dyDescent="0.25">
      <c r="B86" s="72"/>
      <c r="C86" s="72"/>
      <c r="D86" s="72"/>
      <c r="E86" s="46"/>
      <c r="F86" s="136"/>
      <c r="G86" s="39"/>
      <c r="H86" s="131"/>
      <c r="I86" s="104"/>
      <c r="N86" s="48"/>
      <c r="O86" s="48"/>
      <c r="P86" s="48"/>
      <c r="Q86" s="47"/>
      <c r="R86" s="137"/>
      <c r="S86" s="40"/>
      <c r="T86" s="133"/>
      <c r="U86" s="106"/>
    </row>
    <row r="87" spans="1:21" x14ac:dyDescent="0.25">
      <c r="A87" s="463" t="s">
        <v>445</v>
      </c>
      <c r="B87" s="453"/>
      <c r="C87" s="453"/>
      <c r="D87" s="453"/>
      <c r="E87" s="453"/>
      <c r="F87" s="453"/>
      <c r="G87" s="453"/>
      <c r="H87" s="453"/>
      <c r="I87" s="453"/>
      <c r="N87" s="478" t="s">
        <v>429</v>
      </c>
      <c r="O87" s="479"/>
      <c r="P87" s="479"/>
      <c r="Q87" s="479"/>
      <c r="R87" s="479"/>
      <c r="S87" s="479"/>
      <c r="T87" s="479"/>
      <c r="U87" s="479"/>
    </row>
    <row r="88" spans="1:21" x14ac:dyDescent="0.25">
      <c r="B88" s="72"/>
      <c r="C88" s="466" t="s">
        <v>73</v>
      </c>
      <c r="D88" s="466"/>
      <c r="E88" s="72"/>
      <c r="F88" s="41" t="s">
        <v>37</v>
      </c>
      <c r="G88" s="72"/>
      <c r="H88" s="72"/>
      <c r="I88" s="72"/>
      <c r="N88" s="48"/>
      <c r="O88" s="48"/>
      <c r="P88" s="48"/>
      <c r="Q88" s="48"/>
      <c r="R88" s="48"/>
      <c r="S88" s="48"/>
      <c r="T88" s="48"/>
      <c r="U88" s="48"/>
    </row>
    <row r="89" spans="1:21" x14ac:dyDescent="0.25">
      <c r="A89" s="3"/>
      <c r="B89" s="138"/>
      <c r="C89" s="462" t="s">
        <v>144</v>
      </c>
      <c r="D89" s="462"/>
      <c r="E89" s="139" t="s">
        <v>150</v>
      </c>
      <c r="F89" s="140" t="s">
        <v>149</v>
      </c>
      <c r="G89" s="141"/>
      <c r="H89" s="141"/>
      <c r="I89" s="141"/>
      <c r="N89" s="495" t="s">
        <v>46</v>
      </c>
      <c r="O89" s="495"/>
      <c r="P89" s="496" t="s">
        <v>119</v>
      </c>
      <c r="Q89" s="496"/>
      <c r="R89" s="497" t="s">
        <v>40</v>
      </c>
      <c r="S89" s="497"/>
      <c r="T89" s="497"/>
      <c r="U89" s="497"/>
    </row>
    <row r="90" spans="1:21" x14ac:dyDescent="0.25">
      <c r="A90" s="27"/>
      <c r="B90" s="55" t="s">
        <v>148</v>
      </c>
      <c r="C90" s="467">
        <f>H13+H14+H19+H22+H25</f>
        <v>0</v>
      </c>
      <c r="D90" s="467"/>
      <c r="E90" s="49">
        <f>H8</f>
        <v>1.0438000000000001</v>
      </c>
      <c r="F90" s="338">
        <f>'0664'!F90</f>
        <v>957.94</v>
      </c>
      <c r="G90" s="41" t="s">
        <v>13</v>
      </c>
      <c r="H90" s="104">
        <f>ROUND(C90*E90*F90,2)</f>
        <v>0</v>
      </c>
      <c r="I90" s="107"/>
      <c r="N90" s="29" t="s">
        <v>22</v>
      </c>
      <c r="O90" s="50">
        <f>T13+T14+T19+T22+T25</f>
        <v>0</v>
      </c>
      <c r="P90" s="490">
        <f>T8</f>
        <v>1.0438000000000001</v>
      </c>
      <c r="Q90" s="490"/>
      <c r="R90" s="51">
        <f>F90</f>
        <v>957.94</v>
      </c>
      <c r="S90" s="42" t="s">
        <v>13</v>
      </c>
      <c r="T90" s="134">
        <f>ROUND(O90*P90*R90,0)</f>
        <v>0</v>
      </c>
      <c r="U90" s="105"/>
    </row>
    <row r="91" spans="1:21" x14ac:dyDescent="0.25">
      <c r="A91" s="52"/>
      <c r="B91" s="52" t="s">
        <v>147</v>
      </c>
      <c r="C91" s="467">
        <f>H15+H16+H20+H23+H26</f>
        <v>0</v>
      </c>
      <c r="D91" s="467"/>
      <c r="E91" s="49">
        <f>H8</f>
        <v>1.0438000000000001</v>
      </c>
      <c r="F91" s="338">
        <f>'0664'!F91</f>
        <v>914.63</v>
      </c>
      <c r="G91" s="41" t="s">
        <v>13</v>
      </c>
      <c r="H91" s="104">
        <f>ROUND(C91*E91*F91,2)</f>
        <v>0</v>
      </c>
      <c r="N91" s="53" t="s">
        <v>14</v>
      </c>
      <c r="O91" s="50">
        <f>T15+T16+T20+T23+T26</f>
        <v>0</v>
      </c>
      <c r="P91" s="490">
        <f>T8</f>
        <v>1.0438000000000001</v>
      </c>
      <c r="Q91" s="490"/>
      <c r="R91" s="51">
        <f>F91</f>
        <v>914.63</v>
      </c>
      <c r="S91" s="42" t="s">
        <v>13</v>
      </c>
      <c r="T91" s="134">
        <f>ROUND(O91*P91*R91,0)</f>
        <v>0</v>
      </c>
      <c r="U91" s="54"/>
    </row>
    <row r="92" spans="1:21" ht="16.5" thickBot="1" x14ac:dyDescent="0.3">
      <c r="A92" s="55"/>
      <c r="B92" s="55" t="s">
        <v>146</v>
      </c>
      <c r="C92" s="467">
        <f>H17+H18+H21+H24+H27+H28</f>
        <v>318.9622</v>
      </c>
      <c r="D92" s="467"/>
      <c r="E92" s="49">
        <f>H8</f>
        <v>1.0438000000000001</v>
      </c>
      <c r="F92" s="338">
        <f>'0664'!F92</f>
        <v>916.84</v>
      </c>
      <c r="G92" s="41" t="s">
        <v>13</v>
      </c>
      <c r="H92" s="97">
        <f>ROUND(C92*E92*F92,2)</f>
        <v>305246.06</v>
      </c>
      <c r="N92" s="56" t="s">
        <v>15</v>
      </c>
      <c r="O92" s="57">
        <f>T17+T18+T21+T24+T27+T28</f>
        <v>0</v>
      </c>
      <c r="P92" s="490">
        <f>T8</f>
        <v>1.0438000000000001</v>
      </c>
      <c r="Q92" s="490"/>
      <c r="R92" s="51">
        <f>F92</f>
        <v>916.84</v>
      </c>
      <c r="S92" s="42" t="s">
        <v>13</v>
      </c>
      <c r="T92" s="134">
        <f>ROUND(O92*P92*R92,0)</f>
        <v>0</v>
      </c>
      <c r="U92" s="54"/>
    </row>
    <row r="93" spans="1:21" ht="16.5" thickBot="1" x14ac:dyDescent="0.3">
      <c r="A93" s="58"/>
      <c r="B93" s="142" t="s">
        <v>145</v>
      </c>
      <c r="C93" s="469">
        <f>SUM(C90:C92)</f>
        <v>318.9622</v>
      </c>
      <c r="D93" s="469"/>
      <c r="E93" s="143"/>
      <c r="F93" s="143"/>
      <c r="G93" s="143"/>
      <c r="H93" s="144" t="s">
        <v>143</v>
      </c>
      <c r="I93" s="104">
        <f>IF(A1=75,0,H92+H91+H90)</f>
        <v>305246.06</v>
      </c>
      <c r="N93" s="59" t="s">
        <v>120</v>
      </c>
      <c r="O93" s="60">
        <f>SUM(O90:O92)</f>
        <v>0</v>
      </c>
      <c r="P93" s="491" t="s">
        <v>18</v>
      </c>
      <c r="Q93" s="492"/>
      <c r="R93" s="492"/>
      <c r="S93" s="492"/>
      <c r="T93" s="492"/>
      <c r="U93" s="99">
        <f>IF(N1=75,0,T92+T91+T90)</f>
        <v>0</v>
      </c>
    </row>
    <row r="94" spans="1:21" ht="16.5" thickTop="1" x14ac:dyDescent="0.25">
      <c r="A94" s="540" t="s">
        <v>90</v>
      </c>
      <c r="B94" s="540"/>
      <c r="C94" s="540"/>
      <c r="D94" s="540"/>
      <c r="E94" s="540"/>
      <c r="F94" s="540"/>
      <c r="G94" s="540"/>
      <c r="H94" s="540"/>
      <c r="I94" s="540"/>
      <c r="N94" s="493" t="s">
        <v>90</v>
      </c>
      <c r="O94" s="493"/>
      <c r="P94" s="493"/>
      <c r="Q94" s="493"/>
      <c r="R94" s="493"/>
      <c r="S94" s="493"/>
      <c r="T94" s="493"/>
      <c r="U94" s="493"/>
    </row>
    <row r="95" spans="1:21" x14ac:dyDescent="0.25">
      <c r="A95" s="145"/>
      <c r="B95" s="145"/>
      <c r="C95" s="145"/>
      <c r="D95" s="145"/>
      <c r="E95" s="145"/>
      <c r="F95" s="145"/>
      <c r="G95" s="145"/>
      <c r="H95" s="145"/>
      <c r="I95" s="145"/>
      <c r="N95" s="146"/>
      <c r="O95" s="146"/>
      <c r="P95" s="146"/>
      <c r="Q95" s="146"/>
      <c r="R95" s="146"/>
      <c r="S95" s="146"/>
      <c r="T95" s="146"/>
      <c r="U95" s="146"/>
    </row>
    <row r="96" spans="1:21" x14ac:dyDescent="0.25">
      <c r="A96" s="84" t="s">
        <v>446</v>
      </c>
      <c r="C96" s="46"/>
      <c r="D96" s="72"/>
      <c r="E96" s="46" t="s">
        <v>100</v>
      </c>
      <c r="F96" s="471"/>
      <c r="G96" s="471"/>
      <c r="H96" s="471"/>
      <c r="I96" s="471"/>
      <c r="N96" s="478" t="s">
        <v>426</v>
      </c>
      <c r="O96" s="479"/>
      <c r="P96" s="479"/>
      <c r="Q96" s="494"/>
      <c r="R96" s="494"/>
      <c r="S96" s="494"/>
      <c r="T96" s="494"/>
      <c r="U96" s="106"/>
    </row>
    <row r="97" spans="1:21" x14ac:dyDescent="0.25">
      <c r="B97" s="72"/>
      <c r="C97" s="91" t="s">
        <v>409</v>
      </c>
      <c r="D97" s="371" t="s">
        <v>410</v>
      </c>
      <c r="E97" s="92" t="s">
        <v>151</v>
      </c>
      <c r="F97" s="46"/>
      <c r="G97" s="46"/>
      <c r="H97" s="46"/>
      <c r="I97" s="46"/>
      <c r="N97" s="48"/>
      <c r="O97" s="48"/>
      <c r="P97" s="48"/>
      <c r="Q97" s="147"/>
      <c r="R97" s="147"/>
      <c r="S97" s="147"/>
      <c r="T97" s="147"/>
      <c r="U97" s="106"/>
    </row>
    <row r="98" spans="1:21" x14ac:dyDescent="0.25">
      <c r="B98" s="72"/>
      <c r="C98" s="364" t="s">
        <v>2</v>
      </c>
      <c r="D98" s="362" t="s">
        <v>2</v>
      </c>
      <c r="E98" s="362" t="s">
        <v>2</v>
      </c>
      <c r="F98" s="46"/>
      <c r="G98" s="46"/>
      <c r="H98" s="46"/>
      <c r="I98" s="46"/>
      <c r="N98" s="48"/>
      <c r="O98" s="48"/>
      <c r="P98" s="48"/>
      <c r="Q98" s="147"/>
      <c r="R98" s="147"/>
      <c r="S98" s="147"/>
      <c r="T98" s="147"/>
      <c r="U98" s="106"/>
    </row>
    <row r="99" spans="1:21" x14ac:dyDescent="0.25">
      <c r="A99" s="536" t="s">
        <v>470</v>
      </c>
      <c r="B99" s="461"/>
      <c r="C99" s="165">
        <v>0</v>
      </c>
      <c r="D99" s="165">
        <v>0</v>
      </c>
      <c r="E99" s="166">
        <f>C99</f>
        <v>0</v>
      </c>
      <c r="F99" s="148" t="s">
        <v>39</v>
      </c>
      <c r="G99" s="339">
        <f>'0664'!G99</f>
        <v>558</v>
      </c>
      <c r="I99" s="104">
        <f>ROUND(G99*E99,2)</f>
        <v>0</v>
      </c>
      <c r="N99" s="488" t="s">
        <v>65</v>
      </c>
      <c r="O99" s="488"/>
      <c r="P99" s="489">
        <f>IF(H120=1,E99,0)</f>
        <v>0</v>
      </c>
      <c r="Q99" s="489"/>
      <c r="R99" s="489"/>
      <c r="S99" s="86" t="s">
        <v>39</v>
      </c>
      <c r="T99" s="61">
        <f>G99</f>
        <v>558</v>
      </c>
      <c r="U99" s="99">
        <f>ROUND(T99*P99,0)</f>
        <v>0</v>
      </c>
    </row>
    <row r="100" spans="1:21" x14ac:dyDescent="0.25">
      <c r="A100" s="536" t="s">
        <v>471</v>
      </c>
      <c r="B100" s="461"/>
      <c r="C100" s="165">
        <v>0</v>
      </c>
      <c r="D100" s="165">
        <v>0</v>
      </c>
      <c r="E100" s="166">
        <f>C100</f>
        <v>0</v>
      </c>
      <c r="F100" s="148" t="s">
        <v>39</v>
      </c>
      <c r="G100" s="339">
        <f>'0664'!G100</f>
        <v>1707</v>
      </c>
      <c r="I100" s="104">
        <f>ROUND(G100*E100,2)</f>
        <v>0</v>
      </c>
      <c r="N100" s="488" t="s">
        <v>81</v>
      </c>
      <c r="O100" s="488"/>
      <c r="P100" s="483"/>
      <c r="Q100" s="483"/>
      <c r="R100" s="483"/>
      <c r="S100" s="86" t="s">
        <v>39</v>
      </c>
      <c r="T100" s="61">
        <f>G100</f>
        <v>1707</v>
      </c>
      <c r="U100" s="99">
        <f>ROUND(T100*P100,0)</f>
        <v>0</v>
      </c>
    </row>
    <row r="101" spans="1:21" x14ac:dyDescent="0.25">
      <c r="A101" s="149"/>
      <c r="B101" s="149"/>
      <c r="C101" s="68"/>
      <c r="D101" s="68"/>
      <c r="E101" s="68"/>
      <c r="F101" s="68"/>
      <c r="G101" s="150"/>
      <c r="H101" s="151"/>
      <c r="I101" s="104"/>
      <c r="N101" s="152"/>
      <c r="O101" s="152"/>
      <c r="P101" s="153"/>
      <c r="Q101" s="153"/>
      <c r="R101" s="153"/>
      <c r="S101" s="86"/>
      <c r="T101" s="61"/>
      <c r="U101" s="106"/>
    </row>
    <row r="102" spans="1:21" x14ac:dyDescent="0.25">
      <c r="A102" s="149"/>
      <c r="B102" s="149"/>
      <c r="C102" s="68"/>
      <c r="D102" s="68"/>
      <c r="E102" s="68"/>
      <c r="F102" s="68"/>
      <c r="G102" s="150"/>
      <c r="H102" s="151"/>
      <c r="I102" s="104"/>
      <c r="N102" s="152"/>
      <c r="O102" s="152"/>
      <c r="P102" s="153"/>
      <c r="Q102" s="153"/>
      <c r="R102" s="153"/>
      <c r="S102" s="86"/>
      <c r="T102" s="61"/>
      <c r="U102" s="106"/>
    </row>
    <row r="103" spans="1:21" hidden="1" x14ac:dyDescent="0.25">
      <c r="A103" s="463" t="s">
        <v>447</v>
      </c>
      <c r="B103" s="453"/>
      <c r="C103" s="453"/>
      <c r="D103" s="72"/>
      <c r="E103" s="41" t="s">
        <v>41</v>
      </c>
      <c r="F103" s="466"/>
      <c r="G103" s="466"/>
      <c r="H103" s="466"/>
      <c r="I103" s="466"/>
      <c r="N103" s="478" t="s">
        <v>362</v>
      </c>
      <c r="O103" s="479"/>
      <c r="P103" s="479"/>
      <c r="Q103" s="479"/>
      <c r="R103" s="479"/>
      <c r="S103" s="479"/>
      <c r="T103" s="479"/>
      <c r="U103" s="479"/>
    </row>
    <row r="104" spans="1:21" hidden="1" x14ac:dyDescent="0.25">
      <c r="B104" s="72"/>
      <c r="C104" s="462" t="s">
        <v>91</v>
      </c>
      <c r="D104" s="462"/>
      <c r="E104" s="462"/>
      <c r="F104" s="39"/>
      <c r="G104" s="39"/>
      <c r="H104" s="41" t="s">
        <v>152</v>
      </c>
      <c r="I104" s="39"/>
      <c r="N104" s="48"/>
      <c r="O104" s="48"/>
      <c r="P104" s="48"/>
      <c r="Q104" s="48"/>
      <c r="R104" s="48"/>
      <c r="S104" s="48"/>
      <c r="T104" s="48"/>
      <c r="U104" s="48"/>
    </row>
    <row r="105" spans="1:21" hidden="1" x14ac:dyDescent="0.25">
      <c r="B105" s="72"/>
      <c r="C105" s="91" t="s">
        <v>371</v>
      </c>
      <c r="D105" s="91" t="s">
        <v>351</v>
      </c>
      <c r="E105" s="159" t="s">
        <v>8</v>
      </c>
      <c r="F105" s="464" t="s">
        <v>153</v>
      </c>
      <c r="G105" s="466"/>
      <c r="H105" s="39" t="s">
        <v>38</v>
      </c>
      <c r="I105" s="39"/>
      <c r="N105" s="48"/>
      <c r="O105" s="48"/>
      <c r="P105" s="48"/>
      <c r="Q105" s="48"/>
      <c r="R105" s="48"/>
      <c r="S105" s="48"/>
      <c r="T105" s="48"/>
      <c r="U105" s="48"/>
    </row>
    <row r="106" spans="1:21" hidden="1" x14ac:dyDescent="0.25">
      <c r="A106" s="462" t="s">
        <v>94</v>
      </c>
      <c r="B106" s="462"/>
      <c r="C106" s="93" t="s">
        <v>2</v>
      </c>
      <c r="D106" s="93" t="s">
        <v>2</v>
      </c>
      <c r="E106" s="62" t="s">
        <v>2</v>
      </c>
      <c r="F106" s="462" t="s">
        <v>37</v>
      </c>
      <c r="G106" s="462"/>
      <c r="H106" s="62" t="s">
        <v>37</v>
      </c>
      <c r="I106" s="62" t="s">
        <v>8</v>
      </c>
      <c r="N106" s="484" t="s">
        <v>66</v>
      </c>
      <c r="O106" s="484"/>
      <c r="P106" s="489" t="s">
        <v>91</v>
      </c>
      <c r="Q106" s="489"/>
      <c r="R106" s="484" t="s">
        <v>67</v>
      </c>
      <c r="S106" s="484"/>
      <c r="T106" s="63" t="s">
        <v>68</v>
      </c>
      <c r="U106" s="63" t="s">
        <v>8</v>
      </c>
    </row>
    <row r="107" spans="1:21" hidden="1" x14ac:dyDescent="0.25">
      <c r="A107" s="473" t="s">
        <v>69</v>
      </c>
      <c r="B107" s="473"/>
      <c r="C107" s="163">
        <v>0</v>
      </c>
      <c r="D107" s="163">
        <v>0</v>
      </c>
      <c r="E107" s="164">
        <f>IF(D$59=0,C107*2,C107+D107)</f>
        <v>0</v>
      </c>
      <c r="F107" s="543">
        <v>0</v>
      </c>
      <c r="G107" s="543"/>
      <c r="H107" s="64">
        <f>IF(C107=0,0,125)</f>
        <v>0</v>
      </c>
      <c r="I107" s="104">
        <f>ROUND((H107+F107)*E107,2)</f>
        <v>0</v>
      </c>
      <c r="N107" s="479" t="s">
        <v>69</v>
      </c>
      <c r="O107" s="479"/>
      <c r="P107" s="483">
        <f>IF(H$120=1,C107,0)</f>
        <v>0</v>
      </c>
      <c r="Q107" s="483"/>
      <c r="R107" s="486">
        <f>F107</f>
        <v>0</v>
      </c>
      <c r="S107" s="486"/>
      <c r="T107" s="65">
        <f>H107</f>
        <v>0</v>
      </c>
      <c r="U107" s="99">
        <f>ROUND((T107+R107)*P107,0)</f>
        <v>0</v>
      </c>
    </row>
    <row r="108" spans="1:21" hidden="1" x14ac:dyDescent="0.25">
      <c r="A108" s="456" t="s">
        <v>70</v>
      </c>
      <c r="B108" s="456"/>
      <c r="C108" s="165">
        <v>0</v>
      </c>
      <c r="D108" s="165">
        <v>0</v>
      </c>
      <c r="E108" s="166">
        <f>IF(D$59=0,C108*2,C108+D108)</f>
        <v>0</v>
      </c>
      <c r="F108" s="468">
        <f>ROUND(F107/2,2)</f>
        <v>0</v>
      </c>
      <c r="G108" s="468"/>
      <c r="H108" s="64">
        <f>IF(C108=0,0,62.5)</f>
        <v>0</v>
      </c>
      <c r="I108" s="104">
        <f>ROUND((H108+F108)*E108,2)</f>
        <v>0</v>
      </c>
      <c r="N108" s="479" t="s">
        <v>70</v>
      </c>
      <c r="O108" s="479"/>
      <c r="P108" s="483">
        <f>IF(H$120=1,C108,0)</f>
        <v>0</v>
      </c>
      <c r="Q108" s="483"/>
      <c r="R108" s="487">
        <f>ROUND(R107/2,2)</f>
        <v>0</v>
      </c>
      <c r="S108" s="487"/>
      <c r="T108" s="65">
        <f>H108</f>
        <v>0</v>
      </c>
      <c r="U108" s="99">
        <f>ROUND((T108+R108)*P108,0)</f>
        <v>0</v>
      </c>
    </row>
    <row r="109" spans="1:21" ht="16.5" hidden="1" thickBot="1" x14ac:dyDescent="0.3">
      <c r="A109" s="456" t="s">
        <v>71</v>
      </c>
      <c r="B109" s="456"/>
      <c r="C109" s="165">
        <v>0</v>
      </c>
      <c r="D109" s="165">
        <v>0</v>
      </c>
      <c r="E109" s="166">
        <f>IF(D$59=0,C109*2,C109+D109)</f>
        <v>0</v>
      </c>
      <c r="F109" s="475"/>
      <c r="G109" s="475"/>
      <c r="H109" s="66">
        <f>IF(H107&gt;0,436,0)</f>
        <v>0</v>
      </c>
      <c r="I109" s="104">
        <f>ROUND(H109*E109,2)</f>
        <v>0</v>
      </c>
      <c r="N109" s="482" t="s">
        <v>71</v>
      </c>
      <c r="O109" s="482"/>
      <c r="P109" s="483">
        <f>IF(H$120=1,C109,0)</f>
        <v>0</v>
      </c>
      <c r="Q109" s="483"/>
      <c r="R109" s="484"/>
      <c r="S109" s="484"/>
      <c r="T109" s="67">
        <f>H109</f>
        <v>0</v>
      </c>
      <c r="U109" s="106">
        <f>ROUND(T109*P109,0)</f>
        <v>0</v>
      </c>
    </row>
    <row r="110" spans="1:21" ht="16.5" hidden="1" thickBot="1" x14ac:dyDescent="0.3">
      <c r="A110" s="466" t="s">
        <v>8</v>
      </c>
      <c r="B110" s="466"/>
      <c r="C110" s="68"/>
      <c r="D110" s="68"/>
      <c r="E110" s="68"/>
      <c r="F110" s="68"/>
      <c r="G110" s="68"/>
      <c r="H110" s="68"/>
      <c r="I110" s="100">
        <f>SUM(I107:I109)</f>
        <v>0</v>
      </c>
      <c r="N110" s="485" t="s">
        <v>8</v>
      </c>
      <c r="O110" s="485"/>
      <c r="P110" s="69"/>
      <c r="Q110" s="69"/>
      <c r="R110" s="69"/>
      <c r="S110" s="69"/>
      <c r="T110" s="69"/>
      <c r="U110" s="70">
        <f>SUM(U107:U109)</f>
        <v>0</v>
      </c>
    </row>
    <row r="111" spans="1:21" hidden="1" x14ac:dyDescent="0.25">
      <c r="A111" s="39"/>
      <c r="B111" s="39"/>
      <c r="C111" s="68"/>
      <c r="D111" s="68"/>
      <c r="E111" s="68"/>
      <c r="F111" s="68"/>
      <c r="G111" s="68"/>
      <c r="H111" s="68"/>
      <c r="I111" s="104"/>
      <c r="N111" s="40"/>
      <c r="O111" s="40"/>
      <c r="P111" s="69"/>
      <c r="Q111" s="69"/>
      <c r="R111" s="69"/>
      <c r="S111" s="69"/>
      <c r="T111" s="69"/>
      <c r="U111" s="160"/>
    </row>
    <row r="112" spans="1:21" x14ac:dyDescent="0.25">
      <c r="A112" s="463" t="s">
        <v>448</v>
      </c>
      <c r="B112" s="453"/>
      <c r="C112" s="453"/>
      <c r="D112" s="72"/>
      <c r="E112" s="71" t="s">
        <v>354</v>
      </c>
      <c r="F112" s="472"/>
      <c r="G112" s="472"/>
      <c r="H112" s="472"/>
      <c r="I112" s="125">
        <v>0</v>
      </c>
      <c r="N112" s="478" t="s">
        <v>427</v>
      </c>
      <c r="O112" s="479"/>
      <c r="P112" s="479"/>
      <c r="Q112" s="341"/>
      <c r="R112" s="341"/>
      <c r="S112" s="341"/>
      <c r="T112" s="341"/>
      <c r="U112" s="99">
        <f>IF($H$120=1,I112,0)</f>
        <v>0</v>
      </c>
    </row>
    <row r="113" spans="1:21" x14ac:dyDescent="0.25">
      <c r="A113" s="463" t="s">
        <v>449</v>
      </c>
      <c r="B113" s="453"/>
      <c r="C113" s="453"/>
      <c r="D113" s="72"/>
      <c r="E113" s="71" t="s">
        <v>45</v>
      </c>
      <c r="F113" s="472"/>
      <c r="G113" s="472"/>
      <c r="H113" s="472"/>
      <c r="I113" s="177">
        <v>0</v>
      </c>
      <c r="N113" s="478" t="s">
        <v>428</v>
      </c>
      <c r="O113" s="479"/>
      <c r="P113" s="479"/>
      <c r="Q113" s="341"/>
      <c r="R113" s="341"/>
      <c r="S113" s="341"/>
      <c r="T113" s="341"/>
      <c r="U113" s="99">
        <f>IF($H$120=1,I113,0)</f>
        <v>0</v>
      </c>
    </row>
    <row r="114" spans="1:21" ht="16.5" thickBot="1" x14ac:dyDescent="0.3">
      <c r="B114" s="72"/>
      <c r="C114" s="72"/>
      <c r="D114" s="72"/>
      <c r="E114" s="71"/>
      <c r="F114" s="71"/>
      <c r="G114" s="71"/>
      <c r="H114" s="71"/>
      <c r="I114" s="125"/>
      <c r="N114" s="480" t="s">
        <v>42</v>
      </c>
      <c r="O114" s="480"/>
      <c r="P114" s="480"/>
      <c r="Q114" s="480"/>
      <c r="R114" s="480"/>
      <c r="S114" s="480"/>
      <c r="T114" s="480"/>
      <c r="U114" s="154">
        <f>SUM(U112,U110,U100,U99,U93,U77,U76,U74,U73,U72,U71,U70,U68,U59,U45,U78,U79,U80,U85,U113)</f>
        <v>0</v>
      </c>
    </row>
    <row r="115" spans="1:21" ht="16.5" thickTop="1" x14ac:dyDescent="0.25">
      <c r="A115" s="461" t="s">
        <v>8</v>
      </c>
      <c r="B115" s="461"/>
      <c r="C115" s="461"/>
      <c r="D115" s="461"/>
      <c r="E115" s="461"/>
      <c r="F115" s="461"/>
      <c r="G115" s="461"/>
      <c r="H115" s="461"/>
      <c r="I115" s="97">
        <f>SUM(I113,I112,I110,I100,I99,I93,I85,I84,I80,I79,I78,I77,I76,I74,I73,I72,I71,I70,I68,I59,I45)</f>
        <v>2400560.1999999997</v>
      </c>
      <c r="N115" s="29"/>
      <c r="O115" s="29"/>
      <c r="P115" s="29"/>
      <c r="Q115" s="29"/>
      <c r="R115" s="29"/>
      <c r="S115" s="29"/>
      <c r="T115" s="29"/>
      <c r="U115" s="160"/>
    </row>
    <row r="116" spans="1:21" x14ac:dyDescent="0.25">
      <c r="A116" s="27"/>
      <c r="B116" s="27"/>
      <c r="C116" s="27"/>
      <c r="D116" s="27"/>
      <c r="E116" s="27"/>
      <c r="F116" s="27"/>
      <c r="G116" s="27"/>
      <c r="H116" s="27"/>
      <c r="I116" s="104"/>
      <c r="N116" s="29"/>
      <c r="O116" s="29"/>
      <c r="P116" s="29"/>
      <c r="Q116" s="29"/>
      <c r="R116" s="29"/>
      <c r="S116" s="29"/>
      <c r="T116" s="29"/>
      <c r="U116" s="160"/>
    </row>
    <row r="117" spans="1:21" x14ac:dyDescent="0.25">
      <c r="A117" s="432" t="s">
        <v>467</v>
      </c>
      <c r="B117" s="27"/>
      <c r="C117" s="27"/>
      <c r="D117" s="27"/>
      <c r="E117" s="27"/>
      <c r="F117" s="27"/>
      <c r="G117" s="27"/>
      <c r="H117" s="27"/>
      <c r="I117" s="104">
        <f>I115-I84</f>
        <v>2328877.3199999998</v>
      </c>
      <c r="N117" s="29"/>
      <c r="O117" s="29"/>
      <c r="P117" s="29"/>
      <c r="Q117" s="29"/>
      <c r="R117" s="29"/>
      <c r="S117" s="29"/>
      <c r="T117" s="29"/>
      <c r="U117" s="160"/>
    </row>
    <row r="118" spans="1:21" x14ac:dyDescent="0.25">
      <c r="A118" s="27"/>
      <c r="B118" s="27"/>
      <c r="C118" s="27"/>
      <c r="D118" s="27"/>
      <c r="E118" s="27"/>
      <c r="F118" s="27"/>
      <c r="G118" s="27"/>
      <c r="H118" s="27"/>
      <c r="I118" s="104"/>
      <c r="N118" s="29"/>
      <c r="O118" s="29"/>
      <c r="P118" s="29"/>
      <c r="Q118" s="29"/>
      <c r="R118" s="29"/>
      <c r="S118" s="29"/>
      <c r="T118" s="29"/>
      <c r="U118" s="160"/>
    </row>
    <row r="119" spans="1:21" x14ac:dyDescent="0.25">
      <c r="A119" s="463" t="s">
        <v>468</v>
      </c>
      <c r="B119" s="453"/>
      <c r="C119" s="453"/>
      <c r="D119" s="453"/>
      <c r="E119" s="453"/>
      <c r="F119" s="453"/>
      <c r="G119" s="453"/>
      <c r="H119" s="84" t="s">
        <v>394</v>
      </c>
      <c r="I119" s="156"/>
      <c r="N119" s="481"/>
      <c r="O119" s="481"/>
      <c r="P119" s="481"/>
      <c r="Q119" s="481"/>
      <c r="R119" s="481"/>
      <c r="S119" s="481"/>
      <c r="T119" s="481"/>
      <c r="U119" s="481"/>
    </row>
    <row r="120" spans="1:21" x14ac:dyDescent="0.25">
      <c r="A120" s="453" t="s">
        <v>95</v>
      </c>
      <c r="B120" s="453"/>
      <c r="C120" s="453"/>
      <c r="D120" s="453"/>
      <c r="E120" s="453"/>
      <c r="F120" s="453"/>
      <c r="G120" s="453"/>
      <c r="H120" s="73" t="str">
        <f>IF(E29=0,"",IF((E14+E16+SUM(E18:E24))/E29&gt;0.75,1,""))</f>
        <v/>
      </c>
      <c r="I120" s="125">
        <f>U114</f>
        <v>0</v>
      </c>
      <c r="N120" s="476" t="s">
        <v>7</v>
      </c>
      <c r="O120" s="476"/>
      <c r="P120" s="476"/>
      <c r="Q120" s="476"/>
      <c r="R120" s="476"/>
      <c r="S120" s="476"/>
      <c r="T120" s="476"/>
      <c r="U120" s="476"/>
    </row>
    <row r="121" spans="1:21" x14ac:dyDescent="0.25">
      <c r="B121" s="72"/>
      <c r="C121" s="72"/>
      <c r="D121" s="72"/>
      <c r="E121" s="72"/>
      <c r="F121" s="72"/>
      <c r="G121" s="72"/>
      <c r="H121" s="68"/>
      <c r="I121" s="104"/>
      <c r="N121" s="74" t="s">
        <v>106</v>
      </c>
      <c r="O121" s="74"/>
      <c r="P121" s="74"/>
      <c r="Q121" s="74"/>
      <c r="R121" s="74"/>
      <c r="S121" s="74"/>
      <c r="T121" s="74"/>
      <c r="U121" s="74"/>
    </row>
    <row r="122" spans="1:21" x14ac:dyDescent="0.25">
      <c r="A122" s="3" t="s">
        <v>102</v>
      </c>
      <c r="B122" s="72"/>
      <c r="C122" s="72"/>
      <c r="D122" s="72"/>
      <c r="E122" s="72"/>
      <c r="F122" s="72"/>
      <c r="G122" s="286"/>
      <c r="H122" s="161">
        <f>IF(H120=1,I120,I117)</f>
        <v>2328877.3199999998</v>
      </c>
      <c r="I122" s="97">
        <f>ROUND(IF(E29=0,0,IF(E29&gt;250,-(((250/E29)*H122)*IF(G122="H",0.02,0.05)),IF(G122="H",-0.02*H122,-0.05*H122))),2)</f>
        <v>-93083.6</v>
      </c>
      <c r="N122" s="75" t="s">
        <v>107</v>
      </c>
      <c r="O122" s="74"/>
      <c r="P122" s="74"/>
      <c r="Q122" s="74"/>
      <c r="R122" s="74"/>
      <c r="S122" s="74"/>
      <c r="T122" s="74"/>
      <c r="U122" s="74"/>
    </row>
    <row r="123" spans="1:21" x14ac:dyDescent="0.25">
      <c r="B123" s="72"/>
      <c r="C123" s="72"/>
      <c r="D123" s="72"/>
      <c r="E123" s="72"/>
      <c r="F123" s="72"/>
      <c r="G123" s="72"/>
      <c r="H123" s="68"/>
      <c r="I123" s="104"/>
      <c r="N123" s="76"/>
      <c r="O123" s="76"/>
      <c r="P123" s="76"/>
      <c r="Q123" s="76"/>
      <c r="R123" s="76"/>
      <c r="S123" s="76"/>
      <c r="T123" s="76"/>
      <c r="U123" s="76"/>
    </row>
    <row r="124" spans="1:21" x14ac:dyDescent="0.25">
      <c r="A124" s="345" t="s">
        <v>103</v>
      </c>
      <c r="B124" s="346"/>
      <c r="C124" s="346"/>
      <c r="D124" s="346"/>
      <c r="E124" s="346"/>
      <c r="F124" s="346"/>
      <c r="G124" s="346"/>
      <c r="H124" s="347"/>
      <c r="I124" s="348">
        <f>I115+I122</f>
        <v>2307476.5999999996</v>
      </c>
      <c r="N124" s="76"/>
      <c r="O124" s="76"/>
      <c r="P124" s="76"/>
      <c r="Q124" s="76"/>
      <c r="R124" s="76"/>
      <c r="S124" s="76"/>
      <c r="T124" s="76"/>
      <c r="U124" s="76"/>
    </row>
    <row r="125" spans="1:21" x14ac:dyDescent="0.25">
      <c r="B125" s="72"/>
      <c r="C125" s="72"/>
      <c r="D125" s="72"/>
      <c r="E125" s="72"/>
      <c r="F125" s="72"/>
      <c r="G125" s="72"/>
      <c r="H125" s="68"/>
      <c r="I125" s="104"/>
      <c r="N125" s="76"/>
      <c r="O125" s="76"/>
      <c r="P125" s="76"/>
      <c r="Q125" s="76"/>
      <c r="R125" s="76"/>
      <c r="S125" s="76"/>
      <c r="T125" s="76"/>
      <c r="U125" s="76"/>
    </row>
    <row r="126" spans="1:21" x14ac:dyDescent="0.25">
      <c r="A126" s="3" t="s">
        <v>104</v>
      </c>
      <c r="B126" s="72"/>
      <c r="C126" s="162"/>
      <c r="D126" s="72"/>
      <c r="F126" s="72"/>
      <c r="G126" s="72"/>
      <c r="H126" s="68"/>
      <c r="I126" s="302">
        <v>-1658489.54</v>
      </c>
      <c r="N126" s="76"/>
      <c r="O126" s="76"/>
      <c r="P126" s="76"/>
      <c r="Q126" s="76"/>
      <c r="R126" s="76"/>
      <c r="S126" s="76"/>
      <c r="T126" s="76"/>
      <c r="U126" s="76"/>
    </row>
    <row r="127" spans="1:21" x14ac:dyDescent="0.25">
      <c r="B127" s="72"/>
      <c r="C127" s="72"/>
      <c r="D127" s="72"/>
      <c r="E127" s="72"/>
      <c r="F127" s="72"/>
      <c r="G127" s="72"/>
      <c r="H127" s="68"/>
      <c r="I127" s="104"/>
      <c r="N127" s="76"/>
      <c r="O127" s="76"/>
      <c r="P127" s="76"/>
      <c r="Q127" s="76"/>
      <c r="R127" s="76"/>
      <c r="S127" s="76"/>
      <c r="T127" s="76"/>
      <c r="U127" s="76"/>
    </row>
    <row r="128" spans="1:21" x14ac:dyDescent="0.25">
      <c r="A128" s="84" t="s">
        <v>297</v>
      </c>
      <c r="B128" s="72"/>
      <c r="C128" s="72"/>
      <c r="D128" s="72"/>
      <c r="E128" s="72"/>
      <c r="F128" s="72"/>
      <c r="G128" s="72"/>
      <c r="H128" s="68"/>
      <c r="I128" s="104">
        <f>I124+I126</f>
        <v>648987.05999999959</v>
      </c>
      <c r="N128" s="76"/>
      <c r="O128" s="76"/>
      <c r="P128" s="76"/>
      <c r="Q128" s="76"/>
      <c r="R128" s="76"/>
      <c r="S128" s="76"/>
      <c r="T128" s="76"/>
      <c r="U128" s="76"/>
    </row>
    <row r="129" spans="1:21" x14ac:dyDescent="0.25">
      <c r="A129" s="84"/>
      <c r="B129" s="72"/>
      <c r="C129" s="72"/>
      <c r="D129" s="72"/>
      <c r="E129" s="72"/>
      <c r="F129" s="72"/>
      <c r="G129" s="72"/>
      <c r="H129" s="68"/>
      <c r="I129" s="104"/>
      <c r="N129" s="76"/>
      <c r="O129" s="76"/>
      <c r="P129" s="76"/>
      <c r="Q129" s="76"/>
      <c r="R129" s="76"/>
      <c r="S129" s="76"/>
      <c r="T129" s="76"/>
      <c r="U129" s="76"/>
    </row>
    <row r="130" spans="1:21" x14ac:dyDescent="0.25">
      <c r="A130" s="84" t="s">
        <v>298</v>
      </c>
      <c r="B130" s="72"/>
      <c r="C130" s="72"/>
      <c r="D130" s="72"/>
      <c r="E130" s="72"/>
      <c r="F130" s="72"/>
      <c r="G130" s="72"/>
      <c r="H130" s="68"/>
      <c r="I130" s="303">
        <f>'0664'!I130</f>
        <v>3</v>
      </c>
      <c r="N130" s="76"/>
      <c r="O130" s="76"/>
      <c r="P130" s="76"/>
      <c r="Q130" s="76"/>
      <c r="R130" s="76"/>
      <c r="S130" s="76"/>
      <c r="T130" s="76"/>
      <c r="U130" s="76"/>
    </row>
    <row r="131" spans="1:21" x14ac:dyDescent="0.25">
      <c r="B131" s="72"/>
      <c r="C131" s="72"/>
      <c r="D131" s="72"/>
      <c r="E131" s="72"/>
      <c r="F131" s="72"/>
      <c r="G131" s="72"/>
      <c r="H131" s="68"/>
      <c r="I131" s="104"/>
      <c r="N131" s="76"/>
      <c r="O131" s="76"/>
      <c r="P131" s="76"/>
      <c r="Q131" s="76"/>
      <c r="R131" s="76"/>
      <c r="S131" s="76"/>
      <c r="T131" s="76"/>
      <c r="U131" s="76"/>
    </row>
    <row r="132" spans="1:21" ht="16.5" thickBot="1" x14ac:dyDescent="0.3">
      <c r="A132" s="3" t="s">
        <v>105</v>
      </c>
      <c r="B132" s="72"/>
      <c r="C132" s="72"/>
      <c r="D132" s="72"/>
      <c r="E132" s="72"/>
      <c r="F132" s="72"/>
      <c r="G132" s="72"/>
      <c r="H132" s="68"/>
      <c r="I132" s="178">
        <f>ROUND(I128/I130,2)</f>
        <v>216329.02</v>
      </c>
      <c r="N132" s="76"/>
      <c r="O132" s="76"/>
      <c r="P132" s="76"/>
      <c r="Q132" s="76"/>
      <c r="R132" s="76"/>
      <c r="S132" s="76"/>
      <c r="T132" s="76"/>
      <c r="U132" s="76"/>
    </row>
    <row r="133" spans="1:21" ht="16.5" thickTop="1" x14ac:dyDescent="0.25">
      <c r="B133" s="72"/>
      <c r="C133" s="72"/>
      <c r="D133" s="72"/>
      <c r="E133" s="72"/>
      <c r="F133" s="72"/>
      <c r="G133" s="72"/>
      <c r="H133" s="68"/>
      <c r="I133" s="104"/>
      <c r="N133" s="76"/>
      <c r="O133" s="76"/>
      <c r="P133" s="407"/>
      <c r="Q133" s="76"/>
      <c r="R133" s="76"/>
      <c r="S133" s="76"/>
      <c r="T133" s="76"/>
      <c r="U133" s="76"/>
    </row>
    <row r="134" spans="1:21" ht="16.5" thickBot="1" x14ac:dyDescent="0.3">
      <c r="A134" s="3" t="s">
        <v>121</v>
      </c>
      <c r="B134" s="72"/>
      <c r="C134" s="72"/>
      <c r="D134" s="72"/>
      <c r="E134" s="72"/>
      <c r="F134" s="72"/>
      <c r="G134" s="72"/>
      <c r="H134" s="68"/>
      <c r="I134" s="155">
        <f>ROUND(IF(G122="H",(H122*0.02)+I122,(H122*0.05)+I122),2)</f>
        <v>23360.27</v>
      </c>
      <c r="N134" s="76"/>
      <c r="O134" s="76"/>
      <c r="P134" s="407"/>
      <c r="Q134" s="76"/>
      <c r="R134" s="76"/>
      <c r="S134" s="76"/>
      <c r="T134" s="76"/>
      <c r="U134" s="76"/>
    </row>
    <row r="135" spans="1:21" ht="16.5" thickTop="1" x14ac:dyDescent="0.25">
      <c r="B135" s="72"/>
      <c r="C135" s="72"/>
      <c r="D135" s="72"/>
      <c r="E135" s="72"/>
      <c r="F135" s="72"/>
      <c r="G135" s="72"/>
      <c r="H135" s="68"/>
      <c r="I135" s="156"/>
      <c r="N135" s="76"/>
      <c r="O135" s="76"/>
      <c r="P135" s="76"/>
      <c r="Q135" s="76"/>
      <c r="R135" s="76"/>
      <c r="S135" s="76"/>
      <c r="T135" s="76"/>
      <c r="U135" s="76"/>
    </row>
    <row r="136" spans="1:21" x14ac:dyDescent="0.25">
      <c r="B136" s="72"/>
      <c r="C136" s="72"/>
      <c r="D136" s="72"/>
      <c r="E136" s="72"/>
      <c r="F136" s="72"/>
      <c r="G136" s="72"/>
      <c r="H136" s="68"/>
      <c r="I136" s="104"/>
      <c r="N136" s="76"/>
      <c r="O136" s="76"/>
      <c r="P136" s="76"/>
      <c r="Q136" s="76"/>
      <c r="R136" s="76"/>
      <c r="S136" s="76"/>
      <c r="T136" s="76"/>
      <c r="U136" s="76"/>
    </row>
    <row r="137" spans="1:21" x14ac:dyDescent="0.25">
      <c r="B137" s="72"/>
      <c r="C137" s="72"/>
      <c r="D137" s="72"/>
      <c r="E137" s="72"/>
      <c r="F137" s="72"/>
      <c r="G137" s="72"/>
      <c r="H137" s="68"/>
      <c r="I137" s="156"/>
      <c r="N137" s="76"/>
      <c r="O137" s="76"/>
      <c r="P137" s="76"/>
      <c r="Q137" s="76"/>
      <c r="R137" s="76"/>
      <c r="S137" s="76"/>
      <c r="T137" s="76"/>
      <c r="U137" s="76"/>
    </row>
    <row r="138" spans="1:21" x14ac:dyDescent="0.25">
      <c r="A138" s="281" t="s">
        <v>7</v>
      </c>
      <c r="B138" s="281"/>
      <c r="C138" s="281"/>
      <c r="D138" s="281"/>
      <c r="E138" s="281"/>
      <c r="F138" s="281"/>
      <c r="G138" s="281"/>
      <c r="H138" s="281"/>
      <c r="I138" s="281"/>
      <c r="J138" s="156"/>
      <c r="N138" s="76"/>
      <c r="O138" s="76"/>
      <c r="P138" s="76"/>
      <c r="Q138" s="76"/>
      <c r="R138" s="76"/>
      <c r="S138" s="76"/>
      <c r="T138" s="76"/>
      <c r="U138" s="76"/>
    </row>
    <row r="139" spans="1:21" ht="15.75" customHeight="1" x14ac:dyDescent="0.25">
      <c r="A139" s="356" t="str">
        <f>'0664'!A139</f>
        <v>(a) Additional FTE includes FTE earned through Advanced Placement, International Baccalaureate, Advanced International Certificate of Education, Industry Certified Career</v>
      </c>
      <c r="B139" s="357"/>
      <c r="C139" s="357"/>
      <c r="D139" s="357"/>
      <c r="E139" s="357"/>
      <c r="F139" s="357"/>
      <c r="G139" s="357"/>
      <c r="H139" s="357"/>
      <c r="I139" s="357"/>
      <c r="J139" s="80"/>
      <c r="K139" s="79"/>
      <c r="L139" s="79"/>
      <c r="M139" s="79"/>
      <c r="N139" s="477"/>
      <c r="O139" s="477"/>
      <c r="P139" s="477"/>
      <c r="Q139" s="477"/>
      <c r="R139" s="477"/>
      <c r="S139" s="477"/>
      <c r="T139" s="477"/>
      <c r="U139" s="477"/>
    </row>
    <row r="140" spans="1:21" ht="15.75" customHeight="1" x14ac:dyDescent="0.25">
      <c r="A140" s="390" t="str">
        <f>'0664'!A140</f>
        <v xml:space="preserve">Education (CAPE), Early High School Graduation and the small district ESE Supplement, pursuant to s. 1011.62(1)(l-p), F.S. </v>
      </c>
      <c r="B140" s="357"/>
      <c r="C140" s="357"/>
      <c r="D140" s="357"/>
      <c r="E140" s="357"/>
      <c r="F140" s="357"/>
      <c r="G140" s="357"/>
      <c r="H140" s="357"/>
      <c r="I140" s="357"/>
      <c r="J140" s="80"/>
      <c r="K140" s="79"/>
      <c r="L140" s="79"/>
      <c r="M140" s="79"/>
      <c r="N140" s="76"/>
      <c r="O140" s="76"/>
      <c r="P140" s="76"/>
      <c r="Q140" s="76"/>
      <c r="R140" s="76"/>
      <c r="S140" s="76"/>
      <c r="T140" s="76"/>
      <c r="U140" s="76"/>
    </row>
    <row r="141" spans="1:21" x14ac:dyDescent="0.25">
      <c r="A141" s="356" t="str">
        <f>'0664'!A141</f>
        <v>(b) District allocations multiplied by percentage from item 3A.</v>
      </c>
      <c r="B141" s="281"/>
      <c r="C141" s="281"/>
      <c r="D141" s="281"/>
      <c r="E141" s="281"/>
      <c r="F141" s="281"/>
      <c r="G141" s="281"/>
      <c r="H141" s="281"/>
      <c r="I141" s="281"/>
      <c r="J141" s="79"/>
      <c r="K141" s="79"/>
      <c r="L141" s="79"/>
      <c r="M141" s="79"/>
      <c r="N141" s="81"/>
      <c r="O141" s="82"/>
      <c r="P141" s="82"/>
      <c r="Q141" s="82"/>
      <c r="R141" s="82"/>
      <c r="S141" s="82"/>
      <c r="T141" s="82"/>
      <c r="U141" s="82"/>
    </row>
    <row r="142" spans="1:21" s="79" customFormat="1" x14ac:dyDescent="0.2">
      <c r="A142" s="356" t="str">
        <f>'0664'!A142</f>
        <v>(c) District allocations multiplied by percentage from item 3B.</v>
      </c>
      <c r="B142" s="281"/>
      <c r="C142" s="281"/>
      <c r="D142" s="281"/>
      <c r="E142" s="281"/>
      <c r="F142" s="281"/>
      <c r="G142" s="281"/>
      <c r="H142" s="281"/>
      <c r="I142" s="281"/>
      <c r="N142" s="81"/>
    </row>
    <row r="143" spans="1:21" s="79" customFormat="1" ht="15.75" customHeight="1" x14ac:dyDescent="0.2">
      <c r="A143" s="356" t="str">
        <f>'0664'!A143</f>
        <v>(d) The Digital Classroom Allocation is provided pursuant to s. 1011.62(12), F.S.</v>
      </c>
      <c r="B143" s="281"/>
      <c r="C143" s="281"/>
      <c r="D143" s="281"/>
      <c r="E143" s="281"/>
      <c r="F143" s="281"/>
      <c r="G143" s="281"/>
      <c r="H143" s="281"/>
      <c r="I143" s="281"/>
      <c r="N143" s="81"/>
    </row>
    <row r="144" spans="1:21" s="79" customFormat="1" ht="15.75" customHeight="1" x14ac:dyDescent="0.2">
      <c r="A144" s="356" t="str">
        <f>'0664'!A144</f>
        <v>(e) School districts are required to pay for instructional materials used for the instruction of public high school students who are earning credit toward high school</v>
      </c>
      <c r="B144" s="281"/>
      <c r="C144" s="281"/>
      <c r="D144" s="281"/>
      <c r="E144" s="281"/>
      <c r="F144" s="281"/>
      <c r="G144" s="281"/>
      <c r="H144" s="281"/>
      <c r="I144" s="281"/>
      <c r="N144" s="81"/>
    </row>
    <row r="145" spans="1:14" s="79" customFormat="1" ht="15.75" customHeight="1" x14ac:dyDescent="0.2">
      <c r="A145" s="390" t="str">
        <f>'0664'!A145</f>
        <v xml:space="preserve">graduation under the dual enrollment program as provided in s. 1011.62(l)(i), F.S.  </v>
      </c>
      <c r="B145" s="281"/>
      <c r="C145" s="281"/>
      <c r="D145" s="281"/>
      <c r="E145" s="281"/>
      <c r="F145" s="281"/>
      <c r="G145" s="281"/>
      <c r="H145" s="281"/>
      <c r="I145" s="281"/>
      <c r="N145" s="81"/>
    </row>
    <row r="146" spans="1:14" s="79" customFormat="1" x14ac:dyDescent="0.2">
      <c r="A146" s="356" t="str">
        <f>'0664'!A146</f>
        <v>(f) This allocation will be frozen as of the 2021-22 FEFP Second Calculation and will not be recalculated throughout the year. Charter school allocations should be</v>
      </c>
      <c r="B146" s="281"/>
      <c r="C146" s="281"/>
      <c r="D146" s="281"/>
      <c r="E146" s="281"/>
      <c r="F146" s="281"/>
      <c r="G146" s="281"/>
      <c r="H146" s="281"/>
      <c r="I146" s="281"/>
      <c r="N146" s="81"/>
    </row>
    <row r="147" spans="1:14" s="79" customFormat="1" x14ac:dyDescent="0.2">
      <c r="A147" s="358" t="str">
        <f>'0664'!A147</f>
        <v xml:space="preserve">distributed on weighted FTE (or base funding as is done in the FEFP) and should not be recalculated with fluctuations in student enrollment later in the year. </v>
      </c>
      <c r="B147" s="281"/>
      <c r="C147" s="281"/>
      <c r="D147" s="281"/>
      <c r="E147" s="281"/>
      <c r="F147" s="281"/>
      <c r="G147" s="281"/>
      <c r="H147" s="281"/>
      <c r="I147" s="281"/>
      <c r="N147" s="81"/>
    </row>
    <row r="148" spans="1:14" s="79" customFormat="1" x14ac:dyDescent="0.2">
      <c r="A148" s="356" t="str">
        <f>'0664'!A148</f>
        <v>(g) Numbers entered here will be multiplied by the district level transportation funding per rider. "All Adjusted Fundable Riders" should include both basic and ESE Riders.</v>
      </c>
      <c r="B148" s="281"/>
      <c r="C148" s="281"/>
      <c r="D148" s="281"/>
      <c r="E148" s="281"/>
      <c r="F148" s="281"/>
      <c r="G148" s="281"/>
      <c r="H148" s="281"/>
      <c r="I148" s="281"/>
      <c r="N148" s="81"/>
    </row>
    <row r="149" spans="1:14" s="79" customFormat="1" x14ac:dyDescent="0.2">
      <c r="A149" s="390" t="str">
        <f>'0664'!A149</f>
        <v>"All Adjusted ESE Riders" should include only ESE Riders.</v>
      </c>
      <c r="B149" s="281"/>
      <c r="C149" s="281"/>
      <c r="D149" s="281"/>
      <c r="E149" s="281"/>
      <c r="F149" s="281"/>
      <c r="G149" s="281"/>
      <c r="H149" s="281"/>
      <c r="I149" s="281"/>
      <c r="N149" s="81"/>
    </row>
    <row r="150" spans="1:14" s="79" customFormat="1" x14ac:dyDescent="0.2">
      <c r="A150" s="356" t="str">
        <f>'0664'!A150</f>
        <v xml:space="preserve">(h) The Federally Connected Student Supplement provides additional funding for students on federal lands that receive Section 8003 impact aide pursuant to s. 1011.62(13), F.S. </v>
      </c>
      <c r="B150" s="281"/>
      <c r="C150" s="281"/>
      <c r="D150" s="281"/>
      <c r="E150" s="281"/>
      <c r="F150" s="281"/>
      <c r="G150" s="281"/>
      <c r="H150" s="281"/>
      <c r="I150" s="281"/>
      <c r="N150" s="81"/>
    </row>
    <row r="151" spans="1:14" s="79" customFormat="1" x14ac:dyDescent="0.2">
      <c r="A151" s="356" t="str">
        <f>'0664'!A151</f>
        <v>(i) Teacher Classroom Supply Assistance Program allocation pursuant to s. 1012.71, F.S., for certified teachers employed by a public school district or public charter school</v>
      </c>
      <c r="B151" s="281"/>
      <c r="C151" s="281"/>
      <c r="D151" s="281"/>
      <c r="E151" s="281"/>
      <c r="F151" s="281"/>
      <c r="G151" s="281"/>
      <c r="H151" s="281"/>
      <c r="I151" s="281"/>
      <c r="N151" s="81"/>
    </row>
    <row r="152" spans="1:14" s="79" customFormat="1" x14ac:dyDescent="0.2">
      <c r="A152" s="358" t="str">
        <f>'0664'!A152</f>
        <v xml:space="preserve">before September 1 of each year whose full-time or job-share responsibility is the classroom instruction of students in prekindergarten through grade 12, including </v>
      </c>
      <c r="B152" s="281"/>
      <c r="C152" s="281"/>
      <c r="D152" s="281"/>
      <c r="E152" s="281"/>
      <c r="F152" s="281"/>
      <c r="G152" s="281"/>
      <c r="H152" s="281"/>
      <c r="I152" s="281"/>
      <c r="N152" s="81"/>
    </row>
    <row r="153" spans="1:14" s="79" customFormat="1" ht="15.75" customHeight="1" x14ac:dyDescent="0.2">
      <c r="A153" s="358" t="str">
        <f>'0664'!A153</f>
        <v>full-time media specialists and certified school counselors serving students in prekindergarten through grade 12, who are funded through the FEFP.</v>
      </c>
      <c r="B153" s="281"/>
      <c r="C153" s="281"/>
      <c r="D153" s="281"/>
      <c r="E153" s="281"/>
      <c r="F153" s="281"/>
      <c r="G153" s="281"/>
      <c r="H153" s="281"/>
      <c r="I153" s="281"/>
      <c r="N153" s="81"/>
    </row>
    <row r="154" spans="1:14" s="79" customFormat="1" ht="15.75" customHeight="1" x14ac:dyDescent="0.2">
      <c r="A154" s="356" t="str">
        <f>'0664'!A154</f>
        <v xml:space="preserve">(j) Funding based on student eligibility and meals provided, if participating in the National School Lunch Program. </v>
      </c>
      <c r="B154" s="328"/>
      <c r="C154" s="328"/>
      <c r="D154" s="328"/>
      <c r="E154" s="328"/>
      <c r="F154" s="328"/>
      <c r="G154" s="328"/>
      <c r="H154" s="328"/>
      <c r="I154" s="328"/>
      <c r="N154" s="81"/>
    </row>
    <row r="155" spans="1:14" s="79" customFormat="1" ht="15.75" customHeight="1" x14ac:dyDescent="0.2">
      <c r="A155" s="356" t="str">
        <f>'0664'!A155</f>
        <v>(k) Consistent with s. 1002.33(20)(a), F.S., for charter schools with a population of 75% or more ESE students, the administrative fee shall be calculated based on</v>
      </c>
      <c r="B155" s="381"/>
      <c r="C155" s="381"/>
      <c r="D155" s="381"/>
      <c r="E155" s="381"/>
      <c r="F155" s="381"/>
      <c r="G155" s="381"/>
      <c r="H155" s="381"/>
      <c r="I155" s="381"/>
      <c r="N155" s="81"/>
    </row>
    <row r="156" spans="1:14" s="79" customFormat="1" ht="15.75" customHeight="1" x14ac:dyDescent="0.2">
      <c r="A156" s="390" t="str">
        <f>'0664'!A156</f>
        <v xml:space="preserve">unweighted full-time equivalent students. </v>
      </c>
      <c r="B156" s="381"/>
      <c r="C156" s="381"/>
      <c r="D156" s="381"/>
      <c r="E156" s="381"/>
      <c r="F156" s="381"/>
      <c r="G156" s="381"/>
      <c r="H156" s="381"/>
      <c r="I156" s="381"/>
      <c r="N156" s="81"/>
    </row>
    <row r="157" spans="1:14" s="79" customFormat="1" ht="15.75" customHeight="1" x14ac:dyDescent="0.2">
      <c r="A157" s="356"/>
      <c r="B157" s="381"/>
      <c r="C157" s="381"/>
      <c r="D157" s="381"/>
      <c r="E157" s="381"/>
      <c r="F157" s="381"/>
      <c r="G157" s="381"/>
      <c r="H157" s="381"/>
      <c r="I157" s="381"/>
      <c r="N157" s="81"/>
    </row>
    <row r="158" spans="1:14" s="79" customFormat="1" ht="15.75" customHeight="1" x14ac:dyDescent="0.25">
      <c r="A158" s="398" t="str">
        <f>'0664'!A158</f>
        <v>Administrative fees:</v>
      </c>
      <c r="B158" s="328"/>
      <c r="C158" s="328"/>
      <c r="D158" s="328"/>
      <c r="E158" s="328"/>
      <c r="F158" s="328"/>
      <c r="G158" s="328"/>
      <c r="H158" s="328"/>
      <c r="I158" s="328"/>
      <c r="J158" s="3"/>
      <c r="K158" s="3"/>
      <c r="L158" s="3"/>
      <c r="M158" s="3"/>
      <c r="N158" s="81"/>
    </row>
    <row r="159" spans="1:14" s="79" customFormat="1" ht="15.75" customHeight="1" x14ac:dyDescent="0.25">
      <c r="A159" s="399" t="str">
        <f>'0664'!A159</f>
        <v xml:space="preserve">Administrative fees charged by the school district pursuant to s. 1002.33(20)(a), F.S., shall be calculated based upon 5% of available funds from the FEFP and categorical </v>
      </c>
      <c r="B159" s="328"/>
      <c r="C159" s="328"/>
      <c r="D159" s="328"/>
      <c r="E159" s="328"/>
      <c r="F159" s="328"/>
      <c r="G159" s="328"/>
      <c r="H159" s="328"/>
      <c r="I159" s="328"/>
      <c r="J159" s="3"/>
      <c r="K159" s="3"/>
      <c r="L159" s="3"/>
      <c r="M159" s="3"/>
      <c r="N159" s="81"/>
    </row>
    <row r="160" spans="1:14" s="79" customFormat="1" ht="15.75" customHeight="1" x14ac:dyDescent="0.25">
      <c r="A160" s="400" t="str">
        <f>'0664'!A160</f>
        <v>funding for which charter students may be eligible.  To calculate the administrative fee to be withheld for schools with more than 250 students, divide the school</v>
      </c>
      <c r="B160" s="328"/>
      <c r="C160" s="328"/>
      <c r="D160" s="328"/>
      <c r="E160" s="328"/>
      <c r="F160" s="328"/>
      <c r="G160" s="328"/>
      <c r="H160" s="328"/>
      <c r="I160" s="328"/>
      <c r="J160" s="3"/>
      <c r="K160" s="3"/>
      <c r="L160" s="3"/>
      <c r="M160" s="3"/>
      <c r="N160" s="81"/>
    </row>
    <row r="161" spans="1:21" s="79" customFormat="1" ht="15.75" customHeight="1" x14ac:dyDescent="0.25">
      <c r="A161" s="400" t="str">
        <f>'0664'!A161</f>
        <v xml:space="preserve">population into 250. Multiply that fraction times the funds available, then times 5%.  </v>
      </c>
      <c r="B161" s="328"/>
      <c r="C161" s="328"/>
      <c r="D161" s="328"/>
      <c r="E161" s="328"/>
      <c r="F161" s="328"/>
      <c r="G161" s="328"/>
      <c r="H161" s="328"/>
      <c r="I161" s="328"/>
      <c r="J161" s="3"/>
      <c r="K161" s="3"/>
      <c r="L161" s="3"/>
      <c r="M161" s="3"/>
      <c r="N161" s="81"/>
    </row>
    <row r="162" spans="1:21" s="79" customFormat="1" ht="15.75" customHeight="1" x14ac:dyDescent="0.25">
      <c r="A162" s="399"/>
      <c r="B162" s="394"/>
      <c r="C162" s="394"/>
      <c r="D162" s="394"/>
      <c r="E162" s="394"/>
      <c r="F162" s="394"/>
      <c r="G162" s="394"/>
      <c r="H162" s="394"/>
      <c r="I162" s="394"/>
      <c r="N162" s="77"/>
      <c r="O162" s="3"/>
      <c r="P162" s="3"/>
      <c r="Q162" s="3"/>
      <c r="R162" s="3"/>
      <c r="S162" s="3"/>
      <c r="T162" s="3"/>
      <c r="U162" s="3"/>
    </row>
    <row r="163" spans="1:21" ht="15.75" customHeight="1" x14ac:dyDescent="0.25">
      <c r="A163" s="399" t="str">
        <f>'0664'!A163</f>
        <v xml:space="preserve">For high performing charter schools, administrative fees charged by the school district shall be calculated based upon 2% of available funds from the FEFP and categorical </v>
      </c>
      <c r="B163" s="328"/>
      <c r="C163" s="328"/>
      <c r="D163" s="328"/>
      <c r="E163" s="328"/>
      <c r="F163" s="328"/>
      <c r="G163" s="328"/>
      <c r="H163" s="328"/>
      <c r="I163" s="328"/>
      <c r="J163" s="79"/>
      <c r="K163" s="79"/>
      <c r="L163" s="79"/>
      <c r="M163" s="79"/>
      <c r="N163" s="81"/>
      <c r="O163" s="79"/>
      <c r="P163" s="79"/>
      <c r="Q163" s="79"/>
      <c r="R163" s="79"/>
      <c r="S163" s="79"/>
      <c r="T163" s="79"/>
      <c r="U163" s="79"/>
    </row>
    <row r="164" spans="1:21" ht="15.75" customHeight="1" x14ac:dyDescent="0.25">
      <c r="A164" s="400" t="str">
        <f>'0664'!A164</f>
        <v>funding for which charter students may be eligible.  To calculate the administrative fee to be withheld for schools with more than 250 students, divide the school</v>
      </c>
      <c r="B164" s="381"/>
      <c r="C164" s="381"/>
      <c r="D164" s="381"/>
      <c r="E164" s="381"/>
      <c r="F164" s="381"/>
      <c r="G164" s="381"/>
      <c r="H164" s="381"/>
      <c r="I164" s="381"/>
      <c r="J164" s="79"/>
      <c r="K164" s="79"/>
      <c r="L164" s="79"/>
      <c r="M164" s="79"/>
      <c r="N164" s="81"/>
      <c r="O164" s="79"/>
      <c r="P164" s="79"/>
      <c r="Q164" s="79"/>
      <c r="R164" s="79"/>
      <c r="S164" s="79"/>
      <c r="T164" s="79"/>
      <c r="U164" s="79"/>
    </row>
    <row r="165" spans="1:21" s="79" customFormat="1" ht="15.75" customHeight="1" x14ac:dyDescent="0.2">
      <c r="A165" s="400" t="str">
        <f>'0664'!A165</f>
        <v xml:space="preserve">population into 250. Multiply that fraction times the funds available, then times 2%.  </v>
      </c>
      <c r="B165" s="328"/>
      <c r="C165" s="328"/>
      <c r="D165" s="328"/>
      <c r="E165" s="328"/>
      <c r="F165" s="328"/>
      <c r="G165" s="328"/>
      <c r="H165" s="328"/>
      <c r="I165" s="328"/>
      <c r="N165" s="81"/>
    </row>
    <row r="166" spans="1:21" x14ac:dyDescent="0.25">
      <c r="A166" s="356"/>
      <c r="N166" s="77"/>
    </row>
    <row r="167" spans="1:21" x14ac:dyDescent="0.25">
      <c r="A167" s="398" t="str">
        <f>'0664'!A167</f>
        <v>Other:</v>
      </c>
      <c r="N167" s="77"/>
    </row>
    <row r="168" spans="1:21" x14ac:dyDescent="0.25">
      <c r="A168" s="399" t="str">
        <f>'0664'!A168</f>
        <v>FEFP and categorical funding are recalculated during the year to reflect the revised number of full-time equivalent students reported during the survey periods designated</v>
      </c>
      <c r="N168" s="77"/>
    </row>
    <row r="169" spans="1:21" x14ac:dyDescent="0.25">
      <c r="A169" s="402" t="str">
        <f>'0664'!A169</f>
        <v>by the Commissioner of Education.</v>
      </c>
      <c r="N169" s="77"/>
    </row>
    <row r="170" spans="1:21" x14ac:dyDescent="0.25">
      <c r="A170" s="399" t="str">
        <f>'0664'!A170</f>
        <v>Revenues flow to districts from state sources and from county tax collectors on various distribution schedules.</v>
      </c>
      <c r="N170" s="77"/>
    </row>
    <row r="171" spans="1:21" x14ac:dyDescent="0.25">
      <c r="A171" s="77"/>
      <c r="N171" s="77"/>
    </row>
    <row r="172" spans="1:21" x14ac:dyDescent="0.25">
      <c r="A172" s="77"/>
      <c r="N172" s="77"/>
    </row>
    <row r="173" spans="1:21" x14ac:dyDescent="0.25">
      <c r="A173" s="77"/>
      <c r="N173" s="77"/>
    </row>
    <row r="174" spans="1:21" x14ac:dyDescent="0.25">
      <c r="A174" s="77"/>
      <c r="N174" s="77"/>
    </row>
    <row r="175" spans="1:21" x14ac:dyDescent="0.25">
      <c r="A175" s="77"/>
      <c r="N175" s="77"/>
    </row>
    <row r="176" spans="1:21" x14ac:dyDescent="0.25">
      <c r="A176" s="77"/>
      <c r="N176" s="77"/>
    </row>
    <row r="177" spans="1:14" x14ac:dyDescent="0.25">
      <c r="A177" s="77"/>
      <c r="N177" s="77"/>
    </row>
    <row r="178" spans="1:14" x14ac:dyDescent="0.25">
      <c r="A178" s="77"/>
      <c r="N178" s="77"/>
    </row>
    <row r="179" spans="1:14" x14ac:dyDescent="0.25">
      <c r="A179" s="77"/>
      <c r="N179" s="77"/>
    </row>
    <row r="180" spans="1:14" x14ac:dyDescent="0.25">
      <c r="A180" s="77"/>
      <c r="N180" s="77"/>
    </row>
    <row r="181" spans="1:14" x14ac:dyDescent="0.25">
      <c r="A181" s="77"/>
      <c r="N181" s="77"/>
    </row>
    <row r="182" spans="1:14" x14ac:dyDescent="0.25">
      <c r="A182" s="77"/>
      <c r="N182" s="77"/>
    </row>
    <row r="183" spans="1:14" x14ac:dyDescent="0.25">
      <c r="A183" s="77"/>
      <c r="N183" s="77"/>
    </row>
    <row r="184" spans="1:14" x14ac:dyDescent="0.25">
      <c r="A184" s="77"/>
      <c r="N184" s="77"/>
    </row>
    <row r="185" spans="1:14" x14ac:dyDescent="0.25">
      <c r="A185" s="77"/>
      <c r="N185" s="77"/>
    </row>
    <row r="186" spans="1:14" x14ac:dyDescent="0.25">
      <c r="A186" s="77"/>
      <c r="N186" s="77"/>
    </row>
    <row r="187" spans="1:14" x14ac:dyDescent="0.25">
      <c r="A187" s="77"/>
      <c r="N187" s="77"/>
    </row>
    <row r="188" spans="1:14" x14ac:dyDescent="0.25">
      <c r="A188" s="77"/>
    </row>
    <row r="189" spans="1:14" x14ac:dyDescent="0.25">
      <c r="A189" s="77"/>
    </row>
    <row r="190" spans="1:14" x14ac:dyDescent="0.25">
      <c r="A190" s="77"/>
    </row>
    <row r="191" spans="1:14" x14ac:dyDescent="0.25">
      <c r="A191" s="77"/>
    </row>
    <row r="192" spans="1:14" x14ac:dyDescent="0.25">
      <c r="A192" s="77"/>
    </row>
    <row r="193" spans="1:1" x14ac:dyDescent="0.25">
      <c r="A193" s="77"/>
    </row>
    <row r="194" spans="1:1" x14ac:dyDescent="0.25">
      <c r="A194" s="77"/>
    </row>
    <row r="195" spans="1:1" x14ac:dyDescent="0.25">
      <c r="A195" s="77"/>
    </row>
    <row r="196" spans="1:1" x14ac:dyDescent="0.25">
      <c r="A196" s="77"/>
    </row>
    <row r="197" spans="1:1" x14ac:dyDescent="0.25">
      <c r="A197" s="77"/>
    </row>
    <row r="198" spans="1:1" x14ac:dyDescent="0.25">
      <c r="A198" s="77"/>
    </row>
    <row r="199" spans="1:1" x14ac:dyDescent="0.25">
      <c r="A199" s="77"/>
    </row>
    <row r="200" spans="1:1" x14ac:dyDescent="0.25">
      <c r="A200" s="77"/>
    </row>
    <row r="201" spans="1:1" x14ac:dyDescent="0.25">
      <c r="A201" s="77"/>
    </row>
    <row r="202" spans="1:1" x14ac:dyDescent="0.25">
      <c r="A202" s="77"/>
    </row>
    <row r="203" spans="1:1" x14ac:dyDescent="0.25">
      <c r="A203" s="77"/>
    </row>
    <row r="204" spans="1:1" x14ac:dyDescent="0.25">
      <c r="A204" s="77"/>
    </row>
    <row r="205" spans="1:1" x14ac:dyDescent="0.25">
      <c r="A205" s="77"/>
    </row>
    <row r="206" spans="1:1" x14ac:dyDescent="0.25">
      <c r="A206" s="77"/>
    </row>
  </sheetData>
  <mergeCells count="266">
    <mergeCell ref="A110:B110"/>
    <mergeCell ref="N110:O110"/>
    <mergeCell ref="A112:C112"/>
    <mergeCell ref="F112:H112"/>
    <mergeCell ref="N112:P112"/>
    <mergeCell ref="A113:C113"/>
    <mergeCell ref="F113:H113"/>
    <mergeCell ref="N113:P113"/>
    <mergeCell ref="N139:U139"/>
    <mergeCell ref="N114:T114"/>
    <mergeCell ref="A115:H115"/>
    <mergeCell ref="A119:G119"/>
    <mergeCell ref="N119:U119"/>
    <mergeCell ref="A120:G120"/>
    <mergeCell ref="N120:U120"/>
    <mergeCell ref="A108:B108"/>
    <mergeCell ref="F108:G108"/>
    <mergeCell ref="N108:O108"/>
    <mergeCell ref="P108:Q108"/>
    <mergeCell ref="R108:S108"/>
    <mergeCell ref="A109:B109"/>
    <mergeCell ref="F109:G109"/>
    <mergeCell ref="N109:O109"/>
    <mergeCell ref="P109:Q109"/>
    <mergeCell ref="R109:S109"/>
    <mergeCell ref="C104:E104"/>
    <mergeCell ref="F105:G105"/>
    <mergeCell ref="A106:B106"/>
    <mergeCell ref="F106:G106"/>
    <mergeCell ref="N106:O106"/>
    <mergeCell ref="P106:Q106"/>
    <mergeCell ref="R106:S106"/>
    <mergeCell ref="A107:B107"/>
    <mergeCell ref="F107:G107"/>
    <mergeCell ref="N107:O107"/>
    <mergeCell ref="P107:Q107"/>
    <mergeCell ref="R107:S107"/>
    <mergeCell ref="A99:B99"/>
    <mergeCell ref="N99:O99"/>
    <mergeCell ref="P99:R99"/>
    <mergeCell ref="A100:B100"/>
    <mergeCell ref="N100:O100"/>
    <mergeCell ref="P100:R100"/>
    <mergeCell ref="A103:C103"/>
    <mergeCell ref="F103:I103"/>
    <mergeCell ref="N103:U103"/>
    <mergeCell ref="C92:D92"/>
    <mergeCell ref="P92:Q92"/>
    <mergeCell ref="C93:D93"/>
    <mergeCell ref="P93:T93"/>
    <mergeCell ref="A94:I94"/>
    <mergeCell ref="N94:U94"/>
    <mergeCell ref="F96:I96"/>
    <mergeCell ref="N96:P96"/>
    <mergeCell ref="Q96:T96"/>
    <mergeCell ref="C88:D88"/>
    <mergeCell ref="C89:D89"/>
    <mergeCell ref="N89:O89"/>
    <mergeCell ref="P89:Q89"/>
    <mergeCell ref="R89:U89"/>
    <mergeCell ref="C90:D90"/>
    <mergeCell ref="P90:Q90"/>
    <mergeCell ref="C91:D91"/>
    <mergeCell ref="P91:Q91"/>
    <mergeCell ref="N74:T74"/>
    <mergeCell ref="A76:C76"/>
    <mergeCell ref="N76:P76"/>
    <mergeCell ref="A77:C77"/>
    <mergeCell ref="N77:P77"/>
    <mergeCell ref="A85:C85"/>
    <mergeCell ref="N85:P85"/>
    <mergeCell ref="A87:I87"/>
    <mergeCell ref="N87:U87"/>
    <mergeCell ref="A78:C78"/>
    <mergeCell ref="N78:P78"/>
    <mergeCell ref="A79:C79"/>
    <mergeCell ref="N79:P79"/>
    <mergeCell ref="A80:C80"/>
    <mergeCell ref="N80:P80"/>
    <mergeCell ref="A69:C69"/>
    <mergeCell ref="N69:P69"/>
    <mergeCell ref="A70:C70"/>
    <mergeCell ref="A71:C71"/>
    <mergeCell ref="N71:P71"/>
    <mergeCell ref="A72:C72"/>
    <mergeCell ref="N72:P72"/>
    <mergeCell ref="F73:H73"/>
    <mergeCell ref="N73:T73"/>
    <mergeCell ref="A65:B65"/>
    <mergeCell ref="D65:G65"/>
    <mergeCell ref="N65:O65"/>
    <mergeCell ref="Q65:S65"/>
    <mergeCell ref="T65:U65"/>
    <mergeCell ref="N66:S66"/>
    <mergeCell ref="T66:U66"/>
    <mergeCell ref="A68:C68"/>
    <mergeCell ref="N68:P68"/>
    <mergeCell ref="A62:B62"/>
    <mergeCell ref="D62:G62"/>
    <mergeCell ref="N62:O62"/>
    <mergeCell ref="Q62:S62"/>
    <mergeCell ref="T62:U62"/>
    <mergeCell ref="N63:S63"/>
    <mergeCell ref="T63:U63"/>
    <mergeCell ref="A64:I64"/>
    <mergeCell ref="N64:U64"/>
    <mergeCell ref="A59:B59"/>
    <mergeCell ref="F59:H59"/>
    <mergeCell ref="N59:O59"/>
    <mergeCell ref="P59:Q59"/>
    <mergeCell ref="R59:T59"/>
    <mergeCell ref="A60:I60"/>
    <mergeCell ref="N60:U60"/>
    <mergeCell ref="A61:I61"/>
    <mergeCell ref="N61:U61"/>
    <mergeCell ref="A50:B58"/>
    <mergeCell ref="N50:O58"/>
    <mergeCell ref="P50:Q50"/>
    <mergeCell ref="P51:Q51"/>
    <mergeCell ref="P52:Q52"/>
    <mergeCell ref="P53:Q53"/>
    <mergeCell ref="P54:Q54"/>
    <mergeCell ref="P55:Q55"/>
    <mergeCell ref="P56:Q56"/>
    <mergeCell ref="P57:Q57"/>
    <mergeCell ref="P58:Q58"/>
    <mergeCell ref="A42:B42"/>
    <mergeCell ref="N42:O42"/>
    <mergeCell ref="P42:T42"/>
    <mergeCell ref="N43:Q43"/>
    <mergeCell ref="S43:T43"/>
    <mergeCell ref="N45:Q45"/>
    <mergeCell ref="S45:T45"/>
    <mergeCell ref="N49:O49"/>
    <mergeCell ref="P49:Q49"/>
    <mergeCell ref="A39:B39"/>
    <mergeCell ref="N39:O39"/>
    <mergeCell ref="P39:T39"/>
    <mergeCell ref="A40:B40"/>
    <mergeCell ref="N40:O40"/>
    <mergeCell ref="P40:T40"/>
    <mergeCell ref="A41:B41"/>
    <mergeCell ref="N41:O41"/>
    <mergeCell ref="P41:T41"/>
    <mergeCell ref="F33:H36"/>
    <mergeCell ref="N34:T34"/>
    <mergeCell ref="A36:B36"/>
    <mergeCell ref="N36:O36"/>
    <mergeCell ref="P36:T36"/>
    <mergeCell ref="A37:B37"/>
    <mergeCell ref="N37:O37"/>
    <mergeCell ref="P37:T37"/>
    <mergeCell ref="A38:B38"/>
    <mergeCell ref="N38:O38"/>
    <mergeCell ref="P38:T38"/>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A20:B20"/>
    <mergeCell ref="F20:G20"/>
    <mergeCell ref="N20:O20"/>
    <mergeCell ref="P20:Q20"/>
    <mergeCell ref="R20:S20"/>
    <mergeCell ref="A21:B21"/>
    <mergeCell ref="F21:G21"/>
    <mergeCell ref="N21:O21"/>
    <mergeCell ref="P21:Q21"/>
    <mergeCell ref="R21:S21"/>
    <mergeCell ref="A18:B18"/>
    <mergeCell ref="F18:G18"/>
    <mergeCell ref="N18:O18"/>
    <mergeCell ref="P18:Q18"/>
    <mergeCell ref="R18:S18"/>
    <mergeCell ref="A19:B19"/>
    <mergeCell ref="F19:G19"/>
    <mergeCell ref="N19:O19"/>
    <mergeCell ref="P19:Q19"/>
    <mergeCell ref="R19:S19"/>
    <mergeCell ref="A16:B16"/>
    <mergeCell ref="F16:G16"/>
    <mergeCell ref="N16:O16"/>
    <mergeCell ref="P16:Q16"/>
    <mergeCell ref="R16:S16"/>
    <mergeCell ref="A17:B17"/>
    <mergeCell ref="F17:G17"/>
    <mergeCell ref="N17:O17"/>
    <mergeCell ref="P17:Q17"/>
    <mergeCell ref="R17:S17"/>
    <mergeCell ref="A14:B14"/>
    <mergeCell ref="F14:G14"/>
    <mergeCell ref="N14:O14"/>
    <mergeCell ref="P14:Q14"/>
    <mergeCell ref="R14:S14"/>
    <mergeCell ref="A15:B15"/>
    <mergeCell ref="F15:G15"/>
    <mergeCell ref="N15:O15"/>
    <mergeCell ref="P15:Q15"/>
    <mergeCell ref="R15:S15"/>
    <mergeCell ref="A12:B12"/>
    <mergeCell ref="F12:G12"/>
    <mergeCell ref="N12:O12"/>
    <mergeCell ref="P12:Q12"/>
    <mergeCell ref="R12:S12"/>
    <mergeCell ref="A13:B13"/>
    <mergeCell ref="F13:G13"/>
    <mergeCell ref="N13:O13"/>
    <mergeCell ref="P13:Q13"/>
    <mergeCell ref="R13:S13"/>
    <mergeCell ref="N8:O8"/>
    <mergeCell ref="P8:Q8"/>
    <mergeCell ref="R8:S8"/>
    <mergeCell ref="T8:U8"/>
    <mergeCell ref="F10:G10"/>
    <mergeCell ref="R10:S10"/>
    <mergeCell ref="A11:B11"/>
    <mergeCell ref="F11:G11"/>
    <mergeCell ref="N11:O11"/>
    <mergeCell ref="P11:Q11"/>
    <mergeCell ref="R11:S11"/>
    <mergeCell ref="B1:I1"/>
    <mergeCell ref="O1:U1"/>
    <mergeCell ref="N2:U2"/>
    <mergeCell ref="N3:U3"/>
    <mergeCell ref="A4:B4"/>
    <mergeCell ref="C4:E4"/>
    <mergeCell ref="N4:O4"/>
    <mergeCell ref="P4:Q4"/>
    <mergeCell ref="A7:I7"/>
    <mergeCell ref="N7:U7"/>
  </mergeCells>
  <pageMargins left="0.1" right="0.1" top="0.5" bottom="0.5" header="0" footer="0.1"/>
  <pageSetup scale="70" fitToHeight="3" orientation="portrait" r:id="rId1"/>
  <headerFooter alignWithMargins="0">
    <oddFooter>&amp;R&amp;P of &amp;N</oddFooter>
  </headerFooter>
  <rowBreaks count="1" manualBreakCount="1">
    <brk id="138" max="16383" man="1"/>
  </rowBreaks>
  <colBreaks count="1" manualBreakCount="1">
    <brk id="9" max="1048575" man="1"/>
  </colBreaks>
  <legacyDrawing r:id="rId2"/>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1">
    <tabColor rgb="FFCCFFCC"/>
  </sheetPr>
  <dimension ref="A1:U206"/>
  <sheetViews>
    <sheetView showGridLines="0" zoomScaleNormal="100" workbookViewId="0">
      <pane ySplit="1" topLeftCell="A11" activePane="bottomLeft" state="frozen"/>
      <selection activeCell="I9" sqref="I9"/>
      <selection pane="bottomLeft" activeCell="J57" sqref="J57"/>
    </sheetView>
  </sheetViews>
  <sheetFormatPr defaultRowHeight="15.75" x14ac:dyDescent="0.25"/>
  <cols>
    <col min="1" max="1" width="10.28515625" style="72"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72"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5">
        <v>50</v>
      </c>
      <c r="B1" s="441" t="s">
        <v>17</v>
      </c>
      <c r="C1" s="442"/>
      <c r="D1" s="442"/>
      <c r="E1" s="442"/>
      <c r="F1" s="442"/>
      <c r="G1" s="442"/>
      <c r="H1" s="442"/>
      <c r="I1" s="442"/>
      <c r="J1" s="157"/>
      <c r="K1" s="157"/>
      <c r="L1" s="157"/>
      <c r="N1" s="85">
        <f>A1</f>
        <v>50</v>
      </c>
      <c r="O1" s="527" t="s">
        <v>17</v>
      </c>
      <c r="P1" s="528"/>
      <c r="Q1" s="528"/>
      <c r="R1" s="528"/>
      <c r="S1" s="528"/>
      <c r="T1" s="528"/>
      <c r="U1" s="528"/>
    </row>
    <row r="2" spans="1:21" ht="21" x14ac:dyDescent="0.35">
      <c r="A2" s="1" t="s">
        <v>450</v>
      </c>
      <c r="B2" s="2"/>
      <c r="C2" s="2"/>
      <c r="D2" s="2"/>
      <c r="E2" s="2"/>
      <c r="F2" s="2"/>
      <c r="G2" s="2"/>
      <c r="H2" s="2"/>
      <c r="I2" s="2"/>
      <c r="N2" s="529" t="s">
        <v>23</v>
      </c>
      <c r="O2" s="529"/>
      <c r="P2" s="529"/>
      <c r="Q2" s="529"/>
      <c r="R2" s="529"/>
      <c r="S2" s="529"/>
      <c r="T2" s="529"/>
      <c r="U2" s="529"/>
    </row>
    <row r="3" spans="1:21" x14ac:dyDescent="0.25">
      <c r="A3" s="84" t="str">
        <f>'0664'!A3</f>
        <v>Based on the FLDOE 2022-23 FEFP Third Calculation</v>
      </c>
      <c r="N3" s="485" t="str">
        <f>A3</f>
        <v>Based on the FLDOE 2022-23 FEFP Third Calculation</v>
      </c>
      <c r="O3" s="485"/>
      <c r="P3" s="485"/>
      <c r="Q3" s="485"/>
      <c r="R3" s="485"/>
      <c r="S3" s="485"/>
      <c r="T3" s="485"/>
      <c r="U3" s="485"/>
    </row>
    <row r="4" spans="1:21" x14ac:dyDescent="0.25">
      <c r="A4" s="443" t="s">
        <v>0</v>
      </c>
      <c r="B4" s="443"/>
      <c r="C4" s="444" t="s">
        <v>9</v>
      </c>
      <c r="D4" s="444"/>
      <c r="E4" s="444"/>
      <c r="F4" s="4" t="str">
        <f>'0664'!F4</f>
        <v>Apr 2023</v>
      </c>
      <c r="G4" s="4"/>
      <c r="H4" s="173"/>
      <c r="I4" s="4"/>
      <c r="N4" s="530" t="s">
        <v>0</v>
      </c>
      <c r="O4" s="530"/>
      <c r="P4" s="531" t="str">
        <f>C4</f>
        <v>Palm Beach</v>
      </c>
      <c r="Q4" s="531"/>
      <c r="R4" s="5"/>
      <c r="S4" s="5"/>
      <c r="T4" s="5"/>
      <c r="U4" s="5"/>
    </row>
    <row r="5" spans="1:21" ht="12" customHeight="1" thickBot="1" x14ac:dyDescent="0.3">
      <c r="A5" s="262"/>
      <c r="B5" s="262"/>
      <c r="C5" s="253"/>
      <c r="D5" s="253"/>
      <c r="E5" s="253"/>
      <c r="F5" s="254"/>
      <c r="G5" s="254"/>
      <c r="H5" s="254"/>
      <c r="I5" s="254"/>
      <c r="N5" s="86"/>
      <c r="O5" s="86"/>
      <c r="P5" s="6"/>
      <c r="Q5" s="6"/>
      <c r="R5" s="5"/>
      <c r="S5" s="5"/>
      <c r="T5" s="5"/>
      <c r="U5" s="5"/>
    </row>
    <row r="6" spans="1:21" ht="12" customHeight="1" x14ac:dyDescent="0.25">
      <c r="A6" s="150"/>
      <c r="B6" s="150"/>
      <c r="C6" s="261"/>
      <c r="D6" s="261"/>
      <c r="E6" s="261"/>
      <c r="F6" s="4"/>
      <c r="G6" s="4"/>
      <c r="H6" s="4"/>
      <c r="I6" s="4"/>
      <c r="N6" s="86"/>
      <c r="O6" s="86"/>
      <c r="P6" s="6"/>
      <c r="Q6" s="6"/>
      <c r="R6" s="5"/>
      <c r="S6" s="5"/>
      <c r="T6" s="5"/>
      <c r="U6" s="5"/>
    </row>
    <row r="7" spans="1:21" x14ac:dyDescent="0.25">
      <c r="A7" s="445" t="str">
        <f>'0664'!A7:I7</f>
        <v>1.   2022-23 FEFP State and Local Funding</v>
      </c>
      <c r="B7" s="533"/>
      <c r="C7" s="533"/>
      <c r="D7" s="533"/>
      <c r="E7" s="533"/>
      <c r="F7" s="533"/>
      <c r="G7" s="533"/>
      <c r="H7" s="533"/>
      <c r="I7" s="533"/>
      <c r="N7" s="530" t="s">
        <v>86</v>
      </c>
      <c r="O7" s="530"/>
      <c r="P7" s="530"/>
      <c r="Q7" s="530"/>
      <c r="R7" s="530"/>
      <c r="S7" s="530"/>
      <c r="T7" s="530"/>
      <c r="U7" s="530"/>
    </row>
    <row r="8" spans="1:21" x14ac:dyDescent="0.25">
      <c r="A8" s="87"/>
      <c r="B8" s="88" t="s">
        <v>123</v>
      </c>
      <c r="C8" s="334">
        <f>'0664'!C8</f>
        <v>4587.3999999999996</v>
      </c>
      <c r="D8" s="89"/>
      <c r="E8" s="90"/>
      <c r="F8" s="87"/>
      <c r="G8" s="88" t="s">
        <v>122</v>
      </c>
      <c r="H8" s="320">
        <f>'0664'!H8</f>
        <v>1.0438000000000001</v>
      </c>
      <c r="I8" s="78"/>
      <c r="N8" s="534" t="s">
        <v>10</v>
      </c>
      <c r="O8" s="534"/>
      <c r="P8" s="535">
        <v>4154.45</v>
      </c>
      <c r="Q8" s="535"/>
      <c r="R8" s="518" t="s">
        <v>11</v>
      </c>
      <c r="S8" s="518"/>
      <c r="T8" s="519">
        <f>H8</f>
        <v>1.0438000000000001</v>
      </c>
      <c r="U8" s="519"/>
    </row>
    <row r="9" spans="1:21" x14ac:dyDescent="0.25">
      <c r="A9" s="7"/>
      <c r="B9" s="44" t="s">
        <v>370</v>
      </c>
      <c r="C9" s="41" t="s">
        <v>370</v>
      </c>
      <c r="D9" s="91" t="s">
        <v>370</v>
      </c>
      <c r="E9" s="8"/>
      <c r="F9" s="9"/>
      <c r="G9" s="9"/>
      <c r="H9" s="10"/>
      <c r="I9" s="340" t="str">
        <f>'0664'!I9</f>
        <v>2022-23</v>
      </c>
      <c r="N9" s="12"/>
      <c r="O9" s="12"/>
      <c r="P9" s="13"/>
      <c r="Q9" s="13"/>
      <c r="R9" s="14"/>
      <c r="S9" s="14"/>
      <c r="T9" s="15"/>
      <c r="U9" s="405" t="s">
        <v>405</v>
      </c>
    </row>
    <row r="10" spans="1:21" x14ac:dyDescent="0.25">
      <c r="A10" s="7"/>
      <c r="B10" s="7"/>
      <c r="C10" s="91" t="s">
        <v>463</v>
      </c>
      <c r="D10" s="371" t="s">
        <v>464</v>
      </c>
      <c r="E10" s="92" t="s">
        <v>8</v>
      </c>
      <c r="F10" s="446" t="s">
        <v>1</v>
      </c>
      <c r="G10" s="446"/>
      <c r="H10" s="10" t="s">
        <v>73</v>
      </c>
      <c r="I10" s="11" t="s">
        <v>36</v>
      </c>
      <c r="N10" s="12"/>
      <c r="O10" s="12"/>
      <c r="P10" s="13"/>
      <c r="Q10" s="13"/>
      <c r="R10" s="520" t="s">
        <v>1</v>
      </c>
      <c r="S10" s="520"/>
      <c r="T10" s="15" t="s">
        <v>73</v>
      </c>
      <c r="U10" s="16" t="s">
        <v>36</v>
      </c>
    </row>
    <row r="11" spans="1:21" x14ac:dyDescent="0.25">
      <c r="A11" s="447" t="s">
        <v>1</v>
      </c>
      <c r="B11" s="447"/>
      <c r="C11" s="364">
        <v>44829</v>
      </c>
      <c r="D11" s="362"/>
      <c r="E11" s="362" t="s">
        <v>2</v>
      </c>
      <c r="F11" s="448" t="s">
        <v>76</v>
      </c>
      <c r="G11" s="448"/>
      <c r="H11" s="17" t="s">
        <v>72</v>
      </c>
      <c r="I11" s="18" t="s">
        <v>75</v>
      </c>
      <c r="N11" s="510" t="s">
        <v>1</v>
      </c>
      <c r="O11" s="510"/>
      <c r="P11" s="521" t="s">
        <v>24</v>
      </c>
      <c r="Q11" s="521"/>
      <c r="R11" s="522" t="s">
        <v>76</v>
      </c>
      <c r="S11" s="522"/>
      <c r="T11" s="19" t="s">
        <v>72</v>
      </c>
      <c r="U11" s="20" t="s">
        <v>75</v>
      </c>
    </row>
    <row r="12" spans="1:21" x14ac:dyDescent="0.25">
      <c r="A12" s="449" t="s">
        <v>47</v>
      </c>
      <c r="B12" s="449"/>
      <c r="C12" s="94"/>
      <c r="D12" s="94"/>
      <c r="E12" s="95" t="s">
        <v>48</v>
      </c>
      <c r="F12" s="450" t="s">
        <v>49</v>
      </c>
      <c r="G12" s="450"/>
      <c r="H12" s="21" t="s">
        <v>50</v>
      </c>
      <c r="I12" s="22" t="s">
        <v>51</v>
      </c>
      <c r="N12" s="523" t="s">
        <v>47</v>
      </c>
      <c r="O12" s="523"/>
      <c r="P12" s="524" t="s">
        <v>48</v>
      </c>
      <c r="Q12" s="524"/>
      <c r="R12" s="525" t="s">
        <v>49</v>
      </c>
      <c r="S12" s="525"/>
      <c r="T12" s="23" t="s">
        <v>50</v>
      </c>
      <c r="U12" s="24" t="s">
        <v>51</v>
      </c>
    </row>
    <row r="13" spans="1:21" x14ac:dyDescent="0.25">
      <c r="A13" s="451" t="s">
        <v>29</v>
      </c>
      <c r="B13" s="451"/>
      <c r="C13" s="165">
        <v>0</v>
      </c>
      <c r="D13" s="163">
        <v>0</v>
      </c>
      <c r="E13" s="210">
        <f>IF(D$29=0,C13*2,C13+D13)</f>
        <v>0</v>
      </c>
      <c r="F13" s="537">
        <f>'0664'!F13:G13</f>
        <v>1.1259999999999999</v>
      </c>
      <c r="G13" s="537"/>
      <c r="H13" s="167">
        <f>ROUND(E13*F13,4)</f>
        <v>0</v>
      </c>
      <c r="I13" s="119">
        <f t="shared" ref="I13:I28" si="0">ROUND(ROUND(H13*$C$8,4)*($H$8),2)</f>
        <v>0</v>
      </c>
      <c r="N13" s="512" t="s">
        <v>29</v>
      </c>
      <c r="O13" s="512"/>
      <c r="P13" s="513">
        <f t="shared" ref="P13:P28" si="1">IF($H$120=1,E13,0)</f>
        <v>0</v>
      </c>
      <c r="Q13" s="513"/>
      <c r="R13" s="526">
        <v>1</v>
      </c>
      <c r="S13" s="526"/>
      <c r="T13" s="98">
        <f>ROUND(P13*R13,4)</f>
        <v>0</v>
      </c>
      <c r="U13" s="99">
        <f t="shared" ref="U13:U28" si="2">ROUND(ROUND(T13*$C$8,4)*($H$8),0)</f>
        <v>0</v>
      </c>
    </row>
    <row r="14" spans="1:21" x14ac:dyDescent="0.25">
      <c r="A14" s="453" t="s">
        <v>30</v>
      </c>
      <c r="B14" s="453"/>
      <c r="C14" s="165">
        <v>0</v>
      </c>
      <c r="D14" s="165">
        <v>0</v>
      </c>
      <c r="E14" s="125">
        <f t="shared" ref="E14:E28" si="3">IF(D$29=0,C14*2,C14+D14)</f>
        <v>0</v>
      </c>
      <c r="F14" s="532">
        <f>'0664'!F14:G14</f>
        <v>1.1259999999999999</v>
      </c>
      <c r="G14" s="532"/>
      <c r="H14" s="83">
        <f t="shared" ref="H14:H28" si="4">ROUND(E14*F14,4)</f>
        <v>0</v>
      </c>
      <c r="I14" s="104">
        <f t="shared" si="0"/>
        <v>0</v>
      </c>
      <c r="J14" s="68" t="str">
        <f>IF(ROUND(E14,2)=ROUND(SUM(E50:E52),2)," ","CHECK PK-3 LINES BELOW")</f>
        <v xml:space="preserve"> </v>
      </c>
      <c r="N14" s="479" t="s">
        <v>30</v>
      </c>
      <c r="O14" s="479"/>
      <c r="P14" s="513">
        <f t="shared" si="1"/>
        <v>0</v>
      </c>
      <c r="Q14" s="513"/>
      <c r="R14" s="517">
        <v>1</v>
      </c>
      <c r="S14" s="517"/>
      <c r="T14" s="98">
        <f t="shared" ref="T14:T28" si="5">ROUND(P14*R14,4)</f>
        <v>0</v>
      </c>
      <c r="U14" s="99">
        <f t="shared" si="2"/>
        <v>0</v>
      </c>
    </row>
    <row r="15" spans="1:21" x14ac:dyDescent="0.25">
      <c r="A15" s="453" t="s">
        <v>31</v>
      </c>
      <c r="B15" s="453"/>
      <c r="C15" s="165">
        <v>0</v>
      </c>
      <c r="D15" s="165">
        <v>0</v>
      </c>
      <c r="E15" s="125">
        <f t="shared" si="3"/>
        <v>0</v>
      </c>
      <c r="F15" s="532">
        <f>'0664'!F15:G15</f>
        <v>1</v>
      </c>
      <c r="G15" s="532"/>
      <c r="H15" s="83">
        <f t="shared" si="4"/>
        <v>0</v>
      </c>
      <c r="I15" s="104">
        <f t="shared" si="0"/>
        <v>0</v>
      </c>
      <c r="N15" s="479" t="s">
        <v>31</v>
      </c>
      <c r="O15" s="479"/>
      <c r="P15" s="513">
        <f t="shared" si="1"/>
        <v>0</v>
      </c>
      <c r="Q15" s="513"/>
      <c r="R15" s="517">
        <v>1</v>
      </c>
      <c r="S15" s="517"/>
      <c r="T15" s="98">
        <f t="shared" si="5"/>
        <v>0</v>
      </c>
      <c r="U15" s="99">
        <f t="shared" si="2"/>
        <v>0</v>
      </c>
    </row>
    <row r="16" spans="1:21" x14ac:dyDescent="0.25">
      <c r="A16" s="453" t="s">
        <v>32</v>
      </c>
      <c r="B16" s="453"/>
      <c r="C16" s="165">
        <v>0</v>
      </c>
      <c r="D16" s="165">
        <v>0</v>
      </c>
      <c r="E16" s="125">
        <f t="shared" si="3"/>
        <v>0</v>
      </c>
      <c r="F16" s="532">
        <f>'0664'!F16:G16</f>
        <v>1</v>
      </c>
      <c r="G16" s="532"/>
      <c r="H16" s="83">
        <f t="shared" si="4"/>
        <v>0</v>
      </c>
      <c r="I16" s="104">
        <f t="shared" si="0"/>
        <v>0</v>
      </c>
      <c r="J16" s="68" t="str">
        <f>IF(ROUND(E16,2)=ROUND(SUM(E53:E55),2)," ","CHECK 4-8 LINES BELOW")</f>
        <v xml:space="preserve"> </v>
      </c>
      <c r="N16" s="479" t="s">
        <v>32</v>
      </c>
      <c r="O16" s="479"/>
      <c r="P16" s="513">
        <f t="shared" si="1"/>
        <v>0</v>
      </c>
      <c r="Q16" s="513"/>
      <c r="R16" s="517">
        <v>1</v>
      </c>
      <c r="S16" s="517"/>
      <c r="T16" s="98">
        <f t="shared" si="5"/>
        <v>0</v>
      </c>
      <c r="U16" s="99">
        <f t="shared" si="2"/>
        <v>0</v>
      </c>
    </row>
    <row r="17" spans="1:21" x14ac:dyDescent="0.25">
      <c r="A17" s="453" t="s">
        <v>33</v>
      </c>
      <c r="B17" s="453"/>
      <c r="C17" s="165">
        <v>14.88</v>
      </c>
      <c r="D17" s="165">
        <v>13.47</v>
      </c>
      <c r="E17" s="125">
        <f t="shared" si="3"/>
        <v>28.35</v>
      </c>
      <c r="F17" s="532">
        <f>'0664'!F17:G17</f>
        <v>0.999</v>
      </c>
      <c r="G17" s="532"/>
      <c r="H17" s="83">
        <f t="shared" si="4"/>
        <v>28.3217</v>
      </c>
      <c r="I17" s="104">
        <f t="shared" si="0"/>
        <v>135613.59</v>
      </c>
      <c r="N17" s="479" t="s">
        <v>33</v>
      </c>
      <c r="O17" s="479"/>
      <c r="P17" s="513">
        <f t="shared" si="1"/>
        <v>0</v>
      </c>
      <c r="Q17" s="513"/>
      <c r="R17" s="517">
        <v>1</v>
      </c>
      <c r="S17" s="517"/>
      <c r="T17" s="98">
        <f t="shared" si="5"/>
        <v>0</v>
      </c>
      <c r="U17" s="99">
        <f t="shared" si="2"/>
        <v>0</v>
      </c>
    </row>
    <row r="18" spans="1:21" x14ac:dyDescent="0.25">
      <c r="A18" s="453" t="s">
        <v>34</v>
      </c>
      <c r="B18" s="453"/>
      <c r="C18" s="165">
        <v>2</v>
      </c>
      <c r="D18" s="165">
        <v>2</v>
      </c>
      <c r="E18" s="125">
        <f t="shared" si="3"/>
        <v>4</v>
      </c>
      <c r="F18" s="532">
        <f>'0664'!F18:G18</f>
        <v>0.999</v>
      </c>
      <c r="G18" s="532"/>
      <c r="H18" s="83">
        <f t="shared" si="4"/>
        <v>3.996</v>
      </c>
      <c r="I18" s="104">
        <f t="shared" si="0"/>
        <v>19134.16</v>
      </c>
      <c r="J18" s="68" t="str">
        <f>IF(ROUND(E18,2)=ROUND(SUM(E56:E58),2)," ","CHECK 4-8 LINES BELOW")</f>
        <v xml:space="preserve"> </v>
      </c>
      <c r="N18" s="479" t="s">
        <v>34</v>
      </c>
      <c r="O18" s="479"/>
      <c r="P18" s="513">
        <f t="shared" si="1"/>
        <v>0</v>
      </c>
      <c r="Q18" s="513"/>
      <c r="R18" s="517">
        <v>1</v>
      </c>
      <c r="S18" s="517"/>
      <c r="T18" s="98">
        <f t="shared" si="5"/>
        <v>0</v>
      </c>
      <c r="U18" s="101">
        <f t="shared" si="2"/>
        <v>0</v>
      </c>
    </row>
    <row r="19" spans="1:21" x14ac:dyDescent="0.25">
      <c r="A19" s="453" t="s">
        <v>108</v>
      </c>
      <c r="B19" s="453"/>
      <c r="C19" s="165">
        <v>0</v>
      </c>
      <c r="D19" s="165">
        <v>0</v>
      </c>
      <c r="E19" s="125">
        <f t="shared" si="3"/>
        <v>0</v>
      </c>
      <c r="F19" s="532">
        <f>'0664'!F19:G19</f>
        <v>3.6739999999999999</v>
      </c>
      <c r="G19" s="532"/>
      <c r="H19" s="83">
        <f t="shared" si="4"/>
        <v>0</v>
      </c>
      <c r="I19" s="104">
        <f t="shared" si="0"/>
        <v>0</v>
      </c>
      <c r="N19" s="479" t="s">
        <v>108</v>
      </c>
      <c r="O19" s="479"/>
      <c r="P19" s="513">
        <f t="shared" si="1"/>
        <v>0</v>
      </c>
      <c r="Q19" s="513"/>
      <c r="R19" s="517">
        <v>1</v>
      </c>
      <c r="S19" s="517"/>
      <c r="T19" s="98">
        <f t="shared" si="5"/>
        <v>0</v>
      </c>
      <c r="U19" s="99">
        <f t="shared" si="2"/>
        <v>0</v>
      </c>
    </row>
    <row r="20" spans="1:21" x14ac:dyDescent="0.25">
      <c r="A20" s="453" t="s">
        <v>109</v>
      </c>
      <c r="B20" s="453"/>
      <c r="C20" s="165">
        <v>0</v>
      </c>
      <c r="D20" s="165">
        <v>0</v>
      </c>
      <c r="E20" s="125">
        <f t="shared" si="3"/>
        <v>0</v>
      </c>
      <c r="F20" s="532">
        <f>'0664'!F20:G20</f>
        <v>3.6739999999999999</v>
      </c>
      <c r="G20" s="532"/>
      <c r="H20" s="83">
        <f t="shared" si="4"/>
        <v>0</v>
      </c>
      <c r="I20" s="104">
        <f t="shared" si="0"/>
        <v>0</v>
      </c>
      <c r="N20" s="479" t="s">
        <v>109</v>
      </c>
      <c r="O20" s="479"/>
      <c r="P20" s="513">
        <f t="shared" si="1"/>
        <v>0</v>
      </c>
      <c r="Q20" s="513"/>
      <c r="R20" s="517">
        <v>1</v>
      </c>
      <c r="S20" s="517"/>
      <c r="T20" s="98">
        <f t="shared" si="5"/>
        <v>0</v>
      </c>
      <c r="U20" s="99">
        <f t="shared" si="2"/>
        <v>0</v>
      </c>
    </row>
    <row r="21" spans="1:21" x14ac:dyDescent="0.25">
      <c r="A21" s="453" t="s">
        <v>110</v>
      </c>
      <c r="B21" s="453"/>
      <c r="C21" s="165">
        <v>0</v>
      </c>
      <c r="D21" s="165">
        <v>0</v>
      </c>
      <c r="E21" s="125">
        <f t="shared" si="3"/>
        <v>0</v>
      </c>
      <c r="F21" s="532">
        <f>'0664'!F21:G21</f>
        <v>3.6739999999999999</v>
      </c>
      <c r="G21" s="532"/>
      <c r="H21" s="83">
        <f t="shared" si="4"/>
        <v>0</v>
      </c>
      <c r="I21" s="104">
        <f t="shared" si="0"/>
        <v>0</v>
      </c>
      <c r="N21" s="479" t="s">
        <v>110</v>
      </c>
      <c r="O21" s="479"/>
      <c r="P21" s="513">
        <f t="shared" si="1"/>
        <v>0</v>
      </c>
      <c r="Q21" s="513"/>
      <c r="R21" s="517">
        <v>1</v>
      </c>
      <c r="S21" s="517"/>
      <c r="T21" s="98">
        <f t="shared" si="5"/>
        <v>0</v>
      </c>
      <c r="U21" s="99">
        <f t="shared" si="2"/>
        <v>0</v>
      </c>
    </row>
    <row r="22" spans="1:21" x14ac:dyDescent="0.25">
      <c r="A22" s="453" t="s">
        <v>111</v>
      </c>
      <c r="B22" s="453"/>
      <c r="C22" s="165">
        <v>0</v>
      </c>
      <c r="D22" s="165">
        <v>0</v>
      </c>
      <c r="E22" s="125">
        <f t="shared" si="3"/>
        <v>0</v>
      </c>
      <c r="F22" s="532">
        <f>'0664'!F22:G22</f>
        <v>5.4009999999999998</v>
      </c>
      <c r="G22" s="532"/>
      <c r="H22" s="83">
        <f t="shared" si="4"/>
        <v>0</v>
      </c>
      <c r="I22" s="104">
        <f t="shared" si="0"/>
        <v>0</v>
      </c>
      <c r="N22" s="479" t="s">
        <v>111</v>
      </c>
      <c r="O22" s="479"/>
      <c r="P22" s="513">
        <f t="shared" si="1"/>
        <v>0</v>
      </c>
      <c r="Q22" s="513"/>
      <c r="R22" s="517">
        <v>1</v>
      </c>
      <c r="S22" s="517"/>
      <c r="T22" s="98">
        <f t="shared" si="5"/>
        <v>0</v>
      </c>
      <c r="U22" s="99">
        <f t="shared" si="2"/>
        <v>0</v>
      </c>
    </row>
    <row r="23" spans="1:21" x14ac:dyDescent="0.25">
      <c r="A23" s="453" t="s">
        <v>112</v>
      </c>
      <c r="B23" s="453"/>
      <c r="C23" s="165">
        <v>0</v>
      </c>
      <c r="D23" s="165">
        <v>0</v>
      </c>
      <c r="E23" s="125">
        <f t="shared" si="3"/>
        <v>0</v>
      </c>
      <c r="F23" s="532">
        <f>'0664'!F23:G23</f>
        <v>5.4009999999999998</v>
      </c>
      <c r="G23" s="532"/>
      <c r="H23" s="83">
        <f t="shared" si="4"/>
        <v>0</v>
      </c>
      <c r="I23" s="104">
        <f t="shared" si="0"/>
        <v>0</v>
      </c>
      <c r="N23" s="479" t="s">
        <v>112</v>
      </c>
      <c r="O23" s="479"/>
      <c r="P23" s="513">
        <f t="shared" si="1"/>
        <v>0</v>
      </c>
      <c r="Q23" s="513"/>
      <c r="R23" s="517">
        <v>1</v>
      </c>
      <c r="S23" s="517"/>
      <c r="T23" s="98">
        <f t="shared" si="5"/>
        <v>0</v>
      </c>
      <c r="U23" s="99">
        <f t="shared" si="2"/>
        <v>0</v>
      </c>
    </row>
    <row r="24" spans="1:21" x14ac:dyDescent="0.25">
      <c r="A24" s="453" t="s">
        <v>113</v>
      </c>
      <c r="B24" s="453"/>
      <c r="C24" s="165">
        <v>0</v>
      </c>
      <c r="D24" s="165">
        <v>0</v>
      </c>
      <c r="E24" s="125">
        <f t="shared" si="3"/>
        <v>0</v>
      </c>
      <c r="F24" s="532">
        <f>'0664'!F24:G24</f>
        <v>5.4009999999999998</v>
      </c>
      <c r="G24" s="532"/>
      <c r="H24" s="83">
        <f t="shared" si="4"/>
        <v>0</v>
      </c>
      <c r="I24" s="104">
        <f t="shared" si="0"/>
        <v>0</v>
      </c>
      <c r="N24" s="479" t="s">
        <v>113</v>
      </c>
      <c r="O24" s="479"/>
      <c r="P24" s="513">
        <f t="shared" si="1"/>
        <v>0</v>
      </c>
      <c r="Q24" s="513"/>
      <c r="R24" s="517">
        <v>1</v>
      </c>
      <c r="S24" s="517"/>
      <c r="T24" s="98">
        <f t="shared" si="5"/>
        <v>0</v>
      </c>
      <c r="U24" s="99">
        <f t="shared" si="2"/>
        <v>0</v>
      </c>
    </row>
    <row r="25" spans="1:21" x14ac:dyDescent="0.25">
      <c r="A25" s="453" t="s">
        <v>114</v>
      </c>
      <c r="B25" s="453"/>
      <c r="C25" s="165">
        <v>0</v>
      </c>
      <c r="D25" s="165">
        <v>0</v>
      </c>
      <c r="E25" s="125">
        <f t="shared" si="3"/>
        <v>0</v>
      </c>
      <c r="F25" s="532">
        <f>'0664'!F25:G25</f>
        <v>1.206</v>
      </c>
      <c r="G25" s="532"/>
      <c r="H25" s="83">
        <f t="shared" si="4"/>
        <v>0</v>
      </c>
      <c r="I25" s="104">
        <f t="shared" si="0"/>
        <v>0</v>
      </c>
      <c r="N25" s="479" t="s">
        <v>114</v>
      </c>
      <c r="O25" s="479"/>
      <c r="P25" s="513">
        <f t="shared" si="1"/>
        <v>0</v>
      </c>
      <c r="Q25" s="513"/>
      <c r="R25" s="517">
        <v>1</v>
      </c>
      <c r="S25" s="517"/>
      <c r="T25" s="98">
        <f t="shared" si="5"/>
        <v>0</v>
      </c>
      <c r="U25" s="99">
        <f t="shared" si="2"/>
        <v>0</v>
      </c>
    </row>
    <row r="26" spans="1:21" x14ac:dyDescent="0.25">
      <c r="A26" s="453" t="s">
        <v>115</v>
      </c>
      <c r="B26" s="453"/>
      <c r="C26" s="165">
        <v>0</v>
      </c>
      <c r="D26" s="165">
        <v>0</v>
      </c>
      <c r="E26" s="125">
        <f t="shared" si="3"/>
        <v>0</v>
      </c>
      <c r="F26" s="532">
        <f>'0664'!F26:G26</f>
        <v>1.206</v>
      </c>
      <c r="G26" s="532"/>
      <c r="H26" s="83">
        <f t="shared" si="4"/>
        <v>0</v>
      </c>
      <c r="I26" s="104">
        <f t="shared" si="0"/>
        <v>0</v>
      </c>
      <c r="N26" s="479" t="s">
        <v>115</v>
      </c>
      <c r="O26" s="479"/>
      <c r="P26" s="513">
        <f t="shared" si="1"/>
        <v>0</v>
      </c>
      <c r="Q26" s="513"/>
      <c r="R26" s="517">
        <v>1</v>
      </c>
      <c r="S26" s="517"/>
      <c r="T26" s="98">
        <f t="shared" si="5"/>
        <v>0</v>
      </c>
      <c r="U26" s="99">
        <f t="shared" si="2"/>
        <v>0</v>
      </c>
    </row>
    <row r="27" spans="1:21" x14ac:dyDescent="0.25">
      <c r="A27" s="453" t="s">
        <v>116</v>
      </c>
      <c r="B27" s="453"/>
      <c r="C27" s="165">
        <v>2.19</v>
      </c>
      <c r="D27" s="165">
        <v>1.81</v>
      </c>
      <c r="E27" s="125">
        <f t="shared" si="3"/>
        <v>4</v>
      </c>
      <c r="F27" s="532">
        <f>'0664'!F27:G27</f>
        <v>1.206</v>
      </c>
      <c r="G27" s="532"/>
      <c r="H27" s="83">
        <f t="shared" si="4"/>
        <v>4.8239999999999998</v>
      </c>
      <c r="I27" s="104">
        <f t="shared" si="0"/>
        <v>23098.89</v>
      </c>
      <c r="N27" s="479" t="s">
        <v>116</v>
      </c>
      <c r="O27" s="479"/>
      <c r="P27" s="513">
        <f t="shared" si="1"/>
        <v>0</v>
      </c>
      <c r="Q27" s="513"/>
      <c r="R27" s="517">
        <v>1</v>
      </c>
      <c r="S27" s="517"/>
      <c r="T27" s="98">
        <f t="shared" si="5"/>
        <v>0</v>
      </c>
      <c r="U27" s="99">
        <f t="shared" si="2"/>
        <v>0</v>
      </c>
    </row>
    <row r="28" spans="1:21" x14ac:dyDescent="0.25">
      <c r="A28" s="453" t="s">
        <v>117</v>
      </c>
      <c r="B28" s="453"/>
      <c r="C28" s="116">
        <v>0.88</v>
      </c>
      <c r="D28" s="116">
        <v>1.01</v>
      </c>
      <c r="E28" s="177">
        <f t="shared" si="3"/>
        <v>1.8900000000000001</v>
      </c>
      <c r="F28" s="532">
        <f>'0664'!F28:G28</f>
        <v>0.999</v>
      </c>
      <c r="G28" s="532"/>
      <c r="H28" s="96">
        <f t="shared" si="4"/>
        <v>1.8880999999999999</v>
      </c>
      <c r="I28" s="97">
        <f t="shared" si="0"/>
        <v>9040.84</v>
      </c>
      <c r="N28" s="482" t="s">
        <v>117</v>
      </c>
      <c r="O28" s="482"/>
      <c r="P28" s="513">
        <f t="shared" si="1"/>
        <v>0</v>
      </c>
      <c r="Q28" s="513"/>
      <c r="R28" s="514">
        <v>1</v>
      </c>
      <c r="S28" s="514"/>
      <c r="T28" s="98">
        <f t="shared" si="5"/>
        <v>0</v>
      </c>
      <c r="U28" s="99">
        <f t="shared" si="2"/>
        <v>0</v>
      </c>
    </row>
    <row r="29" spans="1:21" x14ac:dyDescent="0.25">
      <c r="A29" s="461" t="s">
        <v>5</v>
      </c>
      <c r="B29" s="461"/>
      <c r="C29" s="97">
        <f>SUM(C13:C28)</f>
        <v>19.950000000000003</v>
      </c>
      <c r="D29" s="97">
        <f>SUM(D13:D28)</f>
        <v>18.290000000000003</v>
      </c>
      <c r="E29" s="97">
        <f>SUM(E13:E28)</f>
        <v>38.24</v>
      </c>
      <c r="F29" s="457"/>
      <c r="G29" s="457"/>
      <c r="H29" s="102">
        <f>SUM(H13:H28)</f>
        <v>39.029800000000002</v>
      </c>
      <c r="I29" s="97">
        <f>SUM(I13:I28)</f>
        <v>186887.48</v>
      </c>
      <c r="N29" s="515" t="s">
        <v>5</v>
      </c>
      <c r="O29" s="515"/>
      <c r="P29" s="516">
        <f>SUM(P13:P28)</f>
        <v>0</v>
      </c>
      <c r="Q29" s="516"/>
      <c r="R29" s="508"/>
      <c r="S29" s="508"/>
      <c r="T29" s="103">
        <f>SUM(T13:T28)</f>
        <v>0</v>
      </c>
      <c r="U29" s="99">
        <f>SUM(U13:U28)</f>
        <v>0</v>
      </c>
    </row>
    <row r="30" spans="1:21" x14ac:dyDescent="0.25">
      <c r="A30" s="27"/>
      <c r="B30" s="27"/>
      <c r="C30" s="104"/>
      <c r="D30" s="104"/>
      <c r="E30" s="104"/>
      <c r="F30" s="28"/>
      <c r="G30" s="28"/>
      <c r="H30" s="83"/>
      <c r="I30" s="104"/>
      <c r="N30" s="29"/>
      <c r="O30" s="29"/>
      <c r="P30" s="30"/>
      <c r="Q30" s="30"/>
      <c r="R30" s="31"/>
      <c r="S30" s="31"/>
      <c r="T30" s="105"/>
      <c r="U30" s="106"/>
    </row>
    <row r="31" spans="1:21" x14ac:dyDescent="0.25">
      <c r="A31" s="168" t="s">
        <v>97</v>
      </c>
      <c r="B31" s="27"/>
      <c r="C31" s="104"/>
      <c r="D31" s="104"/>
      <c r="E31" s="104"/>
      <c r="F31" s="28"/>
      <c r="G31" s="28"/>
      <c r="H31" s="83"/>
      <c r="I31" s="104"/>
      <c r="N31" s="29"/>
      <c r="O31" s="29"/>
      <c r="P31" s="30"/>
      <c r="Q31" s="30"/>
      <c r="R31" s="31"/>
      <c r="S31" s="31"/>
      <c r="T31" s="105"/>
      <c r="U31" s="106"/>
    </row>
    <row r="32" spans="1:21" hidden="1" x14ac:dyDescent="0.25">
      <c r="A32" s="168"/>
      <c r="B32" s="27"/>
      <c r="C32" s="104"/>
      <c r="D32" s="104"/>
      <c r="E32" s="104"/>
      <c r="F32" s="28"/>
      <c r="G32" s="28"/>
      <c r="H32" s="83"/>
      <c r="I32" s="104"/>
      <c r="N32" s="29"/>
      <c r="O32" s="29"/>
      <c r="P32" s="30"/>
      <c r="Q32" s="30"/>
      <c r="R32" s="31"/>
      <c r="S32" s="31"/>
      <c r="T32" s="105"/>
      <c r="U32" s="106"/>
    </row>
    <row r="33" spans="1:21" hidden="1" x14ac:dyDescent="0.25">
      <c r="A33" s="168"/>
      <c r="B33" s="27"/>
      <c r="C33" s="104"/>
      <c r="D33" s="104"/>
      <c r="E33" s="104"/>
      <c r="F33" s="541" t="s">
        <v>282</v>
      </c>
      <c r="G33" s="541"/>
      <c r="H33" s="541"/>
      <c r="I33" s="104"/>
      <c r="N33" s="29"/>
      <c r="O33" s="29"/>
      <c r="P33" s="30"/>
      <c r="Q33" s="30"/>
      <c r="R33" s="31"/>
      <c r="S33" s="31"/>
      <c r="T33" s="105"/>
      <c r="U33" s="106"/>
    </row>
    <row r="34" spans="1:21" hidden="1" x14ac:dyDescent="0.25">
      <c r="A34" s="3"/>
      <c r="B34" s="72"/>
      <c r="C34" s="72"/>
      <c r="D34" s="72"/>
      <c r="E34" s="72"/>
      <c r="F34" s="541"/>
      <c r="G34" s="541"/>
      <c r="H34" s="541"/>
      <c r="I34" s="25" t="s">
        <v>74</v>
      </c>
      <c r="N34" s="485" t="s">
        <v>35</v>
      </c>
      <c r="O34" s="485"/>
      <c r="P34" s="485"/>
      <c r="Q34" s="485"/>
      <c r="R34" s="485"/>
      <c r="S34" s="485"/>
      <c r="T34" s="485"/>
      <c r="U34" s="26" t="s">
        <v>74</v>
      </c>
    </row>
    <row r="35" spans="1:21" hidden="1" x14ac:dyDescent="0.25">
      <c r="A35" s="27"/>
      <c r="B35" s="27"/>
      <c r="C35" s="91" t="s">
        <v>124</v>
      </c>
      <c r="D35" s="91" t="s">
        <v>125</v>
      </c>
      <c r="E35" s="92" t="s">
        <v>8</v>
      </c>
      <c r="F35" s="541"/>
      <c r="G35" s="541"/>
      <c r="H35" s="541"/>
      <c r="I35" s="25" t="s">
        <v>36</v>
      </c>
      <c r="N35" s="29"/>
      <c r="O35" s="29"/>
      <c r="P35" s="30"/>
      <c r="Q35" s="30"/>
      <c r="R35" s="31"/>
      <c r="S35" s="31"/>
      <c r="T35" s="105"/>
      <c r="U35" s="26" t="s">
        <v>36</v>
      </c>
    </row>
    <row r="36" spans="1:21" hidden="1" x14ac:dyDescent="0.25">
      <c r="A36" s="447" t="s">
        <v>63</v>
      </c>
      <c r="B36" s="447"/>
      <c r="C36" s="93" t="s">
        <v>2</v>
      </c>
      <c r="D36" s="93" t="s">
        <v>2</v>
      </c>
      <c r="E36" s="93" t="s">
        <v>2</v>
      </c>
      <c r="F36" s="542"/>
      <c r="G36" s="542"/>
      <c r="H36" s="542"/>
      <c r="I36" s="32" t="s">
        <v>75</v>
      </c>
      <c r="N36" s="510" t="s">
        <v>63</v>
      </c>
      <c r="O36" s="510"/>
      <c r="P36" s="511" t="s">
        <v>24</v>
      </c>
      <c r="Q36" s="511"/>
      <c r="R36" s="511"/>
      <c r="S36" s="511"/>
      <c r="T36" s="511"/>
      <c r="U36" s="20" t="s">
        <v>75</v>
      </c>
    </row>
    <row r="37" spans="1:21" hidden="1" x14ac:dyDescent="0.25">
      <c r="A37" s="451" t="s">
        <v>56</v>
      </c>
      <c r="B37" s="451"/>
      <c r="C37" s="169">
        <v>0</v>
      </c>
      <c r="D37" s="169">
        <v>0</v>
      </c>
      <c r="E37" s="210">
        <f t="shared" ref="E37:E42" si="6">IF(D$43=0,C37*2,C37+D37)</f>
        <v>0</v>
      </c>
      <c r="F37" s="170"/>
      <c r="G37" s="170"/>
      <c r="H37" s="170"/>
      <c r="I37" s="119">
        <f t="shared" ref="I37:I42" si="7">ROUND(ROUND(E37*$C$8,4)*($H$8),2)</f>
        <v>0</v>
      </c>
      <c r="N37" s="512" t="s">
        <v>56</v>
      </c>
      <c r="O37" s="512"/>
      <c r="P37" s="483">
        <f t="shared" ref="P37:P42" si="8">IF($H$120=1,E37,0)</f>
        <v>0</v>
      </c>
      <c r="Q37" s="483"/>
      <c r="R37" s="483"/>
      <c r="S37" s="483"/>
      <c r="T37" s="483"/>
      <c r="U37" s="101">
        <f t="shared" ref="U37:U42" si="9">ROUND(ROUND(P37*$C$8,4)*($H$8),0)</f>
        <v>0</v>
      </c>
    </row>
    <row r="38" spans="1:21" hidden="1" x14ac:dyDescent="0.25">
      <c r="A38" s="453" t="s">
        <v>57</v>
      </c>
      <c r="B38" s="453"/>
      <c r="C38" s="172">
        <v>0</v>
      </c>
      <c r="D38" s="172">
        <v>0</v>
      </c>
      <c r="E38" s="125">
        <f t="shared" si="6"/>
        <v>0</v>
      </c>
      <c r="F38" s="173"/>
      <c r="G38" s="173"/>
      <c r="H38" s="173"/>
      <c r="I38" s="104">
        <f t="shared" si="7"/>
        <v>0</v>
      </c>
      <c r="N38" s="479" t="s">
        <v>57</v>
      </c>
      <c r="O38" s="479"/>
      <c r="P38" s="483">
        <f t="shared" si="8"/>
        <v>0</v>
      </c>
      <c r="Q38" s="483"/>
      <c r="R38" s="483"/>
      <c r="S38" s="483"/>
      <c r="T38" s="483"/>
      <c r="U38" s="101">
        <f t="shared" si="9"/>
        <v>0</v>
      </c>
    </row>
    <row r="39" spans="1:21" hidden="1" x14ac:dyDescent="0.25">
      <c r="A39" s="458" t="s">
        <v>58</v>
      </c>
      <c r="B39" s="458"/>
      <c r="C39" s="172">
        <v>0</v>
      </c>
      <c r="D39" s="172">
        <v>0</v>
      </c>
      <c r="E39" s="125">
        <f t="shared" si="6"/>
        <v>0</v>
      </c>
      <c r="F39" s="173"/>
      <c r="G39" s="173"/>
      <c r="H39" s="173"/>
      <c r="I39" s="104">
        <f t="shared" si="7"/>
        <v>0</v>
      </c>
      <c r="N39" s="509" t="s">
        <v>58</v>
      </c>
      <c r="O39" s="509"/>
      <c r="P39" s="483">
        <f t="shared" si="8"/>
        <v>0</v>
      </c>
      <c r="Q39" s="483"/>
      <c r="R39" s="483"/>
      <c r="S39" s="483"/>
      <c r="T39" s="483"/>
      <c r="U39" s="101">
        <f t="shared" si="9"/>
        <v>0</v>
      </c>
    </row>
    <row r="40" spans="1:21" hidden="1" x14ac:dyDescent="0.25">
      <c r="A40" s="453" t="s">
        <v>59</v>
      </c>
      <c r="B40" s="453"/>
      <c r="C40" s="172">
        <v>0</v>
      </c>
      <c r="D40" s="172">
        <v>0</v>
      </c>
      <c r="E40" s="125">
        <f t="shared" si="6"/>
        <v>0</v>
      </c>
      <c r="F40" s="173"/>
      <c r="G40" s="173"/>
      <c r="H40" s="173"/>
      <c r="I40" s="104">
        <f t="shared" si="7"/>
        <v>0</v>
      </c>
      <c r="N40" s="479" t="s">
        <v>59</v>
      </c>
      <c r="O40" s="479"/>
      <c r="P40" s="483">
        <f t="shared" si="8"/>
        <v>0</v>
      </c>
      <c r="Q40" s="483"/>
      <c r="R40" s="483"/>
      <c r="S40" s="483"/>
      <c r="T40" s="483"/>
      <c r="U40" s="101">
        <f t="shared" si="9"/>
        <v>0</v>
      </c>
    </row>
    <row r="41" spans="1:21" hidden="1" x14ac:dyDescent="0.25">
      <c r="A41" s="453" t="s">
        <v>60</v>
      </c>
      <c r="B41" s="453"/>
      <c r="C41" s="172">
        <v>0</v>
      </c>
      <c r="D41" s="172">
        <v>0</v>
      </c>
      <c r="E41" s="125">
        <f t="shared" si="6"/>
        <v>0</v>
      </c>
      <c r="F41" s="173"/>
      <c r="G41" s="173"/>
      <c r="H41" s="173"/>
      <c r="I41" s="104">
        <f t="shared" si="7"/>
        <v>0</v>
      </c>
      <c r="N41" s="479" t="s">
        <v>60</v>
      </c>
      <c r="O41" s="479"/>
      <c r="P41" s="483">
        <f t="shared" si="8"/>
        <v>0</v>
      </c>
      <c r="Q41" s="483"/>
      <c r="R41" s="483"/>
      <c r="S41" s="483"/>
      <c r="T41" s="483"/>
      <c r="U41" s="101">
        <f t="shared" si="9"/>
        <v>0</v>
      </c>
    </row>
    <row r="42" spans="1:21" hidden="1" x14ac:dyDescent="0.25">
      <c r="A42" s="453" t="s">
        <v>52</v>
      </c>
      <c r="B42" s="453"/>
      <c r="C42" s="171">
        <v>0</v>
      </c>
      <c r="D42" s="171">
        <v>0</v>
      </c>
      <c r="E42" s="177">
        <f t="shared" si="6"/>
        <v>0</v>
      </c>
      <c r="F42" s="173"/>
      <c r="G42" s="173"/>
      <c r="H42" s="173"/>
      <c r="I42" s="97">
        <f t="shared" si="7"/>
        <v>0</v>
      </c>
      <c r="N42" s="482" t="s">
        <v>52</v>
      </c>
      <c r="O42" s="482"/>
      <c r="P42" s="483">
        <f t="shared" si="8"/>
        <v>0</v>
      </c>
      <c r="Q42" s="483"/>
      <c r="R42" s="483"/>
      <c r="S42" s="483"/>
      <c r="T42" s="483"/>
      <c r="U42" s="101">
        <f t="shared" si="9"/>
        <v>0</v>
      </c>
    </row>
    <row r="43" spans="1:21" hidden="1" x14ac:dyDescent="0.25">
      <c r="A43" s="3"/>
      <c r="B43" s="55" t="s">
        <v>126</v>
      </c>
      <c r="C43" s="100">
        <f>SUM(C37:C42)</f>
        <v>0</v>
      </c>
      <c r="D43" s="100">
        <f>SUM(D37:D42)</f>
        <v>0</v>
      </c>
      <c r="E43" s="100">
        <f>SUM(E37:E42)</f>
        <v>0</v>
      </c>
      <c r="F43" s="33"/>
      <c r="G43" s="109"/>
      <c r="H43" s="110" t="s">
        <v>128</v>
      </c>
      <c r="I43" s="100">
        <f>SUM(I37:I42)</f>
        <v>0</v>
      </c>
      <c r="N43" s="480" t="s">
        <v>54</v>
      </c>
      <c r="O43" s="480"/>
      <c r="P43" s="480"/>
      <c r="Q43" s="480"/>
      <c r="R43" s="34">
        <f>SUM(P37:R42)</f>
        <v>0</v>
      </c>
      <c r="S43" s="508" t="s">
        <v>64</v>
      </c>
      <c r="T43" s="508"/>
      <c r="U43" s="106">
        <f>SUM(U37:U42)</f>
        <v>0</v>
      </c>
    </row>
    <row r="44" spans="1:21" ht="16.5" hidden="1" thickBot="1" x14ac:dyDescent="0.3">
      <c r="A44" s="3"/>
      <c r="B44" s="55"/>
      <c r="C44" s="104"/>
      <c r="D44" s="104"/>
      <c r="E44" s="119"/>
      <c r="F44" s="33"/>
      <c r="G44" s="109"/>
      <c r="H44" s="110"/>
      <c r="I44" s="104"/>
      <c r="N44" s="29"/>
      <c r="O44" s="29"/>
      <c r="P44" s="29"/>
      <c r="Q44" s="29"/>
      <c r="R44" s="34"/>
      <c r="S44" s="31"/>
      <c r="T44" s="31"/>
      <c r="U44" s="106"/>
    </row>
    <row r="45" spans="1:21" ht="16.5" hidden="1" thickBot="1" x14ac:dyDescent="0.3">
      <c r="A45" s="3"/>
      <c r="B45" s="55" t="s">
        <v>127</v>
      </c>
      <c r="E45" s="174">
        <f>H29+E43</f>
        <v>39.029800000000002</v>
      </c>
      <c r="F45" s="35"/>
      <c r="G45" s="109"/>
      <c r="H45" s="110" t="s">
        <v>129</v>
      </c>
      <c r="I45" s="97">
        <f>SUM(I43,I29)</f>
        <v>186887.48</v>
      </c>
      <c r="N45" s="480" t="s">
        <v>55</v>
      </c>
      <c r="O45" s="480"/>
      <c r="P45" s="480"/>
      <c r="Q45" s="480"/>
      <c r="R45" s="36">
        <f>R43+T29</f>
        <v>0</v>
      </c>
      <c r="S45" s="508" t="s">
        <v>53</v>
      </c>
      <c r="T45" s="508"/>
      <c r="U45" s="111">
        <f>SUM(U43,U29)</f>
        <v>0</v>
      </c>
    </row>
    <row r="46" spans="1:21" hidden="1" x14ac:dyDescent="0.25">
      <c r="A46" s="27"/>
      <c r="B46" s="27"/>
      <c r="C46" s="27"/>
      <c r="D46" s="27"/>
      <c r="E46" s="27"/>
      <c r="F46" s="35"/>
      <c r="G46" s="28"/>
      <c r="H46" s="28"/>
      <c r="I46" s="104"/>
      <c r="N46" s="29"/>
      <c r="O46" s="29"/>
      <c r="P46" s="29"/>
      <c r="Q46" s="29"/>
      <c r="R46" s="36"/>
      <c r="S46" s="31"/>
      <c r="T46" s="31"/>
      <c r="U46" s="106"/>
    </row>
    <row r="47" spans="1:21" x14ac:dyDescent="0.25">
      <c r="A47" s="27"/>
      <c r="B47" s="55" t="s">
        <v>370</v>
      </c>
      <c r="C47" s="41" t="s">
        <v>370</v>
      </c>
      <c r="D47" s="91" t="s">
        <v>370</v>
      </c>
      <c r="E47" s="27"/>
      <c r="F47" s="35"/>
      <c r="G47" s="28"/>
      <c r="H47" s="28"/>
      <c r="I47" s="104"/>
      <c r="N47" s="29"/>
      <c r="O47" s="29"/>
      <c r="P47" s="29"/>
      <c r="Q47" s="29"/>
      <c r="R47" s="36"/>
      <c r="S47" s="31"/>
      <c r="T47" s="31"/>
      <c r="U47" s="106"/>
    </row>
    <row r="48" spans="1:21" x14ac:dyDescent="0.25">
      <c r="A48" s="27"/>
      <c r="B48" s="27"/>
      <c r="C48" s="91" t="s">
        <v>463</v>
      </c>
      <c r="D48" s="371" t="s">
        <v>464</v>
      </c>
      <c r="E48" s="92" t="s">
        <v>8</v>
      </c>
      <c r="F48" s="49" t="s">
        <v>130</v>
      </c>
      <c r="G48" s="112" t="s">
        <v>132</v>
      </c>
      <c r="H48" s="113" t="s">
        <v>133</v>
      </c>
      <c r="I48" s="104"/>
      <c r="N48" s="29"/>
      <c r="O48" s="29"/>
      <c r="P48" s="29"/>
      <c r="Q48" s="29"/>
      <c r="R48" s="36"/>
      <c r="S48" s="31"/>
      <c r="T48" s="31"/>
      <c r="U48" s="106"/>
    </row>
    <row r="49" spans="1:21" x14ac:dyDescent="0.25">
      <c r="A49" s="37" t="s">
        <v>87</v>
      </c>
      <c r="B49" s="37"/>
      <c r="C49" s="364" t="s">
        <v>2</v>
      </c>
      <c r="D49" s="364" t="s">
        <v>2</v>
      </c>
      <c r="E49" s="362" t="s">
        <v>2</v>
      </c>
      <c r="F49" s="95" t="s">
        <v>131</v>
      </c>
      <c r="G49" s="62" t="s">
        <v>131</v>
      </c>
      <c r="H49" s="114" t="s">
        <v>134</v>
      </c>
      <c r="I49" s="37"/>
      <c r="N49" s="482" t="s">
        <v>87</v>
      </c>
      <c r="O49" s="482"/>
      <c r="P49" s="503" t="s">
        <v>2</v>
      </c>
      <c r="Q49" s="503"/>
      <c r="R49" s="38" t="s">
        <v>25</v>
      </c>
      <c r="S49" s="63" t="s">
        <v>26</v>
      </c>
      <c r="T49" s="115" t="s">
        <v>27</v>
      </c>
      <c r="U49" s="38"/>
    </row>
    <row r="50" spans="1:21" x14ac:dyDescent="0.25">
      <c r="A50" s="459" t="s">
        <v>98</v>
      </c>
      <c r="B50" s="459"/>
      <c r="C50" s="165">
        <v>0</v>
      </c>
      <c r="D50" s="165">
        <v>0</v>
      </c>
      <c r="E50" s="125">
        <f>IF(D$59=0,C50*2,C50+D50)</f>
        <v>0</v>
      </c>
      <c r="F50" s="39" t="s">
        <v>21</v>
      </c>
      <c r="G50" s="39">
        <v>251</v>
      </c>
      <c r="H50" s="321">
        <f>'0664'!H50</f>
        <v>1047</v>
      </c>
      <c r="I50" s="104">
        <f>ROUND(E50*H50,2)</f>
        <v>0</v>
      </c>
      <c r="N50" s="504" t="s">
        <v>28</v>
      </c>
      <c r="O50" s="504"/>
      <c r="P50" s="505"/>
      <c r="Q50" s="505"/>
      <c r="R50" s="40" t="s">
        <v>21</v>
      </c>
      <c r="S50" s="40">
        <v>251</v>
      </c>
      <c r="T50" s="117">
        <f>H50</f>
        <v>1047</v>
      </c>
      <c r="U50" s="118">
        <f>ROUND(P50*T50,0)</f>
        <v>0</v>
      </c>
    </row>
    <row r="51" spans="1:21" x14ac:dyDescent="0.25">
      <c r="A51" s="460"/>
      <c r="B51" s="460"/>
      <c r="C51" s="165">
        <v>0</v>
      </c>
      <c r="D51" s="165">
        <v>0</v>
      </c>
      <c r="E51" s="125">
        <f t="shared" ref="E51:E58" si="10">IF(D$59=0,C51*2,C51+D51)</f>
        <v>0</v>
      </c>
      <c r="F51" s="39" t="s">
        <v>21</v>
      </c>
      <c r="G51" s="39">
        <v>252</v>
      </c>
      <c r="H51" s="321">
        <f>'0664'!H51</f>
        <v>3380</v>
      </c>
      <c r="I51" s="104">
        <f t="shared" ref="I51:I58" si="11">ROUND(E51*H51,2)</f>
        <v>0</v>
      </c>
      <c r="N51" s="504"/>
      <c r="O51" s="504"/>
      <c r="P51" s="506"/>
      <c r="Q51" s="506"/>
      <c r="R51" s="40" t="s">
        <v>21</v>
      </c>
      <c r="S51" s="40">
        <v>252</v>
      </c>
      <c r="T51" s="117">
        <f t="shared" ref="T51:T58" si="12">H51</f>
        <v>3380</v>
      </c>
      <c r="U51" s="118">
        <f t="shared" ref="U51:U58" si="13">ROUND(P51*T51,0)</f>
        <v>0</v>
      </c>
    </row>
    <row r="52" spans="1:21" x14ac:dyDescent="0.25">
      <c r="A52" s="460"/>
      <c r="B52" s="460"/>
      <c r="C52" s="165">
        <v>0</v>
      </c>
      <c r="D52" s="165">
        <v>0</v>
      </c>
      <c r="E52" s="125">
        <f t="shared" si="10"/>
        <v>0</v>
      </c>
      <c r="F52" s="39" t="s">
        <v>21</v>
      </c>
      <c r="G52" s="39">
        <v>253</v>
      </c>
      <c r="H52" s="321">
        <f>'0664'!H52</f>
        <v>6896</v>
      </c>
      <c r="I52" s="104">
        <f t="shared" si="11"/>
        <v>0</v>
      </c>
      <c r="N52" s="504"/>
      <c r="O52" s="504"/>
      <c r="P52" s="506"/>
      <c r="Q52" s="506"/>
      <c r="R52" s="40" t="s">
        <v>21</v>
      </c>
      <c r="S52" s="40">
        <v>253</v>
      </c>
      <c r="T52" s="117">
        <f t="shared" si="12"/>
        <v>6896</v>
      </c>
      <c r="U52" s="118">
        <f t="shared" si="13"/>
        <v>0</v>
      </c>
    </row>
    <row r="53" spans="1:21" x14ac:dyDescent="0.25">
      <c r="A53" s="460"/>
      <c r="B53" s="460"/>
      <c r="C53" s="165">
        <v>0</v>
      </c>
      <c r="D53" s="165">
        <v>0</v>
      </c>
      <c r="E53" s="125">
        <f t="shared" si="10"/>
        <v>0</v>
      </c>
      <c r="F53" s="41" t="s">
        <v>14</v>
      </c>
      <c r="G53" s="39">
        <v>251</v>
      </c>
      <c r="H53" s="321">
        <f>'0664'!H53</f>
        <v>1173</v>
      </c>
      <c r="I53" s="104">
        <f t="shared" si="11"/>
        <v>0</v>
      </c>
      <c r="N53" s="504"/>
      <c r="O53" s="504"/>
      <c r="P53" s="506"/>
      <c r="Q53" s="506"/>
      <c r="R53" s="42" t="s">
        <v>14</v>
      </c>
      <c r="S53" s="40">
        <v>251</v>
      </c>
      <c r="T53" s="117">
        <f t="shared" si="12"/>
        <v>1173</v>
      </c>
      <c r="U53" s="118">
        <f t="shared" si="13"/>
        <v>0</v>
      </c>
    </row>
    <row r="54" spans="1:21" x14ac:dyDescent="0.25">
      <c r="A54" s="460"/>
      <c r="B54" s="460"/>
      <c r="C54" s="165">
        <v>0</v>
      </c>
      <c r="D54" s="165">
        <v>0</v>
      </c>
      <c r="E54" s="125">
        <f t="shared" si="10"/>
        <v>0</v>
      </c>
      <c r="F54" s="41" t="s">
        <v>14</v>
      </c>
      <c r="G54" s="39">
        <v>252</v>
      </c>
      <c r="H54" s="321">
        <f>'0664'!H54</f>
        <v>3506</v>
      </c>
      <c r="I54" s="104">
        <f t="shared" si="11"/>
        <v>0</v>
      </c>
      <c r="N54" s="504"/>
      <c r="O54" s="504"/>
      <c r="P54" s="506"/>
      <c r="Q54" s="506"/>
      <c r="R54" s="42" t="s">
        <v>14</v>
      </c>
      <c r="S54" s="40">
        <v>252</v>
      </c>
      <c r="T54" s="117">
        <f t="shared" si="12"/>
        <v>3506</v>
      </c>
      <c r="U54" s="118">
        <f t="shared" si="13"/>
        <v>0</v>
      </c>
    </row>
    <row r="55" spans="1:21" x14ac:dyDescent="0.25">
      <c r="A55" s="460"/>
      <c r="B55" s="460"/>
      <c r="C55" s="165">
        <v>0</v>
      </c>
      <c r="D55" s="165">
        <v>0</v>
      </c>
      <c r="E55" s="125">
        <f t="shared" si="10"/>
        <v>0</v>
      </c>
      <c r="F55" s="41" t="s">
        <v>14</v>
      </c>
      <c r="G55" s="39">
        <v>253</v>
      </c>
      <c r="H55" s="321">
        <f>'0664'!H55</f>
        <v>7023</v>
      </c>
      <c r="I55" s="104">
        <f t="shared" si="11"/>
        <v>0</v>
      </c>
      <c r="N55" s="504"/>
      <c r="O55" s="504"/>
      <c r="P55" s="506"/>
      <c r="Q55" s="506"/>
      <c r="R55" s="42" t="s">
        <v>14</v>
      </c>
      <c r="S55" s="40">
        <v>253</v>
      </c>
      <c r="T55" s="117">
        <f t="shared" si="12"/>
        <v>7023</v>
      </c>
      <c r="U55" s="118">
        <f t="shared" si="13"/>
        <v>0</v>
      </c>
    </row>
    <row r="56" spans="1:21" x14ac:dyDescent="0.25">
      <c r="A56" s="460"/>
      <c r="B56" s="460"/>
      <c r="C56" s="165">
        <v>1</v>
      </c>
      <c r="D56" s="165">
        <v>1</v>
      </c>
      <c r="E56" s="125">
        <f t="shared" si="10"/>
        <v>2</v>
      </c>
      <c r="F56" s="41" t="s">
        <v>15</v>
      </c>
      <c r="G56" s="39">
        <v>251</v>
      </c>
      <c r="H56" s="321">
        <f>'0664'!H56</f>
        <v>835</v>
      </c>
      <c r="I56" s="104">
        <f t="shared" si="11"/>
        <v>1670</v>
      </c>
      <c r="N56" s="504"/>
      <c r="O56" s="504"/>
      <c r="P56" s="506"/>
      <c r="Q56" s="506"/>
      <c r="R56" s="42" t="s">
        <v>15</v>
      </c>
      <c r="S56" s="40">
        <v>251</v>
      </c>
      <c r="T56" s="117">
        <f t="shared" si="12"/>
        <v>835</v>
      </c>
      <c r="U56" s="118">
        <f t="shared" si="13"/>
        <v>0</v>
      </c>
    </row>
    <row r="57" spans="1:21" x14ac:dyDescent="0.25">
      <c r="A57" s="460"/>
      <c r="B57" s="460"/>
      <c r="C57" s="165">
        <v>1</v>
      </c>
      <c r="D57" s="165">
        <v>1</v>
      </c>
      <c r="E57" s="125">
        <f t="shared" si="10"/>
        <v>2</v>
      </c>
      <c r="F57" s="41" t="s">
        <v>15</v>
      </c>
      <c r="G57" s="39">
        <v>252</v>
      </c>
      <c r="H57" s="321">
        <f>'0664'!H57</f>
        <v>3168</v>
      </c>
      <c r="I57" s="104">
        <f t="shared" si="11"/>
        <v>6336</v>
      </c>
      <c r="N57" s="504"/>
      <c r="O57" s="504"/>
      <c r="P57" s="506"/>
      <c r="Q57" s="506"/>
      <c r="R57" s="42" t="s">
        <v>15</v>
      </c>
      <c r="S57" s="40">
        <v>252</v>
      </c>
      <c r="T57" s="117">
        <f t="shared" si="12"/>
        <v>3168</v>
      </c>
      <c r="U57" s="118">
        <f t="shared" si="13"/>
        <v>0</v>
      </c>
    </row>
    <row r="58" spans="1:21" ht="16.5" thickBot="1" x14ac:dyDescent="0.3">
      <c r="A58" s="460"/>
      <c r="B58" s="460"/>
      <c r="C58" s="165">
        <v>0</v>
      </c>
      <c r="D58" s="165">
        <v>0</v>
      </c>
      <c r="E58" s="125">
        <f t="shared" si="10"/>
        <v>0</v>
      </c>
      <c r="F58" s="41" t="s">
        <v>15</v>
      </c>
      <c r="G58" s="39">
        <v>253</v>
      </c>
      <c r="H58" s="321">
        <f>'0664'!H58</f>
        <v>6685</v>
      </c>
      <c r="I58" s="104">
        <f t="shared" si="11"/>
        <v>0</v>
      </c>
      <c r="N58" s="504"/>
      <c r="O58" s="504"/>
      <c r="P58" s="507"/>
      <c r="Q58" s="507"/>
      <c r="R58" s="42" t="s">
        <v>15</v>
      </c>
      <c r="S58" s="40">
        <v>253</v>
      </c>
      <c r="T58" s="117">
        <f t="shared" si="12"/>
        <v>6685</v>
      </c>
      <c r="U58" s="120">
        <f t="shared" si="13"/>
        <v>0</v>
      </c>
    </row>
    <row r="59" spans="1:21" ht="16.5" thickBot="1" x14ac:dyDescent="0.3">
      <c r="A59" s="461" t="s">
        <v>16</v>
      </c>
      <c r="B59" s="461"/>
      <c r="C59" s="100">
        <f>SUM(C50:C58)</f>
        <v>2</v>
      </c>
      <c r="D59" s="100">
        <f>SUM(D50:D58)</f>
        <v>2</v>
      </c>
      <c r="E59" s="100">
        <f>SUM(E50:E58)</f>
        <v>4</v>
      </c>
      <c r="F59" s="461" t="s">
        <v>77</v>
      </c>
      <c r="G59" s="461"/>
      <c r="H59" s="461"/>
      <c r="I59" s="100">
        <f>SUM(I50:I58)</f>
        <v>8006</v>
      </c>
      <c r="N59" s="480" t="s">
        <v>16</v>
      </c>
      <c r="O59" s="480"/>
      <c r="P59" s="502">
        <f>SUM(P50:P58)</f>
        <v>0</v>
      </c>
      <c r="Q59" s="502"/>
      <c r="R59" s="480" t="s">
        <v>77</v>
      </c>
      <c r="S59" s="480"/>
      <c r="T59" s="480"/>
      <c r="U59" s="111">
        <f>SUM(U50:U58)</f>
        <v>0</v>
      </c>
    </row>
    <row r="60" spans="1:21" x14ac:dyDescent="0.25">
      <c r="A60" s="462"/>
      <c r="B60" s="462"/>
      <c r="C60" s="462"/>
      <c r="D60" s="462"/>
      <c r="E60" s="462"/>
      <c r="F60" s="462"/>
      <c r="G60" s="462"/>
      <c r="H60" s="462"/>
      <c r="I60" s="462"/>
      <c r="N60" s="484"/>
      <c r="O60" s="484"/>
      <c r="P60" s="484"/>
      <c r="Q60" s="484"/>
      <c r="R60" s="484"/>
      <c r="S60" s="484"/>
      <c r="T60" s="484"/>
      <c r="U60" s="484"/>
    </row>
    <row r="61" spans="1:21" x14ac:dyDescent="0.25">
      <c r="A61" s="463" t="s">
        <v>136</v>
      </c>
      <c r="B61" s="453"/>
      <c r="C61" s="453"/>
      <c r="D61" s="453"/>
      <c r="E61" s="453"/>
      <c r="F61" s="453"/>
      <c r="G61" s="453"/>
      <c r="H61" s="453"/>
      <c r="I61" s="453"/>
      <c r="N61" s="479" t="s">
        <v>88</v>
      </c>
      <c r="O61" s="479"/>
      <c r="P61" s="479"/>
      <c r="Q61" s="479"/>
      <c r="R61" s="479"/>
      <c r="S61" s="479"/>
      <c r="T61" s="479"/>
      <c r="U61" s="479"/>
    </row>
    <row r="62" spans="1:21" x14ac:dyDescent="0.25">
      <c r="A62" s="463" t="s">
        <v>138</v>
      </c>
      <c r="B62" s="453"/>
      <c r="C62" s="121">
        <f>E29</f>
        <v>38.24</v>
      </c>
      <c r="D62" s="464" t="s">
        <v>135</v>
      </c>
      <c r="E62" s="464"/>
      <c r="F62" s="464"/>
      <c r="G62" s="464"/>
      <c r="H62" s="335">
        <f>'0664'!H62</f>
        <v>193340.76</v>
      </c>
      <c r="I62" s="122"/>
      <c r="N62" s="478" t="s">
        <v>312</v>
      </c>
      <c r="O62" s="479"/>
      <c r="P62" s="43">
        <f>P29</f>
        <v>0</v>
      </c>
      <c r="Q62" s="498" t="s">
        <v>78</v>
      </c>
      <c r="R62" s="498"/>
      <c r="S62" s="498"/>
      <c r="T62" s="497">
        <f>H62</f>
        <v>193340.76</v>
      </c>
      <c r="U62" s="497"/>
    </row>
    <row r="63" spans="1:21" x14ac:dyDescent="0.25">
      <c r="B63" s="72"/>
      <c r="G63" s="44" t="s">
        <v>13</v>
      </c>
      <c r="H63" s="123">
        <f>ROUND(C62/H62,6)</f>
        <v>1.9799999999999999E-4</v>
      </c>
      <c r="I63" s="124"/>
      <c r="N63" s="479" t="s">
        <v>19</v>
      </c>
      <c r="O63" s="479"/>
      <c r="P63" s="479"/>
      <c r="Q63" s="479"/>
      <c r="R63" s="479"/>
      <c r="S63" s="479"/>
      <c r="T63" s="501">
        <f>ROUND(P62/T62,6)</f>
        <v>0</v>
      </c>
      <c r="U63" s="501"/>
    </row>
    <row r="64" spans="1:21" x14ac:dyDescent="0.25">
      <c r="A64" s="463" t="s">
        <v>137</v>
      </c>
      <c r="B64" s="453"/>
      <c r="C64" s="453"/>
      <c r="D64" s="453"/>
      <c r="E64" s="453"/>
      <c r="F64" s="453"/>
      <c r="G64" s="453"/>
      <c r="H64" s="453"/>
      <c r="I64" s="453"/>
      <c r="N64" s="479" t="s">
        <v>89</v>
      </c>
      <c r="O64" s="479"/>
      <c r="P64" s="479"/>
      <c r="Q64" s="479"/>
      <c r="R64" s="479"/>
      <c r="S64" s="479"/>
      <c r="T64" s="479"/>
      <c r="U64" s="479"/>
    </row>
    <row r="65" spans="1:21" x14ac:dyDescent="0.25">
      <c r="A65" s="463" t="s">
        <v>139</v>
      </c>
      <c r="B65" s="453"/>
      <c r="C65" s="121">
        <f>E45</f>
        <v>39.029800000000002</v>
      </c>
      <c r="D65" s="464" t="s">
        <v>140</v>
      </c>
      <c r="E65" s="464"/>
      <c r="F65" s="464"/>
      <c r="G65" s="464"/>
      <c r="H65" s="336">
        <f>'0664'!H65</f>
        <v>216845.88</v>
      </c>
      <c r="I65" s="125"/>
      <c r="N65" s="479" t="s">
        <v>80</v>
      </c>
      <c r="O65" s="479"/>
      <c r="P65" s="43">
        <f>R45</f>
        <v>0</v>
      </c>
      <c r="Q65" s="498" t="s">
        <v>79</v>
      </c>
      <c r="R65" s="498"/>
      <c r="S65" s="498"/>
      <c r="T65" s="497">
        <f>H65</f>
        <v>216845.88</v>
      </c>
      <c r="U65" s="497"/>
    </row>
    <row r="66" spans="1:21" s="37" customFormat="1" x14ac:dyDescent="0.25">
      <c r="A66" s="126"/>
      <c r="G66" s="45" t="s">
        <v>13</v>
      </c>
      <c r="H66" s="127">
        <f>ROUND(C65/H65,6)</f>
        <v>1.8000000000000001E-4</v>
      </c>
      <c r="I66" s="127"/>
      <c r="N66" s="482" t="s">
        <v>20</v>
      </c>
      <c r="O66" s="482"/>
      <c r="P66" s="482"/>
      <c r="Q66" s="482"/>
      <c r="R66" s="482"/>
      <c r="S66" s="482"/>
      <c r="T66" s="500">
        <f>ROUND(P65/T65,6)</f>
        <v>0</v>
      </c>
      <c r="U66" s="500"/>
    </row>
    <row r="67" spans="1:21" x14ac:dyDescent="0.25">
      <c r="G67" s="44"/>
      <c r="H67" s="123"/>
      <c r="I67" s="123"/>
      <c r="N67" s="48"/>
      <c r="O67" s="48"/>
      <c r="P67" s="48"/>
      <c r="Q67" s="48"/>
      <c r="R67" s="128"/>
      <c r="S67" s="48"/>
      <c r="T67" s="129"/>
      <c r="U67" s="130"/>
    </row>
    <row r="68" spans="1:21" x14ac:dyDescent="0.25">
      <c r="A68" s="453" t="s">
        <v>85</v>
      </c>
      <c r="B68" s="453"/>
      <c r="C68" s="453"/>
      <c r="D68" s="72"/>
      <c r="E68" s="46" t="s">
        <v>3</v>
      </c>
      <c r="F68" s="337">
        <f>'0664'!F68</f>
        <v>42465042</v>
      </c>
      <c r="G68" s="39" t="s">
        <v>6</v>
      </c>
      <c r="H68" s="131">
        <f>H63</f>
        <v>1.9799999999999999E-4</v>
      </c>
      <c r="I68" s="104">
        <f>ROUND(F68*H68,2)</f>
        <v>8408.08</v>
      </c>
      <c r="N68" s="479" t="s">
        <v>85</v>
      </c>
      <c r="O68" s="479"/>
      <c r="P68" s="479"/>
      <c r="Q68" s="47"/>
      <c r="R68" s="132">
        <f>F68</f>
        <v>42465042</v>
      </c>
      <c r="S68" s="40" t="s">
        <v>6</v>
      </c>
      <c r="T68" s="133">
        <f>T63</f>
        <v>0</v>
      </c>
      <c r="U68" s="99">
        <f>ROUND(R68*T68,0)</f>
        <v>0</v>
      </c>
    </row>
    <row r="69" spans="1:21" x14ac:dyDescent="0.25">
      <c r="A69" s="458" t="s">
        <v>96</v>
      </c>
      <c r="B69" s="453"/>
      <c r="C69" s="453"/>
      <c r="D69" s="72"/>
      <c r="E69" s="46"/>
      <c r="F69" s="136"/>
      <c r="G69" s="39"/>
      <c r="H69" s="131"/>
      <c r="I69" s="104"/>
      <c r="N69" s="479" t="s">
        <v>84</v>
      </c>
      <c r="O69" s="479"/>
      <c r="P69" s="479"/>
      <c r="Q69" s="54"/>
      <c r="R69" s="54"/>
      <c r="S69" s="54"/>
      <c r="T69" s="54"/>
      <c r="U69" s="54"/>
    </row>
    <row r="70" spans="1:21" x14ac:dyDescent="0.25">
      <c r="A70" s="465" t="s">
        <v>141</v>
      </c>
      <c r="B70" s="453"/>
      <c r="C70" s="453"/>
      <c r="D70" s="72"/>
      <c r="E70" s="46" t="s">
        <v>3</v>
      </c>
      <c r="F70" s="337">
        <f>'0664'!F70</f>
        <v>0</v>
      </c>
      <c r="G70" s="39" t="s">
        <v>6</v>
      </c>
      <c r="H70" s="131">
        <f>H63</f>
        <v>1.9799999999999999E-4</v>
      </c>
      <c r="I70" s="104">
        <f>ROUND(F70*H70,2)</f>
        <v>0</v>
      </c>
      <c r="N70" s="48"/>
      <c r="O70" s="48"/>
      <c r="P70" s="48"/>
      <c r="Q70" s="47"/>
      <c r="R70" s="132">
        <f>F70</f>
        <v>0</v>
      </c>
      <c r="S70" s="40" t="s">
        <v>6</v>
      </c>
      <c r="T70" s="133">
        <f>T63</f>
        <v>0</v>
      </c>
      <c r="U70" s="99">
        <f>ROUND(R70*T70,0)</f>
        <v>0</v>
      </c>
    </row>
    <row r="71" spans="1:21" x14ac:dyDescent="0.25">
      <c r="A71" s="463" t="s">
        <v>433</v>
      </c>
      <c r="B71" s="453"/>
      <c r="C71" s="453"/>
      <c r="D71" s="72"/>
      <c r="E71" s="46" t="s">
        <v>3</v>
      </c>
      <c r="F71" s="337">
        <f>'0664'!F71</f>
        <v>13414654</v>
      </c>
      <c r="G71" s="39" t="s">
        <v>6</v>
      </c>
      <c r="H71" s="131">
        <f>H63</f>
        <v>1.9799999999999999E-4</v>
      </c>
      <c r="I71" s="104">
        <f>ROUND(F71*H71,2)</f>
        <v>2656.1</v>
      </c>
      <c r="N71" s="479" t="s">
        <v>83</v>
      </c>
      <c r="O71" s="479"/>
      <c r="P71" s="479"/>
      <c r="Q71" s="47"/>
      <c r="R71" s="132">
        <f>F71</f>
        <v>13414654</v>
      </c>
      <c r="S71" s="40" t="s">
        <v>6</v>
      </c>
      <c r="T71" s="133">
        <f>T63</f>
        <v>0</v>
      </c>
      <c r="U71" s="99">
        <f>ROUND(R71*T71,0)</f>
        <v>0</v>
      </c>
    </row>
    <row r="72" spans="1:21" x14ac:dyDescent="0.25">
      <c r="A72" s="463" t="s">
        <v>434</v>
      </c>
      <c r="B72" s="453"/>
      <c r="C72" s="453"/>
      <c r="D72" s="72"/>
      <c r="E72" s="46" t="s">
        <v>3</v>
      </c>
      <c r="F72" s="337">
        <f>'0664'!F72</f>
        <v>14708421</v>
      </c>
      <c r="G72" s="39" t="s">
        <v>6</v>
      </c>
      <c r="H72" s="131">
        <f>H63</f>
        <v>1.9799999999999999E-4</v>
      </c>
      <c r="I72" s="104">
        <f>ROUND(F72*H72,2)</f>
        <v>2912.27</v>
      </c>
      <c r="N72" s="479" t="s">
        <v>82</v>
      </c>
      <c r="O72" s="479"/>
      <c r="P72" s="479"/>
      <c r="Q72" s="47"/>
      <c r="R72" s="134">
        <f>F72</f>
        <v>14708421</v>
      </c>
      <c r="S72" s="40" t="s">
        <v>6</v>
      </c>
      <c r="T72" s="133">
        <f>T63</f>
        <v>0</v>
      </c>
      <c r="U72" s="99">
        <f>ROUND(R72*T72,0)</f>
        <v>0</v>
      </c>
    </row>
    <row r="73" spans="1:21" x14ac:dyDescent="0.25">
      <c r="A73" s="263" t="s">
        <v>99</v>
      </c>
      <c r="D73" s="72"/>
      <c r="E73" s="41" t="s">
        <v>353</v>
      </c>
      <c r="F73" s="466"/>
      <c r="G73" s="466"/>
      <c r="H73" s="466"/>
      <c r="I73" s="104">
        <v>0</v>
      </c>
      <c r="N73" s="499" t="s">
        <v>118</v>
      </c>
      <c r="O73" s="499"/>
      <c r="P73" s="499"/>
      <c r="Q73" s="499"/>
      <c r="R73" s="499"/>
      <c r="S73" s="499"/>
      <c r="T73" s="499"/>
      <c r="U73" s="99">
        <f>IF($H$120=1,I73,0)</f>
        <v>0</v>
      </c>
    </row>
    <row r="74" spans="1:21" x14ac:dyDescent="0.25">
      <c r="A74" s="264" t="s">
        <v>142</v>
      </c>
      <c r="I74" s="104"/>
      <c r="N74" s="499" t="s">
        <v>43</v>
      </c>
      <c r="O74" s="499"/>
      <c r="P74" s="499"/>
      <c r="Q74" s="499"/>
      <c r="R74" s="499"/>
      <c r="S74" s="499"/>
      <c r="T74" s="499"/>
      <c r="U74" s="99">
        <f>IF($H$120=1,I74,0)</f>
        <v>0</v>
      </c>
    </row>
    <row r="75" spans="1:21" x14ac:dyDescent="0.25">
      <c r="A75" s="324" t="s">
        <v>101</v>
      </c>
      <c r="B75" s="72"/>
      <c r="C75" s="72"/>
      <c r="D75" s="72"/>
      <c r="E75" s="72"/>
      <c r="F75" s="72"/>
      <c r="G75" s="72"/>
      <c r="H75" s="72"/>
      <c r="I75" s="135"/>
      <c r="N75" s="382" t="s">
        <v>44</v>
      </c>
      <c r="O75" s="48"/>
      <c r="P75" s="48"/>
      <c r="Q75" s="48"/>
      <c r="R75" s="48"/>
      <c r="S75" s="48"/>
      <c r="T75" s="48"/>
      <c r="U75" s="106"/>
    </row>
    <row r="76" spans="1:21" x14ac:dyDescent="0.25">
      <c r="A76" s="463" t="s">
        <v>435</v>
      </c>
      <c r="B76" s="453"/>
      <c r="C76" s="453"/>
      <c r="D76" s="72"/>
      <c r="E76" s="46" t="s">
        <v>3</v>
      </c>
      <c r="F76" s="337">
        <f>'0664'!F76</f>
        <v>8720092</v>
      </c>
      <c r="G76" s="39" t="s">
        <v>6</v>
      </c>
      <c r="H76" s="131">
        <f>H63</f>
        <v>1.9799999999999999E-4</v>
      </c>
      <c r="I76" s="104">
        <f t="shared" ref="I76:I85" si="14">ROUND(F76*H76,2)</f>
        <v>1726.58</v>
      </c>
      <c r="N76" s="478" t="s">
        <v>366</v>
      </c>
      <c r="O76" s="479"/>
      <c r="P76" s="479"/>
      <c r="Q76" s="47"/>
      <c r="R76" s="134">
        <f t="shared" ref="R76:R85" si="15">F76</f>
        <v>8720092</v>
      </c>
      <c r="S76" s="40" t="s">
        <v>6</v>
      </c>
      <c r="T76" s="133">
        <f>T63</f>
        <v>0</v>
      </c>
      <c r="U76" s="99">
        <f t="shared" ref="U76:U85" si="16">ROUND(R76*T76,0)</f>
        <v>0</v>
      </c>
    </row>
    <row r="77" spans="1:21" x14ac:dyDescent="0.25">
      <c r="A77" s="463" t="s">
        <v>436</v>
      </c>
      <c r="B77" s="453"/>
      <c r="C77" s="453"/>
      <c r="D77" s="72"/>
      <c r="E77" s="46" t="s">
        <v>3</v>
      </c>
      <c r="F77" s="337">
        <f>'0664'!F77</f>
        <v>0</v>
      </c>
      <c r="G77" s="39" t="s">
        <v>6</v>
      </c>
      <c r="H77" s="131">
        <f>H63</f>
        <v>1.9799999999999999E-4</v>
      </c>
      <c r="I77" s="104">
        <f t="shared" si="14"/>
        <v>0</v>
      </c>
      <c r="N77" s="479" t="s">
        <v>367</v>
      </c>
      <c r="O77" s="479"/>
      <c r="P77" s="479"/>
      <c r="Q77" s="47"/>
      <c r="R77" s="134">
        <f t="shared" si="15"/>
        <v>0</v>
      </c>
      <c r="S77" s="40" t="s">
        <v>6</v>
      </c>
      <c r="T77" s="133">
        <f>T63</f>
        <v>0</v>
      </c>
      <c r="U77" s="99">
        <f t="shared" si="16"/>
        <v>0</v>
      </c>
    </row>
    <row r="78" spans="1:21" x14ac:dyDescent="0.25">
      <c r="A78" s="463" t="s">
        <v>437</v>
      </c>
      <c r="B78" s="453"/>
      <c r="C78" s="453"/>
      <c r="D78" s="72"/>
      <c r="E78" s="46" t="s">
        <v>4</v>
      </c>
      <c r="F78" s="337">
        <f>'0664'!F78</f>
        <v>0</v>
      </c>
      <c r="G78" s="39" t="s">
        <v>6</v>
      </c>
      <c r="H78" s="131">
        <f>H66</f>
        <v>1.8000000000000001E-4</v>
      </c>
      <c r="I78" s="104">
        <f t="shared" si="14"/>
        <v>0</v>
      </c>
      <c r="N78" s="478" t="s">
        <v>392</v>
      </c>
      <c r="O78" s="479"/>
      <c r="P78" s="479"/>
      <c r="Q78" s="47"/>
      <c r="R78" s="134">
        <f t="shared" si="15"/>
        <v>0</v>
      </c>
      <c r="S78" s="40" t="s">
        <v>6</v>
      </c>
      <c r="T78" s="133">
        <f>T66</f>
        <v>0</v>
      </c>
      <c r="U78" s="99">
        <f t="shared" si="16"/>
        <v>0</v>
      </c>
    </row>
    <row r="79" spans="1:21" x14ac:dyDescent="0.25">
      <c r="A79" s="463" t="s">
        <v>438</v>
      </c>
      <c r="B79" s="453"/>
      <c r="C79" s="453"/>
      <c r="D79" s="72"/>
      <c r="E79" s="46" t="s">
        <v>4</v>
      </c>
      <c r="F79" s="337">
        <f>'0664'!F79</f>
        <v>11278687</v>
      </c>
      <c r="G79" s="39" t="s">
        <v>6</v>
      </c>
      <c r="H79" s="131">
        <f>H66</f>
        <v>1.8000000000000001E-4</v>
      </c>
      <c r="I79" s="104">
        <f t="shared" si="14"/>
        <v>2030.16</v>
      </c>
      <c r="N79" s="478" t="s">
        <v>393</v>
      </c>
      <c r="O79" s="479"/>
      <c r="P79" s="479"/>
      <c r="Q79" s="47"/>
      <c r="R79" s="134">
        <f t="shared" si="15"/>
        <v>11278687</v>
      </c>
      <c r="S79" s="40" t="s">
        <v>6</v>
      </c>
      <c r="T79" s="133">
        <f>T66</f>
        <v>0</v>
      </c>
      <c r="U79" s="99">
        <f t="shared" si="16"/>
        <v>0</v>
      </c>
    </row>
    <row r="80" spans="1:21" x14ac:dyDescent="0.25">
      <c r="A80" s="463" t="s">
        <v>439</v>
      </c>
      <c r="B80" s="453"/>
      <c r="C80" s="453"/>
      <c r="D80" s="72"/>
      <c r="E80" s="46" t="s">
        <v>4</v>
      </c>
      <c r="F80" s="337">
        <f>'0664'!F80</f>
        <v>206284749</v>
      </c>
      <c r="G80" s="39" t="s">
        <v>6</v>
      </c>
      <c r="H80" s="131">
        <f>H66</f>
        <v>1.8000000000000001E-4</v>
      </c>
      <c r="I80" s="104">
        <f t="shared" si="14"/>
        <v>37131.25</v>
      </c>
      <c r="N80" s="478" t="s">
        <v>397</v>
      </c>
      <c r="O80" s="479"/>
      <c r="P80" s="479"/>
      <c r="Q80" s="47"/>
      <c r="R80" s="134">
        <f t="shared" si="15"/>
        <v>206284749</v>
      </c>
      <c r="S80" s="40" t="s">
        <v>6</v>
      </c>
      <c r="T80" s="133">
        <f>T66</f>
        <v>0</v>
      </c>
      <c r="U80" s="99">
        <f t="shared" si="16"/>
        <v>0</v>
      </c>
    </row>
    <row r="81" spans="1:21" x14ac:dyDescent="0.25">
      <c r="A81" s="84" t="s">
        <v>440</v>
      </c>
      <c r="B81" s="72"/>
      <c r="C81" s="72"/>
      <c r="D81" s="72"/>
      <c r="E81" s="46"/>
      <c r="F81" s="337"/>
      <c r="G81" s="39"/>
      <c r="H81" s="131"/>
      <c r="I81" s="104"/>
      <c r="N81" s="419" t="s">
        <v>440</v>
      </c>
      <c r="O81" s="48"/>
      <c r="P81" s="48"/>
      <c r="Q81" s="47"/>
      <c r="R81" s="423"/>
      <c r="S81" s="40"/>
      <c r="T81" s="133"/>
      <c r="U81" s="120"/>
    </row>
    <row r="82" spans="1:21" x14ac:dyDescent="0.25">
      <c r="A82" s="264" t="s">
        <v>441</v>
      </c>
      <c r="B82" s="72"/>
      <c r="C82" s="72"/>
      <c r="D82" s="72"/>
      <c r="E82" s="46" t="s">
        <v>442</v>
      </c>
      <c r="F82" s="337">
        <f>'0664'!F82</f>
        <v>0</v>
      </c>
      <c r="G82" s="39" t="s">
        <v>6</v>
      </c>
      <c r="H82" s="131">
        <f>H66</f>
        <v>1.8000000000000001E-4</v>
      </c>
      <c r="I82" s="104">
        <v>6123.26</v>
      </c>
      <c r="N82" s="422" t="s">
        <v>441</v>
      </c>
      <c r="O82" s="48"/>
      <c r="P82" s="48"/>
      <c r="Q82" s="47"/>
      <c r="R82" s="134">
        <f t="shared" si="15"/>
        <v>0</v>
      </c>
      <c r="S82" s="40"/>
      <c r="T82" s="133"/>
      <c r="U82" s="99">
        <f t="shared" si="16"/>
        <v>0</v>
      </c>
    </row>
    <row r="83" spans="1:21" x14ac:dyDescent="0.25">
      <c r="A83" s="264" t="s">
        <v>443</v>
      </c>
      <c r="B83" s="72"/>
      <c r="C83" s="72"/>
      <c r="D83" s="72"/>
      <c r="E83" s="46" t="s">
        <v>442</v>
      </c>
      <c r="F83" s="337">
        <f>'0664'!F83</f>
        <v>0</v>
      </c>
      <c r="G83" s="39" t="s">
        <v>6</v>
      </c>
      <c r="H83" s="131">
        <f>H66</f>
        <v>1.8000000000000001E-4</v>
      </c>
      <c r="I83" s="104">
        <v>2783.3</v>
      </c>
      <c r="N83" s="422" t="s">
        <v>443</v>
      </c>
      <c r="O83" s="48"/>
      <c r="P83" s="48"/>
      <c r="Q83" s="47"/>
      <c r="R83" s="134">
        <f t="shared" si="15"/>
        <v>0</v>
      </c>
      <c r="S83" s="40"/>
      <c r="T83" s="133"/>
      <c r="U83" s="99">
        <f t="shared" si="16"/>
        <v>0</v>
      </c>
    </row>
    <row r="84" spans="1:21" x14ac:dyDescent="0.25">
      <c r="A84" s="420" t="s">
        <v>444</v>
      </c>
      <c r="B84" s="72"/>
      <c r="C84" s="72"/>
      <c r="D84" s="72"/>
      <c r="E84" s="46"/>
      <c r="F84" s="337"/>
      <c r="G84" s="39"/>
      <c r="H84" s="131"/>
      <c r="I84" s="104">
        <f>I82+I83</f>
        <v>8906.5600000000013</v>
      </c>
      <c r="N84" s="421" t="s">
        <v>444</v>
      </c>
      <c r="O84" s="48"/>
      <c r="P84" s="48"/>
      <c r="Q84" s="47"/>
      <c r="R84" s="423"/>
      <c r="S84" s="40"/>
      <c r="T84" s="133"/>
      <c r="U84" s="99">
        <f>U82+U83</f>
        <v>0</v>
      </c>
    </row>
    <row r="85" spans="1:21" x14ac:dyDescent="0.25">
      <c r="A85" s="463" t="s">
        <v>398</v>
      </c>
      <c r="B85" s="453"/>
      <c r="C85" s="453"/>
      <c r="D85" s="72"/>
      <c r="E85" s="46" t="s">
        <v>4</v>
      </c>
      <c r="F85" s="337">
        <f>'0664'!F85</f>
        <v>0</v>
      </c>
      <c r="G85" s="39" t="s">
        <v>6</v>
      </c>
      <c r="H85" s="131">
        <f>H66</f>
        <v>1.8000000000000001E-4</v>
      </c>
      <c r="I85" s="104">
        <f t="shared" si="14"/>
        <v>0</v>
      </c>
      <c r="N85" s="478" t="s">
        <v>398</v>
      </c>
      <c r="O85" s="479"/>
      <c r="P85" s="479"/>
      <c r="Q85" s="47"/>
      <c r="R85" s="132">
        <f t="shared" si="15"/>
        <v>0</v>
      </c>
      <c r="S85" s="40" t="s">
        <v>6</v>
      </c>
      <c r="T85" s="133">
        <f>T66</f>
        <v>0</v>
      </c>
      <c r="U85" s="99">
        <f t="shared" si="16"/>
        <v>0</v>
      </c>
    </row>
    <row r="86" spans="1:21" x14ac:dyDescent="0.25">
      <c r="B86" s="72"/>
      <c r="C86" s="72"/>
      <c r="D86" s="72"/>
      <c r="E86" s="46"/>
      <c r="F86" s="136"/>
      <c r="G86" s="39"/>
      <c r="H86" s="131"/>
      <c r="I86" s="104"/>
      <c r="N86" s="48"/>
      <c r="O86" s="48"/>
      <c r="P86" s="48"/>
      <c r="Q86" s="47"/>
      <c r="R86" s="137"/>
      <c r="S86" s="40"/>
      <c r="T86" s="133"/>
      <c r="U86" s="106"/>
    </row>
    <row r="87" spans="1:21" x14ac:dyDescent="0.25">
      <c r="A87" s="463" t="s">
        <v>445</v>
      </c>
      <c r="B87" s="453"/>
      <c r="C87" s="453"/>
      <c r="D87" s="453"/>
      <c r="E87" s="453"/>
      <c r="F87" s="453"/>
      <c r="G87" s="453"/>
      <c r="H87" s="453"/>
      <c r="I87" s="453"/>
      <c r="N87" s="478" t="s">
        <v>429</v>
      </c>
      <c r="O87" s="479"/>
      <c r="P87" s="479"/>
      <c r="Q87" s="479"/>
      <c r="R87" s="479"/>
      <c r="S87" s="479"/>
      <c r="T87" s="479"/>
      <c r="U87" s="479"/>
    </row>
    <row r="88" spans="1:21" x14ac:dyDescent="0.25">
      <c r="B88" s="72"/>
      <c r="C88" s="466" t="s">
        <v>73</v>
      </c>
      <c r="D88" s="466"/>
      <c r="E88" s="72"/>
      <c r="F88" s="41" t="s">
        <v>37</v>
      </c>
      <c r="G88" s="72"/>
      <c r="H88" s="72"/>
      <c r="I88" s="72"/>
      <c r="N88" s="48"/>
      <c r="O88" s="48"/>
      <c r="P88" s="48"/>
      <c r="Q88" s="48"/>
      <c r="R88" s="48"/>
      <c r="S88" s="48"/>
      <c r="T88" s="48"/>
      <c r="U88" s="48"/>
    </row>
    <row r="89" spans="1:21" x14ac:dyDescent="0.25">
      <c r="A89" s="3"/>
      <c r="B89" s="138"/>
      <c r="C89" s="462" t="s">
        <v>144</v>
      </c>
      <c r="D89" s="462"/>
      <c r="E89" s="139" t="s">
        <v>150</v>
      </c>
      <c r="F89" s="140" t="s">
        <v>149</v>
      </c>
      <c r="G89" s="141"/>
      <c r="H89" s="141"/>
      <c r="I89" s="141"/>
      <c r="N89" s="495" t="s">
        <v>46</v>
      </c>
      <c r="O89" s="495"/>
      <c r="P89" s="496" t="s">
        <v>119</v>
      </c>
      <c r="Q89" s="496"/>
      <c r="R89" s="497" t="s">
        <v>40</v>
      </c>
      <c r="S89" s="497"/>
      <c r="T89" s="497"/>
      <c r="U89" s="497"/>
    </row>
    <row r="90" spans="1:21" x14ac:dyDescent="0.25">
      <c r="A90" s="27"/>
      <c r="B90" s="55" t="s">
        <v>148</v>
      </c>
      <c r="C90" s="467">
        <f>H13+H14+H19+H22+H25</f>
        <v>0</v>
      </c>
      <c r="D90" s="467"/>
      <c r="E90" s="49">
        <f>H8</f>
        <v>1.0438000000000001</v>
      </c>
      <c r="F90" s="338">
        <f>'0664'!F90</f>
        <v>957.94</v>
      </c>
      <c r="G90" s="41" t="s">
        <v>13</v>
      </c>
      <c r="H90" s="104">
        <f>ROUND(C90*E90*F90,2)</f>
        <v>0</v>
      </c>
      <c r="I90" s="107"/>
      <c r="N90" s="29" t="s">
        <v>22</v>
      </c>
      <c r="O90" s="50">
        <f>T13+T14+T19+T22+T25</f>
        <v>0</v>
      </c>
      <c r="P90" s="490">
        <f>T8</f>
        <v>1.0438000000000001</v>
      </c>
      <c r="Q90" s="490"/>
      <c r="R90" s="51">
        <f>F90</f>
        <v>957.94</v>
      </c>
      <c r="S90" s="42" t="s">
        <v>13</v>
      </c>
      <c r="T90" s="134">
        <f>ROUND(O90*P90*R90,0)</f>
        <v>0</v>
      </c>
      <c r="U90" s="105"/>
    </row>
    <row r="91" spans="1:21" x14ac:dyDescent="0.25">
      <c r="A91" s="52"/>
      <c r="B91" s="52" t="s">
        <v>147</v>
      </c>
      <c r="C91" s="467">
        <f>H15+H16+H20+H23+H26</f>
        <v>0</v>
      </c>
      <c r="D91" s="467"/>
      <c r="E91" s="49">
        <f>H8</f>
        <v>1.0438000000000001</v>
      </c>
      <c r="F91" s="338">
        <f>'0664'!F91</f>
        <v>914.63</v>
      </c>
      <c r="G91" s="41" t="s">
        <v>13</v>
      </c>
      <c r="H91" s="104">
        <f>ROUND(C91*E91*F91,2)</f>
        <v>0</v>
      </c>
      <c r="N91" s="53" t="s">
        <v>14</v>
      </c>
      <c r="O91" s="50">
        <f>T15+T16+T20+T23+T26</f>
        <v>0</v>
      </c>
      <c r="P91" s="490">
        <f>T8</f>
        <v>1.0438000000000001</v>
      </c>
      <c r="Q91" s="490"/>
      <c r="R91" s="51">
        <f>F91</f>
        <v>914.63</v>
      </c>
      <c r="S91" s="42" t="s">
        <v>13</v>
      </c>
      <c r="T91" s="134">
        <f>ROUND(O91*P91*R91,0)</f>
        <v>0</v>
      </c>
      <c r="U91" s="54"/>
    </row>
    <row r="92" spans="1:21" ht="16.5" thickBot="1" x14ac:dyDescent="0.3">
      <c r="A92" s="55"/>
      <c r="B92" s="55" t="s">
        <v>146</v>
      </c>
      <c r="C92" s="467">
        <f>H17+H18+H21+H24+H27+H28</f>
        <v>39.029800000000002</v>
      </c>
      <c r="D92" s="467"/>
      <c r="E92" s="49">
        <f>H8</f>
        <v>1.0438000000000001</v>
      </c>
      <c r="F92" s="338">
        <f>'0664'!F92</f>
        <v>916.84</v>
      </c>
      <c r="G92" s="41" t="s">
        <v>13</v>
      </c>
      <c r="H92" s="97">
        <f>ROUND(C92*E92*F92,2)</f>
        <v>37351.42</v>
      </c>
      <c r="N92" s="56" t="s">
        <v>15</v>
      </c>
      <c r="O92" s="57">
        <f>T17+T18+T21+T24+T27+T28</f>
        <v>0</v>
      </c>
      <c r="P92" s="490">
        <f>T8</f>
        <v>1.0438000000000001</v>
      </c>
      <c r="Q92" s="490"/>
      <c r="R92" s="51">
        <f>F92</f>
        <v>916.84</v>
      </c>
      <c r="S92" s="42" t="s">
        <v>13</v>
      </c>
      <c r="T92" s="134">
        <f>ROUND(O92*P92*R92,0)</f>
        <v>0</v>
      </c>
      <c r="U92" s="54"/>
    </row>
    <row r="93" spans="1:21" ht="16.5" thickBot="1" x14ac:dyDescent="0.3">
      <c r="A93" s="58"/>
      <c r="B93" s="142" t="s">
        <v>145</v>
      </c>
      <c r="C93" s="469">
        <f>SUM(C90:C92)</f>
        <v>39.029800000000002</v>
      </c>
      <c r="D93" s="469"/>
      <c r="E93" s="143"/>
      <c r="F93" s="143"/>
      <c r="G93" s="143"/>
      <c r="H93" s="144" t="s">
        <v>143</v>
      </c>
      <c r="I93" s="104">
        <f>IF(A1=75,0,H92+H91+H90)</f>
        <v>37351.42</v>
      </c>
      <c r="N93" s="59" t="s">
        <v>120</v>
      </c>
      <c r="O93" s="60">
        <f>SUM(O90:O92)</f>
        <v>0</v>
      </c>
      <c r="P93" s="491" t="s">
        <v>18</v>
      </c>
      <c r="Q93" s="492"/>
      <c r="R93" s="492"/>
      <c r="S93" s="492"/>
      <c r="T93" s="492"/>
      <c r="U93" s="99">
        <f>IF(N1=75,0,T92+T91+T90)</f>
        <v>0</v>
      </c>
    </row>
    <row r="94" spans="1:21" ht="16.5" thickTop="1" x14ac:dyDescent="0.25">
      <c r="A94" s="540" t="s">
        <v>90</v>
      </c>
      <c r="B94" s="540"/>
      <c r="C94" s="540"/>
      <c r="D94" s="540"/>
      <c r="E94" s="540"/>
      <c r="F94" s="540"/>
      <c r="G94" s="540"/>
      <c r="H94" s="540"/>
      <c r="I94" s="540"/>
      <c r="N94" s="493" t="s">
        <v>90</v>
      </c>
      <c r="O94" s="493"/>
      <c r="P94" s="493"/>
      <c r="Q94" s="493"/>
      <c r="R94" s="493"/>
      <c r="S94" s="493"/>
      <c r="T94" s="493"/>
      <c r="U94" s="493"/>
    </row>
    <row r="95" spans="1:21" x14ac:dyDescent="0.25">
      <c r="A95" s="145"/>
      <c r="B95" s="145"/>
      <c r="C95" s="145"/>
      <c r="D95" s="145"/>
      <c r="E95" s="145"/>
      <c r="F95" s="145"/>
      <c r="G95" s="145"/>
      <c r="H95" s="145"/>
      <c r="I95" s="145"/>
      <c r="N95" s="146"/>
      <c r="O95" s="146"/>
      <c r="P95" s="146"/>
      <c r="Q95" s="146"/>
      <c r="R95" s="146"/>
      <c r="S95" s="146"/>
      <c r="T95" s="146"/>
      <c r="U95" s="146"/>
    </row>
    <row r="96" spans="1:21" x14ac:dyDescent="0.25">
      <c r="A96" s="84" t="s">
        <v>446</v>
      </c>
      <c r="C96" s="46"/>
      <c r="D96" s="72"/>
      <c r="E96" s="46" t="s">
        <v>100</v>
      </c>
      <c r="F96" s="471"/>
      <c r="G96" s="471"/>
      <c r="H96" s="471"/>
      <c r="I96" s="471"/>
      <c r="N96" s="478" t="s">
        <v>426</v>
      </c>
      <c r="O96" s="479"/>
      <c r="P96" s="479"/>
      <c r="Q96" s="494"/>
      <c r="R96" s="494"/>
      <c r="S96" s="494"/>
      <c r="T96" s="494"/>
      <c r="U96" s="106"/>
    </row>
    <row r="97" spans="1:21" x14ac:dyDescent="0.25">
      <c r="B97" s="72"/>
      <c r="C97" s="91" t="s">
        <v>409</v>
      </c>
      <c r="D97" s="371" t="s">
        <v>410</v>
      </c>
      <c r="E97" s="92" t="s">
        <v>151</v>
      </c>
      <c r="F97" s="46"/>
      <c r="G97" s="46"/>
      <c r="H97" s="46"/>
      <c r="I97" s="46"/>
      <c r="N97" s="48"/>
      <c r="O97" s="48"/>
      <c r="P97" s="48"/>
      <c r="Q97" s="147"/>
      <c r="R97" s="147"/>
      <c r="S97" s="147"/>
      <c r="T97" s="147"/>
      <c r="U97" s="106"/>
    </row>
    <row r="98" spans="1:21" x14ac:dyDescent="0.25">
      <c r="B98" s="72"/>
      <c r="C98" s="364" t="s">
        <v>2</v>
      </c>
      <c r="D98" s="362" t="s">
        <v>2</v>
      </c>
      <c r="E98" s="362" t="s">
        <v>2</v>
      </c>
      <c r="F98" s="46"/>
      <c r="G98" s="46"/>
      <c r="H98" s="46"/>
      <c r="I98" s="46"/>
      <c r="N98" s="48"/>
      <c r="O98" s="48"/>
      <c r="P98" s="48"/>
      <c r="Q98" s="147"/>
      <c r="R98" s="147"/>
      <c r="S98" s="147"/>
      <c r="T98" s="147"/>
      <c r="U98" s="106"/>
    </row>
    <row r="99" spans="1:21" x14ac:dyDescent="0.25">
      <c r="A99" s="536" t="s">
        <v>470</v>
      </c>
      <c r="B99" s="461"/>
      <c r="C99" s="165">
        <v>2</v>
      </c>
      <c r="D99" s="165">
        <v>0</v>
      </c>
      <c r="E99" s="125">
        <f>C99</f>
        <v>2</v>
      </c>
      <c r="F99" s="148" t="s">
        <v>39</v>
      </c>
      <c r="G99" s="339">
        <f>'0664'!G99</f>
        <v>558</v>
      </c>
      <c r="I99" s="104">
        <f>ROUND(G99*E99,2)</f>
        <v>1116</v>
      </c>
      <c r="N99" s="488" t="s">
        <v>65</v>
      </c>
      <c r="O99" s="488"/>
      <c r="P99" s="489">
        <f>IF(H120=1,E99,0)</f>
        <v>0</v>
      </c>
      <c r="Q99" s="489"/>
      <c r="R99" s="489"/>
      <c r="S99" s="86" t="s">
        <v>39</v>
      </c>
      <c r="T99" s="61">
        <f>G99</f>
        <v>558</v>
      </c>
      <c r="U99" s="99">
        <f>ROUND(T99*P99,0)</f>
        <v>0</v>
      </c>
    </row>
    <row r="100" spans="1:21" x14ac:dyDescent="0.25">
      <c r="A100" s="536" t="s">
        <v>471</v>
      </c>
      <c r="B100" s="461"/>
      <c r="C100" s="165">
        <v>0</v>
      </c>
      <c r="D100" s="165">
        <v>0</v>
      </c>
      <c r="E100" s="125">
        <f>C100</f>
        <v>0</v>
      </c>
      <c r="F100" s="148" t="s">
        <v>39</v>
      </c>
      <c r="G100" s="339">
        <f>'0664'!G100</f>
        <v>1707</v>
      </c>
      <c r="I100" s="104">
        <f>ROUND(G100*E100,2)</f>
        <v>0</v>
      </c>
      <c r="N100" s="488" t="s">
        <v>81</v>
      </c>
      <c r="O100" s="488"/>
      <c r="P100" s="483"/>
      <c r="Q100" s="483"/>
      <c r="R100" s="483"/>
      <c r="S100" s="86" t="s">
        <v>39</v>
      </c>
      <c r="T100" s="61">
        <f>G100</f>
        <v>1707</v>
      </c>
      <c r="U100" s="99">
        <f>ROUND(T100*P100,0)</f>
        <v>0</v>
      </c>
    </row>
    <row r="101" spans="1:21" x14ac:dyDescent="0.25">
      <c r="A101" s="149"/>
      <c r="B101" s="149"/>
      <c r="C101" s="68"/>
      <c r="D101" s="68"/>
      <c r="E101" s="68"/>
      <c r="F101" s="68"/>
      <c r="G101" s="150"/>
      <c r="H101" s="151"/>
      <c r="I101" s="104"/>
      <c r="N101" s="152"/>
      <c r="O101" s="152"/>
      <c r="P101" s="153"/>
      <c r="Q101" s="153"/>
      <c r="R101" s="153"/>
      <c r="S101" s="86"/>
      <c r="T101" s="61"/>
      <c r="U101" s="106"/>
    </row>
    <row r="102" spans="1:21" x14ac:dyDescent="0.25">
      <c r="A102" s="149"/>
      <c r="B102" s="149"/>
      <c r="C102" s="68"/>
      <c r="D102" s="68"/>
      <c r="E102" s="68"/>
      <c r="F102" s="68"/>
      <c r="G102" s="150"/>
      <c r="H102" s="151"/>
      <c r="I102" s="104"/>
      <c r="N102" s="152"/>
      <c r="O102" s="152"/>
      <c r="P102" s="153"/>
      <c r="Q102" s="153"/>
      <c r="R102" s="153"/>
      <c r="S102" s="86"/>
      <c r="T102" s="61"/>
      <c r="U102" s="106"/>
    </row>
    <row r="103" spans="1:21" hidden="1" x14ac:dyDescent="0.25">
      <c r="A103" s="463" t="s">
        <v>447</v>
      </c>
      <c r="B103" s="453"/>
      <c r="C103" s="453"/>
      <c r="D103" s="72"/>
      <c r="E103" s="41" t="s">
        <v>41</v>
      </c>
      <c r="F103" s="466"/>
      <c r="G103" s="466"/>
      <c r="H103" s="466"/>
      <c r="I103" s="466"/>
      <c r="N103" s="478" t="s">
        <v>362</v>
      </c>
      <c r="O103" s="479"/>
      <c r="P103" s="479"/>
      <c r="Q103" s="479"/>
      <c r="R103" s="479"/>
      <c r="S103" s="479"/>
      <c r="T103" s="479"/>
      <c r="U103" s="479"/>
    </row>
    <row r="104" spans="1:21" hidden="1" x14ac:dyDescent="0.25">
      <c r="B104" s="72"/>
      <c r="C104" s="462" t="s">
        <v>91</v>
      </c>
      <c r="D104" s="462"/>
      <c r="E104" s="462"/>
      <c r="F104" s="39"/>
      <c r="G104" s="39"/>
      <c r="H104" s="41" t="s">
        <v>152</v>
      </c>
      <c r="I104" s="39"/>
      <c r="N104" s="48"/>
      <c r="O104" s="48"/>
      <c r="P104" s="48"/>
      <c r="Q104" s="48"/>
      <c r="R104" s="48"/>
      <c r="S104" s="48"/>
      <c r="T104" s="48"/>
      <c r="U104" s="48"/>
    </row>
    <row r="105" spans="1:21" hidden="1" x14ac:dyDescent="0.25">
      <c r="B105" s="72"/>
      <c r="C105" s="91" t="s">
        <v>371</v>
      </c>
      <c r="D105" s="91" t="s">
        <v>351</v>
      </c>
      <c r="E105" s="159" t="s">
        <v>8</v>
      </c>
      <c r="F105" s="464" t="s">
        <v>153</v>
      </c>
      <c r="G105" s="466"/>
      <c r="H105" s="39" t="s">
        <v>38</v>
      </c>
      <c r="I105" s="39"/>
      <c r="N105" s="48"/>
      <c r="O105" s="48"/>
      <c r="P105" s="48"/>
      <c r="Q105" s="48"/>
      <c r="R105" s="48"/>
      <c r="S105" s="48"/>
      <c r="T105" s="48"/>
      <c r="U105" s="48"/>
    </row>
    <row r="106" spans="1:21" hidden="1" x14ac:dyDescent="0.25">
      <c r="A106" s="462" t="s">
        <v>94</v>
      </c>
      <c r="B106" s="462"/>
      <c r="C106" s="93" t="s">
        <v>2</v>
      </c>
      <c r="D106" s="93" t="s">
        <v>2</v>
      </c>
      <c r="E106" s="62" t="s">
        <v>2</v>
      </c>
      <c r="F106" s="462" t="s">
        <v>37</v>
      </c>
      <c r="G106" s="462"/>
      <c r="H106" s="62" t="s">
        <v>37</v>
      </c>
      <c r="I106" s="62" t="s">
        <v>8</v>
      </c>
      <c r="N106" s="484" t="s">
        <v>66</v>
      </c>
      <c r="O106" s="484"/>
      <c r="P106" s="489" t="s">
        <v>91</v>
      </c>
      <c r="Q106" s="489"/>
      <c r="R106" s="484" t="s">
        <v>67</v>
      </c>
      <c r="S106" s="484"/>
      <c r="T106" s="63" t="s">
        <v>68</v>
      </c>
      <c r="U106" s="63" t="s">
        <v>8</v>
      </c>
    </row>
    <row r="107" spans="1:21" hidden="1" x14ac:dyDescent="0.25">
      <c r="A107" s="473" t="s">
        <v>69</v>
      </c>
      <c r="B107" s="473"/>
      <c r="C107" s="163">
        <v>0</v>
      </c>
      <c r="D107" s="163">
        <v>0</v>
      </c>
      <c r="E107" s="210">
        <f>IF(D$59=0,C107*2,C107+D107)</f>
        <v>0</v>
      </c>
      <c r="F107" s="474">
        <v>0</v>
      </c>
      <c r="G107" s="474"/>
      <c r="H107" s="250">
        <f>IF(C107=0,0,125)</f>
        <v>0</v>
      </c>
      <c r="I107" s="104">
        <f>ROUND((H107+F107)*E107,2)</f>
        <v>0</v>
      </c>
      <c r="N107" s="479" t="s">
        <v>69</v>
      </c>
      <c r="O107" s="479"/>
      <c r="P107" s="483">
        <f>IF(H$120=1,C107,0)</f>
        <v>0</v>
      </c>
      <c r="Q107" s="483"/>
      <c r="R107" s="486">
        <f>F107</f>
        <v>0</v>
      </c>
      <c r="S107" s="486"/>
      <c r="T107" s="65">
        <f>H107</f>
        <v>0</v>
      </c>
      <c r="U107" s="99">
        <f>ROUND((T107+R107)*P107,0)</f>
        <v>0</v>
      </c>
    </row>
    <row r="108" spans="1:21" hidden="1" x14ac:dyDescent="0.25">
      <c r="A108" s="456" t="s">
        <v>70</v>
      </c>
      <c r="B108" s="456"/>
      <c r="C108" s="165">
        <v>0</v>
      </c>
      <c r="D108" s="165">
        <v>0</v>
      </c>
      <c r="E108" s="125">
        <f>IF(D$59=0,C108*2,C108+D108)</f>
        <v>0</v>
      </c>
      <c r="F108" s="468">
        <f>ROUND(F107/2,2)</f>
        <v>0</v>
      </c>
      <c r="G108" s="468"/>
      <c r="H108" s="250">
        <f>IF(C108=0,0,62.5)</f>
        <v>0</v>
      </c>
      <c r="I108" s="104">
        <f>ROUND((H108+F108)*E108,2)</f>
        <v>0</v>
      </c>
      <c r="N108" s="479" t="s">
        <v>70</v>
      </c>
      <c r="O108" s="479"/>
      <c r="P108" s="483">
        <f>IF(H$120=1,C108,0)</f>
        <v>0</v>
      </c>
      <c r="Q108" s="483"/>
      <c r="R108" s="487">
        <f>ROUND(R107/2,2)</f>
        <v>0</v>
      </c>
      <c r="S108" s="487"/>
      <c r="T108" s="65">
        <f>H108</f>
        <v>0</v>
      </c>
      <c r="U108" s="99">
        <f>ROUND((T108+R108)*P108,0)</f>
        <v>0</v>
      </c>
    </row>
    <row r="109" spans="1:21" ht="16.5" hidden="1" thickBot="1" x14ac:dyDescent="0.3">
      <c r="A109" s="456" t="s">
        <v>71</v>
      </c>
      <c r="B109" s="456"/>
      <c r="C109" s="165">
        <v>0</v>
      </c>
      <c r="D109" s="165">
        <v>0</v>
      </c>
      <c r="E109" s="125">
        <f>IF(D$59=0,C109*2,C109+D109)</f>
        <v>0</v>
      </c>
      <c r="F109" s="475"/>
      <c r="G109" s="475"/>
      <c r="H109" s="251">
        <f>IF(H107&gt;0,436,0)</f>
        <v>0</v>
      </c>
      <c r="I109" s="104">
        <f>ROUND(H109*E109,2)</f>
        <v>0</v>
      </c>
      <c r="N109" s="482" t="s">
        <v>71</v>
      </c>
      <c r="O109" s="482"/>
      <c r="P109" s="483">
        <f>IF(H$120=1,C109,0)</f>
        <v>0</v>
      </c>
      <c r="Q109" s="483"/>
      <c r="R109" s="484"/>
      <c r="S109" s="484"/>
      <c r="T109" s="67">
        <f>H109</f>
        <v>0</v>
      </c>
      <c r="U109" s="106">
        <f>ROUND(T109*P109,0)</f>
        <v>0</v>
      </c>
    </row>
    <row r="110" spans="1:21" ht="16.5" hidden="1" thickBot="1" x14ac:dyDescent="0.3">
      <c r="A110" s="466" t="s">
        <v>8</v>
      </c>
      <c r="B110" s="466"/>
      <c r="C110" s="68"/>
      <c r="D110" s="68"/>
      <c r="E110" s="68"/>
      <c r="F110" s="68"/>
      <c r="G110" s="68"/>
      <c r="H110" s="68"/>
      <c r="I110" s="100">
        <f>SUM(I107:I109)</f>
        <v>0</v>
      </c>
      <c r="N110" s="485" t="s">
        <v>8</v>
      </c>
      <c r="O110" s="485"/>
      <c r="P110" s="69"/>
      <c r="Q110" s="69"/>
      <c r="R110" s="69"/>
      <c r="S110" s="69"/>
      <c r="T110" s="69"/>
      <c r="U110" s="70">
        <f>SUM(U107:U109)</f>
        <v>0</v>
      </c>
    </row>
    <row r="111" spans="1:21" hidden="1" x14ac:dyDescent="0.25">
      <c r="A111" s="39"/>
      <c r="B111" s="39"/>
      <c r="C111" s="68"/>
      <c r="D111" s="68"/>
      <c r="E111" s="68"/>
      <c r="F111" s="68"/>
      <c r="G111" s="68"/>
      <c r="H111" s="68"/>
      <c r="I111" s="104"/>
      <c r="N111" s="40"/>
      <c r="O111" s="40"/>
      <c r="P111" s="69"/>
      <c r="Q111" s="69"/>
      <c r="R111" s="69"/>
      <c r="S111" s="69"/>
      <c r="T111" s="69"/>
      <c r="U111" s="160"/>
    </row>
    <row r="112" spans="1:21" x14ac:dyDescent="0.25">
      <c r="A112" s="463" t="s">
        <v>448</v>
      </c>
      <c r="B112" s="453"/>
      <c r="C112" s="453"/>
      <c r="D112" s="72"/>
      <c r="E112" s="71" t="s">
        <v>354</v>
      </c>
      <c r="F112" s="472"/>
      <c r="G112" s="472"/>
      <c r="H112" s="472"/>
      <c r="I112" s="125">
        <v>0</v>
      </c>
      <c r="N112" s="478" t="s">
        <v>427</v>
      </c>
      <c r="O112" s="479"/>
      <c r="P112" s="479"/>
      <c r="Q112" s="341"/>
      <c r="R112" s="341"/>
      <c r="S112" s="341"/>
      <c r="T112" s="341"/>
      <c r="U112" s="99">
        <f>IF($H$120=1,I112,0)</f>
        <v>0</v>
      </c>
    </row>
    <row r="113" spans="1:21" x14ac:dyDescent="0.25">
      <c r="A113" s="463" t="s">
        <v>449</v>
      </c>
      <c r="B113" s="453"/>
      <c r="C113" s="453"/>
      <c r="D113" s="72"/>
      <c r="E113" s="71" t="s">
        <v>45</v>
      </c>
      <c r="F113" s="472"/>
      <c r="G113" s="472"/>
      <c r="H113" s="472"/>
      <c r="I113" s="177">
        <v>0</v>
      </c>
      <c r="N113" s="478" t="s">
        <v>428</v>
      </c>
      <c r="O113" s="479"/>
      <c r="P113" s="479"/>
      <c r="Q113" s="341"/>
      <c r="R113" s="341"/>
      <c r="S113" s="341"/>
      <c r="T113" s="341"/>
      <c r="U113" s="99">
        <f>IF($H$120=1,I113,0)</f>
        <v>0</v>
      </c>
    </row>
    <row r="114" spans="1:21" ht="16.5" thickBot="1" x14ac:dyDescent="0.3">
      <c r="B114" s="72"/>
      <c r="C114" s="72"/>
      <c r="D114" s="72"/>
      <c r="E114" s="71"/>
      <c r="F114" s="71"/>
      <c r="G114" s="71"/>
      <c r="H114" s="71"/>
      <c r="I114" s="125"/>
      <c r="N114" s="480" t="s">
        <v>42</v>
      </c>
      <c r="O114" s="480"/>
      <c r="P114" s="480"/>
      <c r="Q114" s="480"/>
      <c r="R114" s="480"/>
      <c r="S114" s="480"/>
      <c r="T114" s="480"/>
      <c r="U114" s="154">
        <f>SUM(U112,U110,U100,U99,U93,U77,U76,U74,U73,U72,U71,U70,U68,U59,U45,U78,U79,U80,U85,U113)</f>
        <v>0</v>
      </c>
    </row>
    <row r="115" spans="1:21" ht="16.5" thickTop="1" x14ac:dyDescent="0.25">
      <c r="A115" s="461" t="s">
        <v>8</v>
      </c>
      <c r="B115" s="461"/>
      <c r="C115" s="461"/>
      <c r="D115" s="461"/>
      <c r="E115" s="461"/>
      <c r="F115" s="461"/>
      <c r="G115" s="461"/>
      <c r="H115" s="461"/>
      <c r="I115" s="97">
        <f>SUM(I113,I112,I110,I100,I99,I93,I85,I84,I80,I79,I78,I77,I76,I74,I73,I72,I71,I70,I68,I59,I45)</f>
        <v>297131.90000000002</v>
      </c>
      <c r="N115" s="29"/>
      <c r="O115" s="29"/>
      <c r="P115" s="29"/>
      <c r="Q115" s="29"/>
      <c r="R115" s="29"/>
      <c r="S115" s="29"/>
      <c r="T115" s="29"/>
      <c r="U115" s="160"/>
    </row>
    <row r="116" spans="1:21" x14ac:dyDescent="0.25">
      <c r="A116" s="27"/>
      <c r="B116" s="27"/>
      <c r="C116" s="27"/>
      <c r="D116" s="27"/>
      <c r="E116" s="27"/>
      <c r="F116" s="27"/>
      <c r="G116" s="27"/>
      <c r="H116" s="27"/>
      <c r="I116" s="104"/>
      <c r="N116" s="29"/>
      <c r="O116" s="29"/>
      <c r="P116" s="29"/>
      <c r="Q116" s="29"/>
      <c r="R116" s="29"/>
      <c r="S116" s="29"/>
      <c r="T116" s="29"/>
      <c r="U116" s="160"/>
    </row>
    <row r="117" spans="1:21" x14ac:dyDescent="0.25">
      <c r="A117" s="432" t="s">
        <v>467</v>
      </c>
      <c r="B117" s="27"/>
      <c r="C117" s="27"/>
      <c r="D117" s="27"/>
      <c r="E117" s="27"/>
      <c r="F117" s="27"/>
      <c r="G117" s="27"/>
      <c r="H117" s="27"/>
      <c r="I117" s="104">
        <f>I115-I84</f>
        <v>288225.34000000003</v>
      </c>
      <c r="N117" s="29"/>
      <c r="O117" s="29"/>
      <c r="P117" s="29"/>
      <c r="Q117" s="29"/>
      <c r="R117" s="29"/>
      <c r="S117" s="29"/>
      <c r="T117" s="29"/>
      <c r="U117" s="160"/>
    </row>
    <row r="118" spans="1:21" x14ac:dyDescent="0.25">
      <c r="A118" s="27"/>
      <c r="B118" s="27"/>
      <c r="C118" s="27"/>
      <c r="D118" s="27"/>
      <c r="E118" s="27"/>
      <c r="F118" s="27"/>
      <c r="G118" s="27"/>
      <c r="H118" s="27"/>
      <c r="I118" s="104"/>
      <c r="N118" s="29"/>
      <c r="O118" s="29"/>
      <c r="P118" s="29"/>
      <c r="Q118" s="29"/>
      <c r="R118" s="29"/>
      <c r="S118" s="29"/>
      <c r="T118" s="29"/>
      <c r="U118" s="160"/>
    </row>
    <row r="119" spans="1:21" x14ac:dyDescent="0.25">
      <c r="A119" s="463" t="s">
        <v>468</v>
      </c>
      <c r="B119" s="453"/>
      <c r="C119" s="453"/>
      <c r="D119" s="453"/>
      <c r="E119" s="453"/>
      <c r="F119" s="453"/>
      <c r="G119" s="453"/>
      <c r="H119" s="84" t="s">
        <v>394</v>
      </c>
      <c r="I119" s="156"/>
      <c r="N119" s="481"/>
      <c r="O119" s="481"/>
      <c r="P119" s="481"/>
      <c r="Q119" s="481"/>
      <c r="R119" s="481"/>
      <c r="S119" s="481"/>
      <c r="T119" s="481"/>
      <c r="U119" s="481"/>
    </row>
    <row r="120" spans="1:21" x14ac:dyDescent="0.25">
      <c r="A120" s="453" t="s">
        <v>95</v>
      </c>
      <c r="B120" s="453"/>
      <c r="C120" s="453"/>
      <c r="D120" s="453"/>
      <c r="E120" s="453"/>
      <c r="F120" s="453"/>
      <c r="G120" s="453"/>
      <c r="H120" s="73" t="str">
        <f>IF(E29=0,"",IF((E14+E16+SUM(E18:E24))/E29&gt;0.75,1,""))</f>
        <v/>
      </c>
      <c r="I120" s="125">
        <f>U114</f>
        <v>0</v>
      </c>
      <c r="N120" s="476" t="s">
        <v>7</v>
      </c>
      <c r="O120" s="476"/>
      <c r="P120" s="476"/>
      <c r="Q120" s="476"/>
      <c r="R120" s="476"/>
      <c r="S120" s="476"/>
      <c r="T120" s="476"/>
      <c r="U120" s="476"/>
    </row>
    <row r="121" spans="1:21" x14ac:dyDescent="0.25">
      <c r="B121" s="72"/>
      <c r="C121" s="72"/>
      <c r="D121" s="72"/>
      <c r="E121" s="72"/>
      <c r="F121" s="72"/>
      <c r="G121" s="72"/>
      <c r="H121" s="68"/>
      <c r="I121" s="104"/>
      <c r="N121" s="74" t="s">
        <v>106</v>
      </c>
      <c r="O121" s="74"/>
      <c r="P121" s="74"/>
      <c r="Q121" s="74"/>
      <c r="R121" s="74"/>
      <c r="S121" s="74"/>
      <c r="T121" s="74"/>
      <c r="U121" s="74"/>
    </row>
    <row r="122" spans="1:21" x14ac:dyDescent="0.25">
      <c r="A122" s="3" t="s">
        <v>102</v>
      </c>
      <c r="B122" s="72"/>
      <c r="C122" s="72"/>
      <c r="D122" s="72"/>
      <c r="E122" s="72"/>
      <c r="F122" s="72"/>
      <c r="G122" s="286"/>
      <c r="H122" s="161">
        <f>IF(H120=1,I120,I117)</f>
        <v>288225.34000000003</v>
      </c>
      <c r="I122" s="97">
        <f>ROUND(IF(E29=0,0,IF(E29&gt;250,-(((250/E29)*H122)*IF(G122="H",0.02,0.05)),IF(G122="H",-0.02*H122,-0.05*H122))),2)</f>
        <v>-14411.27</v>
      </c>
      <c r="N122" s="75" t="s">
        <v>107</v>
      </c>
      <c r="O122" s="74"/>
      <c r="P122" s="74"/>
      <c r="Q122" s="74"/>
      <c r="R122" s="74"/>
      <c r="S122" s="74"/>
      <c r="T122" s="74"/>
      <c r="U122" s="74"/>
    </row>
    <row r="123" spans="1:21" x14ac:dyDescent="0.25">
      <c r="B123" s="72"/>
      <c r="C123" s="72"/>
      <c r="D123" s="72"/>
      <c r="E123" s="72"/>
      <c r="F123" s="72"/>
      <c r="G123" s="72"/>
      <c r="H123" s="68"/>
      <c r="I123" s="104"/>
      <c r="N123" s="76"/>
      <c r="O123" s="76"/>
      <c r="P123" s="76"/>
      <c r="Q123" s="76"/>
      <c r="R123" s="76"/>
      <c r="S123" s="76"/>
      <c r="T123" s="76"/>
      <c r="U123" s="76"/>
    </row>
    <row r="124" spans="1:21" x14ac:dyDescent="0.25">
      <c r="A124" s="345" t="s">
        <v>103</v>
      </c>
      <c r="B124" s="346"/>
      <c r="C124" s="346"/>
      <c r="D124" s="346"/>
      <c r="E124" s="346"/>
      <c r="F124" s="346"/>
      <c r="G124" s="346"/>
      <c r="H124" s="347"/>
      <c r="I124" s="348">
        <f>I115+I122</f>
        <v>282720.63</v>
      </c>
      <c r="N124" s="76"/>
      <c r="O124" s="76"/>
      <c r="P124" s="76"/>
      <c r="Q124" s="76"/>
      <c r="R124" s="76"/>
      <c r="S124" s="76"/>
      <c r="T124" s="76"/>
      <c r="U124" s="76"/>
    </row>
    <row r="125" spans="1:21" x14ac:dyDescent="0.25">
      <c r="B125" s="72"/>
      <c r="C125" s="72"/>
      <c r="D125" s="72"/>
      <c r="E125" s="72"/>
      <c r="F125" s="72"/>
      <c r="G125" s="72"/>
      <c r="H125" s="68"/>
      <c r="I125" s="104"/>
      <c r="N125" s="76"/>
      <c r="O125" s="76"/>
      <c r="P125" s="76"/>
      <c r="Q125" s="76"/>
      <c r="R125" s="76"/>
      <c r="S125" s="76"/>
      <c r="T125" s="76"/>
      <c r="U125" s="76"/>
    </row>
    <row r="126" spans="1:21" x14ac:dyDescent="0.25">
      <c r="A126" s="3" t="s">
        <v>104</v>
      </c>
      <c r="B126" s="72"/>
      <c r="C126" s="162"/>
      <c r="D126" s="72"/>
      <c r="F126" s="72"/>
      <c r="G126" s="72"/>
      <c r="H126" s="68"/>
      <c r="I126" s="302">
        <v>-203217.84</v>
      </c>
      <c r="N126" s="76"/>
      <c r="O126" s="76"/>
      <c r="P126" s="76"/>
      <c r="Q126" s="76"/>
      <c r="R126" s="76"/>
      <c r="S126" s="76"/>
      <c r="T126" s="76"/>
      <c r="U126" s="76"/>
    </row>
    <row r="127" spans="1:21" x14ac:dyDescent="0.25">
      <c r="B127" s="72"/>
      <c r="C127" s="72"/>
      <c r="D127" s="72"/>
      <c r="E127" s="72"/>
      <c r="F127" s="72"/>
      <c r="G127" s="72"/>
      <c r="H127" s="68"/>
      <c r="I127" s="104"/>
      <c r="N127" s="76"/>
      <c r="O127" s="76"/>
      <c r="P127" s="76"/>
      <c r="Q127" s="76"/>
      <c r="R127" s="76"/>
      <c r="S127" s="76"/>
      <c r="T127" s="76"/>
      <c r="U127" s="76"/>
    </row>
    <row r="128" spans="1:21" x14ac:dyDescent="0.25">
      <c r="A128" s="84" t="s">
        <v>297</v>
      </c>
      <c r="B128" s="72"/>
      <c r="C128" s="72"/>
      <c r="D128" s="72"/>
      <c r="E128" s="72"/>
      <c r="F128" s="72"/>
      <c r="G128" s="72"/>
      <c r="H128" s="68"/>
      <c r="I128" s="104">
        <f>I124+I126</f>
        <v>79502.790000000008</v>
      </c>
      <c r="N128" s="76"/>
      <c r="O128" s="76"/>
      <c r="P128" s="76"/>
      <c r="Q128" s="76"/>
      <c r="R128" s="76"/>
      <c r="S128" s="76"/>
      <c r="T128" s="76"/>
      <c r="U128" s="76"/>
    </row>
    <row r="129" spans="1:21" x14ac:dyDescent="0.25">
      <c r="A129" s="84"/>
      <c r="B129" s="72"/>
      <c r="C129" s="72"/>
      <c r="D129" s="72"/>
      <c r="E129" s="72"/>
      <c r="F129" s="72"/>
      <c r="G129" s="72"/>
      <c r="H129" s="68"/>
      <c r="I129" s="104"/>
      <c r="N129" s="76"/>
      <c r="O129" s="76"/>
      <c r="P129" s="76"/>
      <c r="Q129" s="76"/>
      <c r="R129" s="76"/>
      <c r="S129" s="76"/>
      <c r="T129" s="76"/>
      <c r="U129" s="76"/>
    </row>
    <row r="130" spans="1:21" x14ac:dyDescent="0.25">
      <c r="A130" s="84" t="s">
        <v>298</v>
      </c>
      <c r="B130" s="72"/>
      <c r="C130" s="72"/>
      <c r="D130" s="72"/>
      <c r="E130" s="72"/>
      <c r="F130" s="72"/>
      <c r="G130" s="72"/>
      <c r="H130" s="68"/>
      <c r="I130" s="303">
        <f>'0664'!I130</f>
        <v>3</v>
      </c>
      <c r="N130" s="76"/>
      <c r="O130" s="76"/>
      <c r="P130" s="76"/>
      <c r="Q130" s="76"/>
      <c r="R130" s="76"/>
      <c r="S130" s="76"/>
      <c r="T130" s="76"/>
      <c r="U130" s="76"/>
    </row>
    <row r="131" spans="1:21" x14ac:dyDescent="0.25">
      <c r="B131" s="72"/>
      <c r="C131" s="72"/>
      <c r="D131" s="72"/>
      <c r="E131" s="72"/>
      <c r="F131" s="72"/>
      <c r="G131" s="72"/>
      <c r="H131" s="68"/>
      <c r="I131" s="104"/>
      <c r="N131" s="76"/>
      <c r="O131" s="76"/>
      <c r="P131" s="76"/>
      <c r="Q131" s="76"/>
      <c r="R131" s="76"/>
      <c r="S131" s="76"/>
      <c r="T131" s="76"/>
      <c r="U131" s="76"/>
    </row>
    <row r="132" spans="1:21" ht="16.5" thickBot="1" x14ac:dyDescent="0.3">
      <c r="A132" s="3" t="s">
        <v>105</v>
      </c>
      <c r="B132" s="72"/>
      <c r="C132" s="72"/>
      <c r="D132" s="72"/>
      <c r="E132" s="72"/>
      <c r="F132" s="72"/>
      <c r="G132" s="72"/>
      <c r="H132" s="68"/>
      <c r="I132" s="178">
        <f>ROUND(I128/I130,2)</f>
        <v>26500.93</v>
      </c>
      <c r="J132" s="266"/>
      <c r="N132" s="76"/>
      <c r="O132" s="76"/>
      <c r="P132" s="76"/>
      <c r="Q132" s="76"/>
      <c r="R132" s="76"/>
      <c r="S132" s="76"/>
      <c r="T132" s="76"/>
      <c r="U132" s="76"/>
    </row>
    <row r="133" spans="1:21" ht="16.5" thickTop="1" x14ac:dyDescent="0.25">
      <c r="B133" s="72"/>
      <c r="C133" s="72"/>
      <c r="D133" s="72"/>
      <c r="E133" s="72"/>
      <c r="F133" s="72"/>
      <c r="G133" s="72"/>
      <c r="H133" s="68"/>
      <c r="I133" s="104"/>
      <c r="N133" s="76"/>
      <c r="O133" s="76"/>
      <c r="P133" s="76"/>
      <c r="Q133" s="76"/>
      <c r="R133" s="76"/>
      <c r="S133" s="76"/>
      <c r="T133" s="76"/>
      <c r="U133" s="76"/>
    </row>
    <row r="134" spans="1:21" ht="16.5" thickBot="1" x14ac:dyDescent="0.3">
      <c r="A134" s="3" t="s">
        <v>121</v>
      </c>
      <c r="B134" s="72"/>
      <c r="C134" s="72"/>
      <c r="D134" s="72"/>
      <c r="E134" s="72"/>
      <c r="F134" s="72"/>
      <c r="G134" s="72"/>
      <c r="H134" s="68"/>
      <c r="I134" s="155">
        <f>ROUND(IF(G122="H",(H122*0.02)+I122,(H122*0.05)+I122),2)</f>
        <v>0</v>
      </c>
      <c r="N134" s="76"/>
      <c r="O134" s="76"/>
      <c r="P134" s="76"/>
      <c r="Q134" s="76"/>
      <c r="R134" s="76"/>
      <c r="S134" s="76"/>
      <c r="T134" s="76"/>
      <c r="U134" s="76"/>
    </row>
    <row r="135" spans="1:21" ht="16.5" thickTop="1" x14ac:dyDescent="0.25">
      <c r="B135" s="72"/>
      <c r="C135" s="72"/>
      <c r="D135" s="72"/>
      <c r="E135" s="72"/>
      <c r="F135" s="72"/>
      <c r="G135" s="72"/>
      <c r="H135" s="68"/>
      <c r="I135" s="156"/>
      <c r="N135" s="76"/>
      <c r="O135" s="76"/>
      <c r="P135" s="76"/>
      <c r="Q135" s="76"/>
      <c r="R135" s="76"/>
      <c r="S135" s="76"/>
      <c r="T135" s="76"/>
      <c r="U135" s="76"/>
    </row>
    <row r="136" spans="1:21" x14ac:dyDescent="0.25">
      <c r="B136" s="72"/>
      <c r="C136" s="72"/>
      <c r="D136" s="72"/>
      <c r="E136" s="72"/>
      <c r="F136" s="72"/>
      <c r="G136" s="72"/>
      <c r="H136" s="68"/>
      <c r="I136" s="104"/>
      <c r="N136" s="76"/>
      <c r="O136" s="76"/>
      <c r="P136" s="76"/>
      <c r="Q136" s="76"/>
      <c r="R136" s="76"/>
      <c r="S136" s="76"/>
      <c r="T136" s="76"/>
      <c r="U136" s="76"/>
    </row>
    <row r="137" spans="1:21" x14ac:dyDescent="0.25">
      <c r="B137" s="72"/>
      <c r="C137" s="72"/>
      <c r="D137" s="72"/>
      <c r="E137" s="72"/>
      <c r="F137" s="72"/>
      <c r="G137" s="72"/>
      <c r="H137" s="68"/>
      <c r="I137" s="156"/>
      <c r="N137" s="76"/>
      <c r="O137" s="76"/>
      <c r="P137" s="76"/>
      <c r="Q137" s="76"/>
      <c r="R137" s="76"/>
      <c r="S137" s="76"/>
      <c r="T137" s="76"/>
      <c r="U137" s="76"/>
    </row>
    <row r="138" spans="1:21" x14ac:dyDescent="0.25">
      <c r="A138" s="281" t="s">
        <v>7</v>
      </c>
      <c r="B138" s="281"/>
      <c r="C138" s="281"/>
      <c r="D138" s="281"/>
      <c r="E138" s="281"/>
      <c r="F138" s="281"/>
      <c r="G138" s="281"/>
      <c r="H138" s="281"/>
      <c r="I138" s="281"/>
      <c r="J138" s="156"/>
      <c r="N138" s="76"/>
      <c r="O138" s="76"/>
      <c r="P138" s="76"/>
      <c r="Q138" s="76"/>
      <c r="R138" s="76"/>
      <c r="S138" s="76"/>
      <c r="T138" s="76"/>
      <c r="U138" s="76"/>
    </row>
    <row r="139" spans="1:21" ht="15.75" customHeight="1" x14ac:dyDescent="0.25">
      <c r="A139" s="356" t="str">
        <f>'0664'!A139</f>
        <v>(a) Additional FTE includes FTE earned through Advanced Placement, International Baccalaureate, Advanced International Certificate of Education, Industry Certified Career</v>
      </c>
      <c r="B139" s="357"/>
      <c r="C139" s="357"/>
      <c r="D139" s="357"/>
      <c r="E139" s="357"/>
      <c r="F139" s="357"/>
      <c r="G139" s="357"/>
      <c r="H139" s="357"/>
      <c r="I139" s="357"/>
      <c r="J139" s="80"/>
      <c r="K139" s="79"/>
      <c r="L139" s="79"/>
      <c r="M139" s="79"/>
      <c r="N139" s="477"/>
      <c r="O139" s="477"/>
      <c r="P139" s="477"/>
      <c r="Q139" s="477"/>
      <c r="R139" s="477"/>
      <c r="S139" s="477"/>
      <c r="T139" s="477"/>
      <c r="U139" s="477"/>
    </row>
    <row r="140" spans="1:21" ht="15.75" customHeight="1" x14ac:dyDescent="0.25">
      <c r="A140" s="390" t="str">
        <f>'0664'!A140</f>
        <v xml:space="preserve">Education (CAPE), Early High School Graduation and the small district ESE Supplement, pursuant to s. 1011.62(1)(l-p), F.S. </v>
      </c>
      <c r="B140" s="357"/>
      <c r="C140" s="357"/>
      <c r="D140" s="357"/>
      <c r="E140" s="357"/>
      <c r="F140" s="357"/>
      <c r="G140" s="357"/>
      <c r="H140" s="357"/>
      <c r="I140" s="357"/>
      <c r="J140" s="80"/>
      <c r="K140" s="79"/>
      <c r="L140" s="79"/>
      <c r="M140" s="79"/>
      <c r="N140" s="76"/>
      <c r="O140" s="76"/>
      <c r="P140" s="76"/>
      <c r="Q140" s="76"/>
      <c r="R140" s="76"/>
      <c r="S140" s="76"/>
      <c r="T140" s="76"/>
      <c r="U140" s="76"/>
    </row>
    <row r="141" spans="1:21" x14ac:dyDescent="0.25">
      <c r="A141" s="356" t="str">
        <f>'0664'!A141</f>
        <v>(b) District allocations multiplied by percentage from item 3A.</v>
      </c>
      <c r="B141" s="281"/>
      <c r="C141" s="281"/>
      <c r="D141" s="281"/>
      <c r="E141" s="281"/>
      <c r="F141" s="281"/>
      <c r="G141" s="281"/>
      <c r="H141" s="281"/>
      <c r="I141" s="281"/>
      <c r="J141" s="79"/>
      <c r="K141" s="79"/>
      <c r="L141" s="79"/>
      <c r="M141" s="79"/>
      <c r="N141" s="81"/>
      <c r="O141" s="82"/>
      <c r="P141" s="82"/>
      <c r="Q141" s="82"/>
      <c r="R141" s="82"/>
      <c r="S141" s="82"/>
      <c r="T141" s="82"/>
      <c r="U141" s="82"/>
    </row>
    <row r="142" spans="1:21" s="79" customFormat="1" x14ac:dyDescent="0.2">
      <c r="A142" s="356" t="str">
        <f>'0664'!A142</f>
        <v>(c) District allocations multiplied by percentage from item 3B.</v>
      </c>
      <c r="B142" s="281"/>
      <c r="C142" s="281"/>
      <c r="D142" s="281"/>
      <c r="E142" s="281"/>
      <c r="F142" s="281"/>
      <c r="G142" s="281"/>
      <c r="H142" s="281"/>
      <c r="I142" s="281"/>
      <c r="N142" s="81"/>
    </row>
    <row r="143" spans="1:21" s="79" customFormat="1" ht="15.75" customHeight="1" x14ac:dyDescent="0.2">
      <c r="A143" s="356" t="str">
        <f>'0664'!A143</f>
        <v>(d) The Digital Classroom Allocation is provided pursuant to s. 1011.62(12), F.S.</v>
      </c>
      <c r="B143" s="281"/>
      <c r="C143" s="281"/>
      <c r="D143" s="281"/>
      <c r="E143" s="281"/>
      <c r="F143" s="281"/>
      <c r="G143" s="281"/>
      <c r="H143" s="281"/>
      <c r="I143" s="281"/>
      <c r="N143" s="81"/>
    </row>
    <row r="144" spans="1:21" s="79" customFormat="1" ht="15.75" customHeight="1" x14ac:dyDescent="0.2">
      <c r="A144" s="356" t="str">
        <f>'0664'!A144</f>
        <v>(e) School districts are required to pay for instructional materials used for the instruction of public high school students who are earning credit toward high school</v>
      </c>
      <c r="B144" s="281"/>
      <c r="C144" s="281"/>
      <c r="D144" s="281"/>
      <c r="E144" s="281"/>
      <c r="F144" s="281"/>
      <c r="G144" s="281"/>
      <c r="H144" s="281"/>
      <c r="I144" s="281"/>
      <c r="N144" s="81"/>
    </row>
    <row r="145" spans="1:14" s="79" customFormat="1" ht="15.75" customHeight="1" x14ac:dyDescent="0.2">
      <c r="A145" s="390" t="str">
        <f>'0664'!A145</f>
        <v xml:space="preserve">graduation under the dual enrollment program as provided in s. 1011.62(l)(i), F.S.  </v>
      </c>
      <c r="B145" s="281"/>
      <c r="C145" s="281"/>
      <c r="D145" s="281"/>
      <c r="E145" s="281"/>
      <c r="F145" s="281"/>
      <c r="G145" s="281"/>
      <c r="H145" s="281"/>
      <c r="I145" s="281"/>
      <c r="N145" s="81"/>
    </row>
    <row r="146" spans="1:14" s="79" customFormat="1" x14ac:dyDescent="0.2">
      <c r="A146" s="356" t="str">
        <f>'0664'!A146</f>
        <v>(f) This allocation will be frozen as of the 2021-22 FEFP Second Calculation and will not be recalculated throughout the year. Charter school allocations should be</v>
      </c>
      <c r="B146" s="281"/>
      <c r="C146" s="281"/>
      <c r="D146" s="281"/>
      <c r="E146" s="281"/>
      <c r="F146" s="281"/>
      <c r="G146" s="281"/>
      <c r="H146" s="281"/>
      <c r="I146" s="281"/>
      <c r="N146" s="81"/>
    </row>
    <row r="147" spans="1:14" s="79" customFormat="1" x14ac:dyDescent="0.2">
      <c r="A147" s="358" t="str">
        <f>'0664'!A147</f>
        <v xml:space="preserve">distributed on weighted FTE (or base funding as is done in the FEFP) and should not be recalculated with fluctuations in student enrollment later in the year. </v>
      </c>
      <c r="B147" s="281"/>
      <c r="C147" s="281"/>
      <c r="D147" s="281"/>
      <c r="E147" s="281"/>
      <c r="F147" s="281"/>
      <c r="G147" s="281"/>
      <c r="H147" s="281"/>
      <c r="I147" s="281"/>
      <c r="N147" s="81"/>
    </row>
    <row r="148" spans="1:14" s="79" customFormat="1" x14ac:dyDescent="0.2">
      <c r="A148" s="356" t="str">
        <f>'0664'!A148</f>
        <v>(g) Numbers entered here will be multiplied by the district level transportation funding per rider. "All Adjusted Fundable Riders" should include both basic and ESE Riders.</v>
      </c>
      <c r="B148" s="281"/>
      <c r="C148" s="281"/>
      <c r="D148" s="281"/>
      <c r="E148" s="281"/>
      <c r="F148" s="281"/>
      <c r="G148" s="281"/>
      <c r="H148" s="281"/>
      <c r="I148" s="281"/>
      <c r="N148" s="81"/>
    </row>
    <row r="149" spans="1:14" s="79" customFormat="1" x14ac:dyDescent="0.2">
      <c r="A149" s="390" t="str">
        <f>'0664'!A149</f>
        <v>"All Adjusted ESE Riders" should include only ESE Riders.</v>
      </c>
      <c r="B149" s="281"/>
      <c r="C149" s="281"/>
      <c r="D149" s="281"/>
      <c r="E149" s="281"/>
      <c r="F149" s="281"/>
      <c r="G149" s="281"/>
      <c r="H149" s="281"/>
      <c r="I149" s="281"/>
      <c r="N149" s="81"/>
    </row>
    <row r="150" spans="1:14" s="79" customFormat="1" x14ac:dyDescent="0.2">
      <c r="A150" s="356" t="str">
        <f>'0664'!A150</f>
        <v xml:space="preserve">(h) The Federally Connected Student Supplement provides additional funding for students on federal lands that receive Section 8003 impact aide pursuant to s. 1011.62(13), F.S. </v>
      </c>
      <c r="B150" s="281"/>
      <c r="C150" s="281"/>
      <c r="D150" s="281"/>
      <c r="E150" s="281"/>
      <c r="F150" s="281"/>
      <c r="G150" s="281"/>
      <c r="H150" s="281"/>
      <c r="I150" s="281"/>
      <c r="N150" s="81"/>
    </row>
    <row r="151" spans="1:14" s="79" customFormat="1" x14ac:dyDescent="0.2">
      <c r="A151" s="356" t="str">
        <f>'0664'!A151</f>
        <v>(i) Teacher Classroom Supply Assistance Program allocation pursuant to s. 1012.71, F.S., for certified teachers employed by a public school district or public charter school</v>
      </c>
      <c r="B151" s="281"/>
      <c r="C151" s="281"/>
      <c r="D151" s="281"/>
      <c r="E151" s="281"/>
      <c r="F151" s="281"/>
      <c r="G151" s="281"/>
      <c r="H151" s="281"/>
      <c r="I151" s="281"/>
      <c r="N151" s="81"/>
    </row>
    <row r="152" spans="1:14" s="79" customFormat="1" x14ac:dyDescent="0.2">
      <c r="A152" s="358" t="str">
        <f>'0664'!A152</f>
        <v xml:space="preserve">before September 1 of each year whose full-time or job-share responsibility is the classroom instruction of students in prekindergarten through grade 12, including </v>
      </c>
      <c r="B152" s="281"/>
      <c r="C152" s="281"/>
      <c r="D152" s="281"/>
      <c r="E152" s="281"/>
      <c r="F152" s="281"/>
      <c r="G152" s="281"/>
      <c r="H152" s="281"/>
      <c r="I152" s="281"/>
      <c r="N152" s="81"/>
    </row>
    <row r="153" spans="1:14" s="79" customFormat="1" ht="15.75" customHeight="1" x14ac:dyDescent="0.2">
      <c r="A153" s="358" t="str">
        <f>'0664'!A153</f>
        <v>full-time media specialists and certified school counselors serving students in prekindergarten through grade 12, who are funded through the FEFP.</v>
      </c>
      <c r="B153" s="281"/>
      <c r="C153" s="281"/>
      <c r="D153" s="281"/>
      <c r="E153" s="281"/>
      <c r="F153" s="281"/>
      <c r="G153" s="281"/>
      <c r="H153" s="281"/>
      <c r="I153" s="281"/>
      <c r="N153" s="81"/>
    </row>
    <row r="154" spans="1:14" s="79" customFormat="1" ht="15.75" customHeight="1" x14ac:dyDescent="0.2">
      <c r="A154" s="356" t="str">
        <f>'0664'!A154</f>
        <v xml:space="preserve">(j) Funding based on student eligibility and meals provided, if participating in the National School Lunch Program. </v>
      </c>
      <c r="B154" s="328"/>
      <c r="C154" s="328"/>
      <c r="D154" s="328"/>
      <c r="E154" s="328"/>
      <c r="F154" s="328"/>
      <c r="G154" s="328"/>
      <c r="H154" s="328"/>
      <c r="I154" s="328"/>
      <c r="N154" s="81"/>
    </row>
    <row r="155" spans="1:14" s="79" customFormat="1" ht="15.75" customHeight="1" x14ac:dyDescent="0.2">
      <c r="A155" s="356" t="str">
        <f>'0664'!A155</f>
        <v>(k) Consistent with s. 1002.33(20)(a), F.S., for charter schools with a population of 75% or more ESE students, the administrative fee shall be calculated based on</v>
      </c>
      <c r="B155" s="381"/>
      <c r="C155" s="381"/>
      <c r="D155" s="381"/>
      <c r="E155" s="381"/>
      <c r="F155" s="381"/>
      <c r="G155" s="381"/>
      <c r="H155" s="381"/>
      <c r="I155" s="381"/>
      <c r="N155" s="81"/>
    </row>
    <row r="156" spans="1:14" s="79" customFormat="1" ht="15.75" customHeight="1" x14ac:dyDescent="0.2">
      <c r="A156" s="390" t="str">
        <f>'0664'!A156</f>
        <v xml:space="preserve">unweighted full-time equivalent students. </v>
      </c>
      <c r="B156" s="381"/>
      <c r="C156" s="381"/>
      <c r="D156" s="381"/>
      <c r="E156" s="381"/>
      <c r="F156" s="381"/>
      <c r="G156" s="381"/>
      <c r="H156" s="381"/>
      <c r="I156" s="381"/>
      <c r="N156" s="81"/>
    </row>
    <row r="157" spans="1:14" s="79" customFormat="1" ht="15.75" customHeight="1" x14ac:dyDescent="0.2">
      <c r="A157" s="356"/>
      <c r="B157" s="381"/>
      <c r="C157" s="381"/>
      <c r="D157" s="381"/>
      <c r="E157" s="381"/>
      <c r="F157" s="381"/>
      <c r="G157" s="381"/>
      <c r="H157" s="381"/>
      <c r="I157" s="381"/>
      <c r="N157" s="81"/>
    </row>
    <row r="158" spans="1:14" s="79" customFormat="1" ht="15.75" customHeight="1" x14ac:dyDescent="0.25">
      <c r="A158" s="398" t="str">
        <f>'0664'!A158</f>
        <v>Administrative fees:</v>
      </c>
      <c r="B158" s="328"/>
      <c r="C158" s="328"/>
      <c r="D158" s="328"/>
      <c r="E158" s="328"/>
      <c r="F158" s="328"/>
      <c r="G158" s="328"/>
      <c r="H158" s="328"/>
      <c r="I158" s="328"/>
      <c r="J158" s="3"/>
      <c r="K158" s="3"/>
      <c r="L158" s="3"/>
      <c r="M158" s="3"/>
      <c r="N158" s="81"/>
    </row>
    <row r="159" spans="1:14" s="79" customFormat="1" ht="15.75" customHeight="1" x14ac:dyDescent="0.25">
      <c r="A159" s="399" t="str">
        <f>'0664'!A159</f>
        <v xml:space="preserve">Administrative fees charged by the school district pursuant to s. 1002.33(20)(a), F.S., shall be calculated based upon 5% of available funds from the FEFP and categorical </v>
      </c>
      <c r="B159" s="328"/>
      <c r="C159" s="328"/>
      <c r="D159" s="328"/>
      <c r="E159" s="328"/>
      <c r="F159" s="328"/>
      <c r="G159" s="328"/>
      <c r="H159" s="328"/>
      <c r="I159" s="328"/>
      <c r="J159" s="3"/>
      <c r="K159" s="3"/>
      <c r="L159" s="3"/>
      <c r="M159" s="3"/>
      <c r="N159" s="81"/>
    </row>
    <row r="160" spans="1:14" s="79" customFormat="1" ht="15.75" customHeight="1" x14ac:dyDescent="0.25">
      <c r="A160" s="400" t="str">
        <f>'0664'!A160</f>
        <v>funding for which charter students may be eligible.  To calculate the administrative fee to be withheld for schools with more than 250 students, divide the school</v>
      </c>
      <c r="B160" s="328"/>
      <c r="C160" s="328"/>
      <c r="D160" s="328"/>
      <c r="E160" s="328"/>
      <c r="F160" s="328"/>
      <c r="G160" s="328"/>
      <c r="H160" s="328"/>
      <c r="I160" s="328"/>
      <c r="J160" s="3"/>
      <c r="K160" s="3"/>
      <c r="L160" s="3"/>
      <c r="M160" s="3"/>
      <c r="N160" s="81"/>
    </row>
    <row r="161" spans="1:21" s="79" customFormat="1" ht="15.75" customHeight="1" x14ac:dyDescent="0.25">
      <c r="A161" s="400" t="str">
        <f>'0664'!A161</f>
        <v xml:space="preserve">population into 250. Multiply that fraction times the funds available, then times 5%.  </v>
      </c>
      <c r="B161" s="328"/>
      <c r="C161" s="328"/>
      <c r="D161" s="328"/>
      <c r="E161" s="328"/>
      <c r="F161" s="328"/>
      <c r="G161" s="328"/>
      <c r="H161" s="328"/>
      <c r="I161" s="328"/>
      <c r="J161" s="3"/>
      <c r="K161" s="3"/>
      <c r="L161" s="3"/>
      <c r="M161" s="3"/>
      <c r="N161" s="81"/>
    </row>
    <row r="162" spans="1:21" s="79" customFormat="1" ht="15.75" customHeight="1" x14ac:dyDescent="0.25">
      <c r="A162" s="399"/>
      <c r="B162" s="394"/>
      <c r="C162" s="394"/>
      <c r="D162" s="394"/>
      <c r="E162" s="394"/>
      <c r="F162" s="394"/>
      <c r="G162" s="394"/>
      <c r="H162" s="394"/>
      <c r="I162" s="394"/>
      <c r="N162" s="77"/>
      <c r="O162" s="3"/>
      <c r="P162" s="3"/>
      <c r="Q162" s="3"/>
      <c r="R162" s="3"/>
      <c r="S162" s="3"/>
      <c r="T162" s="3"/>
      <c r="U162" s="3"/>
    </row>
    <row r="163" spans="1:21" ht="15.75" customHeight="1" x14ac:dyDescent="0.25">
      <c r="A163" s="399" t="str">
        <f>'0664'!A163</f>
        <v xml:space="preserve">For high performing charter schools, administrative fees charged by the school district shall be calculated based upon 2% of available funds from the FEFP and categorical </v>
      </c>
      <c r="B163" s="328"/>
      <c r="C163" s="328"/>
      <c r="D163" s="328"/>
      <c r="E163" s="328"/>
      <c r="F163" s="328"/>
      <c r="G163" s="328"/>
      <c r="H163" s="328"/>
      <c r="I163" s="328"/>
      <c r="J163" s="79"/>
      <c r="K163" s="79"/>
      <c r="L163" s="79"/>
      <c r="M163" s="79"/>
      <c r="N163" s="81"/>
      <c r="O163" s="79"/>
      <c r="P163" s="79"/>
      <c r="Q163" s="79"/>
      <c r="R163" s="79"/>
      <c r="S163" s="79"/>
      <c r="T163" s="79"/>
      <c r="U163" s="79"/>
    </row>
    <row r="164" spans="1:21" ht="15.75" customHeight="1" x14ac:dyDescent="0.25">
      <c r="A164" s="400" t="str">
        <f>'0664'!A164</f>
        <v>funding for which charter students may be eligible.  To calculate the administrative fee to be withheld for schools with more than 250 students, divide the school</v>
      </c>
      <c r="B164" s="381"/>
      <c r="C164" s="381"/>
      <c r="D164" s="381"/>
      <c r="E164" s="381"/>
      <c r="F164" s="381"/>
      <c r="G164" s="381"/>
      <c r="H164" s="381"/>
      <c r="I164" s="381"/>
      <c r="J164" s="79"/>
      <c r="K164" s="79"/>
      <c r="L164" s="79"/>
      <c r="M164" s="79"/>
      <c r="N164" s="81"/>
      <c r="O164" s="79"/>
      <c r="P164" s="79"/>
      <c r="Q164" s="79"/>
      <c r="R164" s="79"/>
      <c r="S164" s="79"/>
      <c r="T164" s="79"/>
      <c r="U164" s="79"/>
    </row>
    <row r="165" spans="1:21" s="79" customFormat="1" ht="15.75" customHeight="1" x14ac:dyDescent="0.2">
      <c r="A165" s="400" t="str">
        <f>'0664'!A165</f>
        <v xml:space="preserve">population into 250. Multiply that fraction times the funds available, then times 2%.  </v>
      </c>
      <c r="B165" s="328"/>
      <c r="C165" s="328"/>
      <c r="D165" s="328"/>
      <c r="E165" s="328"/>
      <c r="F165" s="328"/>
      <c r="G165" s="328"/>
      <c r="H165" s="328"/>
      <c r="I165" s="328"/>
      <c r="N165" s="81"/>
    </row>
    <row r="166" spans="1:21" x14ac:dyDescent="0.25">
      <c r="A166" s="356"/>
      <c r="N166" s="77"/>
    </row>
    <row r="167" spans="1:21" x14ac:dyDescent="0.25">
      <c r="A167" s="398" t="str">
        <f>'0664'!A167</f>
        <v>Other:</v>
      </c>
      <c r="N167" s="77"/>
    </row>
    <row r="168" spans="1:21" x14ac:dyDescent="0.25">
      <c r="A168" s="399" t="str">
        <f>'0664'!A168</f>
        <v>FEFP and categorical funding are recalculated during the year to reflect the revised number of full-time equivalent students reported during the survey periods designated</v>
      </c>
      <c r="N168" s="77"/>
    </row>
    <row r="169" spans="1:21" x14ac:dyDescent="0.25">
      <c r="A169" s="402" t="str">
        <f>'0664'!A169</f>
        <v>by the Commissioner of Education.</v>
      </c>
      <c r="N169" s="77"/>
    </row>
    <row r="170" spans="1:21" x14ac:dyDescent="0.25">
      <c r="A170" s="399" t="str">
        <f>'0664'!A170</f>
        <v>Revenues flow to districts from state sources and from county tax collectors on various distribution schedules.</v>
      </c>
      <c r="N170" s="77"/>
    </row>
    <row r="171" spans="1:21" x14ac:dyDescent="0.25">
      <c r="A171" s="77"/>
      <c r="N171" s="77"/>
    </row>
    <row r="172" spans="1:21" x14ac:dyDescent="0.25">
      <c r="A172" s="77"/>
      <c r="N172" s="77"/>
    </row>
    <row r="173" spans="1:21" x14ac:dyDescent="0.25">
      <c r="A173" s="77"/>
      <c r="N173" s="77"/>
    </row>
    <row r="174" spans="1:21" x14ac:dyDescent="0.25">
      <c r="A174" s="77"/>
      <c r="N174" s="77"/>
    </row>
    <row r="175" spans="1:21" x14ac:dyDescent="0.25">
      <c r="A175" s="77"/>
      <c r="N175" s="77"/>
    </row>
    <row r="176" spans="1:21" x14ac:dyDescent="0.25">
      <c r="A176" s="77"/>
      <c r="N176" s="77"/>
    </row>
    <row r="177" spans="1:14" x14ac:dyDescent="0.25">
      <c r="A177" s="77"/>
      <c r="N177" s="77"/>
    </row>
    <row r="178" spans="1:14" x14ac:dyDescent="0.25">
      <c r="A178" s="77"/>
      <c r="N178" s="77"/>
    </row>
    <row r="179" spans="1:14" x14ac:dyDescent="0.25">
      <c r="A179" s="77"/>
      <c r="N179" s="77"/>
    </row>
    <row r="180" spans="1:14" x14ac:dyDescent="0.25">
      <c r="A180" s="77"/>
      <c r="N180" s="77"/>
    </row>
    <row r="181" spans="1:14" x14ac:dyDescent="0.25">
      <c r="A181" s="77"/>
      <c r="N181" s="77"/>
    </row>
    <row r="182" spans="1:14" x14ac:dyDescent="0.25">
      <c r="A182" s="77"/>
      <c r="N182" s="77"/>
    </row>
    <row r="183" spans="1:14" x14ac:dyDescent="0.25">
      <c r="A183" s="77"/>
      <c r="N183" s="77"/>
    </row>
    <row r="184" spans="1:14" x14ac:dyDescent="0.25">
      <c r="A184" s="77"/>
      <c r="N184" s="77"/>
    </row>
    <row r="185" spans="1:14" x14ac:dyDescent="0.25">
      <c r="A185" s="77"/>
      <c r="N185" s="77"/>
    </row>
    <row r="186" spans="1:14" x14ac:dyDescent="0.25">
      <c r="A186" s="77"/>
      <c r="N186" s="77"/>
    </row>
    <row r="187" spans="1:14" x14ac:dyDescent="0.25">
      <c r="A187" s="77"/>
      <c r="N187" s="77"/>
    </row>
    <row r="188" spans="1:14" x14ac:dyDescent="0.25">
      <c r="A188" s="77"/>
    </row>
    <row r="189" spans="1:14" x14ac:dyDescent="0.25">
      <c r="A189" s="77"/>
    </row>
    <row r="190" spans="1:14" x14ac:dyDescent="0.25">
      <c r="A190" s="77"/>
    </row>
    <row r="191" spans="1:14" x14ac:dyDescent="0.25">
      <c r="A191" s="77"/>
    </row>
    <row r="192" spans="1:14" x14ac:dyDescent="0.25">
      <c r="A192" s="77"/>
    </row>
    <row r="193" spans="1:1" x14ac:dyDescent="0.25">
      <c r="A193" s="77"/>
    </row>
    <row r="194" spans="1:1" x14ac:dyDescent="0.25">
      <c r="A194" s="77"/>
    </row>
    <row r="195" spans="1:1" x14ac:dyDescent="0.25">
      <c r="A195" s="77"/>
    </row>
    <row r="196" spans="1:1" x14ac:dyDescent="0.25">
      <c r="A196" s="77"/>
    </row>
    <row r="197" spans="1:1" x14ac:dyDescent="0.25">
      <c r="A197" s="77"/>
    </row>
    <row r="198" spans="1:1" x14ac:dyDescent="0.25">
      <c r="A198" s="77"/>
    </row>
    <row r="199" spans="1:1" x14ac:dyDescent="0.25">
      <c r="A199" s="77"/>
    </row>
    <row r="200" spans="1:1" x14ac:dyDescent="0.25">
      <c r="A200" s="77"/>
    </row>
    <row r="201" spans="1:1" x14ac:dyDescent="0.25">
      <c r="A201" s="77"/>
    </row>
    <row r="202" spans="1:1" x14ac:dyDescent="0.25">
      <c r="A202" s="77"/>
    </row>
    <row r="203" spans="1:1" x14ac:dyDescent="0.25">
      <c r="A203" s="77"/>
    </row>
    <row r="204" spans="1:1" x14ac:dyDescent="0.25">
      <c r="A204" s="77"/>
    </row>
    <row r="205" spans="1:1" x14ac:dyDescent="0.25">
      <c r="A205" s="77"/>
    </row>
    <row r="206" spans="1:1" x14ac:dyDescent="0.25">
      <c r="A206" s="77"/>
    </row>
  </sheetData>
  <mergeCells count="266">
    <mergeCell ref="R109:S109"/>
    <mergeCell ref="A110:B110"/>
    <mergeCell ref="N110:O110"/>
    <mergeCell ref="N139:U139"/>
    <mergeCell ref="N119:U119"/>
    <mergeCell ref="N113:P113"/>
    <mergeCell ref="A113:C113"/>
    <mergeCell ref="F113:H113"/>
    <mergeCell ref="N114:T114"/>
    <mergeCell ref="A115:H115"/>
    <mergeCell ref="A119:G119"/>
    <mergeCell ref="N120:U120"/>
    <mergeCell ref="A120:G120"/>
    <mergeCell ref="N108:O108"/>
    <mergeCell ref="P108:Q108"/>
    <mergeCell ref="A112:C112"/>
    <mergeCell ref="F112:H112"/>
    <mergeCell ref="N112:P112"/>
    <mergeCell ref="A109:B109"/>
    <mergeCell ref="F109:G109"/>
    <mergeCell ref="N109:O109"/>
    <mergeCell ref="P109:Q109"/>
    <mergeCell ref="R106:S106"/>
    <mergeCell ref="A99:B99"/>
    <mergeCell ref="N99:O99"/>
    <mergeCell ref="P99:R99"/>
    <mergeCell ref="A100:B100"/>
    <mergeCell ref="N100:O100"/>
    <mergeCell ref="P100:R100"/>
    <mergeCell ref="R108:S108"/>
    <mergeCell ref="A103:C103"/>
    <mergeCell ref="F103:I103"/>
    <mergeCell ref="N103:U103"/>
    <mergeCell ref="C104:E104"/>
    <mergeCell ref="F105:G105"/>
    <mergeCell ref="A106:B106"/>
    <mergeCell ref="F106:G106"/>
    <mergeCell ref="N106:O106"/>
    <mergeCell ref="P106:Q106"/>
    <mergeCell ref="A107:B107"/>
    <mergeCell ref="F107:G107"/>
    <mergeCell ref="N107:O107"/>
    <mergeCell ref="P107:Q107"/>
    <mergeCell ref="R107:S107"/>
    <mergeCell ref="A108:B108"/>
    <mergeCell ref="F108:G108"/>
    <mergeCell ref="C91:D91"/>
    <mergeCell ref="P91:Q91"/>
    <mergeCell ref="C92:D92"/>
    <mergeCell ref="P92:Q92"/>
    <mergeCell ref="C93:D93"/>
    <mergeCell ref="P93:T93"/>
    <mergeCell ref="A94:I94"/>
    <mergeCell ref="N94:U94"/>
    <mergeCell ref="F96:I96"/>
    <mergeCell ref="N96:P96"/>
    <mergeCell ref="Q96:T96"/>
    <mergeCell ref="A87:I87"/>
    <mergeCell ref="N87:U87"/>
    <mergeCell ref="C88:D88"/>
    <mergeCell ref="C89:D89"/>
    <mergeCell ref="N89:O89"/>
    <mergeCell ref="P89:Q89"/>
    <mergeCell ref="R89:U89"/>
    <mergeCell ref="C90:D90"/>
    <mergeCell ref="P90:Q90"/>
    <mergeCell ref="A80:C80"/>
    <mergeCell ref="N80:P80"/>
    <mergeCell ref="A85:C85"/>
    <mergeCell ref="N85:P85"/>
    <mergeCell ref="F73:H73"/>
    <mergeCell ref="N73:T73"/>
    <mergeCell ref="N74:T74"/>
    <mergeCell ref="A78:C78"/>
    <mergeCell ref="N78:P78"/>
    <mergeCell ref="A79:C79"/>
    <mergeCell ref="A69:C69"/>
    <mergeCell ref="N69:P69"/>
    <mergeCell ref="N79:P79"/>
    <mergeCell ref="A76:C76"/>
    <mergeCell ref="N76:P76"/>
    <mergeCell ref="A77:C77"/>
    <mergeCell ref="A70:C70"/>
    <mergeCell ref="A71:C71"/>
    <mergeCell ref="N71:P71"/>
    <mergeCell ref="A72:C72"/>
    <mergeCell ref="N77:P77"/>
    <mergeCell ref="N72:P72"/>
    <mergeCell ref="A65:B65"/>
    <mergeCell ref="D65:G65"/>
    <mergeCell ref="N65:O65"/>
    <mergeCell ref="Q65:S65"/>
    <mergeCell ref="T65:U65"/>
    <mergeCell ref="N66:S66"/>
    <mergeCell ref="T66:U66"/>
    <mergeCell ref="A68:C68"/>
    <mergeCell ref="N68:P68"/>
    <mergeCell ref="A62:B62"/>
    <mergeCell ref="D62:G62"/>
    <mergeCell ref="N62:O62"/>
    <mergeCell ref="Q62:S62"/>
    <mergeCell ref="T62:U62"/>
    <mergeCell ref="N63:S63"/>
    <mergeCell ref="T63:U63"/>
    <mergeCell ref="A64:I64"/>
    <mergeCell ref="N64:U64"/>
    <mergeCell ref="A59:B59"/>
    <mergeCell ref="F59:H59"/>
    <mergeCell ref="N59:O59"/>
    <mergeCell ref="P59:Q59"/>
    <mergeCell ref="R59:T59"/>
    <mergeCell ref="A60:I60"/>
    <mergeCell ref="N60:U60"/>
    <mergeCell ref="A61:I61"/>
    <mergeCell ref="N61:U61"/>
    <mergeCell ref="A50:B58"/>
    <mergeCell ref="N50:O58"/>
    <mergeCell ref="P50:Q50"/>
    <mergeCell ref="P51:Q51"/>
    <mergeCell ref="P52:Q52"/>
    <mergeCell ref="P53:Q53"/>
    <mergeCell ref="P54:Q54"/>
    <mergeCell ref="P55:Q55"/>
    <mergeCell ref="P56:Q56"/>
    <mergeCell ref="P57:Q57"/>
    <mergeCell ref="P58:Q58"/>
    <mergeCell ref="A42:B42"/>
    <mergeCell ref="N42:O42"/>
    <mergeCell ref="P42:T42"/>
    <mergeCell ref="N43:Q43"/>
    <mergeCell ref="S43:T43"/>
    <mergeCell ref="N45:Q45"/>
    <mergeCell ref="S45:T45"/>
    <mergeCell ref="N49:O49"/>
    <mergeCell ref="P49:Q49"/>
    <mergeCell ref="A39:B39"/>
    <mergeCell ref="N39:O39"/>
    <mergeCell ref="P39:T39"/>
    <mergeCell ref="A40:B40"/>
    <mergeCell ref="N40:O40"/>
    <mergeCell ref="P40:T40"/>
    <mergeCell ref="A41:B41"/>
    <mergeCell ref="N41:O41"/>
    <mergeCell ref="P41:T41"/>
    <mergeCell ref="N34:T34"/>
    <mergeCell ref="A36:B36"/>
    <mergeCell ref="N36:O36"/>
    <mergeCell ref="P36:T36"/>
    <mergeCell ref="A37:B37"/>
    <mergeCell ref="N37:O37"/>
    <mergeCell ref="P37:T37"/>
    <mergeCell ref="F33:H36"/>
    <mergeCell ref="A38:B38"/>
    <mergeCell ref="N38:O38"/>
    <mergeCell ref="P38:T38"/>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A20:B20"/>
    <mergeCell ref="F20:G20"/>
    <mergeCell ref="N20:O20"/>
    <mergeCell ref="P20:Q20"/>
    <mergeCell ref="R20:S20"/>
    <mergeCell ref="A19:B19"/>
    <mergeCell ref="A21:B21"/>
    <mergeCell ref="F21:G21"/>
    <mergeCell ref="N21:O21"/>
    <mergeCell ref="P21:Q21"/>
    <mergeCell ref="R21:S21"/>
    <mergeCell ref="A18:B18"/>
    <mergeCell ref="F18:G18"/>
    <mergeCell ref="N18:O18"/>
    <mergeCell ref="P18:Q18"/>
    <mergeCell ref="R18:S18"/>
    <mergeCell ref="A17:B17"/>
    <mergeCell ref="F17:G17"/>
    <mergeCell ref="F19:G19"/>
    <mergeCell ref="N19:O19"/>
    <mergeCell ref="P19:Q19"/>
    <mergeCell ref="R19:S19"/>
    <mergeCell ref="A16:B16"/>
    <mergeCell ref="F16:G16"/>
    <mergeCell ref="N16:O16"/>
    <mergeCell ref="P16:Q16"/>
    <mergeCell ref="R16:S16"/>
    <mergeCell ref="A15:B15"/>
    <mergeCell ref="F15:G15"/>
    <mergeCell ref="N17:O17"/>
    <mergeCell ref="P17:Q17"/>
    <mergeCell ref="R17:S17"/>
    <mergeCell ref="A14:B14"/>
    <mergeCell ref="F14:G14"/>
    <mergeCell ref="N14:O14"/>
    <mergeCell ref="P14:Q14"/>
    <mergeCell ref="R14:S14"/>
    <mergeCell ref="A13:B13"/>
    <mergeCell ref="F13:G13"/>
    <mergeCell ref="N15:O15"/>
    <mergeCell ref="P15:Q15"/>
    <mergeCell ref="R15:S15"/>
    <mergeCell ref="A12:B12"/>
    <mergeCell ref="F12:G12"/>
    <mergeCell ref="N12:O12"/>
    <mergeCell ref="P12:Q12"/>
    <mergeCell ref="R12:S12"/>
    <mergeCell ref="A11:B11"/>
    <mergeCell ref="F11:G11"/>
    <mergeCell ref="N13:O13"/>
    <mergeCell ref="P13:Q13"/>
    <mergeCell ref="R13:S13"/>
    <mergeCell ref="N8:O8"/>
    <mergeCell ref="P8:Q8"/>
    <mergeCell ref="R8:S8"/>
    <mergeCell ref="T8:U8"/>
    <mergeCell ref="F10:G10"/>
    <mergeCell ref="R10:S10"/>
    <mergeCell ref="A7:I7"/>
    <mergeCell ref="N11:O11"/>
    <mergeCell ref="P11:Q11"/>
    <mergeCell ref="R11:S11"/>
    <mergeCell ref="B1:I1"/>
    <mergeCell ref="O1:U1"/>
    <mergeCell ref="N2:U2"/>
    <mergeCell ref="N3:U3"/>
    <mergeCell ref="A4:B4"/>
    <mergeCell ref="C4:E4"/>
    <mergeCell ref="N4:O4"/>
    <mergeCell ref="P4:Q4"/>
    <mergeCell ref="N7:U7"/>
  </mergeCells>
  <pageMargins left="0.1" right="0.1" top="0.5" bottom="0.5" header="0" footer="0.1"/>
  <pageSetup scale="70" fitToHeight="3" orientation="portrait" r:id="rId1"/>
  <headerFooter alignWithMargins="0">
    <oddFooter>&amp;R&amp;P of &amp;N</oddFooter>
  </headerFooter>
  <rowBreaks count="1" manualBreakCount="1">
    <brk id="138" max="16383" man="1"/>
  </rowBreaks>
  <colBreaks count="1" manualBreakCount="1">
    <brk id="9" max="1048575" man="1"/>
  </colBreaks>
  <legacy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K42"/>
  <sheetViews>
    <sheetView zoomScale="90" zoomScaleNormal="90" workbookViewId="0">
      <selection activeCell="E18" activeCellId="1" sqref="E16 E18"/>
    </sheetView>
  </sheetViews>
  <sheetFormatPr defaultRowHeight="15.75" x14ac:dyDescent="0.25"/>
  <cols>
    <col min="1" max="1" width="9.140625" style="157"/>
    <col min="2" max="2" width="47.85546875" style="157" bestFit="1" customWidth="1"/>
    <col min="3" max="3" width="8.42578125" style="157" bestFit="1" customWidth="1"/>
    <col min="4" max="4" width="5.5703125" style="157" customWidth="1"/>
    <col min="5" max="5" width="17.42578125" style="157" customWidth="1"/>
    <col min="6" max="6" width="10.140625" style="157" bestFit="1" customWidth="1"/>
    <col min="7" max="16384" width="9.140625" style="157"/>
  </cols>
  <sheetData>
    <row r="1" spans="1:11" x14ac:dyDescent="0.25">
      <c r="A1" s="181"/>
      <c r="B1" s="182"/>
      <c r="C1" s="203"/>
      <c r="D1" s="203"/>
      <c r="E1" s="183">
        <v>50</v>
      </c>
      <c r="F1" s="181"/>
      <c r="G1" s="181"/>
      <c r="H1" s="181"/>
    </row>
    <row r="2" spans="1:11" ht="21" x14ac:dyDescent="0.35">
      <c r="A2" s="184"/>
      <c r="B2" s="194" t="s">
        <v>332</v>
      </c>
      <c r="C2" s="194"/>
      <c r="D2" s="194"/>
      <c r="E2" s="184"/>
      <c r="F2" s="184"/>
      <c r="G2" s="184"/>
      <c r="H2" s="184"/>
    </row>
    <row r="3" spans="1:11" x14ac:dyDescent="0.25">
      <c r="B3" s="195" t="s">
        <v>309</v>
      </c>
      <c r="C3" s="195"/>
      <c r="D3" s="195"/>
      <c r="E3" s="316" t="str">
        <f>'0664'!F4</f>
        <v>Apr 2023</v>
      </c>
      <c r="F3" s="180"/>
      <c r="G3" s="180"/>
      <c r="H3" s="180"/>
    </row>
    <row r="4" spans="1:11" x14ac:dyDescent="0.25">
      <c r="A4" s="181"/>
      <c r="B4" s="181"/>
      <c r="C4" s="181"/>
      <c r="D4" s="181"/>
      <c r="E4" s="181"/>
      <c r="F4" s="181"/>
      <c r="G4" s="181"/>
      <c r="H4" s="181"/>
    </row>
    <row r="5" spans="1:11" x14ac:dyDescent="0.25">
      <c r="A5" s="181"/>
      <c r="B5" s="185" t="s">
        <v>181</v>
      </c>
      <c r="C5" s="185"/>
      <c r="D5" s="185"/>
      <c r="E5" s="186" t="s">
        <v>9</v>
      </c>
      <c r="F5" s="181"/>
      <c r="G5" s="181"/>
      <c r="H5" s="181"/>
    </row>
    <row r="6" spans="1:11" x14ac:dyDescent="0.25">
      <c r="A6" s="181"/>
      <c r="B6" s="181"/>
      <c r="C6" s="181"/>
      <c r="D6" s="181"/>
      <c r="E6" s="181"/>
      <c r="F6" s="181"/>
      <c r="G6" s="181"/>
      <c r="H6" s="181"/>
    </row>
    <row r="7" spans="1:11" x14ac:dyDescent="0.25">
      <c r="A7" s="181"/>
      <c r="B7" s="187"/>
      <c r="C7" s="204"/>
      <c r="D7" s="204"/>
      <c r="E7" s="188" t="s">
        <v>182</v>
      </c>
      <c r="F7" s="181"/>
      <c r="G7" s="181"/>
      <c r="H7" s="181"/>
    </row>
    <row r="8" spans="1:11" x14ac:dyDescent="0.25">
      <c r="A8" s="181"/>
      <c r="B8" s="196" t="s">
        <v>194</v>
      </c>
      <c r="C8" s="196"/>
      <c r="D8" s="196"/>
      <c r="E8" s="274">
        <v>885681905</v>
      </c>
      <c r="F8" s="181"/>
      <c r="G8" s="181"/>
      <c r="H8" s="181"/>
      <c r="K8" s="278" t="s">
        <v>325</v>
      </c>
    </row>
    <row r="9" spans="1:11" x14ac:dyDescent="0.25">
      <c r="A9" s="181"/>
      <c r="B9" s="196" t="s">
        <v>287</v>
      </c>
      <c r="C9" s="196"/>
      <c r="D9" s="196"/>
      <c r="E9" s="274">
        <v>0</v>
      </c>
      <c r="F9" s="181"/>
      <c r="G9" s="181"/>
      <c r="H9" s="181"/>
      <c r="K9" s="278" t="s">
        <v>325</v>
      </c>
    </row>
    <row r="10" spans="1:11" x14ac:dyDescent="0.25">
      <c r="A10" s="181"/>
      <c r="B10" s="185" t="s">
        <v>183</v>
      </c>
      <c r="C10" s="185"/>
      <c r="D10" s="185"/>
      <c r="E10" s="274">
        <v>126865223</v>
      </c>
      <c r="F10" s="181"/>
      <c r="G10" s="181"/>
      <c r="H10" s="181"/>
      <c r="K10" s="278" t="s">
        <v>325</v>
      </c>
    </row>
    <row r="11" spans="1:11" x14ac:dyDescent="0.25">
      <c r="A11" s="181"/>
      <c r="B11" s="185" t="s">
        <v>184</v>
      </c>
      <c r="C11" s="185"/>
      <c r="D11" s="185"/>
      <c r="E11" s="274">
        <v>0</v>
      </c>
      <c r="F11" s="181"/>
      <c r="G11" s="181"/>
      <c r="H11" s="181"/>
      <c r="K11" s="278" t="s">
        <v>325</v>
      </c>
    </row>
    <row r="12" spans="1:11" x14ac:dyDescent="0.25">
      <c r="A12" s="181"/>
      <c r="B12" s="185" t="s">
        <v>185</v>
      </c>
      <c r="C12" s="185"/>
      <c r="D12" s="185"/>
      <c r="E12" s="274">
        <v>8613749</v>
      </c>
      <c r="F12" s="181"/>
      <c r="G12" s="181"/>
      <c r="H12" s="181"/>
      <c r="K12" s="278" t="s">
        <v>325</v>
      </c>
    </row>
    <row r="13" spans="1:11" x14ac:dyDescent="0.25">
      <c r="A13" s="181"/>
      <c r="B13" s="185" t="s">
        <v>186</v>
      </c>
      <c r="C13" s="185"/>
      <c r="D13" s="185"/>
      <c r="E13" s="274">
        <v>14865036</v>
      </c>
      <c r="F13" s="181"/>
      <c r="G13" s="181"/>
      <c r="H13" s="181"/>
      <c r="K13" s="278" t="s">
        <v>325</v>
      </c>
    </row>
    <row r="14" spans="1:11" x14ac:dyDescent="0.25">
      <c r="A14" s="181"/>
      <c r="B14" s="207" t="s">
        <v>8</v>
      </c>
      <c r="C14" s="185" t="s">
        <v>196</v>
      </c>
      <c r="D14" s="185"/>
      <c r="E14" s="200">
        <f>SUM(E8:E13)</f>
        <v>1036025913</v>
      </c>
      <c r="F14" s="181"/>
      <c r="G14" s="181"/>
      <c r="H14" s="181"/>
    </row>
    <row r="15" spans="1:11" x14ac:dyDescent="0.25">
      <c r="A15" s="181"/>
      <c r="B15" s="185"/>
      <c r="C15" s="185"/>
      <c r="D15" s="185"/>
      <c r="E15" s="201"/>
      <c r="F15" s="181"/>
      <c r="G15" s="181"/>
      <c r="H15" s="181"/>
    </row>
    <row r="16" spans="1:11" x14ac:dyDescent="0.25">
      <c r="A16" s="181"/>
      <c r="B16" s="196" t="s">
        <v>195</v>
      </c>
      <c r="C16" s="196" t="s">
        <v>3</v>
      </c>
      <c r="D16" s="196"/>
      <c r="E16" s="275">
        <v>187935.23</v>
      </c>
      <c r="F16" s="181"/>
      <c r="G16" s="181"/>
      <c r="H16" s="181"/>
      <c r="K16" s="278" t="s">
        <v>325</v>
      </c>
    </row>
    <row r="17" spans="1:8" x14ac:dyDescent="0.25">
      <c r="A17" s="181"/>
      <c r="B17" s="196"/>
      <c r="C17" s="196"/>
      <c r="D17" s="196"/>
      <c r="E17" s="198"/>
      <c r="F17" s="181"/>
      <c r="G17" s="181"/>
      <c r="H17" s="181"/>
    </row>
    <row r="18" spans="1:8" x14ac:dyDescent="0.25">
      <c r="A18" s="181"/>
      <c r="B18" s="185" t="s">
        <v>187</v>
      </c>
      <c r="C18" s="185" t="s">
        <v>197</v>
      </c>
      <c r="D18" s="185"/>
      <c r="E18" s="199">
        <f>ROUND(E14/E16,2)</f>
        <v>5512.68</v>
      </c>
      <c r="F18" s="181"/>
      <c r="G18" s="181"/>
      <c r="H18" s="181"/>
    </row>
    <row r="19" spans="1:8" x14ac:dyDescent="0.25">
      <c r="A19" s="181"/>
      <c r="B19" s="185" t="s">
        <v>188</v>
      </c>
      <c r="C19" s="185"/>
      <c r="D19" s="185"/>
      <c r="E19" s="202">
        <f>IF(E18&gt;5230,0,5230-E18)</f>
        <v>0</v>
      </c>
      <c r="F19" s="181"/>
      <c r="G19" s="181"/>
      <c r="H19" s="181"/>
    </row>
    <row r="20" spans="1:8" x14ac:dyDescent="0.25">
      <c r="A20" s="181"/>
      <c r="B20" s="185" t="s">
        <v>189</v>
      </c>
      <c r="C20" s="185"/>
      <c r="D20" s="185"/>
      <c r="E20" s="197">
        <f>E18+E19</f>
        <v>5512.68</v>
      </c>
      <c r="F20" s="181"/>
      <c r="G20" s="181"/>
      <c r="H20" s="181"/>
    </row>
    <row r="21" spans="1:8" x14ac:dyDescent="0.25">
      <c r="A21" s="181"/>
      <c r="B21" s="181"/>
      <c r="C21" s="181"/>
      <c r="D21" s="181"/>
      <c r="E21" s="181"/>
      <c r="F21" s="181"/>
      <c r="G21" s="181"/>
      <c r="H21" s="181"/>
    </row>
    <row r="22" spans="1:8" x14ac:dyDescent="0.25">
      <c r="A22" s="181"/>
      <c r="B22" s="288" t="s">
        <v>295</v>
      </c>
      <c r="C22" s="190"/>
      <c r="D22" s="190"/>
      <c r="E22" s="276">
        <v>0</v>
      </c>
      <c r="F22" s="181"/>
      <c r="G22" s="181"/>
      <c r="H22" s="181"/>
    </row>
    <row r="23" spans="1:8" x14ac:dyDescent="0.25">
      <c r="A23" s="181"/>
      <c r="B23" s="288" t="s">
        <v>296</v>
      </c>
      <c r="C23" s="190"/>
      <c r="D23" s="190"/>
      <c r="E23" s="277">
        <v>0</v>
      </c>
      <c r="F23" s="181"/>
      <c r="G23" s="181"/>
      <c r="H23" s="181"/>
    </row>
    <row r="24" spans="1:8" x14ac:dyDescent="0.25">
      <c r="A24" s="181"/>
      <c r="B24" s="190" t="s">
        <v>190</v>
      </c>
      <c r="C24" s="190"/>
      <c r="D24" s="190"/>
      <c r="E24" s="191">
        <f>+E22+E23</f>
        <v>0</v>
      </c>
      <c r="F24" s="181"/>
      <c r="G24" s="181"/>
      <c r="H24" s="181"/>
    </row>
    <row r="25" spans="1:8" x14ac:dyDescent="0.25">
      <c r="A25" s="181"/>
      <c r="B25" s="190"/>
      <c r="C25" s="190"/>
      <c r="D25" s="190"/>
      <c r="E25" s="205"/>
      <c r="F25" s="181"/>
      <c r="G25" s="181"/>
      <c r="H25" s="181"/>
    </row>
    <row r="26" spans="1:8" x14ac:dyDescent="0.25">
      <c r="A26" s="181"/>
      <c r="B26" s="185" t="s">
        <v>191</v>
      </c>
      <c r="C26" s="185"/>
      <c r="D26" s="185"/>
      <c r="E26" s="206">
        <f>E20*E24</f>
        <v>0</v>
      </c>
      <c r="F26" s="181"/>
      <c r="G26" s="181"/>
      <c r="H26" s="181"/>
    </row>
    <row r="27" spans="1:8" x14ac:dyDescent="0.25">
      <c r="A27" s="181"/>
      <c r="B27" s="196" t="s">
        <v>198</v>
      </c>
      <c r="C27" s="185"/>
      <c r="D27" s="185"/>
      <c r="E27" s="192">
        <v>0.7</v>
      </c>
      <c r="F27" s="181"/>
      <c r="G27" s="181"/>
      <c r="H27" s="181"/>
    </row>
    <row r="28" spans="1:8" x14ac:dyDescent="0.25">
      <c r="A28" s="181"/>
      <c r="B28" s="185" t="s">
        <v>192</v>
      </c>
      <c r="C28" s="185"/>
      <c r="D28" s="185"/>
      <c r="E28" s="206">
        <f>ROUND(E26*E27,2)</f>
        <v>0</v>
      </c>
      <c r="F28" s="181"/>
      <c r="G28" s="181"/>
      <c r="H28" s="181"/>
    </row>
    <row r="29" spans="1:8" x14ac:dyDescent="0.25">
      <c r="A29" s="181"/>
      <c r="B29" s="185" t="s">
        <v>193</v>
      </c>
      <c r="C29" s="185"/>
      <c r="D29" s="185"/>
      <c r="E29" s="193">
        <f>-ROUND(E28*0.05,2)</f>
        <v>0</v>
      </c>
      <c r="F29" s="181"/>
      <c r="G29" s="181"/>
      <c r="H29" s="181"/>
    </row>
    <row r="30" spans="1:8" x14ac:dyDescent="0.25">
      <c r="A30" s="181"/>
      <c r="B30" s="185" t="s">
        <v>103</v>
      </c>
      <c r="C30" s="185"/>
      <c r="D30" s="185"/>
      <c r="E30" s="209">
        <f>E28+E29</f>
        <v>0</v>
      </c>
      <c r="F30" s="181"/>
      <c r="G30" s="181"/>
      <c r="H30" s="181"/>
    </row>
    <row r="31" spans="1:8" x14ac:dyDescent="0.25">
      <c r="A31" s="181"/>
      <c r="B31" s="181"/>
      <c r="C31" s="181"/>
      <c r="D31" s="181"/>
      <c r="E31" s="181"/>
      <c r="F31" s="181"/>
      <c r="G31" s="189"/>
      <c r="H31" s="181"/>
    </row>
    <row r="32" spans="1:8" x14ac:dyDescent="0.25">
      <c r="A32" s="181"/>
      <c r="B32" s="3" t="s">
        <v>104</v>
      </c>
      <c r="C32" s="185"/>
      <c r="D32" s="185"/>
      <c r="E32" s="279">
        <v>0</v>
      </c>
      <c r="F32" s="181"/>
      <c r="G32" s="189"/>
      <c r="H32" s="181"/>
    </row>
    <row r="33" spans="1:8" x14ac:dyDescent="0.25">
      <c r="A33" s="181"/>
      <c r="B33" s="3"/>
      <c r="C33" s="185"/>
      <c r="D33" s="185"/>
      <c r="E33" s="298"/>
      <c r="F33" s="181"/>
      <c r="G33" s="189"/>
      <c r="H33" s="181"/>
    </row>
    <row r="34" spans="1:8" x14ac:dyDescent="0.25">
      <c r="A34" s="181"/>
      <c r="B34" s="3" t="s">
        <v>297</v>
      </c>
      <c r="C34" s="185"/>
      <c r="D34" s="185"/>
      <c r="E34" s="298">
        <f>E30+E32</f>
        <v>0</v>
      </c>
      <c r="F34" s="181"/>
      <c r="G34" s="189"/>
      <c r="H34" s="181"/>
    </row>
    <row r="35" spans="1:8" x14ac:dyDescent="0.25">
      <c r="A35" s="181"/>
      <c r="B35" s="3"/>
      <c r="C35" s="185"/>
      <c r="D35" s="185"/>
      <c r="E35" s="298"/>
      <c r="F35" s="181"/>
      <c r="G35" s="189"/>
      <c r="H35" s="181"/>
    </row>
    <row r="36" spans="1:8" x14ac:dyDescent="0.25">
      <c r="A36" s="181"/>
      <c r="B36" s="3" t="s">
        <v>299</v>
      </c>
      <c r="C36" s="208"/>
      <c r="D36" s="208"/>
      <c r="E36" s="306">
        <v>11</v>
      </c>
      <c r="F36" s="181"/>
      <c r="G36" s="189"/>
      <c r="H36" s="181"/>
    </row>
    <row r="37" spans="1:8" x14ac:dyDescent="0.25">
      <c r="A37" s="181"/>
      <c r="B37" s="3"/>
      <c r="C37" s="185"/>
      <c r="D37" s="185"/>
      <c r="E37" s="209"/>
      <c r="F37" s="181"/>
      <c r="G37" s="189"/>
      <c r="H37" s="181"/>
    </row>
    <row r="38" spans="1:8" ht="16.5" thickBot="1" x14ac:dyDescent="0.3">
      <c r="A38" s="181"/>
      <c r="B38" s="3" t="s">
        <v>105</v>
      </c>
      <c r="C38" s="185"/>
      <c r="D38" s="185"/>
      <c r="E38" s="299">
        <f>IF(E36=0,0,ROUND(E34/E36,2))</f>
        <v>0</v>
      </c>
      <c r="F38" s="181"/>
      <c r="G38" s="181"/>
      <c r="H38" s="181"/>
    </row>
    <row r="39" spans="1:8" ht="16.5" thickTop="1" x14ac:dyDescent="0.25"/>
    <row r="41" spans="1:8" x14ac:dyDescent="0.25">
      <c r="A41" s="329" t="s">
        <v>328</v>
      </c>
      <c r="B41" s="330"/>
      <c r="C41" s="330"/>
      <c r="D41" s="330"/>
      <c r="E41" s="330"/>
    </row>
    <row r="42" spans="1:8" x14ac:dyDescent="0.25">
      <c r="A42" s="329" t="s">
        <v>329</v>
      </c>
      <c r="B42" s="330"/>
      <c r="C42" s="330"/>
      <c r="D42" s="330"/>
      <c r="E42" s="330"/>
    </row>
  </sheetData>
  <printOptions horizontalCentered="1" headings="1"/>
  <pageMargins left="0.1" right="0.1" top="0.75" bottom="0.5" header="0.3" footer="0.3"/>
  <pageSetup orientation="portrait"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tabColor rgb="FFCCFFCC"/>
  </sheetPr>
  <dimension ref="A1:U206"/>
  <sheetViews>
    <sheetView showGridLines="0" zoomScaleNormal="100" workbookViewId="0">
      <pane ySplit="1" topLeftCell="A14" activePane="bottomLeft" state="frozen"/>
      <selection activeCell="I9" sqref="I9"/>
      <selection pane="bottomLeft" activeCell="D50" sqref="D50:D58"/>
    </sheetView>
  </sheetViews>
  <sheetFormatPr defaultRowHeight="15.75" x14ac:dyDescent="0.25"/>
  <cols>
    <col min="1" max="1" width="10.28515625" style="72" customWidth="1"/>
    <col min="2" max="2" width="30.28515625" style="3" bestFit="1" customWidth="1"/>
    <col min="3" max="4" width="10.7109375" style="3" customWidth="1"/>
    <col min="5" max="5" width="12.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72"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5">
        <v>50</v>
      </c>
      <c r="B1" s="441" t="s">
        <v>17</v>
      </c>
      <c r="C1" s="442"/>
      <c r="D1" s="442"/>
      <c r="E1" s="442"/>
      <c r="F1" s="442"/>
      <c r="G1" s="442"/>
      <c r="H1" s="442"/>
      <c r="I1" s="442"/>
      <c r="J1" s="157"/>
      <c r="K1" s="157"/>
      <c r="L1" s="157"/>
      <c r="N1" s="85">
        <f>A1</f>
        <v>50</v>
      </c>
      <c r="O1" s="527" t="s">
        <v>17</v>
      </c>
      <c r="P1" s="528"/>
      <c r="Q1" s="528"/>
      <c r="R1" s="528"/>
      <c r="S1" s="528"/>
      <c r="T1" s="528"/>
      <c r="U1" s="528"/>
    </row>
    <row r="2" spans="1:21" ht="21" x14ac:dyDescent="0.35">
      <c r="A2" s="1" t="s">
        <v>155</v>
      </c>
      <c r="B2" s="2"/>
      <c r="C2" s="2"/>
      <c r="D2" s="2"/>
      <c r="E2" s="2"/>
      <c r="F2" s="2"/>
      <c r="G2" s="2"/>
      <c r="H2" s="2"/>
      <c r="I2" s="2"/>
      <c r="N2" s="529" t="s">
        <v>23</v>
      </c>
      <c r="O2" s="529"/>
      <c r="P2" s="529"/>
      <c r="Q2" s="529"/>
      <c r="R2" s="529"/>
      <c r="S2" s="529"/>
      <c r="T2" s="529"/>
      <c r="U2" s="529"/>
    </row>
    <row r="3" spans="1:21" x14ac:dyDescent="0.25">
      <c r="A3" s="84" t="str">
        <f>'0664'!A3</f>
        <v>Based on the FLDOE 2022-23 FEFP Third Calculation</v>
      </c>
      <c r="N3" s="485" t="str">
        <f>A3</f>
        <v>Based on the FLDOE 2022-23 FEFP Third Calculation</v>
      </c>
      <c r="O3" s="485"/>
      <c r="P3" s="485"/>
      <c r="Q3" s="485"/>
      <c r="R3" s="485"/>
      <c r="S3" s="485"/>
      <c r="T3" s="485"/>
      <c r="U3" s="485"/>
    </row>
    <row r="4" spans="1:21" x14ac:dyDescent="0.25">
      <c r="A4" s="443" t="s">
        <v>0</v>
      </c>
      <c r="B4" s="443"/>
      <c r="C4" s="444" t="s">
        <v>9</v>
      </c>
      <c r="D4" s="444"/>
      <c r="E4" s="444"/>
      <c r="F4" s="4" t="str">
        <f>'0664'!F4</f>
        <v>Apr 2023</v>
      </c>
      <c r="G4" s="4"/>
      <c r="H4" s="4"/>
      <c r="I4" s="4"/>
      <c r="N4" s="530" t="s">
        <v>0</v>
      </c>
      <c r="O4" s="530"/>
      <c r="P4" s="531" t="str">
        <f>C4</f>
        <v>Palm Beach</v>
      </c>
      <c r="Q4" s="531"/>
      <c r="R4" s="5"/>
      <c r="S4" s="5"/>
      <c r="T4" s="5"/>
      <c r="U4" s="5"/>
    </row>
    <row r="5" spans="1:21" ht="12" customHeight="1" thickBot="1" x14ac:dyDescent="0.3">
      <c r="A5" s="262"/>
      <c r="B5" s="262"/>
      <c r="C5" s="253"/>
      <c r="D5" s="253"/>
      <c r="E5" s="253"/>
      <c r="F5" s="254"/>
      <c r="G5" s="254"/>
      <c r="H5" s="254"/>
      <c r="I5" s="254"/>
      <c r="N5" s="86"/>
      <c r="O5" s="86"/>
      <c r="P5" s="6"/>
      <c r="Q5" s="6"/>
      <c r="R5" s="5"/>
      <c r="S5" s="5"/>
      <c r="T5" s="5"/>
      <c r="U5" s="5"/>
    </row>
    <row r="6" spans="1:21" ht="12" customHeight="1" x14ac:dyDescent="0.25">
      <c r="A6" s="150"/>
      <c r="B6" s="150"/>
      <c r="C6" s="261"/>
      <c r="D6" s="261"/>
      <c r="E6" s="261"/>
      <c r="F6" s="4"/>
      <c r="G6" s="4"/>
      <c r="H6" s="4"/>
      <c r="I6" s="4"/>
      <c r="N6" s="86"/>
      <c r="O6" s="86"/>
      <c r="P6" s="6"/>
      <c r="Q6" s="6"/>
      <c r="R6" s="5"/>
      <c r="S6" s="5"/>
      <c r="T6" s="5"/>
      <c r="U6" s="5"/>
    </row>
    <row r="7" spans="1:21" x14ac:dyDescent="0.25">
      <c r="A7" s="445" t="str">
        <f>'0664'!A7:I7</f>
        <v>1.   2022-23 FEFP State and Local Funding</v>
      </c>
      <c r="B7" s="533"/>
      <c r="C7" s="533"/>
      <c r="D7" s="533"/>
      <c r="E7" s="533"/>
      <c r="F7" s="533"/>
      <c r="G7" s="533"/>
      <c r="H7" s="533"/>
      <c r="I7" s="533"/>
      <c r="N7" s="530" t="s">
        <v>86</v>
      </c>
      <c r="O7" s="530"/>
      <c r="P7" s="530"/>
      <c r="Q7" s="530"/>
      <c r="R7" s="530"/>
      <c r="S7" s="530"/>
      <c r="T7" s="530"/>
      <c r="U7" s="530"/>
    </row>
    <row r="8" spans="1:21" x14ac:dyDescent="0.25">
      <c r="A8" s="87"/>
      <c r="B8" s="88" t="s">
        <v>123</v>
      </c>
      <c r="C8" s="334">
        <f>'0664'!C8</f>
        <v>4587.3999999999996</v>
      </c>
      <c r="D8" s="89"/>
      <c r="E8" s="90"/>
      <c r="F8" s="87"/>
      <c r="G8" s="88" t="s">
        <v>122</v>
      </c>
      <c r="H8" s="320">
        <f>'0664'!H8</f>
        <v>1.0438000000000001</v>
      </c>
      <c r="I8" s="78"/>
      <c r="N8" s="534" t="s">
        <v>10</v>
      </c>
      <c r="O8" s="534"/>
      <c r="P8" s="535">
        <v>4154.45</v>
      </c>
      <c r="Q8" s="535"/>
      <c r="R8" s="518" t="s">
        <v>11</v>
      </c>
      <c r="S8" s="518"/>
      <c r="T8" s="519">
        <f>H8</f>
        <v>1.0438000000000001</v>
      </c>
      <c r="U8" s="519"/>
    </row>
    <row r="9" spans="1:21" x14ac:dyDescent="0.25">
      <c r="A9" s="7"/>
      <c r="B9" s="44" t="s">
        <v>370</v>
      </c>
      <c r="C9" s="41" t="s">
        <v>370</v>
      </c>
      <c r="D9" s="91" t="s">
        <v>370</v>
      </c>
      <c r="E9" s="8"/>
      <c r="F9" s="9"/>
      <c r="G9" s="9"/>
      <c r="H9" s="10"/>
      <c r="I9" s="340" t="str">
        <f>'0664'!I9</f>
        <v>2022-23</v>
      </c>
      <c r="N9" s="12"/>
      <c r="O9" s="12"/>
      <c r="P9" s="13"/>
      <c r="Q9" s="13"/>
      <c r="R9" s="14"/>
      <c r="S9" s="14"/>
      <c r="T9" s="15"/>
      <c r="U9" s="405" t="s">
        <v>405</v>
      </c>
    </row>
    <row r="10" spans="1:21" x14ac:dyDescent="0.25">
      <c r="A10" s="7"/>
      <c r="B10" s="7"/>
      <c r="C10" s="91" t="s">
        <v>463</v>
      </c>
      <c r="D10" s="371" t="s">
        <v>464</v>
      </c>
      <c r="E10" s="92" t="s">
        <v>8</v>
      </c>
      <c r="F10" s="446" t="s">
        <v>1</v>
      </c>
      <c r="G10" s="446"/>
      <c r="H10" s="10" t="s">
        <v>73</v>
      </c>
      <c r="I10" s="11" t="s">
        <v>36</v>
      </c>
      <c r="N10" s="12"/>
      <c r="O10" s="12"/>
      <c r="P10" s="13"/>
      <c r="Q10" s="13"/>
      <c r="R10" s="520" t="s">
        <v>1</v>
      </c>
      <c r="S10" s="520"/>
      <c r="T10" s="15" t="s">
        <v>73</v>
      </c>
      <c r="U10" s="16" t="s">
        <v>36</v>
      </c>
    </row>
    <row r="11" spans="1:21" x14ac:dyDescent="0.25">
      <c r="A11" s="447" t="s">
        <v>1</v>
      </c>
      <c r="B11" s="447"/>
      <c r="C11" s="362" t="s">
        <v>2</v>
      </c>
      <c r="D11" s="362" t="s">
        <v>2</v>
      </c>
      <c r="E11" s="362" t="s">
        <v>2</v>
      </c>
      <c r="F11" s="448" t="s">
        <v>76</v>
      </c>
      <c r="G11" s="448"/>
      <c r="H11" s="17" t="s">
        <v>72</v>
      </c>
      <c r="I11" s="18" t="s">
        <v>75</v>
      </c>
      <c r="N11" s="510" t="s">
        <v>1</v>
      </c>
      <c r="O11" s="510"/>
      <c r="P11" s="521" t="s">
        <v>24</v>
      </c>
      <c r="Q11" s="521"/>
      <c r="R11" s="522" t="s">
        <v>76</v>
      </c>
      <c r="S11" s="522"/>
      <c r="T11" s="19" t="s">
        <v>72</v>
      </c>
      <c r="U11" s="20" t="s">
        <v>75</v>
      </c>
    </row>
    <row r="12" spans="1:21" x14ac:dyDescent="0.25">
      <c r="A12" s="449" t="s">
        <v>47</v>
      </c>
      <c r="B12" s="449"/>
      <c r="C12" s="94"/>
      <c r="D12" s="94"/>
      <c r="E12" s="95" t="s">
        <v>48</v>
      </c>
      <c r="F12" s="450" t="s">
        <v>49</v>
      </c>
      <c r="G12" s="450"/>
      <c r="H12" s="21" t="s">
        <v>50</v>
      </c>
      <c r="I12" s="22" t="s">
        <v>51</v>
      </c>
      <c r="N12" s="523" t="s">
        <v>47</v>
      </c>
      <c r="O12" s="523"/>
      <c r="P12" s="524" t="s">
        <v>48</v>
      </c>
      <c r="Q12" s="524"/>
      <c r="R12" s="525" t="s">
        <v>49</v>
      </c>
      <c r="S12" s="525"/>
      <c r="T12" s="23" t="s">
        <v>50</v>
      </c>
      <c r="U12" s="24" t="s">
        <v>51</v>
      </c>
    </row>
    <row r="13" spans="1:21" x14ac:dyDescent="0.25">
      <c r="A13" s="451" t="s">
        <v>29</v>
      </c>
      <c r="B13" s="451"/>
      <c r="C13" s="165">
        <v>0</v>
      </c>
      <c r="D13" s="163">
        <v>0</v>
      </c>
      <c r="E13" s="210">
        <f>IF(D$29=0,C13*2,C13+D13)</f>
        <v>0</v>
      </c>
      <c r="F13" s="537">
        <f>'0664'!F13:G13</f>
        <v>1.1259999999999999</v>
      </c>
      <c r="G13" s="537"/>
      <c r="H13" s="167">
        <f>ROUND(E13*F13,4)</f>
        <v>0</v>
      </c>
      <c r="I13" s="119">
        <f t="shared" ref="I13:I28" si="0">ROUND(ROUND(H13*$C$8,4)*($H$8),2)</f>
        <v>0</v>
      </c>
      <c r="N13" s="512" t="s">
        <v>29</v>
      </c>
      <c r="O13" s="512"/>
      <c r="P13" s="513">
        <f t="shared" ref="P13:P28" si="1">IF($H$120=1,E13,0)</f>
        <v>0</v>
      </c>
      <c r="Q13" s="513"/>
      <c r="R13" s="526">
        <v>1</v>
      </c>
      <c r="S13" s="526"/>
      <c r="T13" s="98">
        <f>ROUND(P13*R13,4)</f>
        <v>0</v>
      </c>
      <c r="U13" s="99">
        <f t="shared" ref="U13:U28" si="2">ROUND(ROUND(T13*$C$8,4)*($H$8),0)</f>
        <v>0</v>
      </c>
    </row>
    <row r="14" spans="1:21" x14ac:dyDescent="0.25">
      <c r="A14" s="453" t="s">
        <v>30</v>
      </c>
      <c r="B14" s="453"/>
      <c r="C14" s="165">
        <v>0</v>
      </c>
      <c r="D14" s="165">
        <v>0</v>
      </c>
      <c r="E14" s="125">
        <f t="shared" ref="E14:E28" si="3">IF(D$29=0,C14*2,C14+D14)</f>
        <v>0</v>
      </c>
      <c r="F14" s="532">
        <f>'0664'!F14:G14</f>
        <v>1.1259999999999999</v>
      </c>
      <c r="G14" s="532"/>
      <c r="H14" s="83">
        <f t="shared" ref="H14:H28" si="4">ROUND(E14*F14,4)</f>
        <v>0</v>
      </c>
      <c r="I14" s="104">
        <f t="shared" si="0"/>
        <v>0</v>
      </c>
      <c r="J14" s="68" t="str">
        <f>IF(ROUND(E14,2)=ROUND(SUM(E50:E52),2)," ","CHECK PK-3 LINES BELOW")</f>
        <v xml:space="preserve"> </v>
      </c>
      <c r="N14" s="479" t="s">
        <v>30</v>
      </c>
      <c r="O14" s="479"/>
      <c r="P14" s="513">
        <f t="shared" si="1"/>
        <v>0</v>
      </c>
      <c r="Q14" s="513"/>
      <c r="R14" s="517">
        <v>1</v>
      </c>
      <c r="S14" s="517"/>
      <c r="T14" s="98">
        <f t="shared" ref="T14:T28" si="5">ROUND(P14*R14,4)</f>
        <v>0</v>
      </c>
      <c r="U14" s="99">
        <f t="shared" si="2"/>
        <v>0</v>
      </c>
    </row>
    <row r="15" spans="1:21" x14ac:dyDescent="0.25">
      <c r="A15" s="453" t="s">
        <v>31</v>
      </c>
      <c r="B15" s="453"/>
      <c r="C15" s="165">
        <v>0</v>
      </c>
      <c r="D15" s="165">
        <v>0</v>
      </c>
      <c r="E15" s="125">
        <f t="shared" si="3"/>
        <v>0</v>
      </c>
      <c r="F15" s="532">
        <f>'0664'!F15:G15</f>
        <v>1</v>
      </c>
      <c r="G15" s="532"/>
      <c r="H15" s="83">
        <f t="shared" si="4"/>
        <v>0</v>
      </c>
      <c r="I15" s="104">
        <f t="shared" si="0"/>
        <v>0</v>
      </c>
      <c r="N15" s="479" t="s">
        <v>31</v>
      </c>
      <c r="O15" s="479"/>
      <c r="P15" s="513">
        <f t="shared" si="1"/>
        <v>0</v>
      </c>
      <c r="Q15" s="513"/>
      <c r="R15" s="517">
        <v>1</v>
      </c>
      <c r="S15" s="517"/>
      <c r="T15" s="98">
        <f t="shared" si="5"/>
        <v>0</v>
      </c>
      <c r="U15" s="99">
        <f t="shared" si="2"/>
        <v>0</v>
      </c>
    </row>
    <row r="16" spans="1:21" x14ac:dyDescent="0.25">
      <c r="A16" s="453" t="s">
        <v>32</v>
      </c>
      <c r="B16" s="453"/>
      <c r="C16" s="165">
        <v>0</v>
      </c>
      <c r="D16" s="165">
        <v>0</v>
      </c>
      <c r="E16" s="125">
        <f t="shared" si="3"/>
        <v>0</v>
      </c>
      <c r="F16" s="532">
        <f>'0664'!F16:G16</f>
        <v>1</v>
      </c>
      <c r="G16" s="532"/>
      <c r="H16" s="83">
        <f t="shared" si="4"/>
        <v>0</v>
      </c>
      <c r="I16" s="104">
        <f t="shared" si="0"/>
        <v>0</v>
      </c>
      <c r="J16" s="68" t="str">
        <f>IF(ROUND(E16,2)=ROUND(SUM(E53:E55),2)," ","CHECK 4-8 LINES BELOW")</f>
        <v xml:space="preserve"> </v>
      </c>
      <c r="N16" s="479" t="s">
        <v>32</v>
      </c>
      <c r="O16" s="479"/>
      <c r="P16" s="513">
        <f t="shared" si="1"/>
        <v>0</v>
      </c>
      <c r="Q16" s="513"/>
      <c r="R16" s="517">
        <v>1</v>
      </c>
      <c r="S16" s="517"/>
      <c r="T16" s="98">
        <f t="shared" si="5"/>
        <v>0</v>
      </c>
      <c r="U16" s="99">
        <f t="shared" si="2"/>
        <v>0</v>
      </c>
    </row>
    <row r="17" spans="1:21" x14ac:dyDescent="0.25">
      <c r="A17" s="453" t="s">
        <v>33</v>
      </c>
      <c r="B17" s="453"/>
      <c r="C17" s="165">
        <v>326.99</v>
      </c>
      <c r="D17" s="165">
        <v>314.5</v>
      </c>
      <c r="E17" s="125">
        <f t="shared" si="3"/>
        <v>641.49</v>
      </c>
      <c r="F17" s="532">
        <f>'0664'!F17:G17</f>
        <v>0.999</v>
      </c>
      <c r="G17" s="532"/>
      <c r="H17" s="83">
        <f t="shared" si="4"/>
        <v>640.84849999999994</v>
      </c>
      <c r="I17" s="104">
        <f t="shared" si="0"/>
        <v>3068592.89</v>
      </c>
      <c r="N17" s="479" t="s">
        <v>33</v>
      </c>
      <c r="O17" s="479"/>
      <c r="P17" s="513">
        <f t="shared" si="1"/>
        <v>0</v>
      </c>
      <c r="Q17" s="513"/>
      <c r="R17" s="517">
        <v>1</v>
      </c>
      <c r="S17" s="517"/>
      <c r="T17" s="98">
        <f t="shared" si="5"/>
        <v>0</v>
      </c>
      <c r="U17" s="99">
        <f t="shared" si="2"/>
        <v>0</v>
      </c>
    </row>
    <row r="18" spans="1:21" x14ac:dyDescent="0.25">
      <c r="A18" s="453" t="s">
        <v>34</v>
      </c>
      <c r="B18" s="453"/>
      <c r="C18" s="165">
        <v>113.58</v>
      </c>
      <c r="D18" s="165">
        <v>107.86</v>
      </c>
      <c r="E18" s="125">
        <f t="shared" si="3"/>
        <v>221.44</v>
      </c>
      <c r="F18" s="532">
        <f>'0664'!F18:G18</f>
        <v>0.999</v>
      </c>
      <c r="G18" s="532"/>
      <c r="H18" s="83">
        <f t="shared" si="4"/>
        <v>221.21860000000001</v>
      </c>
      <c r="I18" s="104">
        <f t="shared" si="0"/>
        <v>1059267.24</v>
      </c>
      <c r="J18" s="68" t="str">
        <f>IF(ROUND(E18,2)=ROUND(SUM(E56:E58),2)," ","CHECK 9-12 LINES BELOW")</f>
        <v xml:space="preserve"> </v>
      </c>
      <c r="N18" s="479" t="s">
        <v>34</v>
      </c>
      <c r="O18" s="479"/>
      <c r="P18" s="513">
        <f t="shared" si="1"/>
        <v>0</v>
      </c>
      <c r="Q18" s="513"/>
      <c r="R18" s="517">
        <v>1</v>
      </c>
      <c r="S18" s="517"/>
      <c r="T18" s="98">
        <f t="shared" si="5"/>
        <v>0</v>
      </c>
      <c r="U18" s="101">
        <f t="shared" si="2"/>
        <v>0</v>
      </c>
    </row>
    <row r="19" spans="1:21" x14ac:dyDescent="0.25">
      <c r="A19" s="453" t="s">
        <v>108</v>
      </c>
      <c r="B19" s="453"/>
      <c r="C19" s="165">
        <v>0</v>
      </c>
      <c r="D19" s="165">
        <v>0</v>
      </c>
      <c r="E19" s="125">
        <f t="shared" si="3"/>
        <v>0</v>
      </c>
      <c r="F19" s="532">
        <f>'0664'!F19:G19</f>
        <v>3.6739999999999999</v>
      </c>
      <c r="G19" s="532"/>
      <c r="H19" s="83">
        <f t="shared" si="4"/>
        <v>0</v>
      </c>
      <c r="I19" s="104">
        <f t="shared" si="0"/>
        <v>0</v>
      </c>
      <c r="N19" s="479" t="s">
        <v>108</v>
      </c>
      <c r="O19" s="479"/>
      <c r="P19" s="513">
        <f t="shared" si="1"/>
        <v>0</v>
      </c>
      <c r="Q19" s="513"/>
      <c r="R19" s="517">
        <v>1</v>
      </c>
      <c r="S19" s="517"/>
      <c r="T19" s="98">
        <f t="shared" si="5"/>
        <v>0</v>
      </c>
      <c r="U19" s="99">
        <f t="shared" si="2"/>
        <v>0</v>
      </c>
    </row>
    <row r="20" spans="1:21" x14ac:dyDescent="0.25">
      <c r="A20" s="453" t="s">
        <v>109</v>
      </c>
      <c r="B20" s="453"/>
      <c r="C20" s="165">
        <v>0</v>
      </c>
      <c r="D20" s="165">
        <v>0</v>
      </c>
      <c r="E20" s="125">
        <f t="shared" si="3"/>
        <v>0</v>
      </c>
      <c r="F20" s="532">
        <f>'0664'!F20:G20</f>
        <v>3.6739999999999999</v>
      </c>
      <c r="G20" s="532"/>
      <c r="H20" s="83">
        <f t="shared" si="4"/>
        <v>0</v>
      </c>
      <c r="I20" s="104">
        <f t="shared" si="0"/>
        <v>0</v>
      </c>
      <c r="N20" s="479" t="s">
        <v>109</v>
      </c>
      <c r="O20" s="479"/>
      <c r="P20" s="513">
        <f t="shared" si="1"/>
        <v>0</v>
      </c>
      <c r="Q20" s="513"/>
      <c r="R20" s="517">
        <v>1</v>
      </c>
      <c r="S20" s="517"/>
      <c r="T20" s="98">
        <f t="shared" si="5"/>
        <v>0</v>
      </c>
      <c r="U20" s="99">
        <f t="shared" si="2"/>
        <v>0</v>
      </c>
    </row>
    <row r="21" spans="1:21" x14ac:dyDescent="0.25">
      <c r="A21" s="453" t="s">
        <v>110</v>
      </c>
      <c r="B21" s="453"/>
      <c r="C21" s="165">
        <v>0</v>
      </c>
      <c r="D21" s="165">
        <v>0</v>
      </c>
      <c r="E21" s="125">
        <f t="shared" si="3"/>
        <v>0</v>
      </c>
      <c r="F21" s="532">
        <f>'0664'!F21:G21</f>
        <v>3.6739999999999999</v>
      </c>
      <c r="G21" s="532"/>
      <c r="H21" s="83">
        <f t="shared" si="4"/>
        <v>0</v>
      </c>
      <c r="I21" s="104">
        <f t="shared" si="0"/>
        <v>0</v>
      </c>
      <c r="N21" s="479" t="s">
        <v>110</v>
      </c>
      <c r="O21" s="479"/>
      <c r="P21" s="513">
        <f t="shared" si="1"/>
        <v>0</v>
      </c>
      <c r="Q21" s="513"/>
      <c r="R21" s="517">
        <v>1</v>
      </c>
      <c r="S21" s="517"/>
      <c r="T21" s="98">
        <f t="shared" si="5"/>
        <v>0</v>
      </c>
      <c r="U21" s="99">
        <f t="shared" si="2"/>
        <v>0</v>
      </c>
    </row>
    <row r="22" spans="1:21" x14ac:dyDescent="0.25">
      <c r="A22" s="453" t="s">
        <v>111</v>
      </c>
      <c r="B22" s="453"/>
      <c r="C22" s="165">
        <v>0</v>
      </c>
      <c r="D22" s="165">
        <v>0</v>
      </c>
      <c r="E22" s="125">
        <f t="shared" si="3"/>
        <v>0</v>
      </c>
      <c r="F22" s="532">
        <f>'0664'!F22:G22</f>
        <v>5.4009999999999998</v>
      </c>
      <c r="G22" s="532"/>
      <c r="H22" s="83">
        <f t="shared" si="4"/>
        <v>0</v>
      </c>
      <c r="I22" s="104">
        <f t="shared" si="0"/>
        <v>0</v>
      </c>
      <c r="N22" s="479" t="s">
        <v>111</v>
      </c>
      <c r="O22" s="479"/>
      <c r="P22" s="513">
        <f t="shared" si="1"/>
        <v>0</v>
      </c>
      <c r="Q22" s="513"/>
      <c r="R22" s="517">
        <v>1</v>
      </c>
      <c r="S22" s="517"/>
      <c r="T22" s="98">
        <f t="shared" si="5"/>
        <v>0</v>
      </c>
      <c r="U22" s="99">
        <f t="shared" si="2"/>
        <v>0</v>
      </c>
    </row>
    <row r="23" spans="1:21" x14ac:dyDescent="0.25">
      <c r="A23" s="453" t="s">
        <v>112</v>
      </c>
      <c r="B23" s="453"/>
      <c r="C23" s="165">
        <v>0</v>
      </c>
      <c r="D23" s="165">
        <v>0</v>
      </c>
      <c r="E23" s="125">
        <f t="shared" si="3"/>
        <v>0</v>
      </c>
      <c r="F23" s="532">
        <f>'0664'!F23:G23</f>
        <v>5.4009999999999998</v>
      </c>
      <c r="G23" s="532"/>
      <c r="H23" s="83">
        <f t="shared" si="4"/>
        <v>0</v>
      </c>
      <c r="I23" s="104">
        <f t="shared" si="0"/>
        <v>0</v>
      </c>
      <c r="N23" s="479" t="s">
        <v>112</v>
      </c>
      <c r="O23" s="479"/>
      <c r="P23" s="513">
        <f t="shared" si="1"/>
        <v>0</v>
      </c>
      <c r="Q23" s="513"/>
      <c r="R23" s="517">
        <v>1</v>
      </c>
      <c r="S23" s="517"/>
      <c r="T23" s="98">
        <f t="shared" si="5"/>
        <v>0</v>
      </c>
      <c r="U23" s="99">
        <f t="shared" si="2"/>
        <v>0</v>
      </c>
    </row>
    <row r="24" spans="1:21" x14ac:dyDescent="0.25">
      <c r="A24" s="453" t="s">
        <v>113</v>
      </c>
      <c r="B24" s="453"/>
      <c r="C24" s="165">
        <v>0</v>
      </c>
      <c r="D24" s="165">
        <v>0</v>
      </c>
      <c r="E24" s="125">
        <f t="shared" si="3"/>
        <v>0</v>
      </c>
      <c r="F24" s="532">
        <f>'0664'!F24:G24</f>
        <v>5.4009999999999998</v>
      </c>
      <c r="G24" s="532"/>
      <c r="H24" s="83">
        <f t="shared" si="4"/>
        <v>0</v>
      </c>
      <c r="I24" s="104">
        <f t="shared" si="0"/>
        <v>0</v>
      </c>
      <c r="N24" s="479" t="s">
        <v>113</v>
      </c>
      <c r="O24" s="479"/>
      <c r="P24" s="513">
        <f t="shared" si="1"/>
        <v>0</v>
      </c>
      <c r="Q24" s="513"/>
      <c r="R24" s="517">
        <v>1</v>
      </c>
      <c r="S24" s="517"/>
      <c r="T24" s="98">
        <f t="shared" si="5"/>
        <v>0</v>
      </c>
      <c r="U24" s="99">
        <f t="shared" si="2"/>
        <v>0</v>
      </c>
    </row>
    <row r="25" spans="1:21" x14ac:dyDescent="0.25">
      <c r="A25" s="453" t="s">
        <v>114</v>
      </c>
      <c r="B25" s="453"/>
      <c r="C25" s="165">
        <v>0</v>
      </c>
      <c r="D25" s="165">
        <v>0</v>
      </c>
      <c r="E25" s="125">
        <f t="shared" si="3"/>
        <v>0</v>
      </c>
      <c r="F25" s="532">
        <f>'0664'!F25:G25</f>
        <v>1.206</v>
      </c>
      <c r="G25" s="532"/>
      <c r="H25" s="83">
        <f t="shared" si="4"/>
        <v>0</v>
      </c>
      <c r="I25" s="104">
        <f t="shared" si="0"/>
        <v>0</v>
      </c>
      <c r="N25" s="479" t="s">
        <v>114</v>
      </c>
      <c r="O25" s="479"/>
      <c r="P25" s="513">
        <f t="shared" si="1"/>
        <v>0</v>
      </c>
      <c r="Q25" s="513"/>
      <c r="R25" s="517">
        <v>1</v>
      </c>
      <c r="S25" s="517"/>
      <c r="T25" s="98">
        <f t="shared" si="5"/>
        <v>0</v>
      </c>
      <c r="U25" s="99">
        <f t="shared" si="2"/>
        <v>0</v>
      </c>
    </row>
    <row r="26" spans="1:21" x14ac:dyDescent="0.25">
      <c r="A26" s="453" t="s">
        <v>115</v>
      </c>
      <c r="B26" s="453"/>
      <c r="C26" s="165">
        <v>0</v>
      </c>
      <c r="D26" s="165">
        <v>0</v>
      </c>
      <c r="E26" s="125">
        <f t="shared" si="3"/>
        <v>0</v>
      </c>
      <c r="F26" s="532">
        <f>'0664'!F26:G26</f>
        <v>1.206</v>
      </c>
      <c r="G26" s="532"/>
      <c r="H26" s="83">
        <f t="shared" si="4"/>
        <v>0</v>
      </c>
      <c r="I26" s="104">
        <f t="shared" si="0"/>
        <v>0</v>
      </c>
      <c r="N26" s="479" t="s">
        <v>115</v>
      </c>
      <c r="O26" s="479"/>
      <c r="P26" s="513">
        <f t="shared" si="1"/>
        <v>0</v>
      </c>
      <c r="Q26" s="513"/>
      <c r="R26" s="517">
        <v>1</v>
      </c>
      <c r="S26" s="517"/>
      <c r="T26" s="98">
        <f t="shared" si="5"/>
        <v>0</v>
      </c>
      <c r="U26" s="99">
        <f t="shared" si="2"/>
        <v>0</v>
      </c>
    </row>
    <row r="27" spans="1:21" x14ac:dyDescent="0.25">
      <c r="A27" s="453" t="s">
        <v>116</v>
      </c>
      <c r="B27" s="453"/>
      <c r="C27" s="165">
        <v>4.04</v>
      </c>
      <c r="D27" s="165">
        <v>3.35</v>
      </c>
      <c r="E27" s="125">
        <f t="shared" si="3"/>
        <v>7.3900000000000006</v>
      </c>
      <c r="F27" s="532">
        <f>'0664'!F27:G27</f>
        <v>1.206</v>
      </c>
      <c r="G27" s="532"/>
      <c r="H27" s="83">
        <f t="shared" si="4"/>
        <v>8.9123000000000001</v>
      </c>
      <c r="I27" s="104">
        <f t="shared" si="0"/>
        <v>42675.02</v>
      </c>
      <c r="N27" s="479" t="s">
        <v>116</v>
      </c>
      <c r="O27" s="479"/>
      <c r="P27" s="513">
        <f t="shared" si="1"/>
        <v>0</v>
      </c>
      <c r="Q27" s="513"/>
      <c r="R27" s="517">
        <v>1</v>
      </c>
      <c r="S27" s="517"/>
      <c r="T27" s="98">
        <f t="shared" si="5"/>
        <v>0</v>
      </c>
      <c r="U27" s="99">
        <f t="shared" si="2"/>
        <v>0</v>
      </c>
    </row>
    <row r="28" spans="1:21" x14ac:dyDescent="0.25">
      <c r="A28" s="453" t="s">
        <v>117</v>
      </c>
      <c r="B28" s="453"/>
      <c r="C28" s="116">
        <v>125.3</v>
      </c>
      <c r="D28" s="116">
        <v>127.2</v>
      </c>
      <c r="E28" s="177">
        <f t="shared" si="3"/>
        <v>252.5</v>
      </c>
      <c r="F28" s="532">
        <f>'0664'!F28:G28</f>
        <v>0.999</v>
      </c>
      <c r="G28" s="532"/>
      <c r="H28" s="96">
        <f t="shared" si="4"/>
        <v>252.2475</v>
      </c>
      <c r="I28" s="97">
        <f t="shared" si="0"/>
        <v>1207843.8</v>
      </c>
      <c r="N28" s="482" t="s">
        <v>117</v>
      </c>
      <c r="O28" s="482"/>
      <c r="P28" s="513">
        <f t="shared" si="1"/>
        <v>0</v>
      </c>
      <c r="Q28" s="513"/>
      <c r="R28" s="514">
        <v>1</v>
      </c>
      <c r="S28" s="514"/>
      <c r="T28" s="98">
        <f t="shared" si="5"/>
        <v>0</v>
      </c>
      <c r="U28" s="99">
        <f t="shared" si="2"/>
        <v>0</v>
      </c>
    </row>
    <row r="29" spans="1:21" x14ac:dyDescent="0.25">
      <c r="A29" s="461" t="s">
        <v>5</v>
      </c>
      <c r="B29" s="461"/>
      <c r="C29" s="97">
        <f>SUM(C13:C28)</f>
        <v>569.91</v>
      </c>
      <c r="D29" s="97">
        <f>SUM(D13:D28)</f>
        <v>552.91000000000008</v>
      </c>
      <c r="E29" s="97">
        <f>SUM(E13:E28)</f>
        <v>1122.8200000000002</v>
      </c>
      <c r="F29" s="457"/>
      <c r="G29" s="457"/>
      <c r="H29" s="102">
        <f>SUM(H13:H28)</f>
        <v>1123.2268999999999</v>
      </c>
      <c r="I29" s="97">
        <f>SUM(I13:I28)</f>
        <v>5378378.9500000002</v>
      </c>
      <c r="N29" s="515" t="s">
        <v>5</v>
      </c>
      <c r="O29" s="515"/>
      <c r="P29" s="516">
        <f>SUM(P13:P28)</f>
        <v>0</v>
      </c>
      <c r="Q29" s="516"/>
      <c r="R29" s="508"/>
      <c r="S29" s="508"/>
      <c r="T29" s="103">
        <f>SUM(T13:T28)</f>
        <v>0</v>
      </c>
      <c r="U29" s="99">
        <f>SUM(U13:U28)</f>
        <v>0</v>
      </c>
    </row>
    <row r="30" spans="1:21" x14ac:dyDescent="0.25">
      <c r="A30" s="27"/>
      <c r="B30" s="27"/>
      <c r="C30" s="104"/>
      <c r="D30" s="104"/>
      <c r="E30" s="104"/>
      <c r="F30" s="28"/>
      <c r="G30" s="28"/>
      <c r="H30" s="83"/>
      <c r="I30" s="104"/>
      <c r="N30" s="29"/>
      <c r="O30" s="29"/>
      <c r="P30" s="30"/>
      <c r="Q30" s="30"/>
      <c r="R30" s="31"/>
      <c r="S30" s="31"/>
      <c r="T30" s="105"/>
      <c r="U30" s="106"/>
    </row>
    <row r="31" spans="1:21" x14ac:dyDescent="0.25">
      <c r="A31" s="168" t="s">
        <v>97</v>
      </c>
      <c r="B31" s="27"/>
      <c r="C31" s="104"/>
      <c r="D31" s="104"/>
      <c r="E31" s="104"/>
      <c r="F31" s="28"/>
      <c r="G31" s="28"/>
      <c r="H31" s="83"/>
      <c r="I31" s="104"/>
      <c r="N31" s="29"/>
      <c r="O31" s="29"/>
      <c r="P31" s="30"/>
      <c r="Q31" s="30"/>
      <c r="R31" s="31"/>
      <c r="S31" s="31"/>
      <c r="T31" s="105"/>
      <c r="U31" s="106"/>
    </row>
    <row r="32" spans="1:21" hidden="1" x14ac:dyDescent="0.25">
      <c r="A32" s="168"/>
      <c r="B32" s="27"/>
      <c r="C32" s="104"/>
      <c r="D32" s="104"/>
      <c r="E32" s="104"/>
      <c r="F32" s="28"/>
      <c r="G32" s="28"/>
      <c r="H32" s="83"/>
      <c r="I32" s="104"/>
      <c r="N32" s="29"/>
      <c r="O32" s="29"/>
      <c r="P32" s="30"/>
      <c r="Q32" s="30"/>
      <c r="R32" s="31"/>
      <c r="S32" s="31"/>
      <c r="T32" s="105"/>
      <c r="U32" s="106"/>
    </row>
    <row r="33" spans="1:21" hidden="1" x14ac:dyDescent="0.25">
      <c r="A33" s="168"/>
      <c r="B33" s="27"/>
      <c r="C33" s="104"/>
      <c r="D33" s="104"/>
      <c r="E33" s="104"/>
      <c r="F33" s="541" t="s">
        <v>282</v>
      </c>
      <c r="G33" s="541"/>
      <c r="H33" s="541"/>
      <c r="I33" s="104"/>
      <c r="N33" s="29"/>
      <c r="O33" s="29"/>
      <c r="P33" s="30"/>
      <c r="Q33" s="30"/>
      <c r="R33" s="31"/>
      <c r="S33" s="31"/>
      <c r="T33" s="105"/>
      <c r="U33" s="106"/>
    </row>
    <row r="34" spans="1:21" hidden="1" x14ac:dyDescent="0.25">
      <c r="A34" s="3"/>
      <c r="B34" s="72"/>
      <c r="C34" s="72"/>
      <c r="D34" s="72"/>
      <c r="E34" s="72"/>
      <c r="F34" s="541"/>
      <c r="G34" s="541"/>
      <c r="H34" s="541"/>
      <c r="I34" s="25" t="s">
        <v>74</v>
      </c>
      <c r="N34" s="485" t="s">
        <v>35</v>
      </c>
      <c r="O34" s="485"/>
      <c r="P34" s="485"/>
      <c r="Q34" s="485"/>
      <c r="R34" s="485"/>
      <c r="S34" s="485"/>
      <c r="T34" s="485"/>
      <c r="U34" s="26" t="s">
        <v>74</v>
      </c>
    </row>
    <row r="35" spans="1:21" hidden="1" x14ac:dyDescent="0.25">
      <c r="A35" s="27"/>
      <c r="B35" s="27"/>
      <c r="C35" s="91" t="s">
        <v>124</v>
      </c>
      <c r="D35" s="91" t="s">
        <v>125</v>
      </c>
      <c r="E35" s="92" t="s">
        <v>8</v>
      </c>
      <c r="F35" s="541"/>
      <c r="G35" s="541"/>
      <c r="H35" s="541"/>
      <c r="I35" s="25" t="s">
        <v>36</v>
      </c>
      <c r="N35" s="29"/>
      <c r="O35" s="29"/>
      <c r="P35" s="30"/>
      <c r="Q35" s="30"/>
      <c r="R35" s="31"/>
      <c r="S35" s="31"/>
      <c r="T35" s="105"/>
      <c r="U35" s="26" t="s">
        <v>36</v>
      </c>
    </row>
    <row r="36" spans="1:21" hidden="1" x14ac:dyDescent="0.25">
      <c r="A36" s="447" t="s">
        <v>63</v>
      </c>
      <c r="B36" s="447"/>
      <c r="C36" s="93" t="s">
        <v>2</v>
      </c>
      <c r="D36" s="93" t="s">
        <v>2</v>
      </c>
      <c r="E36" s="93" t="s">
        <v>2</v>
      </c>
      <c r="F36" s="542"/>
      <c r="G36" s="542"/>
      <c r="H36" s="542"/>
      <c r="I36" s="32" t="s">
        <v>75</v>
      </c>
      <c r="N36" s="510" t="s">
        <v>63</v>
      </c>
      <c r="O36" s="510"/>
      <c r="P36" s="511" t="s">
        <v>24</v>
      </c>
      <c r="Q36" s="511"/>
      <c r="R36" s="511"/>
      <c r="S36" s="511"/>
      <c r="T36" s="511"/>
      <c r="U36" s="20" t="s">
        <v>75</v>
      </c>
    </row>
    <row r="37" spans="1:21" hidden="1" x14ac:dyDescent="0.25">
      <c r="A37" s="451" t="s">
        <v>56</v>
      </c>
      <c r="B37" s="451"/>
      <c r="C37" s="169">
        <v>0</v>
      </c>
      <c r="D37" s="169">
        <v>0</v>
      </c>
      <c r="E37" s="210">
        <f t="shared" ref="E37:E42" si="6">IF(D$43=0,C37*2,C37+D37)</f>
        <v>0</v>
      </c>
      <c r="F37" s="170"/>
      <c r="G37" s="170"/>
      <c r="H37" s="170"/>
      <c r="I37" s="119">
        <f t="shared" ref="I37:I42" si="7">ROUND(ROUND(E37*$C$8,4)*($H$8),2)</f>
        <v>0</v>
      </c>
      <c r="N37" s="512" t="s">
        <v>56</v>
      </c>
      <c r="O37" s="512"/>
      <c r="P37" s="483">
        <f t="shared" ref="P37:P42" si="8">IF($H$120=1,E37,0)</f>
        <v>0</v>
      </c>
      <c r="Q37" s="483"/>
      <c r="R37" s="483"/>
      <c r="S37" s="483"/>
      <c r="T37" s="483"/>
      <c r="U37" s="101">
        <f t="shared" ref="U37:U42" si="9">ROUND(ROUND(P37*$C$8,4)*($H$8),0)</f>
        <v>0</v>
      </c>
    </row>
    <row r="38" spans="1:21" hidden="1" x14ac:dyDescent="0.25">
      <c r="A38" s="453" t="s">
        <v>57</v>
      </c>
      <c r="B38" s="453"/>
      <c r="C38" s="172">
        <v>0</v>
      </c>
      <c r="D38" s="172">
        <v>0</v>
      </c>
      <c r="E38" s="125">
        <f t="shared" si="6"/>
        <v>0</v>
      </c>
      <c r="F38" s="173"/>
      <c r="G38" s="173"/>
      <c r="H38" s="173"/>
      <c r="I38" s="104">
        <f t="shared" si="7"/>
        <v>0</v>
      </c>
      <c r="N38" s="479" t="s">
        <v>57</v>
      </c>
      <c r="O38" s="479"/>
      <c r="P38" s="483">
        <f t="shared" si="8"/>
        <v>0</v>
      </c>
      <c r="Q38" s="483"/>
      <c r="R38" s="483"/>
      <c r="S38" s="483"/>
      <c r="T38" s="483"/>
      <c r="U38" s="101">
        <f t="shared" si="9"/>
        <v>0</v>
      </c>
    </row>
    <row r="39" spans="1:21" hidden="1" x14ac:dyDescent="0.25">
      <c r="A39" s="458" t="s">
        <v>58</v>
      </c>
      <c r="B39" s="458"/>
      <c r="C39" s="172">
        <v>0</v>
      </c>
      <c r="D39" s="172">
        <v>0</v>
      </c>
      <c r="E39" s="125">
        <f t="shared" si="6"/>
        <v>0</v>
      </c>
      <c r="F39" s="173"/>
      <c r="G39" s="173"/>
      <c r="H39" s="173"/>
      <c r="I39" s="104">
        <f t="shared" si="7"/>
        <v>0</v>
      </c>
      <c r="N39" s="509" t="s">
        <v>58</v>
      </c>
      <c r="O39" s="509"/>
      <c r="P39" s="483">
        <f t="shared" si="8"/>
        <v>0</v>
      </c>
      <c r="Q39" s="483"/>
      <c r="R39" s="483"/>
      <c r="S39" s="483"/>
      <c r="T39" s="483"/>
      <c r="U39" s="101">
        <f t="shared" si="9"/>
        <v>0</v>
      </c>
    </row>
    <row r="40" spans="1:21" hidden="1" x14ac:dyDescent="0.25">
      <c r="A40" s="453" t="s">
        <v>59</v>
      </c>
      <c r="B40" s="453"/>
      <c r="C40" s="172">
        <v>0</v>
      </c>
      <c r="D40" s="172">
        <v>0</v>
      </c>
      <c r="E40" s="125">
        <f t="shared" si="6"/>
        <v>0</v>
      </c>
      <c r="F40" s="173"/>
      <c r="G40" s="173"/>
      <c r="H40" s="173"/>
      <c r="I40" s="104">
        <f t="shared" si="7"/>
        <v>0</v>
      </c>
      <c r="N40" s="479" t="s">
        <v>59</v>
      </c>
      <c r="O40" s="479"/>
      <c r="P40" s="483">
        <f t="shared" si="8"/>
        <v>0</v>
      </c>
      <c r="Q40" s="483"/>
      <c r="R40" s="483"/>
      <c r="S40" s="483"/>
      <c r="T40" s="483"/>
      <c r="U40" s="101">
        <f t="shared" si="9"/>
        <v>0</v>
      </c>
    </row>
    <row r="41" spans="1:21" hidden="1" x14ac:dyDescent="0.25">
      <c r="A41" s="453" t="s">
        <v>60</v>
      </c>
      <c r="B41" s="453"/>
      <c r="C41" s="172">
        <v>0</v>
      </c>
      <c r="D41" s="172">
        <v>0</v>
      </c>
      <c r="E41" s="125">
        <f t="shared" si="6"/>
        <v>0</v>
      </c>
      <c r="F41" s="173"/>
      <c r="G41" s="173"/>
      <c r="H41" s="173"/>
      <c r="I41" s="104">
        <f t="shared" si="7"/>
        <v>0</v>
      </c>
      <c r="N41" s="479" t="s">
        <v>60</v>
      </c>
      <c r="O41" s="479"/>
      <c r="P41" s="483">
        <f t="shared" si="8"/>
        <v>0</v>
      </c>
      <c r="Q41" s="483"/>
      <c r="R41" s="483"/>
      <c r="S41" s="483"/>
      <c r="T41" s="483"/>
      <c r="U41" s="101">
        <f t="shared" si="9"/>
        <v>0</v>
      </c>
    </row>
    <row r="42" spans="1:21" hidden="1" x14ac:dyDescent="0.25">
      <c r="A42" s="453" t="s">
        <v>52</v>
      </c>
      <c r="B42" s="453"/>
      <c r="C42" s="171">
        <v>0</v>
      </c>
      <c r="D42" s="171">
        <v>0</v>
      </c>
      <c r="E42" s="177">
        <f t="shared" si="6"/>
        <v>0</v>
      </c>
      <c r="F42" s="173"/>
      <c r="G42" s="173"/>
      <c r="H42" s="173"/>
      <c r="I42" s="97">
        <f t="shared" si="7"/>
        <v>0</v>
      </c>
      <c r="N42" s="482" t="s">
        <v>52</v>
      </c>
      <c r="O42" s="482"/>
      <c r="P42" s="483">
        <f t="shared" si="8"/>
        <v>0</v>
      </c>
      <c r="Q42" s="483"/>
      <c r="R42" s="483"/>
      <c r="S42" s="483"/>
      <c r="T42" s="483"/>
      <c r="U42" s="101">
        <f t="shared" si="9"/>
        <v>0</v>
      </c>
    </row>
    <row r="43" spans="1:21" hidden="1" x14ac:dyDescent="0.25">
      <c r="A43" s="3"/>
      <c r="B43" s="55" t="s">
        <v>126</v>
      </c>
      <c r="C43" s="100">
        <f>SUM(C37:C42)</f>
        <v>0</v>
      </c>
      <c r="D43" s="100">
        <f>SUM(D37:D42)</f>
        <v>0</v>
      </c>
      <c r="E43" s="100">
        <f>SUM(E37:E42)</f>
        <v>0</v>
      </c>
      <c r="F43" s="33"/>
      <c r="G43" s="109"/>
      <c r="H43" s="110" t="s">
        <v>128</v>
      </c>
      <c r="I43" s="100">
        <f>SUM(I37:I42)</f>
        <v>0</v>
      </c>
      <c r="N43" s="480" t="s">
        <v>54</v>
      </c>
      <c r="O43" s="480"/>
      <c r="P43" s="480"/>
      <c r="Q43" s="480"/>
      <c r="R43" s="34">
        <f>SUM(P37:R42)</f>
        <v>0</v>
      </c>
      <c r="S43" s="508" t="s">
        <v>64</v>
      </c>
      <c r="T43" s="508"/>
      <c r="U43" s="106">
        <f>SUM(U37:U42)</f>
        <v>0</v>
      </c>
    </row>
    <row r="44" spans="1:21" ht="16.5" hidden="1" thickBot="1" x14ac:dyDescent="0.3">
      <c r="A44" s="3"/>
      <c r="B44" s="55"/>
      <c r="C44" s="104"/>
      <c r="D44" s="104"/>
      <c r="E44" s="119"/>
      <c r="F44" s="33"/>
      <c r="G44" s="109"/>
      <c r="H44" s="110"/>
      <c r="I44" s="104"/>
      <c r="N44" s="29"/>
      <c r="O44" s="29"/>
      <c r="P44" s="29"/>
      <c r="Q44" s="29"/>
      <c r="R44" s="34"/>
      <c r="S44" s="31"/>
      <c r="T44" s="31"/>
      <c r="U44" s="106"/>
    </row>
    <row r="45" spans="1:21" ht="16.5" hidden="1" thickBot="1" x14ac:dyDescent="0.3">
      <c r="A45" s="3"/>
      <c r="B45" s="55" t="s">
        <v>127</v>
      </c>
      <c r="E45" s="174">
        <f>H29+E43</f>
        <v>1123.2268999999999</v>
      </c>
      <c r="F45" s="35"/>
      <c r="G45" s="109"/>
      <c r="H45" s="110" t="s">
        <v>129</v>
      </c>
      <c r="I45" s="97">
        <f>SUM(I43,I29)</f>
        <v>5378378.9500000002</v>
      </c>
      <c r="N45" s="480" t="s">
        <v>55</v>
      </c>
      <c r="O45" s="480"/>
      <c r="P45" s="480"/>
      <c r="Q45" s="480"/>
      <c r="R45" s="36">
        <f>R43+T29</f>
        <v>0</v>
      </c>
      <c r="S45" s="508" t="s">
        <v>53</v>
      </c>
      <c r="T45" s="508"/>
      <c r="U45" s="111">
        <f>SUM(U43,U29)</f>
        <v>0</v>
      </c>
    </row>
    <row r="46" spans="1:21" hidden="1" x14ac:dyDescent="0.25">
      <c r="A46" s="27"/>
      <c r="B46" s="27"/>
      <c r="C46" s="27"/>
      <c r="D46" s="27"/>
      <c r="E46" s="27"/>
      <c r="F46" s="35"/>
      <c r="G46" s="28"/>
      <c r="H46" s="28"/>
      <c r="I46" s="104"/>
      <c r="N46" s="29"/>
      <c r="O46" s="29"/>
      <c r="P46" s="29"/>
      <c r="Q46" s="29"/>
      <c r="R46" s="36"/>
      <c r="S46" s="31"/>
      <c r="T46" s="31"/>
      <c r="U46" s="106"/>
    </row>
    <row r="47" spans="1:21" x14ac:dyDescent="0.25">
      <c r="A47" s="27"/>
      <c r="B47" s="55" t="s">
        <v>370</v>
      </c>
      <c r="C47" s="41" t="s">
        <v>370</v>
      </c>
      <c r="D47" s="91" t="s">
        <v>370</v>
      </c>
      <c r="E47" s="27"/>
      <c r="F47" s="35"/>
      <c r="G47" s="28"/>
      <c r="H47" s="28"/>
      <c r="I47" s="104"/>
      <c r="N47" s="29"/>
      <c r="O47" s="29"/>
      <c r="P47" s="29"/>
      <c r="Q47" s="29"/>
      <c r="R47" s="36"/>
      <c r="S47" s="31"/>
      <c r="T47" s="31"/>
      <c r="U47" s="106"/>
    </row>
    <row r="48" spans="1:21" x14ac:dyDescent="0.25">
      <c r="A48" s="27"/>
      <c r="B48" s="27"/>
      <c r="C48" s="91" t="s">
        <v>463</v>
      </c>
      <c r="D48" s="371" t="s">
        <v>464</v>
      </c>
      <c r="E48" s="92" t="s">
        <v>8</v>
      </c>
      <c r="F48" s="49" t="s">
        <v>130</v>
      </c>
      <c r="G48" s="112" t="s">
        <v>132</v>
      </c>
      <c r="H48" s="113" t="s">
        <v>133</v>
      </c>
      <c r="I48" s="104"/>
      <c r="N48" s="29"/>
      <c r="O48" s="29"/>
      <c r="P48" s="29"/>
      <c r="Q48" s="29"/>
      <c r="R48" s="36"/>
      <c r="S48" s="31"/>
      <c r="T48" s="31"/>
      <c r="U48" s="106"/>
    </row>
    <row r="49" spans="1:21" x14ac:dyDescent="0.25">
      <c r="A49" s="37" t="s">
        <v>87</v>
      </c>
      <c r="B49" s="37"/>
      <c r="C49" s="362" t="s">
        <v>2</v>
      </c>
      <c r="D49" s="362" t="s">
        <v>2</v>
      </c>
      <c r="E49" s="362" t="s">
        <v>2</v>
      </c>
      <c r="F49" s="95" t="s">
        <v>131</v>
      </c>
      <c r="G49" s="62" t="s">
        <v>131</v>
      </c>
      <c r="H49" s="114" t="s">
        <v>134</v>
      </c>
      <c r="I49" s="37"/>
      <c r="N49" s="482" t="s">
        <v>87</v>
      </c>
      <c r="O49" s="482"/>
      <c r="P49" s="503" t="s">
        <v>2</v>
      </c>
      <c r="Q49" s="503"/>
      <c r="R49" s="38" t="s">
        <v>25</v>
      </c>
      <c r="S49" s="63" t="s">
        <v>26</v>
      </c>
      <c r="T49" s="115" t="s">
        <v>27</v>
      </c>
      <c r="U49" s="38"/>
    </row>
    <row r="50" spans="1:21" x14ac:dyDescent="0.25">
      <c r="A50" s="459" t="s">
        <v>98</v>
      </c>
      <c r="B50" s="459"/>
      <c r="C50" s="165">
        <v>0</v>
      </c>
      <c r="D50" s="165">
        <v>0</v>
      </c>
      <c r="E50" s="125">
        <f>IF(D$59=0,C50*2,C50+D50)</f>
        <v>0</v>
      </c>
      <c r="F50" s="39" t="s">
        <v>21</v>
      </c>
      <c r="G50" s="39">
        <v>251</v>
      </c>
      <c r="H50" s="321">
        <f>'0664'!H50</f>
        <v>1047</v>
      </c>
      <c r="I50" s="104">
        <f>ROUND(E50*H50,2)</f>
        <v>0</v>
      </c>
      <c r="N50" s="504" t="s">
        <v>28</v>
      </c>
      <c r="O50" s="504"/>
      <c r="P50" s="505"/>
      <c r="Q50" s="505"/>
      <c r="R50" s="40" t="s">
        <v>21</v>
      </c>
      <c r="S50" s="40">
        <v>251</v>
      </c>
      <c r="T50" s="117">
        <f>H50</f>
        <v>1047</v>
      </c>
      <c r="U50" s="118">
        <f>ROUND(P50*T50,0)</f>
        <v>0</v>
      </c>
    </row>
    <row r="51" spans="1:21" x14ac:dyDescent="0.25">
      <c r="A51" s="460"/>
      <c r="B51" s="460"/>
      <c r="C51" s="165">
        <v>0</v>
      </c>
      <c r="D51" s="165">
        <v>0</v>
      </c>
      <c r="E51" s="125">
        <f t="shared" ref="E51:E58" si="10">IF(D$59=0,C51*2,C51+D51)</f>
        <v>0</v>
      </c>
      <c r="F51" s="39" t="s">
        <v>21</v>
      </c>
      <c r="G51" s="39">
        <v>252</v>
      </c>
      <c r="H51" s="321">
        <f>'0664'!H51</f>
        <v>3380</v>
      </c>
      <c r="I51" s="104">
        <f t="shared" ref="I51:I58" si="11">ROUND(E51*H51,2)</f>
        <v>0</v>
      </c>
      <c r="N51" s="504"/>
      <c r="O51" s="504"/>
      <c r="P51" s="506"/>
      <c r="Q51" s="506"/>
      <c r="R51" s="40" t="s">
        <v>21</v>
      </c>
      <c r="S51" s="40">
        <v>252</v>
      </c>
      <c r="T51" s="117">
        <f t="shared" ref="T51:T58" si="12">H51</f>
        <v>3380</v>
      </c>
      <c r="U51" s="118">
        <f t="shared" ref="U51:U58" si="13">ROUND(P51*T51,0)</f>
        <v>0</v>
      </c>
    </row>
    <row r="52" spans="1:21" x14ac:dyDescent="0.25">
      <c r="A52" s="460"/>
      <c r="B52" s="460"/>
      <c r="C52" s="165">
        <v>0</v>
      </c>
      <c r="D52" s="165">
        <v>0</v>
      </c>
      <c r="E52" s="125">
        <f t="shared" si="10"/>
        <v>0</v>
      </c>
      <c r="F52" s="39" t="s">
        <v>21</v>
      </c>
      <c r="G52" s="39">
        <v>253</v>
      </c>
      <c r="H52" s="321">
        <f>'0664'!H52</f>
        <v>6896</v>
      </c>
      <c r="I52" s="104">
        <f t="shared" si="11"/>
        <v>0</v>
      </c>
      <c r="N52" s="504"/>
      <c r="O52" s="504"/>
      <c r="P52" s="506"/>
      <c r="Q52" s="506"/>
      <c r="R52" s="40" t="s">
        <v>21</v>
      </c>
      <c r="S52" s="40">
        <v>253</v>
      </c>
      <c r="T52" s="117">
        <f t="shared" si="12"/>
        <v>6896</v>
      </c>
      <c r="U52" s="118">
        <f t="shared" si="13"/>
        <v>0</v>
      </c>
    </row>
    <row r="53" spans="1:21" x14ac:dyDescent="0.25">
      <c r="A53" s="460"/>
      <c r="B53" s="460"/>
      <c r="C53" s="165">
        <v>0</v>
      </c>
      <c r="D53" s="165">
        <v>0</v>
      </c>
      <c r="E53" s="125">
        <f t="shared" si="10"/>
        <v>0</v>
      </c>
      <c r="F53" s="41" t="s">
        <v>14</v>
      </c>
      <c r="G53" s="39">
        <v>251</v>
      </c>
      <c r="H53" s="321">
        <f>'0664'!H53</f>
        <v>1173</v>
      </c>
      <c r="I53" s="104">
        <f t="shared" si="11"/>
        <v>0</v>
      </c>
      <c r="N53" s="504"/>
      <c r="O53" s="504"/>
      <c r="P53" s="506"/>
      <c r="Q53" s="506"/>
      <c r="R53" s="42" t="s">
        <v>14</v>
      </c>
      <c r="S53" s="40">
        <v>251</v>
      </c>
      <c r="T53" s="117">
        <f t="shared" si="12"/>
        <v>1173</v>
      </c>
      <c r="U53" s="118">
        <f t="shared" si="13"/>
        <v>0</v>
      </c>
    </row>
    <row r="54" spans="1:21" x14ac:dyDescent="0.25">
      <c r="A54" s="460"/>
      <c r="B54" s="460"/>
      <c r="C54" s="165">
        <v>0</v>
      </c>
      <c r="D54" s="165">
        <v>0</v>
      </c>
      <c r="E54" s="125">
        <f t="shared" si="10"/>
        <v>0</v>
      </c>
      <c r="F54" s="41" t="s">
        <v>14</v>
      </c>
      <c r="G54" s="39">
        <v>252</v>
      </c>
      <c r="H54" s="321">
        <f>'0664'!H54</f>
        <v>3506</v>
      </c>
      <c r="I54" s="104">
        <f t="shared" si="11"/>
        <v>0</v>
      </c>
      <c r="N54" s="504"/>
      <c r="O54" s="504"/>
      <c r="P54" s="506"/>
      <c r="Q54" s="506"/>
      <c r="R54" s="42" t="s">
        <v>14</v>
      </c>
      <c r="S54" s="40">
        <v>252</v>
      </c>
      <c r="T54" s="117">
        <f t="shared" si="12"/>
        <v>3506</v>
      </c>
      <c r="U54" s="118">
        <f t="shared" si="13"/>
        <v>0</v>
      </c>
    </row>
    <row r="55" spans="1:21" x14ac:dyDescent="0.25">
      <c r="A55" s="460"/>
      <c r="B55" s="460"/>
      <c r="C55" s="165">
        <v>0</v>
      </c>
      <c r="D55" s="165">
        <v>0</v>
      </c>
      <c r="E55" s="125">
        <f t="shared" si="10"/>
        <v>0</v>
      </c>
      <c r="F55" s="41" t="s">
        <v>14</v>
      </c>
      <c r="G55" s="39">
        <v>253</v>
      </c>
      <c r="H55" s="321">
        <f>'0664'!H55</f>
        <v>7023</v>
      </c>
      <c r="I55" s="104">
        <f t="shared" si="11"/>
        <v>0</v>
      </c>
      <c r="N55" s="504"/>
      <c r="O55" s="504"/>
      <c r="P55" s="506"/>
      <c r="Q55" s="506"/>
      <c r="R55" s="42" t="s">
        <v>14</v>
      </c>
      <c r="S55" s="40">
        <v>253</v>
      </c>
      <c r="T55" s="117">
        <f t="shared" si="12"/>
        <v>7023</v>
      </c>
      <c r="U55" s="118">
        <f t="shared" si="13"/>
        <v>0</v>
      </c>
    </row>
    <row r="56" spans="1:21" x14ac:dyDescent="0.25">
      <c r="A56" s="460"/>
      <c r="B56" s="460"/>
      <c r="C56" s="165">
        <v>106.58</v>
      </c>
      <c r="D56" s="165">
        <v>101.21</v>
      </c>
      <c r="E56" s="125">
        <f t="shared" si="10"/>
        <v>207.79</v>
      </c>
      <c r="F56" s="41" t="s">
        <v>15</v>
      </c>
      <c r="G56" s="39">
        <v>251</v>
      </c>
      <c r="H56" s="321">
        <f>'0664'!H56</f>
        <v>835</v>
      </c>
      <c r="I56" s="104">
        <f t="shared" si="11"/>
        <v>173504.65</v>
      </c>
      <c r="N56" s="504"/>
      <c r="O56" s="504"/>
      <c r="P56" s="506"/>
      <c r="Q56" s="506"/>
      <c r="R56" s="42" t="s">
        <v>15</v>
      </c>
      <c r="S56" s="40">
        <v>251</v>
      </c>
      <c r="T56" s="117">
        <f t="shared" si="12"/>
        <v>835</v>
      </c>
      <c r="U56" s="118">
        <f t="shared" si="13"/>
        <v>0</v>
      </c>
    </row>
    <row r="57" spans="1:21" x14ac:dyDescent="0.25">
      <c r="A57" s="460"/>
      <c r="B57" s="460"/>
      <c r="C57" s="165">
        <v>7</v>
      </c>
      <c r="D57" s="165">
        <v>6.65</v>
      </c>
      <c r="E57" s="125">
        <f t="shared" si="10"/>
        <v>13.65</v>
      </c>
      <c r="F57" s="41" t="s">
        <v>15</v>
      </c>
      <c r="G57" s="39">
        <v>252</v>
      </c>
      <c r="H57" s="321">
        <f>'0664'!H57</f>
        <v>3168</v>
      </c>
      <c r="I57" s="104">
        <f t="shared" si="11"/>
        <v>43243.199999999997</v>
      </c>
      <c r="N57" s="504"/>
      <c r="O57" s="504"/>
      <c r="P57" s="506"/>
      <c r="Q57" s="506"/>
      <c r="R57" s="42" t="s">
        <v>15</v>
      </c>
      <c r="S57" s="40">
        <v>252</v>
      </c>
      <c r="T57" s="117">
        <f t="shared" si="12"/>
        <v>3168</v>
      </c>
      <c r="U57" s="118">
        <f t="shared" si="13"/>
        <v>0</v>
      </c>
    </row>
    <row r="58" spans="1:21" ht="16.5" thickBot="1" x14ac:dyDescent="0.3">
      <c r="A58" s="460"/>
      <c r="B58" s="460"/>
      <c r="C58" s="165">
        <v>0</v>
      </c>
      <c r="D58" s="165">
        <v>0</v>
      </c>
      <c r="E58" s="125">
        <f t="shared" si="10"/>
        <v>0</v>
      </c>
      <c r="F58" s="41" t="s">
        <v>15</v>
      </c>
      <c r="G58" s="39">
        <v>253</v>
      </c>
      <c r="H58" s="321">
        <f>'0664'!H58</f>
        <v>6685</v>
      </c>
      <c r="I58" s="104">
        <f t="shared" si="11"/>
        <v>0</v>
      </c>
      <c r="N58" s="504"/>
      <c r="O58" s="504"/>
      <c r="P58" s="507"/>
      <c r="Q58" s="507"/>
      <c r="R58" s="42" t="s">
        <v>15</v>
      </c>
      <c r="S58" s="40">
        <v>253</v>
      </c>
      <c r="T58" s="117">
        <f t="shared" si="12"/>
        <v>6685</v>
      </c>
      <c r="U58" s="120">
        <f t="shared" si="13"/>
        <v>0</v>
      </c>
    </row>
    <row r="59" spans="1:21" ht="16.5" thickBot="1" x14ac:dyDescent="0.3">
      <c r="A59" s="461" t="s">
        <v>16</v>
      </c>
      <c r="B59" s="461"/>
      <c r="C59" s="100">
        <f>SUM(C50:C58)</f>
        <v>113.58</v>
      </c>
      <c r="D59" s="100">
        <f>SUM(D50:D58)</f>
        <v>107.86</v>
      </c>
      <c r="E59" s="100">
        <f>SUM(E50:E58)</f>
        <v>221.44</v>
      </c>
      <c r="F59" s="461" t="s">
        <v>77</v>
      </c>
      <c r="G59" s="461"/>
      <c r="H59" s="461"/>
      <c r="I59" s="100">
        <f>SUM(I50:I58)</f>
        <v>216747.84999999998</v>
      </c>
      <c r="N59" s="480" t="s">
        <v>16</v>
      </c>
      <c r="O59" s="480"/>
      <c r="P59" s="502">
        <f>SUM(P50:P58)</f>
        <v>0</v>
      </c>
      <c r="Q59" s="502"/>
      <c r="R59" s="480" t="s">
        <v>77</v>
      </c>
      <c r="S59" s="480"/>
      <c r="T59" s="480"/>
      <c r="U59" s="111">
        <f>SUM(U50:U58)</f>
        <v>0</v>
      </c>
    </row>
    <row r="60" spans="1:21" x14ac:dyDescent="0.25">
      <c r="A60" s="462"/>
      <c r="B60" s="462"/>
      <c r="C60" s="462"/>
      <c r="D60" s="462"/>
      <c r="E60" s="462"/>
      <c r="F60" s="462"/>
      <c r="G60" s="462"/>
      <c r="H60" s="462"/>
      <c r="I60" s="462"/>
      <c r="N60" s="484"/>
      <c r="O60" s="484"/>
      <c r="P60" s="484"/>
      <c r="Q60" s="484"/>
      <c r="R60" s="484"/>
      <c r="S60" s="484"/>
      <c r="T60" s="484"/>
      <c r="U60" s="484"/>
    </row>
    <row r="61" spans="1:21" x14ac:dyDescent="0.25">
      <c r="A61" s="463" t="s">
        <v>136</v>
      </c>
      <c r="B61" s="453"/>
      <c r="C61" s="453"/>
      <c r="D61" s="453"/>
      <c r="E61" s="453"/>
      <c r="F61" s="453"/>
      <c r="G61" s="453"/>
      <c r="H61" s="453"/>
      <c r="I61" s="453"/>
      <c r="N61" s="479" t="s">
        <v>88</v>
      </c>
      <c r="O61" s="479"/>
      <c r="P61" s="479"/>
      <c r="Q61" s="479"/>
      <c r="R61" s="479"/>
      <c r="S61" s="479"/>
      <c r="T61" s="479"/>
      <c r="U61" s="479"/>
    </row>
    <row r="62" spans="1:21" x14ac:dyDescent="0.25">
      <c r="A62" s="463" t="s">
        <v>138</v>
      </c>
      <c r="B62" s="453"/>
      <c r="C62" s="121">
        <f>E29</f>
        <v>1122.8200000000002</v>
      </c>
      <c r="D62" s="464" t="s">
        <v>135</v>
      </c>
      <c r="E62" s="464"/>
      <c r="F62" s="464"/>
      <c r="G62" s="464"/>
      <c r="H62" s="335">
        <f>'0664'!H62</f>
        <v>193340.76</v>
      </c>
      <c r="I62" s="122"/>
      <c r="N62" s="478" t="s">
        <v>312</v>
      </c>
      <c r="O62" s="479"/>
      <c r="P62" s="43">
        <f>P29</f>
        <v>0</v>
      </c>
      <c r="Q62" s="498" t="s">
        <v>78</v>
      </c>
      <c r="R62" s="498"/>
      <c r="S62" s="498"/>
      <c r="T62" s="497">
        <f>H62</f>
        <v>193340.76</v>
      </c>
      <c r="U62" s="497"/>
    </row>
    <row r="63" spans="1:21" x14ac:dyDescent="0.25">
      <c r="B63" s="72"/>
      <c r="G63" s="44" t="s">
        <v>13</v>
      </c>
      <c r="H63" s="123">
        <f>ROUND(C62/H62,6)</f>
        <v>5.8069999999999997E-3</v>
      </c>
      <c r="I63" s="124"/>
      <c r="N63" s="479" t="s">
        <v>19</v>
      </c>
      <c r="O63" s="479"/>
      <c r="P63" s="479"/>
      <c r="Q63" s="479"/>
      <c r="R63" s="479"/>
      <c r="S63" s="479"/>
      <c r="T63" s="501">
        <f>ROUND(P62/T62,6)</f>
        <v>0</v>
      </c>
      <c r="U63" s="501"/>
    </row>
    <row r="64" spans="1:21" x14ac:dyDescent="0.25">
      <c r="A64" s="463" t="s">
        <v>137</v>
      </c>
      <c r="B64" s="453"/>
      <c r="C64" s="453"/>
      <c r="D64" s="453"/>
      <c r="E64" s="453"/>
      <c r="F64" s="453"/>
      <c r="G64" s="453"/>
      <c r="H64" s="453"/>
      <c r="I64" s="453"/>
      <c r="N64" s="479" t="s">
        <v>89</v>
      </c>
      <c r="O64" s="479"/>
      <c r="P64" s="479"/>
      <c r="Q64" s="479"/>
      <c r="R64" s="479"/>
      <c r="S64" s="479"/>
      <c r="T64" s="479"/>
      <c r="U64" s="479"/>
    </row>
    <row r="65" spans="1:21" x14ac:dyDescent="0.25">
      <c r="A65" s="463" t="s">
        <v>139</v>
      </c>
      <c r="B65" s="453"/>
      <c r="C65" s="121">
        <f>E45</f>
        <v>1123.2268999999999</v>
      </c>
      <c r="D65" s="464" t="s">
        <v>140</v>
      </c>
      <c r="E65" s="464"/>
      <c r="F65" s="464"/>
      <c r="G65" s="464"/>
      <c r="H65" s="336">
        <f>'0664'!H65</f>
        <v>216845.88</v>
      </c>
      <c r="I65" s="125"/>
      <c r="N65" s="479" t="s">
        <v>80</v>
      </c>
      <c r="O65" s="479"/>
      <c r="P65" s="43">
        <f>R45</f>
        <v>0</v>
      </c>
      <c r="Q65" s="498" t="s">
        <v>79</v>
      </c>
      <c r="R65" s="498"/>
      <c r="S65" s="498"/>
      <c r="T65" s="497">
        <f>H65</f>
        <v>216845.88</v>
      </c>
      <c r="U65" s="497"/>
    </row>
    <row r="66" spans="1:21" s="37" customFormat="1" x14ac:dyDescent="0.25">
      <c r="A66" s="126"/>
      <c r="G66" s="45" t="s">
        <v>13</v>
      </c>
      <c r="H66" s="127">
        <f>ROUND(C65/H65,6)</f>
        <v>5.1799999999999997E-3</v>
      </c>
      <c r="I66" s="127"/>
      <c r="N66" s="482" t="s">
        <v>20</v>
      </c>
      <c r="O66" s="482"/>
      <c r="P66" s="482"/>
      <c r="Q66" s="482"/>
      <c r="R66" s="482"/>
      <c r="S66" s="482"/>
      <c r="T66" s="500">
        <f>ROUND(P65/T65,6)</f>
        <v>0</v>
      </c>
      <c r="U66" s="500"/>
    </row>
    <row r="67" spans="1:21" x14ac:dyDescent="0.25">
      <c r="G67" s="44"/>
      <c r="H67" s="123"/>
      <c r="I67" s="123"/>
      <c r="N67" s="48"/>
      <c r="O67" s="48"/>
      <c r="P67" s="48"/>
      <c r="Q67" s="48"/>
      <c r="R67" s="128"/>
      <c r="S67" s="48"/>
      <c r="T67" s="129"/>
      <c r="U67" s="130"/>
    </row>
    <row r="68" spans="1:21" x14ac:dyDescent="0.25">
      <c r="A68" s="453" t="s">
        <v>85</v>
      </c>
      <c r="B68" s="453"/>
      <c r="C68" s="453"/>
      <c r="D68" s="72"/>
      <c r="E68" s="46" t="s">
        <v>3</v>
      </c>
      <c r="F68" s="337">
        <f>'0664'!F68</f>
        <v>42465042</v>
      </c>
      <c r="G68" s="39" t="s">
        <v>6</v>
      </c>
      <c r="H68" s="131">
        <f>H63</f>
        <v>5.8069999999999997E-3</v>
      </c>
      <c r="I68" s="104">
        <f>ROUND(F68*H68,2)</f>
        <v>246594.5</v>
      </c>
      <c r="N68" s="479" t="s">
        <v>85</v>
      </c>
      <c r="O68" s="479"/>
      <c r="P68" s="479"/>
      <c r="Q68" s="47"/>
      <c r="R68" s="132">
        <f>F68</f>
        <v>42465042</v>
      </c>
      <c r="S68" s="40" t="s">
        <v>6</v>
      </c>
      <c r="T68" s="133">
        <f>T63</f>
        <v>0</v>
      </c>
      <c r="U68" s="99">
        <f>ROUND(R68*T68,0)</f>
        <v>0</v>
      </c>
    </row>
    <row r="69" spans="1:21" x14ac:dyDescent="0.25">
      <c r="A69" s="458" t="s">
        <v>96</v>
      </c>
      <c r="B69" s="453"/>
      <c r="C69" s="453"/>
      <c r="D69" s="72"/>
      <c r="E69" s="46"/>
      <c r="F69" s="136"/>
      <c r="G69" s="39"/>
      <c r="H69" s="131"/>
      <c r="I69" s="104"/>
      <c r="N69" s="479" t="s">
        <v>84</v>
      </c>
      <c r="O69" s="479"/>
      <c r="P69" s="479"/>
      <c r="Q69" s="54"/>
      <c r="R69" s="54"/>
      <c r="S69" s="54"/>
      <c r="T69" s="54"/>
      <c r="U69" s="54"/>
    </row>
    <row r="70" spans="1:21" x14ac:dyDescent="0.25">
      <c r="A70" s="465" t="s">
        <v>141</v>
      </c>
      <c r="B70" s="453"/>
      <c r="C70" s="453"/>
      <c r="D70" s="72"/>
      <c r="E70" s="46" t="s">
        <v>3</v>
      </c>
      <c r="F70" s="337">
        <f>'0664'!F70</f>
        <v>0</v>
      </c>
      <c r="G70" s="39" t="s">
        <v>6</v>
      </c>
      <c r="H70" s="131">
        <f>H63</f>
        <v>5.8069999999999997E-3</v>
      </c>
      <c r="I70" s="104">
        <f>ROUND(F70*H70,2)</f>
        <v>0</v>
      </c>
      <c r="N70" s="48"/>
      <c r="O70" s="48"/>
      <c r="P70" s="48"/>
      <c r="Q70" s="47"/>
      <c r="R70" s="132">
        <f>F70</f>
        <v>0</v>
      </c>
      <c r="S70" s="40" t="s">
        <v>6</v>
      </c>
      <c r="T70" s="133">
        <f>T63</f>
        <v>0</v>
      </c>
      <c r="U70" s="99">
        <f>ROUND(R70*T70,0)</f>
        <v>0</v>
      </c>
    </row>
    <row r="71" spans="1:21" x14ac:dyDescent="0.25">
      <c r="A71" s="463" t="s">
        <v>433</v>
      </c>
      <c r="B71" s="453"/>
      <c r="C71" s="453"/>
      <c r="D71" s="72"/>
      <c r="E71" s="46" t="s">
        <v>3</v>
      </c>
      <c r="F71" s="337">
        <f>'0664'!F71</f>
        <v>13414654</v>
      </c>
      <c r="G71" s="39" t="s">
        <v>6</v>
      </c>
      <c r="H71" s="131">
        <f>H63</f>
        <v>5.8069999999999997E-3</v>
      </c>
      <c r="I71" s="104">
        <f>ROUND(F71*H71,2)</f>
        <v>77898.899999999994</v>
      </c>
      <c r="N71" s="479" t="s">
        <v>83</v>
      </c>
      <c r="O71" s="479"/>
      <c r="P71" s="479"/>
      <c r="Q71" s="47"/>
      <c r="R71" s="132">
        <f>F71</f>
        <v>13414654</v>
      </c>
      <c r="S71" s="40" t="s">
        <v>6</v>
      </c>
      <c r="T71" s="133">
        <f>T63</f>
        <v>0</v>
      </c>
      <c r="U71" s="99">
        <f>ROUND(R71*T71,0)</f>
        <v>0</v>
      </c>
    </row>
    <row r="72" spans="1:21" x14ac:dyDescent="0.25">
      <c r="A72" s="463" t="s">
        <v>434</v>
      </c>
      <c r="B72" s="453"/>
      <c r="C72" s="453"/>
      <c r="D72" s="72"/>
      <c r="E72" s="46" t="s">
        <v>3</v>
      </c>
      <c r="F72" s="337">
        <f>'0664'!F72</f>
        <v>14708421</v>
      </c>
      <c r="G72" s="39" t="s">
        <v>6</v>
      </c>
      <c r="H72" s="131">
        <f>H63</f>
        <v>5.8069999999999997E-3</v>
      </c>
      <c r="I72" s="104">
        <f>ROUND(F72*H72,2)</f>
        <v>85411.8</v>
      </c>
      <c r="N72" s="479" t="s">
        <v>82</v>
      </c>
      <c r="O72" s="479"/>
      <c r="P72" s="479"/>
      <c r="Q72" s="47"/>
      <c r="R72" s="134">
        <f>F72</f>
        <v>14708421</v>
      </c>
      <c r="S72" s="40" t="s">
        <v>6</v>
      </c>
      <c r="T72" s="133">
        <f>T63</f>
        <v>0</v>
      </c>
      <c r="U72" s="99">
        <f>ROUND(R72*T72,0)</f>
        <v>0</v>
      </c>
    </row>
    <row r="73" spans="1:21" x14ac:dyDescent="0.25">
      <c r="A73" s="263" t="s">
        <v>99</v>
      </c>
      <c r="D73" s="72"/>
      <c r="E73" s="41" t="s">
        <v>353</v>
      </c>
      <c r="F73" s="466"/>
      <c r="G73" s="466"/>
      <c r="H73" s="466"/>
      <c r="I73" s="104">
        <v>0</v>
      </c>
      <c r="N73" s="499" t="s">
        <v>118</v>
      </c>
      <c r="O73" s="499"/>
      <c r="P73" s="499"/>
      <c r="Q73" s="499"/>
      <c r="R73" s="499"/>
      <c r="S73" s="499"/>
      <c r="T73" s="499"/>
      <c r="U73" s="99">
        <f>IF($H$120=1,I73,0)</f>
        <v>0</v>
      </c>
    </row>
    <row r="74" spans="1:21" x14ac:dyDescent="0.25">
      <c r="A74" s="264" t="s">
        <v>142</v>
      </c>
      <c r="I74" s="104"/>
      <c r="N74" s="499" t="s">
        <v>43</v>
      </c>
      <c r="O74" s="499"/>
      <c r="P74" s="499"/>
      <c r="Q74" s="499"/>
      <c r="R74" s="499"/>
      <c r="S74" s="499"/>
      <c r="T74" s="499"/>
      <c r="U74" s="99">
        <f>IF($H$120=1,I74,0)</f>
        <v>0</v>
      </c>
    </row>
    <row r="75" spans="1:21" x14ac:dyDescent="0.25">
      <c r="A75" s="324" t="s">
        <v>101</v>
      </c>
      <c r="B75" s="72"/>
      <c r="C75" s="72"/>
      <c r="D75" s="72"/>
      <c r="E75" s="72"/>
      <c r="F75" s="72"/>
      <c r="G75" s="72"/>
      <c r="H75" s="72"/>
      <c r="I75" s="135"/>
      <c r="N75" s="382" t="s">
        <v>44</v>
      </c>
      <c r="O75" s="48"/>
      <c r="P75" s="48"/>
      <c r="Q75" s="48"/>
      <c r="R75" s="48"/>
      <c r="S75" s="48"/>
      <c r="T75" s="48"/>
      <c r="U75" s="106"/>
    </row>
    <row r="76" spans="1:21" x14ac:dyDescent="0.25">
      <c r="A76" s="463" t="s">
        <v>435</v>
      </c>
      <c r="B76" s="453"/>
      <c r="C76" s="453"/>
      <c r="D76" s="72"/>
      <c r="E76" s="46" t="s">
        <v>3</v>
      </c>
      <c r="F76" s="337">
        <f>'0664'!F76</f>
        <v>8720092</v>
      </c>
      <c r="G76" s="39" t="s">
        <v>6</v>
      </c>
      <c r="H76" s="131">
        <f>H63</f>
        <v>5.8069999999999997E-3</v>
      </c>
      <c r="I76" s="104">
        <f t="shared" ref="I76:I85" si="14">ROUND(F76*H76,2)</f>
        <v>50637.57</v>
      </c>
      <c r="N76" s="478" t="s">
        <v>366</v>
      </c>
      <c r="O76" s="479"/>
      <c r="P76" s="479"/>
      <c r="Q76" s="47"/>
      <c r="R76" s="134">
        <f t="shared" ref="R76:R85" si="15">F76</f>
        <v>8720092</v>
      </c>
      <c r="S76" s="40" t="s">
        <v>6</v>
      </c>
      <c r="T76" s="133">
        <f>T63</f>
        <v>0</v>
      </c>
      <c r="U76" s="99">
        <f t="shared" ref="U76:U85" si="16">ROUND(R76*T76,0)</f>
        <v>0</v>
      </c>
    </row>
    <row r="77" spans="1:21" x14ac:dyDescent="0.25">
      <c r="A77" s="463" t="s">
        <v>436</v>
      </c>
      <c r="B77" s="453"/>
      <c r="C77" s="453"/>
      <c r="D77" s="72"/>
      <c r="E77" s="46" t="s">
        <v>3</v>
      </c>
      <c r="F77" s="337">
        <f>'0664'!F77</f>
        <v>0</v>
      </c>
      <c r="G77" s="39" t="s">
        <v>6</v>
      </c>
      <c r="H77" s="131">
        <f>H63</f>
        <v>5.8069999999999997E-3</v>
      </c>
      <c r="I77" s="104">
        <f t="shared" si="14"/>
        <v>0</v>
      </c>
      <c r="N77" s="479" t="s">
        <v>367</v>
      </c>
      <c r="O77" s="479"/>
      <c r="P77" s="479"/>
      <c r="Q77" s="47"/>
      <c r="R77" s="134">
        <f t="shared" si="15"/>
        <v>0</v>
      </c>
      <c r="S77" s="40" t="s">
        <v>6</v>
      </c>
      <c r="T77" s="133">
        <f>T63</f>
        <v>0</v>
      </c>
      <c r="U77" s="99">
        <f t="shared" si="16"/>
        <v>0</v>
      </c>
    </row>
    <row r="78" spans="1:21" x14ac:dyDescent="0.25">
      <c r="A78" s="463" t="s">
        <v>437</v>
      </c>
      <c r="B78" s="453"/>
      <c r="C78" s="453"/>
      <c r="D78" s="72"/>
      <c r="E78" s="46" t="s">
        <v>4</v>
      </c>
      <c r="F78" s="337">
        <f>'0664'!F78</f>
        <v>0</v>
      </c>
      <c r="G78" s="39" t="s">
        <v>6</v>
      </c>
      <c r="H78" s="131">
        <f>H66</f>
        <v>5.1799999999999997E-3</v>
      </c>
      <c r="I78" s="104">
        <f t="shared" si="14"/>
        <v>0</v>
      </c>
      <c r="N78" s="478" t="s">
        <v>392</v>
      </c>
      <c r="O78" s="479"/>
      <c r="P78" s="479"/>
      <c r="Q78" s="47"/>
      <c r="R78" s="134">
        <f t="shared" si="15"/>
        <v>0</v>
      </c>
      <c r="S78" s="40" t="s">
        <v>6</v>
      </c>
      <c r="T78" s="133">
        <f>T66</f>
        <v>0</v>
      </c>
      <c r="U78" s="99">
        <f t="shared" si="16"/>
        <v>0</v>
      </c>
    </row>
    <row r="79" spans="1:21" x14ac:dyDescent="0.25">
      <c r="A79" s="463" t="s">
        <v>438</v>
      </c>
      <c r="B79" s="453"/>
      <c r="C79" s="453"/>
      <c r="D79" s="72"/>
      <c r="E79" s="46" t="s">
        <v>4</v>
      </c>
      <c r="F79" s="337">
        <f>'0664'!F79</f>
        <v>11278687</v>
      </c>
      <c r="G79" s="39" t="s">
        <v>6</v>
      </c>
      <c r="H79" s="131">
        <f>H66</f>
        <v>5.1799999999999997E-3</v>
      </c>
      <c r="I79" s="104">
        <f t="shared" si="14"/>
        <v>58423.6</v>
      </c>
      <c r="N79" s="478" t="s">
        <v>393</v>
      </c>
      <c r="O79" s="479"/>
      <c r="P79" s="479"/>
      <c r="Q79" s="47"/>
      <c r="R79" s="134">
        <f t="shared" si="15"/>
        <v>11278687</v>
      </c>
      <c r="S79" s="40" t="s">
        <v>6</v>
      </c>
      <c r="T79" s="133">
        <f>T66</f>
        <v>0</v>
      </c>
      <c r="U79" s="99">
        <f t="shared" si="16"/>
        <v>0</v>
      </c>
    </row>
    <row r="80" spans="1:21" x14ac:dyDescent="0.25">
      <c r="A80" s="463" t="s">
        <v>439</v>
      </c>
      <c r="B80" s="453"/>
      <c r="C80" s="453"/>
      <c r="D80" s="72"/>
      <c r="E80" s="46" t="s">
        <v>4</v>
      </c>
      <c r="F80" s="337">
        <f>'0664'!F80</f>
        <v>206284749</v>
      </c>
      <c r="G80" s="39" t="s">
        <v>6</v>
      </c>
      <c r="H80" s="131">
        <f>H66</f>
        <v>5.1799999999999997E-3</v>
      </c>
      <c r="I80" s="104">
        <f t="shared" si="14"/>
        <v>1068555</v>
      </c>
      <c r="N80" s="478" t="s">
        <v>397</v>
      </c>
      <c r="O80" s="479"/>
      <c r="P80" s="479"/>
      <c r="Q80" s="47"/>
      <c r="R80" s="134">
        <f t="shared" si="15"/>
        <v>206284749</v>
      </c>
      <c r="S80" s="40" t="s">
        <v>6</v>
      </c>
      <c r="T80" s="133">
        <f>T66</f>
        <v>0</v>
      </c>
      <c r="U80" s="99">
        <f t="shared" si="16"/>
        <v>0</v>
      </c>
    </row>
    <row r="81" spans="1:21" x14ac:dyDescent="0.25">
      <c r="A81" s="84" t="s">
        <v>440</v>
      </c>
      <c r="B81" s="72"/>
      <c r="C81" s="72"/>
      <c r="D81" s="72"/>
      <c r="E81" s="46"/>
      <c r="F81" s="337"/>
      <c r="G81" s="39"/>
      <c r="H81" s="131"/>
      <c r="I81" s="104"/>
      <c r="N81" s="419" t="s">
        <v>440</v>
      </c>
      <c r="O81" s="48"/>
      <c r="P81" s="48"/>
      <c r="Q81" s="47"/>
      <c r="R81" s="423"/>
      <c r="S81" s="40"/>
      <c r="T81" s="133"/>
      <c r="U81" s="120"/>
    </row>
    <row r="82" spans="1:21" x14ac:dyDescent="0.25">
      <c r="A82" s="264" t="s">
        <v>441</v>
      </c>
      <c r="B82" s="72"/>
      <c r="C82" s="72"/>
      <c r="D82" s="72"/>
      <c r="E82" s="46" t="s">
        <v>442</v>
      </c>
      <c r="F82" s="337">
        <f>'0664'!F82</f>
        <v>0</v>
      </c>
      <c r="G82" s="39" t="s">
        <v>6</v>
      </c>
      <c r="H82" s="131">
        <f>H66</f>
        <v>5.1799999999999997E-3</v>
      </c>
      <c r="I82" s="104">
        <v>198064.72</v>
      </c>
      <c r="N82" s="422" t="s">
        <v>441</v>
      </c>
      <c r="O82" s="48"/>
      <c r="P82" s="48"/>
      <c r="Q82" s="47"/>
      <c r="R82" s="134">
        <f t="shared" si="15"/>
        <v>0</v>
      </c>
      <c r="S82" s="40"/>
      <c r="T82" s="133"/>
      <c r="U82" s="99">
        <f t="shared" si="16"/>
        <v>0</v>
      </c>
    </row>
    <row r="83" spans="1:21" x14ac:dyDescent="0.25">
      <c r="A83" s="264" t="s">
        <v>443</v>
      </c>
      <c r="B83" s="72"/>
      <c r="C83" s="72"/>
      <c r="D83" s="72"/>
      <c r="E83" s="46" t="s">
        <v>442</v>
      </c>
      <c r="F83" s="337">
        <f>'0664'!F83</f>
        <v>0</v>
      </c>
      <c r="G83" s="39" t="s">
        <v>6</v>
      </c>
      <c r="H83" s="131">
        <f>H66</f>
        <v>5.1799999999999997E-3</v>
      </c>
      <c r="I83" s="104">
        <v>90029.42</v>
      </c>
      <c r="N83" s="422" t="s">
        <v>443</v>
      </c>
      <c r="O83" s="48"/>
      <c r="P83" s="48"/>
      <c r="Q83" s="47"/>
      <c r="R83" s="134">
        <f t="shared" si="15"/>
        <v>0</v>
      </c>
      <c r="S83" s="40"/>
      <c r="T83" s="133"/>
      <c r="U83" s="99">
        <f t="shared" si="16"/>
        <v>0</v>
      </c>
    </row>
    <row r="84" spans="1:21" x14ac:dyDescent="0.25">
      <c r="A84" s="420" t="s">
        <v>444</v>
      </c>
      <c r="B84" s="72"/>
      <c r="C84" s="72"/>
      <c r="D84" s="72"/>
      <c r="E84" s="46"/>
      <c r="F84" s="337"/>
      <c r="G84" s="39"/>
      <c r="H84" s="131"/>
      <c r="I84" s="104">
        <f>I82+I83</f>
        <v>288094.14</v>
      </c>
      <c r="N84" s="421" t="s">
        <v>444</v>
      </c>
      <c r="O84" s="48"/>
      <c r="P84" s="48"/>
      <c r="Q84" s="47"/>
      <c r="R84" s="423"/>
      <c r="S84" s="40"/>
      <c r="T84" s="133"/>
      <c r="U84" s="99">
        <f>U82+U83</f>
        <v>0</v>
      </c>
    </row>
    <row r="85" spans="1:21" x14ac:dyDescent="0.25">
      <c r="A85" s="463" t="s">
        <v>398</v>
      </c>
      <c r="B85" s="453"/>
      <c r="C85" s="453"/>
      <c r="D85" s="72"/>
      <c r="E85" s="46" t="s">
        <v>4</v>
      </c>
      <c r="F85" s="337">
        <f>'0664'!F85</f>
        <v>0</v>
      </c>
      <c r="G85" s="39" t="s">
        <v>6</v>
      </c>
      <c r="H85" s="131">
        <f>H66</f>
        <v>5.1799999999999997E-3</v>
      </c>
      <c r="I85" s="104">
        <f t="shared" si="14"/>
        <v>0</v>
      </c>
      <c r="N85" s="478" t="s">
        <v>398</v>
      </c>
      <c r="O85" s="479"/>
      <c r="P85" s="479"/>
      <c r="Q85" s="47"/>
      <c r="R85" s="132">
        <f t="shared" si="15"/>
        <v>0</v>
      </c>
      <c r="S85" s="40" t="s">
        <v>6</v>
      </c>
      <c r="T85" s="133">
        <f>T66</f>
        <v>0</v>
      </c>
      <c r="U85" s="99">
        <f t="shared" si="16"/>
        <v>0</v>
      </c>
    </row>
    <row r="86" spans="1:21" x14ac:dyDescent="0.25">
      <c r="B86" s="72"/>
      <c r="C86" s="72"/>
      <c r="D86" s="72"/>
      <c r="E86" s="46"/>
      <c r="F86" s="136"/>
      <c r="G86" s="39"/>
      <c r="H86" s="131"/>
      <c r="I86" s="104"/>
      <c r="N86" s="48"/>
      <c r="O86" s="48"/>
      <c r="P86" s="48"/>
      <c r="Q86" s="47"/>
      <c r="R86" s="137"/>
      <c r="S86" s="40"/>
      <c r="T86" s="133"/>
      <c r="U86" s="106"/>
    </row>
    <row r="87" spans="1:21" x14ac:dyDescent="0.25">
      <c r="A87" s="463" t="s">
        <v>445</v>
      </c>
      <c r="B87" s="453"/>
      <c r="C87" s="453"/>
      <c r="D87" s="453"/>
      <c r="E87" s="453"/>
      <c r="F87" s="453"/>
      <c r="G87" s="453"/>
      <c r="H87" s="453"/>
      <c r="I87" s="453"/>
      <c r="N87" s="478" t="s">
        <v>429</v>
      </c>
      <c r="O87" s="479"/>
      <c r="P87" s="479"/>
      <c r="Q87" s="479"/>
      <c r="R87" s="479"/>
      <c r="S87" s="479"/>
      <c r="T87" s="479"/>
      <c r="U87" s="479"/>
    </row>
    <row r="88" spans="1:21" x14ac:dyDescent="0.25">
      <c r="B88" s="72"/>
      <c r="C88" s="466" t="s">
        <v>73</v>
      </c>
      <c r="D88" s="466"/>
      <c r="E88" s="72"/>
      <c r="F88" s="41" t="s">
        <v>37</v>
      </c>
      <c r="G88" s="72"/>
      <c r="H88" s="72"/>
      <c r="I88" s="72"/>
      <c r="N88" s="48"/>
      <c r="O88" s="48"/>
      <c r="P88" s="48"/>
      <c r="Q88" s="48"/>
      <c r="R88" s="48"/>
      <c r="S88" s="48"/>
      <c r="T88" s="48"/>
      <c r="U88" s="48"/>
    </row>
    <row r="89" spans="1:21" x14ac:dyDescent="0.25">
      <c r="A89" s="3"/>
      <c r="B89" s="138"/>
      <c r="C89" s="462" t="s">
        <v>144</v>
      </c>
      <c r="D89" s="462"/>
      <c r="E89" s="139" t="s">
        <v>150</v>
      </c>
      <c r="F89" s="140" t="s">
        <v>149</v>
      </c>
      <c r="G89" s="141"/>
      <c r="H89" s="141"/>
      <c r="I89" s="141"/>
      <c r="N89" s="495" t="s">
        <v>46</v>
      </c>
      <c r="O89" s="495"/>
      <c r="P89" s="496" t="s">
        <v>119</v>
      </c>
      <c r="Q89" s="496"/>
      <c r="R89" s="497" t="s">
        <v>40</v>
      </c>
      <c r="S89" s="497"/>
      <c r="T89" s="497"/>
      <c r="U89" s="497"/>
    </row>
    <row r="90" spans="1:21" x14ac:dyDescent="0.25">
      <c r="A90" s="27"/>
      <c r="B90" s="55" t="s">
        <v>148</v>
      </c>
      <c r="C90" s="467">
        <f>H13+H14+H19+H22+H25</f>
        <v>0</v>
      </c>
      <c r="D90" s="467"/>
      <c r="E90" s="49">
        <f>H8</f>
        <v>1.0438000000000001</v>
      </c>
      <c r="F90" s="338">
        <f>'0664'!F90</f>
        <v>957.94</v>
      </c>
      <c r="G90" s="41" t="s">
        <v>13</v>
      </c>
      <c r="H90" s="104">
        <f>ROUND(C90*E90*F90,2)</f>
        <v>0</v>
      </c>
      <c r="I90" s="107"/>
      <c r="N90" s="29" t="s">
        <v>22</v>
      </c>
      <c r="O90" s="50">
        <f>T13+T14+T19+T22+T25</f>
        <v>0</v>
      </c>
      <c r="P90" s="490">
        <f>T8</f>
        <v>1.0438000000000001</v>
      </c>
      <c r="Q90" s="490"/>
      <c r="R90" s="51">
        <f>F90</f>
        <v>957.94</v>
      </c>
      <c r="S90" s="42" t="s">
        <v>13</v>
      </c>
      <c r="T90" s="134">
        <f>ROUND(O90*P90*R90,0)</f>
        <v>0</v>
      </c>
      <c r="U90" s="105"/>
    </row>
    <row r="91" spans="1:21" x14ac:dyDescent="0.25">
      <c r="A91" s="52"/>
      <c r="B91" s="52" t="s">
        <v>147</v>
      </c>
      <c r="C91" s="467">
        <f>H15+H16+H20+H23+H26</f>
        <v>0</v>
      </c>
      <c r="D91" s="467"/>
      <c r="E91" s="49">
        <f>H8</f>
        <v>1.0438000000000001</v>
      </c>
      <c r="F91" s="338">
        <f>'0664'!F91</f>
        <v>914.63</v>
      </c>
      <c r="G91" s="41" t="s">
        <v>13</v>
      </c>
      <c r="H91" s="104">
        <f>ROUND(C91*E91*F91,2)</f>
        <v>0</v>
      </c>
      <c r="N91" s="53" t="s">
        <v>14</v>
      </c>
      <c r="O91" s="50">
        <f>T15+T16+T20+T23+T26</f>
        <v>0</v>
      </c>
      <c r="P91" s="490">
        <f>T8</f>
        <v>1.0438000000000001</v>
      </c>
      <c r="Q91" s="490"/>
      <c r="R91" s="51">
        <f>F91</f>
        <v>914.63</v>
      </c>
      <c r="S91" s="42" t="s">
        <v>13</v>
      </c>
      <c r="T91" s="134">
        <f>ROUND(O91*P91*R91,0)</f>
        <v>0</v>
      </c>
      <c r="U91" s="54"/>
    </row>
    <row r="92" spans="1:21" ht="16.5" thickBot="1" x14ac:dyDescent="0.3">
      <c r="A92" s="55"/>
      <c r="B92" s="55" t="s">
        <v>146</v>
      </c>
      <c r="C92" s="467">
        <f>H17+H18+H21+H24+H27+H28</f>
        <v>1123.2268999999999</v>
      </c>
      <c r="D92" s="467"/>
      <c r="E92" s="49">
        <f>H8</f>
        <v>1.0438000000000001</v>
      </c>
      <c r="F92" s="338">
        <f>'0664'!F92</f>
        <v>916.84</v>
      </c>
      <c r="G92" s="41" t="s">
        <v>13</v>
      </c>
      <c r="H92" s="97">
        <f>ROUND(C92*E92*F92,2)</f>
        <v>1074925.44</v>
      </c>
      <c r="N92" s="56" t="s">
        <v>15</v>
      </c>
      <c r="O92" s="57">
        <f>T17+T18+T21+T24+T27+T28</f>
        <v>0</v>
      </c>
      <c r="P92" s="490">
        <f>T8</f>
        <v>1.0438000000000001</v>
      </c>
      <c r="Q92" s="490"/>
      <c r="R92" s="51">
        <f>F92</f>
        <v>916.84</v>
      </c>
      <c r="S92" s="42" t="s">
        <v>13</v>
      </c>
      <c r="T92" s="134">
        <f>ROUND(O92*P92*R92,0)</f>
        <v>0</v>
      </c>
      <c r="U92" s="54"/>
    </row>
    <row r="93" spans="1:21" ht="16.5" thickBot="1" x14ac:dyDescent="0.3">
      <c r="A93" s="58"/>
      <c r="B93" s="142" t="s">
        <v>145</v>
      </c>
      <c r="C93" s="469">
        <f>SUM(C90:C92)</f>
        <v>1123.2268999999999</v>
      </c>
      <c r="D93" s="469"/>
      <c r="E93" s="143"/>
      <c r="F93" s="143"/>
      <c r="G93" s="143"/>
      <c r="H93" s="144" t="s">
        <v>143</v>
      </c>
      <c r="I93" s="104">
        <f>IF(A1=75,0,H92+H91+H90)</f>
        <v>1074925.44</v>
      </c>
      <c r="N93" s="59" t="s">
        <v>120</v>
      </c>
      <c r="O93" s="60">
        <f>SUM(O90:O92)</f>
        <v>0</v>
      </c>
      <c r="P93" s="491" t="s">
        <v>18</v>
      </c>
      <c r="Q93" s="492"/>
      <c r="R93" s="492"/>
      <c r="S93" s="492"/>
      <c r="T93" s="492"/>
      <c r="U93" s="99">
        <f>IF(N1=75,0,T92+T91+T90)</f>
        <v>0</v>
      </c>
    </row>
    <row r="94" spans="1:21" ht="16.5" thickTop="1" x14ac:dyDescent="0.25">
      <c r="A94" s="540" t="s">
        <v>90</v>
      </c>
      <c r="B94" s="540"/>
      <c r="C94" s="540"/>
      <c r="D94" s="540"/>
      <c r="E94" s="540"/>
      <c r="F94" s="540"/>
      <c r="G94" s="540"/>
      <c r="H94" s="540"/>
      <c r="I94" s="540"/>
      <c r="N94" s="493" t="s">
        <v>90</v>
      </c>
      <c r="O94" s="493"/>
      <c r="P94" s="493"/>
      <c r="Q94" s="493"/>
      <c r="R94" s="493"/>
      <c r="S94" s="493"/>
      <c r="T94" s="493"/>
      <c r="U94" s="493"/>
    </row>
    <row r="95" spans="1:21" x14ac:dyDescent="0.25">
      <c r="A95" s="145"/>
      <c r="B95" s="145"/>
      <c r="C95" s="145"/>
      <c r="D95" s="145"/>
      <c r="E95" s="145"/>
      <c r="F95" s="145"/>
      <c r="G95" s="145"/>
      <c r="H95" s="145"/>
      <c r="I95" s="145"/>
      <c r="N95" s="146"/>
      <c r="O95" s="146"/>
      <c r="P95" s="146"/>
      <c r="Q95" s="146"/>
      <c r="R95" s="146"/>
      <c r="S95" s="146"/>
      <c r="T95" s="146"/>
      <c r="U95" s="146"/>
    </row>
    <row r="96" spans="1:21" x14ac:dyDescent="0.25">
      <c r="A96" s="84" t="s">
        <v>446</v>
      </c>
      <c r="C96" s="8"/>
      <c r="D96" s="8"/>
      <c r="E96" s="46" t="s">
        <v>100</v>
      </c>
      <c r="F96" s="471"/>
      <c r="G96" s="471"/>
      <c r="H96" s="471"/>
      <c r="I96" s="471"/>
      <c r="N96" s="478" t="s">
        <v>426</v>
      </c>
      <c r="O96" s="479"/>
      <c r="P96" s="479"/>
      <c r="Q96" s="494"/>
      <c r="R96" s="494"/>
      <c r="S96" s="494"/>
      <c r="T96" s="494"/>
      <c r="U96" s="106"/>
    </row>
    <row r="97" spans="1:21" x14ac:dyDescent="0.25">
      <c r="B97" s="72"/>
      <c r="C97" s="91" t="s">
        <v>409</v>
      </c>
      <c r="D97" s="371" t="s">
        <v>410</v>
      </c>
      <c r="E97" s="92" t="s">
        <v>151</v>
      </c>
      <c r="F97" s="46"/>
      <c r="G97" s="46"/>
      <c r="H97" s="46"/>
      <c r="I97" s="46"/>
      <c r="N97" s="48"/>
      <c r="O97" s="48"/>
      <c r="P97" s="48"/>
      <c r="Q97" s="147"/>
      <c r="R97" s="147"/>
      <c r="S97" s="147"/>
      <c r="T97" s="147"/>
      <c r="U97" s="106"/>
    </row>
    <row r="98" spans="1:21" x14ac:dyDescent="0.25">
      <c r="B98" s="72"/>
      <c r="C98" s="362" t="s">
        <v>2</v>
      </c>
      <c r="D98" s="362" t="s">
        <v>2</v>
      </c>
      <c r="E98" s="362" t="s">
        <v>2</v>
      </c>
      <c r="F98" s="46"/>
      <c r="G98" s="46"/>
      <c r="H98" s="46"/>
      <c r="I98" s="46"/>
      <c r="N98" s="48"/>
      <c r="O98" s="48"/>
      <c r="P98" s="48"/>
      <c r="Q98" s="147"/>
      <c r="R98" s="147"/>
      <c r="S98" s="147"/>
      <c r="T98" s="147"/>
      <c r="U98" s="106"/>
    </row>
    <row r="99" spans="1:21" x14ac:dyDescent="0.25">
      <c r="A99" s="536" t="s">
        <v>470</v>
      </c>
      <c r="B99" s="461"/>
      <c r="C99" s="165">
        <v>656</v>
      </c>
      <c r="D99" s="165">
        <v>0</v>
      </c>
      <c r="E99" s="125">
        <f>C99</f>
        <v>656</v>
      </c>
      <c r="F99" s="148" t="s">
        <v>39</v>
      </c>
      <c r="G99" s="339">
        <f>'0664'!G99</f>
        <v>558</v>
      </c>
      <c r="I99" s="104">
        <f>ROUND(G99*E99,2)</f>
        <v>366048</v>
      </c>
      <c r="N99" s="488" t="s">
        <v>65</v>
      </c>
      <c r="O99" s="488"/>
      <c r="P99" s="489">
        <f>IF(H120=1,E99,0)</f>
        <v>0</v>
      </c>
      <c r="Q99" s="489"/>
      <c r="R99" s="489"/>
      <c r="S99" s="86" t="s">
        <v>39</v>
      </c>
      <c r="T99" s="61">
        <f>G99</f>
        <v>558</v>
      </c>
      <c r="U99" s="99">
        <f>ROUND(T99*P99,0)</f>
        <v>0</v>
      </c>
    </row>
    <row r="100" spans="1:21" x14ac:dyDescent="0.25">
      <c r="A100" s="536" t="s">
        <v>471</v>
      </c>
      <c r="B100" s="461"/>
      <c r="C100" s="165">
        <v>0</v>
      </c>
      <c r="D100" s="165">
        <v>0</v>
      </c>
      <c r="E100" s="125">
        <f>C100</f>
        <v>0</v>
      </c>
      <c r="F100" s="148" t="s">
        <v>39</v>
      </c>
      <c r="G100" s="339">
        <f>'0664'!G100</f>
        <v>1707</v>
      </c>
      <c r="I100" s="104">
        <f>ROUND(G100*E100,2)</f>
        <v>0</v>
      </c>
      <c r="N100" s="488" t="s">
        <v>81</v>
      </c>
      <c r="O100" s="488"/>
      <c r="P100" s="483"/>
      <c r="Q100" s="483"/>
      <c r="R100" s="483"/>
      <c r="S100" s="86" t="s">
        <v>39</v>
      </c>
      <c r="T100" s="61">
        <f>G100</f>
        <v>1707</v>
      </c>
      <c r="U100" s="99">
        <f>ROUND(T100*P100,0)</f>
        <v>0</v>
      </c>
    </row>
    <row r="101" spans="1:21" x14ac:dyDescent="0.25">
      <c r="A101" s="149"/>
      <c r="B101" s="149"/>
      <c r="C101" s="68"/>
      <c r="D101" s="68"/>
      <c r="E101" s="68"/>
      <c r="F101" s="68"/>
      <c r="G101" s="150"/>
      <c r="H101" s="151"/>
      <c r="I101" s="104"/>
      <c r="N101" s="152"/>
      <c r="O101" s="152"/>
      <c r="P101" s="153"/>
      <c r="Q101" s="153"/>
      <c r="R101" s="153"/>
      <c r="S101" s="86"/>
      <c r="T101" s="61"/>
      <c r="U101" s="106"/>
    </row>
    <row r="102" spans="1:21" x14ac:dyDescent="0.25">
      <c r="A102" s="149"/>
      <c r="B102" s="149"/>
      <c r="C102" s="68"/>
      <c r="D102" s="68"/>
      <c r="E102" s="68"/>
      <c r="F102" s="68"/>
      <c r="G102" s="150"/>
      <c r="H102" s="151"/>
      <c r="I102" s="104"/>
      <c r="N102" s="152"/>
      <c r="O102" s="152"/>
      <c r="P102" s="153"/>
      <c r="Q102" s="153"/>
      <c r="R102" s="153"/>
      <c r="S102" s="86"/>
      <c r="T102" s="61"/>
      <c r="U102" s="106"/>
    </row>
    <row r="103" spans="1:21" hidden="1" x14ac:dyDescent="0.25">
      <c r="A103" s="463" t="s">
        <v>447</v>
      </c>
      <c r="B103" s="453"/>
      <c r="C103" s="453"/>
      <c r="D103" s="72"/>
      <c r="E103" s="41" t="s">
        <v>41</v>
      </c>
      <c r="F103" s="466"/>
      <c r="G103" s="466"/>
      <c r="H103" s="466"/>
      <c r="I103" s="466"/>
      <c r="N103" s="478" t="s">
        <v>362</v>
      </c>
      <c r="O103" s="479"/>
      <c r="P103" s="479"/>
      <c r="Q103" s="479"/>
      <c r="R103" s="479"/>
      <c r="S103" s="479"/>
      <c r="T103" s="479"/>
      <c r="U103" s="479"/>
    </row>
    <row r="104" spans="1:21" hidden="1" x14ac:dyDescent="0.25">
      <c r="B104" s="72"/>
      <c r="C104" s="462" t="s">
        <v>91</v>
      </c>
      <c r="D104" s="462"/>
      <c r="E104" s="462"/>
      <c r="F104" s="39"/>
      <c r="G104" s="39"/>
      <c r="H104" s="41" t="s">
        <v>152</v>
      </c>
      <c r="I104" s="39"/>
      <c r="N104" s="48"/>
      <c r="O104" s="48"/>
      <c r="P104" s="48"/>
      <c r="Q104" s="48"/>
      <c r="R104" s="48"/>
      <c r="S104" s="48"/>
      <c r="T104" s="48"/>
      <c r="U104" s="48"/>
    </row>
    <row r="105" spans="1:21" hidden="1" x14ac:dyDescent="0.25">
      <c r="B105" s="72"/>
      <c r="C105" s="91" t="s">
        <v>371</v>
      </c>
      <c r="D105" s="91" t="s">
        <v>351</v>
      </c>
      <c r="E105" s="159" t="s">
        <v>8</v>
      </c>
      <c r="F105" s="464" t="s">
        <v>153</v>
      </c>
      <c r="G105" s="466"/>
      <c r="H105" s="39" t="s">
        <v>38</v>
      </c>
      <c r="I105" s="39"/>
      <c r="N105" s="48"/>
      <c r="O105" s="48"/>
      <c r="P105" s="48"/>
      <c r="Q105" s="48"/>
      <c r="R105" s="48"/>
      <c r="S105" s="48"/>
      <c r="T105" s="48"/>
      <c r="U105" s="48"/>
    </row>
    <row r="106" spans="1:21" hidden="1" x14ac:dyDescent="0.25">
      <c r="A106" s="462" t="s">
        <v>94</v>
      </c>
      <c r="B106" s="462"/>
      <c r="C106" s="93" t="s">
        <v>2</v>
      </c>
      <c r="D106" s="93" t="s">
        <v>2</v>
      </c>
      <c r="E106" s="62" t="s">
        <v>2</v>
      </c>
      <c r="F106" s="462" t="s">
        <v>37</v>
      </c>
      <c r="G106" s="462"/>
      <c r="H106" s="62" t="s">
        <v>37</v>
      </c>
      <c r="I106" s="62" t="s">
        <v>8</v>
      </c>
      <c r="N106" s="484" t="s">
        <v>66</v>
      </c>
      <c r="O106" s="484"/>
      <c r="P106" s="489" t="s">
        <v>91</v>
      </c>
      <c r="Q106" s="489"/>
      <c r="R106" s="484" t="s">
        <v>67</v>
      </c>
      <c r="S106" s="484"/>
      <c r="T106" s="63" t="s">
        <v>68</v>
      </c>
      <c r="U106" s="63" t="s">
        <v>8</v>
      </c>
    </row>
    <row r="107" spans="1:21" hidden="1" x14ac:dyDescent="0.25">
      <c r="A107" s="473" t="s">
        <v>69</v>
      </c>
      <c r="B107" s="473"/>
      <c r="C107" s="163">
        <v>0</v>
      </c>
      <c r="D107" s="163">
        <v>0</v>
      </c>
      <c r="E107" s="210">
        <f>IF(D$59=0,C107*2,C107+D107)</f>
        <v>0</v>
      </c>
      <c r="F107" s="474">
        <v>0</v>
      </c>
      <c r="G107" s="474"/>
      <c r="H107" s="250">
        <f>IF(C107=0,0,125)</f>
        <v>0</v>
      </c>
      <c r="I107" s="104">
        <f>ROUND((H107+F107)*E107,2)</f>
        <v>0</v>
      </c>
      <c r="N107" s="479" t="s">
        <v>69</v>
      </c>
      <c r="O107" s="479"/>
      <c r="P107" s="483">
        <f>IF(H$120=1,C107,0)</f>
        <v>0</v>
      </c>
      <c r="Q107" s="483"/>
      <c r="R107" s="486">
        <f>F107</f>
        <v>0</v>
      </c>
      <c r="S107" s="486"/>
      <c r="T107" s="65">
        <f>H107</f>
        <v>0</v>
      </c>
      <c r="U107" s="99">
        <f>ROUND((T107+R107)*P107,0)</f>
        <v>0</v>
      </c>
    </row>
    <row r="108" spans="1:21" hidden="1" x14ac:dyDescent="0.25">
      <c r="A108" s="456" t="s">
        <v>70</v>
      </c>
      <c r="B108" s="456"/>
      <c r="C108" s="165">
        <v>0</v>
      </c>
      <c r="D108" s="165">
        <v>0</v>
      </c>
      <c r="E108" s="125">
        <f>IF(D$59=0,C108*2,C108+D108)</f>
        <v>0</v>
      </c>
      <c r="F108" s="468">
        <f>ROUND(F107/2,2)</f>
        <v>0</v>
      </c>
      <c r="G108" s="468"/>
      <c r="H108" s="250">
        <f>IF(C108=0,0,62.5)</f>
        <v>0</v>
      </c>
      <c r="I108" s="104">
        <f>ROUND((H108+F108)*E108,2)</f>
        <v>0</v>
      </c>
      <c r="N108" s="479" t="s">
        <v>70</v>
      </c>
      <c r="O108" s="479"/>
      <c r="P108" s="483">
        <f>IF(H$120=1,C108,0)</f>
        <v>0</v>
      </c>
      <c r="Q108" s="483"/>
      <c r="R108" s="487">
        <f>ROUND(R107/2,2)</f>
        <v>0</v>
      </c>
      <c r="S108" s="487"/>
      <c r="T108" s="65">
        <f>H108</f>
        <v>0</v>
      </c>
      <c r="U108" s="99">
        <f>ROUND((T108+R108)*P108,0)</f>
        <v>0</v>
      </c>
    </row>
    <row r="109" spans="1:21" ht="16.5" hidden="1" thickBot="1" x14ac:dyDescent="0.3">
      <c r="A109" s="456" t="s">
        <v>71</v>
      </c>
      <c r="B109" s="456"/>
      <c r="C109" s="165">
        <v>0</v>
      </c>
      <c r="D109" s="165">
        <v>0</v>
      </c>
      <c r="E109" s="125">
        <f>IF(D$59=0,C109*2,C109+D109)</f>
        <v>0</v>
      </c>
      <c r="F109" s="475"/>
      <c r="G109" s="475"/>
      <c r="H109" s="251">
        <f>IF(H107&gt;0,436,0)</f>
        <v>0</v>
      </c>
      <c r="I109" s="104">
        <f>ROUND(H109*E109,2)</f>
        <v>0</v>
      </c>
      <c r="N109" s="482" t="s">
        <v>71</v>
      </c>
      <c r="O109" s="482"/>
      <c r="P109" s="483">
        <f>IF(H$120=1,C109,0)</f>
        <v>0</v>
      </c>
      <c r="Q109" s="483"/>
      <c r="R109" s="484"/>
      <c r="S109" s="484"/>
      <c r="T109" s="67">
        <f>H109</f>
        <v>0</v>
      </c>
      <c r="U109" s="106">
        <f>ROUND(T109*P109,0)</f>
        <v>0</v>
      </c>
    </row>
    <row r="110" spans="1:21" ht="16.5" hidden="1" thickBot="1" x14ac:dyDescent="0.3">
      <c r="A110" s="466" t="s">
        <v>8</v>
      </c>
      <c r="B110" s="466"/>
      <c r="C110" s="68"/>
      <c r="D110" s="68"/>
      <c r="E110" s="68"/>
      <c r="F110" s="68"/>
      <c r="G110" s="68"/>
      <c r="H110" s="68"/>
      <c r="I110" s="100">
        <f>SUM(I107:I109)</f>
        <v>0</v>
      </c>
      <c r="N110" s="485" t="s">
        <v>8</v>
      </c>
      <c r="O110" s="485"/>
      <c r="P110" s="69"/>
      <c r="Q110" s="69"/>
      <c r="R110" s="69"/>
      <c r="S110" s="69"/>
      <c r="T110" s="69"/>
      <c r="U110" s="70">
        <f>SUM(U107:U109)</f>
        <v>0</v>
      </c>
    </row>
    <row r="111" spans="1:21" hidden="1" x14ac:dyDescent="0.25">
      <c r="A111" s="39"/>
      <c r="B111" s="39"/>
      <c r="C111" s="68"/>
      <c r="D111" s="68"/>
      <c r="E111" s="68"/>
      <c r="F111" s="68"/>
      <c r="G111" s="68"/>
      <c r="H111" s="68"/>
      <c r="I111" s="104"/>
      <c r="N111" s="40"/>
      <c r="O111" s="40"/>
      <c r="P111" s="69"/>
      <c r="Q111" s="69"/>
      <c r="R111" s="69"/>
      <c r="S111" s="69"/>
      <c r="T111" s="69"/>
      <c r="U111" s="160"/>
    </row>
    <row r="112" spans="1:21" x14ac:dyDescent="0.25">
      <c r="A112" s="463" t="s">
        <v>448</v>
      </c>
      <c r="B112" s="453"/>
      <c r="C112" s="453"/>
      <c r="D112" s="72"/>
      <c r="E112" s="71" t="s">
        <v>354</v>
      </c>
      <c r="F112" s="472"/>
      <c r="G112" s="472"/>
      <c r="H112" s="472"/>
      <c r="I112" s="125">
        <v>0</v>
      </c>
      <c r="N112" s="478" t="s">
        <v>427</v>
      </c>
      <c r="O112" s="479"/>
      <c r="P112" s="479"/>
      <c r="Q112" s="341"/>
      <c r="R112" s="341"/>
      <c r="S112" s="341"/>
      <c r="T112" s="341"/>
      <c r="U112" s="99">
        <f>IF($H$120=1,I112,0)</f>
        <v>0</v>
      </c>
    </row>
    <row r="113" spans="1:21" x14ac:dyDescent="0.25">
      <c r="A113" s="463" t="s">
        <v>449</v>
      </c>
      <c r="B113" s="453"/>
      <c r="C113" s="453"/>
      <c r="D113" s="72"/>
      <c r="E113" s="71" t="s">
        <v>45</v>
      </c>
      <c r="F113" s="472"/>
      <c r="G113" s="472"/>
      <c r="H113" s="472"/>
      <c r="I113" s="177">
        <v>0</v>
      </c>
      <c r="N113" s="478" t="s">
        <v>428</v>
      </c>
      <c r="O113" s="479"/>
      <c r="P113" s="479"/>
      <c r="Q113" s="341"/>
      <c r="R113" s="341"/>
      <c r="S113" s="341"/>
      <c r="T113" s="341"/>
      <c r="U113" s="99">
        <f>IF($H$120=1,I113,0)</f>
        <v>0</v>
      </c>
    </row>
    <row r="114" spans="1:21" ht="16.5" thickBot="1" x14ac:dyDescent="0.3">
      <c r="B114" s="72"/>
      <c r="C114" s="72"/>
      <c r="D114" s="72"/>
      <c r="E114" s="71"/>
      <c r="F114" s="71"/>
      <c r="G114" s="71"/>
      <c r="H114" s="71"/>
      <c r="I114" s="125"/>
      <c r="N114" s="480" t="s">
        <v>42</v>
      </c>
      <c r="O114" s="480"/>
      <c r="P114" s="480"/>
      <c r="Q114" s="480"/>
      <c r="R114" s="480"/>
      <c r="S114" s="480"/>
      <c r="T114" s="480"/>
      <c r="U114" s="154">
        <f>SUM(U112,U110,U100,U99,U93,U77,U76,U74,U73,U72,U71,U70,U68,U59,U45,U78,U79,U80,U85,U113)</f>
        <v>0</v>
      </c>
    </row>
    <row r="115" spans="1:21" ht="16.5" thickTop="1" x14ac:dyDescent="0.25">
      <c r="A115" s="461" t="s">
        <v>8</v>
      </c>
      <c r="B115" s="461"/>
      <c r="C115" s="461"/>
      <c r="D115" s="461"/>
      <c r="E115" s="461"/>
      <c r="F115" s="461"/>
      <c r="G115" s="461"/>
      <c r="H115" s="461"/>
      <c r="I115" s="97">
        <f>SUM(I113,I112,I110,I100,I99,I93,I85,I84,I80,I79,I78,I77,I76,I74,I73,I72,I71,I70,I68,I59,I45)</f>
        <v>8911715.75</v>
      </c>
      <c r="N115" s="29"/>
      <c r="O115" s="29"/>
      <c r="P115" s="29"/>
      <c r="Q115" s="29"/>
      <c r="R115" s="29"/>
      <c r="S115" s="29"/>
      <c r="T115" s="29"/>
      <c r="U115" s="160"/>
    </row>
    <row r="116" spans="1:21" x14ac:dyDescent="0.25">
      <c r="A116" s="27"/>
      <c r="B116" s="27"/>
      <c r="C116" s="27"/>
      <c r="D116" s="27"/>
      <c r="E116" s="27"/>
      <c r="F116" s="27"/>
      <c r="G116" s="27"/>
      <c r="H116" s="27"/>
      <c r="I116" s="104"/>
      <c r="N116" s="29"/>
      <c r="O116" s="29"/>
      <c r="P116" s="29"/>
      <c r="Q116" s="29"/>
      <c r="R116" s="29"/>
      <c r="S116" s="29"/>
      <c r="T116" s="29"/>
      <c r="U116" s="160"/>
    </row>
    <row r="117" spans="1:21" x14ac:dyDescent="0.25">
      <c r="A117" s="432" t="s">
        <v>467</v>
      </c>
      <c r="B117" s="27"/>
      <c r="C117" s="27"/>
      <c r="D117" s="27"/>
      <c r="E117" s="27"/>
      <c r="F117" s="27"/>
      <c r="G117" s="27"/>
      <c r="H117" s="27"/>
      <c r="I117" s="104">
        <f>I115-I84</f>
        <v>8623621.6099999994</v>
      </c>
      <c r="N117" s="29"/>
      <c r="O117" s="29"/>
      <c r="P117" s="29"/>
      <c r="Q117" s="29"/>
      <c r="R117" s="29"/>
      <c r="S117" s="29"/>
      <c r="T117" s="29"/>
      <c r="U117" s="160"/>
    </row>
    <row r="118" spans="1:21" x14ac:dyDescent="0.25">
      <c r="A118" s="27"/>
      <c r="B118" s="27"/>
      <c r="C118" s="27"/>
      <c r="D118" s="27"/>
      <c r="E118" s="27"/>
      <c r="F118" s="27"/>
      <c r="G118" s="27"/>
      <c r="H118" s="27"/>
      <c r="I118" s="104"/>
      <c r="N118" s="29"/>
      <c r="O118" s="29"/>
      <c r="P118" s="29"/>
      <c r="Q118" s="29"/>
      <c r="R118" s="29"/>
      <c r="S118" s="29"/>
      <c r="T118" s="29"/>
      <c r="U118" s="160"/>
    </row>
    <row r="119" spans="1:21" x14ac:dyDescent="0.25">
      <c r="A119" s="463" t="s">
        <v>468</v>
      </c>
      <c r="B119" s="453"/>
      <c r="C119" s="453"/>
      <c r="D119" s="453"/>
      <c r="E119" s="453"/>
      <c r="F119" s="453"/>
      <c r="G119" s="453"/>
      <c r="H119" s="84" t="s">
        <v>394</v>
      </c>
      <c r="I119" s="156"/>
      <c r="N119" s="481"/>
      <c r="O119" s="481"/>
      <c r="P119" s="481"/>
      <c r="Q119" s="481"/>
      <c r="R119" s="481"/>
      <c r="S119" s="481"/>
      <c r="T119" s="481"/>
      <c r="U119" s="481"/>
    </row>
    <row r="120" spans="1:21" x14ac:dyDescent="0.25">
      <c r="A120" s="453" t="s">
        <v>95</v>
      </c>
      <c r="B120" s="453"/>
      <c r="C120" s="453"/>
      <c r="D120" s="453"/>
      <c r="E120" s="453"/>
      <c r="F120" s="453"/>
      <c r="G120" s="453"/>
      <c r="H120" s="73" t="str">
        <f>IF(E29=0,"",IF((E14+E16+SUM(E18:E24))/E29&gt;0.75,1,""))</f>
        <v/>
      </c>
      <c r="I120" s="125">
        <f>U114</f>
        <v>0</v>
      </c>
      <c r="N120" s="476" t="s">
        <v>7</v>
      </c>
      <c r="O120" s="476"/>
      <c r="P120" s="476"/>
      <c r="Q120" s="476"/>
      <c r="R120" s="476"/>
      <c r="S120" s="476"/>
      <c r="T120" s="476"/>
      <c r="U120" s="476"/>
    </row>
    <row r="121" spans="1:21" x14ac:dyDescent="0.25">
      <c r="B121" s="72"/>
      <c r="C121" s="72"/>
      <c r="D121" s="72"/>
      <c r="E121" s="72"/>
      <c r="F121" s="72"/>
      <c r="G121" s="72"/>
      <c r="H121" s="68"/>
      <c r="I121" s="104"/>
      <c r="N121" s="74" t="s">
        <v>106</v>
      </c>
      <c r="O121" s="74"/>
      <c r="P121" s="74"/>
      <c r="Q121" s="74"/>
      <c r="R121" s="74"/>
      <c r="S121" s="74"/>
      <c r="T121" s="74"/>
      <c r="U121" s="74"/>
    </row>
    <row r="122" spans="1:21" x14ac:dyDescent="0.25">
      <c r="A122" s="3" t="s">
        <v>102</v>
      </c>
      <c r="B122" s="72"/>
      <c r="C122" s="72"/>
      <c r="D122" s="72"/>
      <c r="E122" s="72"/>
      <c r="F122" s="72"/>
      <c r="G122" s="287" t="s">
        <v>290</v>
      </c>
      <c r="H122" s="161">
        <f>IF(H120=1,I120,I117)</f>
        <v>8623621.6099999994</v>
      </c>
      <c r="I122" s="97">
        <f>ROUND(IF(E29=0,0,IF(E29&gt;250,-(((250/E29)*H122)*IF(G122="H",0.02,0.05)),IF(G122="H",-0.02*H122,-0.05*H122))),2)</f>
        <v>-38401.620000000003</v>
      </c>
      <c r="N122" s="75" t="s">
        <v>107</v>
      </c>
      <c r="O122" s="74"/>
      <c r="P122" s="74"/>
      <c r="Q122" s="74"/>
      <c r="R122" s="74"/>
      <c r="S122" s="74"/>
      <c r="T122" s="74"/>
      <c r="U122" s="74"/>
    </row>
    <row r="123" spans="1:21" x14ac:dyDescent="0.25">
      <c r="B123" s="72"/>
      <c r="C123" s="72"/>
      <c r="D123" s="72"/>
      <c r="E123" s="72"/>
      <c r="F123" s="72"/>
      <c r="G123" s="72"/>
      <c r="H123" s="68"/>
      <c r="I123" s="104"/>
      <c r="N123" s="76"/>
      <c r="O123" s="76"/>
      <c r="P123" s="76"/>
      <c r="Q123" s="76"/>
      <c r="R123" s="76"/>
      <c r="S123" s="76"/>
      <c r="T123" s="76"/>
      <c r="U123" s="76"/>
    </row>
    <row r="124" spans="1:21" x14ac:dyDescent="0.25">
      <c r="A124" s="345" t="s">
        <v>103</v>
      </c>
      <c r="B124" s="346"/>
      <c r="C124" s="346"/>
      <c r="D124" s="346"/>
      <c r="E124" s="346"/>
      <c r="F124" s="346"/>
      <c r="G124" s="346"/>
      <c r="H124" s="347"/>
      <c r="I124" s="348">
        <f>I115+I122</f>
        <v>8873314.1300000008</v>
      </c>
      <c r="N124" s="76"/>
      <c r="O124" s="76"/>
      <c r="P124" s="76"/>
      <c r="Q124" s="76"/>
      <c r="R124" s="76"/>
      <c r="S124" s="76"/>
      <c r="T124" s="76"/>
      <c r="U124" s="76"/>
    </row>
    <row r="125" spans="1:21" x14ac:dyDescent="0.25">
      <c r="B125" s="72"/>
      <c r="C125" s="72"/>
      <c r="D125" s="72"/>
      <c r="E125" s="72"/>
      <c r="F125" s="72"/>
      <c r="G125" s="72"/>
      <c r="H125" s="68"/>
      <c r="I125" s="104"/>
      <c r="N125" s="76"/>
      <c r="O125" s="76"/>
      <c r="P125" s="76"/>
      <c r="Q125" s="76"/>
      <c r="R125" s="76"/>
      <c r="S125" s="76"/>
      <c r="T125" s="76"/>
      <c r="U125" s="76"/>
    </row>
    <row r="126" spans="1:21" x14ac:dyDescent="0.25">
      <c r="A126" s="3" t="s">
        <v>104</v>
      </c>
      <c r="B126" s="72"/>
      <c r="C126" s="162"/>
      <c r="D126" s="72"/>
      <c r="F126" s="72"/>
      <c r="G126" s="72"/>
      <c r="H126" s="68"/>
      <c r="I126" s="302">
        <v>-6647568.2300000004</v>
      </c>
      <c r="N126" s="76"/>
      <c r="O126" s="76"/>
      <c r="P126" s="76"/>
      <c r="Q126" s="76"/>
      <c r="R126" s="76"/>
      <c r="S126" s="76"/>
      <c r="T126" s="76"/>
      <c r="U126" s="76"/>
    </row>
    <row r="127" spans="1:21" x14ac:dyDescent="0.25">
      <c r="B127" s="72"/>
      <c r="C127" s="72"/>
      <c r="D127" s="72"/>
      <c r="E127" s="72"/>
      <c r="F127" s="72"/>
      <c r="G127" s="72"/>
      <c r="H127" s="68"/>
      <c r="I127" s="104"/>
      <c r="N127" s="76"/>
      <c r="O127" s="76"/>
      <c r="P127" s="76"/>
      <c r="Q127" s="76"/>
      <c r="R127" s="76"/>
      <c r="S127" s="76"/>
      <c r="T127" s="76"/>
      <c r="U127" s="76"/>
    </row>
    <row r="128" spans="1:21" x14ac:dyDescent="0.25">
      <c r="A128" s="84" t="s">
        <v>297</v>
      </c>
      <c r="B128" s="72"/>
      <c r="C128" s="72"/>
      <c r="D128" s="72"/>
      <c r="E128" s="72"/>
      <c r="F128" s="72"/>
      <c r="G128" s="72"/>
      <c r="H128" s="68"/>
      <c r="I128" s="104">
        <f>I124+I126</f>
        <v>2225745.9000000004</v>
      </c>
      <c r="N128" s="76"/>
      <c r="O128" s="76"/>
      <c r="P128" s="76"/>
      <c r="Q128" s="76"/>
      <c r="R128" s="76"/>
      <c r="S128" s="76"/>
      <c r="T128" s="76"/>
      <c r="U128" s="76"/>
    </row>
    <row r="129" spans="1:21" x14ac:dyDescent="0.25">
      <c r="A129" s="84"/>
      <c r="B129" s="72"/>
      <c r="C129" s="72"/>
      <c r="D129" s="72"/>
      <c r="E129" s="72"/>
      <c r="F129" s="72"/>
      <c r="G129" s="72"/>
      <c r="H129" s="68"/>
      <c r="I129" s="104"/>
      <c r="N129" s="76"/>
      <c r="O129" s="76"/>
      <c r="P129" s="76"/>
      <c r="Q129" s="76"/>
      <c r="R129" s="76"/>
      <c r="S129" s="76"/>
      <c r="T129" s="76"/>
      <c r="U129" s="76"/>
    </row>
    <row r="130" spans="1:21" x14ac:dyDescent="0.25">
      <c r="A130" s="84" t="s">
        <v>298</v>
      </c>
      <c r="B130" s="72"/>
      <c r="C130" s="72"/>
      <c r="D130" s="72"/>
      <c r="E130" s="72"/>
      <c r="F130" s="72"/>
      <c r="G130" s="72"/>
      <c r="H130" s="68"/>
      <c r="I130" s="303">
        <f>'0664'!I130</f>
        <v>3</v>
      </c>
      <c r="N130" s="76"/>
      <c r="O130" s="76"/>
      <c r="P130" s="76"/>
      <c r="Q130" s="76"/>
      <c r="R130" s="76"/>
      <c r="S130" s="76"/>
      <c r="T130" s="76"/>
      <c r="U130" s="76"/>
    </row>
    <row r="131" spans="1:21" x14ac:dyDescent="0.25">
      <c r="B131" s="72"/>
      <c r="C131" s="72"/>
      <c r="D131" s="72"/>
      <c r="E131" s="72"/>
      <c r="F131" s="72"/>
      <c r="G131" s="72"/>
      <c r="H131" s="68"/>
      <c r="I131" s="104"/>
      <c r="N131" s="76"/>
      <c r="O131" s="76"/>
      <c r="P131" s="76"/>
      <c r="Q131" s="76"/>
      <c r="R131" s="76"/>
      <c r="S131" s="76"/>
      <c r="T131" s="76"/>
      <c r="U131" s="76"/>
    </row>
    <row r="132" spans="1:21" ht="16.5" thickBot="1" x14ac:dyDescent="0.3">
      <c r="A132" s="3" t="s">
        <v>105</v>
      </c>
      <c r="B132" s="72"/>
      <c r="C132" s="72"/>
      <c r="D132" s="72"/>
      <c r="E132" s="72"/>
      <c r="F132" s="72"/>
      <c r="G132" s="72"/>
      <c r="H132" s="68"/>
      <c r="I132" s="178">
        <f>ROUND(I128/I130,2)</f>
        <v>741915.3</v>
      </c>
      <c r="N132" s="76"/>
      <c r="O132" s="76"/>
      <c r="P132" s="76"/>
      <c r="Q132" s="76"/>
      <c r="R132" s="76"/>
      <c r="S132" s="76"/>
      <c r="T132" s="76"/>
      <c r="U132" s="76"/>
    </row>
    <row r="133" spans="1:21" ht="16.5" thickTop="1" x14ac:dyDescent="0.25">
      <c r="B133" s="72"/>
      <c r="C133" s="72"/>
      <c r="D133" s="72"/>
      <c r="E133" s="72"/>
      <c r="F133" s="72"/>
      <c r="G133" s="72"/>
      <c r="H133" s="68"/>
      <c r="I133" s="104"/>
      <c r="N133" s="76"/>
      <c r="O133" s="76"/>
      <c r="P133" s="76"/>
      <c r="Q133" s="76"/>
      <c r="R133" s="76"/>
      <c r="S133" s="76"/>
      <c r="T133" s="76"/>
      <c r="U133" s="76"/>
    </row>
    <row r="134" spans="1:21" ht="16.5" thickBot="1" x14ac:dyDescent="0.3">
      <c r="A134" s="3" t="s">
        <v>121</v>
      </c>
      <c r="B134" s="72"/>
      <c r="C134" s="72"/>
      <c r="D134" s="72"/>
      <c r="E134" s="72"/>
      <c r="F134" s="72"/>
      <c r="G134" s="72"/>
      <c r="H134" s="68"/>
      <c r="I134" s="155">
        <f>IF(G122="H",(H122*0.02)+I122,(H122*0.05)+I122)</f>
        <v>134070.81219999999</v>
      </c>
      <c r="N134" s="76"/>
      <c r="O134" s="76"/>
      <c r="P134" s="76"/>
      <c r="Q134" s="76"/>
      <c r="R134" s="76"/>
      <c r="S134" s="76"/>
      <c r="T134" s="76"/>
      <c r="U134" s="76"/>
    </row>
    <row r="135" spans="1:21" ht="16.5" thickTop="1" x14ac:dyDescent="0.25">
      <c r="B135" s="72"/>
      <c r="C135" s="72"/>
      <c r="D135" s="72"/>
      <c r="E135" s="72"/>
      <c r="F135" s="72"/>
      <c r="G135" s="72"/>
      <c r="H135" s="68"/>
      <c r="I135" s="156"/>
      <c r="N135" s="76"/>
      <c r="O135" s="76"/>
      <c r="P135" s="76"/>
      <c r="Q135" s="76"/>
      <c r="R135" s="76"/>
      <c r="S135" s="76"/>
      <c r="T135" s="76"/>
      <c r="U135" s="76"/>
    </row>
    <row r="136" spans="1:21" x14ac:dyDescent="0.25">
      <c r="B136" s="72"/>
      <c r="C136" s="72"/>
      <c r="D136" s="72"/>
      <c r="E136" s="72"/>
      <c r="F136" s="72"/>
      <c r="G136" s="72"/>
      <c r="H136" s="68"/>
      <c r="I136" s="104"/>
      <c r="N136" s="76"/>
      <c r="O136" s="76"/>
      <c r="P136" s="76"/>
      <c r="Q136" s="76"/>
      <c r="R136" s="76"/>
      <c r="S136" s="76"/>
      <c r="T136" s="76"/>
      <c r="U136" s="76"/>
    </row>
    <row r="137" spans="1:21" x14ac:dyDescent="0.25">
      <c r="B137" s="72"/>
      <c r="C137" s="72"/>
      <c r="D137" s="72"/>
      <c r="E137" s="72"/>
      <c r="F137" s="72"/>
      <c r="G137" s="72"/>
      <c r="H137" s="68"/>
      <c r="I137" s="156"/>
      <c r="N137" s="76"/>
      <c r="O137" s="76"/>
      <c r="P137" s="76"/>
      <c r="Q137" s="76"/>
      <c r="R137" s="76"/>
      <c r="S137" s="76"/>
      <c r="T137" s="76"/>
      <c r="U137" s="76"/>
    </row>
    <row r="138" spans="1:21" x14ac:dyDescent="0.25">
      <c r="A138" s="281" t="s">
        <v>7</v>
      </c>
      <c r="B138" s="281"/>
      <c r="C138" s="281"/>
      <c r="D138" s="281"/>
      <c r="E138" s="281"/>
      <c r="F138" s="281"/>
      <c r="G138" s="281"/>
      <c r="H138" s="281"/>
      <c r="I138" s="281"/>
      <c r="J138" s="156"/>
      <c r="N138" s="76"/>
      <c r="O138" s="76"/>
      <c r="P138" s="76"/>
      <c r="Q138" s="76"/>
      <c r="R138" s="76"/>
      <c r="S138" s="76"/>
      <c r="T138" s="76"/>
      <c r="U138" s="76"/>
    </row>
    <row r="139" spans="1:21" ht="15.75" customHeight="1" x14ac:dyDescent="0.25">
      <c r="A139" s="384" t="str">
        <f>'0664'!A139</f>
        <v>(a) Additional FTE includes FTE earned through Advanced Placement, International Baccalaureate, Advanced International Certificate of Education, Industry Certified Career</v>
      </c>
      <c r="B139" s="385"/>
      <c r="C139" s="385"/>
      <c r="D139" s="385"/>
      <c r="E139" s="385"/>
      <c r="F139" s="385"/>
      <c r="G139" s="385"/>
      <c r="H139" s="385"/>
      <c r="I139" s="385"/>
      <c r="J139" s="80"/>
      <c r="K139" s="79"/>
      <c r="L139" s="79"/>
      <c r="M139" s="79"/>
      <c r="N139" s="477"/>
      <c r="O139" s="477"/>
      <c r="P139" s="477"/>
      <c r="Q139" s="477"/>
      <c r="R139" s="477"/>
      <c r="S139" s="477"/>
      <c r="T139" s="477"/>
      <c r="U139" s="477"/>
    </row>
    <row r="140" spans="1:21" ht="15.75" customHeight="1" x14ac:dyDescent="0.25">
      <c r="A140" s="390" t="str">
        <f>'0664'!A140</f>
        <v xml:space="preserve">Education (CAPE), Early High School Graduation and the small district ESE Supplement, pursuant to s. 1011.62(1)(l-p), F.S. </v>
      </c>
      <c r="B140" s="385"/>
      <c r="C140" s="385"/>
      <c r="D140" s="385"/>
      <c r="E140" s="385"/>
      <c r="F140" s="385"/>
      <c r="G140" s="385"/>
      <c r="H140" s="385"/>
      <c r="I140" s="385"/>
      <c r="J140" s="80"/>
      <c r="K140" s="79"/>
      <c r="L140" s="79"/>
      <c r="M140" s="79"/>
      <c r="N140" s="76"/>
      <c r="O140" s="76"/>
      <c r="P140" s="76"/>
      <c r="Q140" s="76"/>
      <c r="R140" s="76"/>
      <c r="S140" s="76"/>
      <c r="T140" s="76"/>
      <c r="U140" s="76"/>
    </row>
    <row r="141" spans="1:21" x14ac:dyDescent="0.25">
      <c r="A141" s="384" t="str">
        <f>'0664'!A141</f>
        <v>(b) District allocations multiplied by percentage from item 3A.</v>
      </c>
      <c r="B141" s="386"/>
      <c r="C141" s="386"/>
      <c r="D141" s="386"/>
      <c r="E141" s="386"/>
      <c r="F141" s="386"/>
      <c r="G141" s="386"/>
      <c r="H141" s="386"/>
      <c r="I141" s="386"/>
      <c r="J141" s="79"/>
      <c r="K141" s="79"/>
      <c r="L141" s="79"/>
      <c r="M141" s="79"/>
      <c r="N141" s="81"/>
      <c r="O141" s="82"/>
      <c r="P141" s="82"/>
      <c r="Q141" s="82"/>
      <c r="R141" s="82"/>
      <c r="S141" s="82"/>
      <c r="T141" s="82"/>
      <c r="U141" s="82"/>
    </row>
    <row r="142" spans="1:21" s="79" customFormat="1" x14ac:dyDescent="0.2">
      <c r="A142" s="384" t="str">
        <f>'0664'!A142</f>
        <v>(c) District allocations multiplied by percentage from item 3B.</v>
      </c>
      <c r="B142" s="386"/>
      <c r="C142" s="386"/>
      <c r="D142" s="386"/>
      <c r="E142" s="386"/>
      <c r="F142" s="386"/>
      <c r="G142" s="386"/>
      <c r="H142" s="386"/>
      <c r="I142" s="386"/>
      <c r="N142" s="81"/>
    </row>
    <row r="143" spans="1:21" s="79" customFormat="1" ht="15.75" customHeight="1" x14ac:dyDescent="0.2">
      <c r="A143" s="384" t="str">
        <f>'0664'!A143</f>
        <v>(d) The Digital Classroom Allocation is provided pursuant to s. 1011.62(12), F.S.</v>
      </c>
      <c r="B143" s="386"/>
      <c r="C143" s="386"/>
      <c r="D143" s="386"/>
      <c r="E143" s="386"/>
      <c r="F143" s="386"/>
      <c r="G143" s="386"/>
      <c r="H143" s="386"/>
      <c r="I143" s="386"/>
      <c r="N143" s="81"/>
    </row>
    <row r="144" spans="1:21" s="79" customFormat="1" ht="15.75" customHeight="1" x14ac:dyDescent="0.2">
      <c r="A144" s="384" t="str">
        <f>'0664'!A144</f>
        <v>(e) School districts are required to pay for instructional materials used for the instruction of public high school students who are earning credit toward high school</v>
      </c>
      <c r="B144" s="386"/>
      <c r="C144" s="386"/>
      <c r="D144" s="386"/>
      <c r="E144" s="386"/>
      <c r="F144" s="386"/>
      <c r="G144" s="386"/>
      <c r="H144" s="386"/>
      <c r="I144" s="386"/>
      <c r="N144" s="81"/>
    </row>
    <row r="145" spans="1:14" s="79" customFormat="1" ht="15.75" customHeight="1" x14ac:dyDescent="0.2">
      <c r="A145" s="390" t="str">
        <f>'0664'!A145</f>
        <v xml:space="preserve">graduation under the dual enrollment program as provided in s. 1011.62(l)(i), F.S.  </v>
      </c>
      <c r="B145" s="386"/>
      <c r="C145" s="386"/>
      <c r="D145" s="386"/>
      <c r="E145" s="386"/>
      <c r="F145" s="386"/>
      <c r="G145" s="386"/>
      <c r="H145" s="386"/>
      <c r="I145" s="386"/>
      <c r="N145" s="81"/>
    </row>
    <row r="146" spans="1:14" s="79" customFormat="1" x14ac:dyDescent="0.2">
      <c r="A146" s="384" t="str">
        <f>'0664'!A146</f>
        <v>(f) This allocation will be frozen as of the 2021-22 FEFP Second Calculation and will not be recalculated throughout the year. Charter school allocations should be</v>
      </c>
      <c r="B146" s="386"/>
      <c r="C146" s="386"/>
      <c r="D146" s="386"/>
      <c r="E146" s="386"/>
      <c r="F146" s="386"/>
      <c r="G146" s="386"/>
      <c r="H146" s="386"/>
      <c r="I146" s="386"/>
      <c r="N146" s="81"/>
    </row>
    <row r="147" spans="1:14" s="79" customFormat="1" x14ac:dyDescent="0.2">
      <c r="A147" s="390" t="str">
        <f>'0664'!A147</f>
        <v xml:space="preserve">distributed on weighted FTE (or base funding as is done in the FEFP) and should not be recalculated with fluctuations in student enrollment later in the year. </v>
      </c>
      <c r="B147" s="386"/>
      <c r="C147" s="386"/>
      <c r="D147" s="386"/>
      <c r="E147" s="386"/>
      <c r="F147" s="386"/>
      <c r="G147" s="386"/>
      <c r="H147" s="386"/>
      <c r="I147" s="386"/>
      <c r="N147" s="81"/>
    </row>
    <row r="148" spans="1:14" s="79" customFormat="1" x14ac:dyDescent="0.2">
      <c r="A148" s="384" t="str">
        <f>'0664'!A148</f>
        <v>(g) Numbers entered here will be multiplied by the district level transportation funding per rider. "All Adjusted Fundable Riders" should include both basic and ESE Riders.</v>
      </c>
      <c r="B148" s="386"/>
      <c r="C148" s="386"/>
      <c r="D148" s="386"/>
      <c r="E148" s="386"/>
      <c r="F148" s="386"/>
      <c r="G148" s="386"/>
      <c r="H148" s="386"/>
      <c r="I148" s="386"/>
      <c r="N148" s="81"/>
    </row>
    <row r="149" spans="1:14" s="79" customFormat="1" x14ac:dyDescent="0.2">
      <c r="A149" s="390" t="str">
        <f>'0664'!A149</f>
        <v>"All Adjusted ESE Riders" should include only ESE Riders.</v>
      </c>
      <c r="B149" s="386"/>
      <c r="C149" s="386"/>
      <c r="D149" s="386"/>
      <c r="E149" s="386"/>
      <c r="F149" s="386"/>
      <c r="G149" s="386"/>
      <c r="H149" s="386"/>
      <c r="I149" s="386"/>
      <c r="N149" s="81"/>
    </row>
    <row r="150" spans="1:14" s="79" customFormat="1" x14ac:dyDescent="0.2">
      <c r="A150" s="384" t="str">
        <f>'0664'!A150</f>
        <v xml:space="preserve">(h) The Federally Connected Student Supplement provides additional funding for students on federal lands that receive Section 8003 impact aide pursuant to s. 1011.62(13), F.S. </v>
      </c>
      <c r="B150" s="386"/>
      <c r="C150" s="386"/>
      <c r="D150" s="386"/>
      <c r="E150" s="386"/>
      <c r="F150" s="386"/>
      <c r="G150" s="386"/>
      <c r="H150" s="386"/>
      <c r="I150" s="386"/>
      <c r="N150" s="81"/>
    </row>
    <row r="151" spans="1:14" s="79" customFormat="1" x14ac:dyDescent="0.2">
      <c r="A151" s="384" t="str">
        <f>'0664'!A151</f>
        <v>(i) Teacher Classroom Supply Assistance Program allocation pursuant to s. 1012.71, F.S., for certified teachers employed by a public school district or public charter school</v>
      </c>
      <c r="B151" s="386"/>
      <c r="C151" s="386"/>
      <c r="D151" s="386"/>
      <c r="E151" s="386"/>
      <c r="F151" s="386"/>
      <c r="G151" s="386"/>
      <c r="H151" s="386"/>
      <c r="I151" s="386"/>
      <c r="N151" s="81"/>
    </row>
    <row r="152" spans="1:14" s="79" customFormat="1" x14ac:dyDescent="0.2">
      <c r="A152" s="390" t="str">
        <f>'0664'!A152</f>
        <v xml:space="preserve">before September 1 of each year whose full-time or job-share responsibility is the classroom instruction of students in prekindergarten through grade 12, including </v>
      </c>
      <c r="B152" s="386"/>
      <c r="C152" s="386"/>
      <c r="D152" s="386"/>
      <c r="E152" s="386"/>
      <c r="F152" s="386"/>
      <c r="G152" s="386"/>
      <c r="H152" s="386"/>
      <c r="I152" s="386"/>
      <c r="N152" s="81"/>
    </row>
    <row r="153" spans="1:14" s="79" customFormat="1" ht="15.75" customHeight="1" x14ac:dyDescent="0.2">
      <c r="A153" s="390" t="str">
        <f>'0664'!A153</f>
        <v>full-time media specialists and certified school counselors serving students in prekindergarten through grade 12, who are funded through the FEFP.</v>
      </c>
      <c r="B153" s="386"/>
      <c r="C153" s="386"/>
      <c r="D153" s="386"/>
      <c r="E153" s="386"/>
      <c r="F153" s="386"/>
      <c r="G153" s="386"/>
      <c r="H153" s="386"/>
      <c r="I153" s="386"/>
      <c r="N153" s="81"/>
    </row>
    <row r="154" spans="1:14" s="79" customFormat="1" ht="15.75" customHeight="1" x14ac:dyDescent="0.2">
      <c r="A154" s="384" t="str">
        <f>'0664'!A154</f>
        <v xml:space="preserve">(j) Funding based on student eligibility and meals provided, if participating in the National School Lunch Program. </v>
      </c>
      <c r="B154" s="386"/>
      <c r="C154" s="386"/>
      <c r="D154" s="386"/>
      <c r="E154" s="386"/>
      <c r="F154" s="386"/>
      <c r="G154" s="386"/>
      <c r="H154" s="386"/>
      <c r="I154" s="386"/>
      <c r="N154" s="81"/>
    </row>
    <row r="155" spans="1:14" s="79" customFormat="1" ht="15.75" customHeight="1" x14ac:dyDescent="0.2">
      <c r="A155" s="384" t="str">
        <f>'0664'!A155</f>
        <v>(k) Consistent with s. 1002.33(20)(a), F.S., for charter schools with a population of 75% or more ESE students, the administrative fee shall be calculated based on</v>
      </c>
      <c r="B155" s="386"/>
      <c r="C155" s="386"/>
      <c r="D155" s="386"/>
      <c r="E155" s="386"/>
      <c r="F155" s="386"/>
      <c r="G155" s="386"/>
      <c r="H155" s="386"/>
      <c r="I155" s="386"/>
      <c r="N155" s="81"/>
    </row>
    <row r="156" spans="1:14" s="79" customFormat="1" ht="15.75" customHeight="1" x14ac:dyDescent="0.2">
      <c r="A156" s="390" t="str">
        <f>'0664'!A156</f>
        <v xml:space="preserve">unweighted full-time equivalent students. </v>
      </c>
      <c r="B156" s="386"/>
      <c r="C156" s="386"/>
      <c r="D156" s="386"/>
      <c r="E156" s="386"/>
      <c r="F156" s="386"/>
      <c r="G156" s="386"/>
      <c r="H156" s="386"/>
      <c r="I156" s="386"/>
      <c r="N156" s="81"/>
    </row>
    <row r="157" spans="1:14" s="79" customFormat="1" ht="15.75" customHeight="1" x14ac:dyDescent="0.2">
      <c r="A157" s="384"/>
      <c r="B157" s="386"/>
      <c r="C157" s="386"/>
      <c r="D157" s="386"/>
      <c r="E157" s="386"/>
      <c r="F157" s="386"/>
      <c r="G157" s="386"/>
      <c r="H157" s="386"/>
      <c r="I157" s="386"/>
      <c r="N157" s="81"/>
    </row>
    <row r="158" spans="1:14" s="79" customFormat="1" ht="15.75" customHeight="1" x14ac:dyDescent="0.25">
      <c r="A158" s="397" t="str">
        <f>'0664'!A158</f>
        <v>Administrative fees:</v>
      </c>
      <c r="B158" s="386"/>
      <c r="C158" s="386"/>
      <c r="D158" s="386"/>
      <c r="E158" s="386"/>
      <c r="F158" s="386"/>
      <c r="G158" s="386"/>
      <c r="H158" s="386"/>
      <c r="I158" s="386"/>
      <c r="J158" s="3"/>
      <c r="K158" s="3"/>
      <c r="L158" s="3"/>
      <c r="M158" s="3"/>
      <c r="N158" s="81"/>
    </row>
    <row r="159" spans="1:14" s="79" customFormat="1" ht="15.75" customHeight="1" x14ac:dyDescent="0.25">
      <c r="A159" s="401" t="str">
        <f>'0664'!A159</f>
        <v xml:space="preserve">Administrative fees charged by the school district pursuant to s. 1002.33(20)(a), F.S., shall be calculated based upon 5% of available funds from the FEFP and categorical </v>
      </c>
      <c r="B159" s="389"/>
      <c r="C159" s="389"/>
      <c r="D159" s="389"/>
      <c r="E159" s="389"/>
      <c r="F159" s="389"/>
      <c r="G159" s="389"/>
      <c r="H159" s="389"/>
      <c r="I159" s="389"/>
      <c r="J159" s="3"/>
      <c r="K159" s="3"/>
      <c r="L159" s="3"/>
      <c r="M159" s="3"/>
      <c r="N159" s="81"/>
    </row>
    <row r="160" spans="1:14" s="79" customFormat="1" ht="15.75" customHeight="1" x14ac:dyDescent="0.25">
      <c r="A160" s="402" t="str">
        <f>'0664'!A160</f>
        <v>funding for which charter students may be eligible.  To calculate the administrative fee to be withheld for schools with more than 250 students, divide the school</v>
      </c>
      <c r="B160" s="396"/>
      <c r="C160" s="396"/>
      <c r="D160" s="396"/>
      <c r="E160" s="396"/>
      <c r="F160" s="396"/>
      <c r="G160" s="396"/>
      <c r="H160" s="396"/>
      <c r="I160" s="396"/>
      <c r="J160" s="3"/>
      <c r="K160" s="3"/>
      <c r="L160" s="3"/>
      <c r="M160" s="3"/>
      <c r="N160" s="81"/>
    </row>
    <row r="161" spans="1:21" s="79" customFormat="1" ht="15.75" customHeight="1" x14ac:dyDescent="0.25">
      <c r="A161" s="402" t="str">
        <f>'0664'!A161</f>
        <v xml:space="preserve">population into 250. Multiply that fraction times the funds available, then times 5%.  </v>
      </c>
      <c r="B161" s="396"/>
      <c r="C161" s="396"/>
      <c r="D161" s="396"/>
      <c r="E161" s="396"/>
      <c r="F161" s="396"/>
      <c r="G161" s="396"/>
      <c r="H161" s="396"/>
      <c r="I161" s="396"/>
      <c r="J161" s="3"/>
      <c r="K161" s="3"/>
      <c r="L161" s="3"/>
      <c r="M161" s="3"/>
      <c r="N161" s="81"/>
    </row>
    <row r="162" spans="1:21" s="79" customFormat="1" ht="15.75" customHeight="1" x14ac:dyDescent="0.25">
      <c r="A162" s="401"/>
      <c r="B162" s="396"/>
      <c r="C162" s="396"/>
      <c r="D162" s="396"/>
      <c r="E162" s="396"/>
      <c r="F162" s="396"/>
      <c r="G162" s="396"/>
      <c r="H162" s="396"/>
      <c r="I162" s="396"/>
      <c r="N162" s="77"/>
      <c r="O162" s="3"/>
      <c r="P162" s="3"/>
      <c r="Q162" s="3"/>
      <c r="R162" s="3"/>
      <c r="S162" s="3"/>
      <c r="T162" s="3"/>
      <c r="U162" s="3"/>
    </row>
    <row r="163" spans="1:21" ht="15.75" customHeight="1" x14ac:dyDescent="0.25">
      <c r="A163" s="401" t="str">
        <f>'0664'!A163</f>
        <v xml:space="preserve">For high performing charter schools, administrative fees charged by the school district shall be calculated based upon 2% of available funds from the FEFP and categorical </v>
      </c>
      <c r="B163" s="389"/>
      <c r="C163" s="389"/>
      <c r="D163" s="389"/>
      <c r="E163" s="389"/>
      <c r="F163" s="389"/>
      <c r="G163" s="389"/>
      <c r="H163" s="389"/>
      <c r="I163" s="389"/>
      <c r="J163" s="79"/>
      <c r="K163" s="79"/>
      <c r="L163" s="79"/>
      <c r="M163" s="79"/>
      <c r="N163" s="81"/>
      <c r="O163" s="79"/>
      <c r="P163" s="79"/>
      <c r="Q163" s="79"/>
      <c r="R163" s="79"/>
      <c r="S163" s="79"/>
      <c r="T163" s="79"/>
      <c r="U163" s="79"/>
    </row>
    <row r="164" spans="1:21" ht="15.75" customHeight="1" x14ac:dyDescent="0.25">
      <c r="A164" s="402" t="str">
        <f>'0664'!A164</f>
        <v>funding for which charter students may be eligible.  To calculate the administrative fee to be withheld for schools with more than 250 students, divide the school</v>
      </c>
      <c r="B164" s="389"/>
      <c r="C164" s="389"/>
      <c r="D164" s="389"/>
      <c r="E164" s="389"/>
      <c r="F164" s="389"/>
      <c r="G164" s="389"/>
      <c r="H164" s="389"/>
      <c r="I164" s="389"/>
      <c r="J164" s="79"/>
      <c r="K164" s="79"/>
      <c r="L164" s="79"/>
      <c r="M164" s="79"/>
      <c r="N164" s="81"/>
      <c r="O164" s="79"/>
      <c r="P164" s="79"/>
      <c r="Q164" s="79"/>
      <c r="R164" s="79"/>
      <c r="S164" s="79"/>
      <c r="T164" s="79"/>
      <c r="U164" s="79"/>
    </row>
    <row r="165" spans="1:21" s="79" customFormat="1" ht="15.75" customHeight="1" x14ac:dyDescent="0.2">
      <c r="A165" s="402" t="str">
        <f>'0664'!A165</f>
        <v xml:space="preserve">population into 250. Multiply that fraction times the funds available, then times 2%.  </v>
      </c>
      <c r="B165" s="389"/>
      <c r="C165" s="389"/>
      <c r="D165" s="389"/>
      <c r="E165" s="389"/>
      <c r="F165" s="389"/>
      <c r="G165" s="389"/>
      <c r="H165" s="389"/>
      <c r="I165" s="389"/>
      <c r="N165" s="81"/>
    </row>
    <row r="166" spans="1:21" x14ac:dyDescent="0.25">
      <c r="A166" s="384"/>
      <c r="B166" s="389"/>
      <c r="C166" s="389"/>
      <c r="D166" s="389"/>
      <c r="E166" s="389"/>
      <c r="F166" s="389"/>
      <c r="G166" s="389"/>
      <c r="H166" s="389"/>
      <c r="I166" s="389"/>
      <c r="N166" s="77"/>
    </row>
    <row r="167" spans="1:21" x14ac:dyDescent="0.25">
      <c r="A167" s="397" t="str">
        <f>'0664'!A167</f>
        <v>Other:</v>
      </c>
      <c r="B167" s="395"/>
      <c r="C167" s="395"/>
      <c r="D167" s="395"/>
      <c r="E167" s="395"/>
      <c r="F167" s="395"/>
      <c r="G167" s="395"/>
      <c r="H167" s="395"/>
      <c r="I167" s="395"/>
      <c r="N167" s="77"/>
    </row>
    <row r="168" spans="1:21" x14ac:dyDescent="0.25">
      <c r="A168" s="401" t="str">
        <f>'0664'!A168</f>
        <v>FEFP and categorical funding are recalculated during the year to reflect the revised number of full-time equivalent students reported during the survey periods designated</v>
      </c>
      <c r="B168" s="389"/>
      <c r="C168" s="389"/>
      <c r="D168" s="389"/>
      <c r="E168" s="389"/>
      <c r="F168" s="389"/>
      <c r="G168" s="389"/>
      <c r="H168" s="389"/>
      <c r="I168" s="389"/>
      <c r="N168" s="77"/>
    </row>
    <row r="169" spans="1:21" x14ac:dyDescent="0.25">
      <c r="A169" s="402" t="str">
        <f>'0664'!A169</f>
        <v>by the Commissioner of Education.</v>
      </c>
      <c r="B169" s="396"/>
      <c r="C169" s="396"/>
      <c r="D169" s="396"/>
      <c r="E169" s="396"/>
      <c r="F169" s="396"/>
      <c r="G169" s="396"/>
      <c r="H169" s="396"/>
      <c r="I169" s="396"/>
      <c r="N169" s="77"/>
    </row>
    <row r="170" spans="1:21" x14ac:dyDescent="0.25">
      <c r="A170" s="401" t="str">
        <f>'0664'!A170</f>
        <v>Revenues flow to districts from state sources and from county tax collectors on various distribution schedules.</v>
      </c>
      <c r="B170" s="389"/>
      <c r="C170" s="389"/>
      <c r="D170" s="389"/>
      <c r="E170" s="389"/>
      <c r="F170" s="389"/>
      <c r="G170" s="389"/>
      <c r="H170" s="389"/>
      <c r="I170" s="389"/>
      <c r="N170" s="77"/>
    </row>
    <row r="171" spans="1:21" x14ac:dyDescent="0.25">
      <c r="A171" s="328"/>
      <c r="B171" s="328"/>
      <c r="C171" s="328"/>
      <c r="D171" s="328"/>
      <c r="E171" s="328"/>
      <c r="F171" s="328"/>
      <c r="G171" s="328"/>
      <c r="H171" s="328"/>
      <c r="I171" s="328"/>
      <c r="N171" s="77"/>
    </row>
    <row r="172" spans="1:21" x14ac:dyDescent="0.25">
      <c r="A172" s="77"/>
      <c r="N172" s="77"/>
    </row>
    <row r="173" spans="1:21" x14ac:dyDescent="0.25">
      <c r="A173" s="77"/>
      <c r="N173" s="77"/>
    </row>
    <row r="174" spans="1:21" x14ac:dyDescent="0.25">
      <c r="A174" s="77"/>
      <c r="N174" s="77"/>
    </row>
    <row r="175" spans="1:21" x14ac:dyDescent="0.25">
      <c r="A175" s="77"/>
      <c r="B175" s="157"/>
      <c r="C175" s="157"/>
      <c r="D175" s="157"/>
      <c r="E175" s="157"/>
      <c r="F175" s="157"/>
      <c r="G175" s="157"/>
      <c r="H175" s="157"/>
      <c r="I175" s="157"/>
      <c r="N175" s="77"/>
    </row>
    <row r="176" spans="1:21" x14ac:dyDescent="0.25">
      <c r="A176" s="77"/>
      <c r="N176" s="77"/>
    </row>
    <row r="177" spans="1:14" x14ac:dyDescent="0.25">
      <c r="A177" s="77"/>
      <c r="N177" s="77"/>
    </row>
    <row r="178" spans="1:14" x14ac:dyDescent="0.25">
      <c r="A178" s="77"/>
      <c r="N178" s="77"/>
    </row>
    <row r="179" spans="1:14" x14ac:dyDescent="0.25">
      <c r="A179" s="77"/>
      <c r="N179" s="77"/>
    </row>
    <row r="180" spans="1:14" x14ac:dyDescent="0.25">
      <c r="A180" s="77"/>
      <c r="N180" s="77"/>
    </row>
    <row r="181" spans="1:14" x14ac:dyDescent="0.25">
      <c r="A181" s="77"/>
      <c r="N181" s="77"/>
    </row>
    <row r="182" spans="1:14" x14ac:dyDescent="0.25">
      <c r="A182" s="77"/>
      <c r="N182" s="77"/>
    </row>
    <row r="183" spans="1:14" x14ac:dyDescent="0.25">
      <c r="A183" s="77"/>
      <c r="N183" s="77"/>
    </row>
    <row r="184" spans="1:14" x14ac:dyDescent="0.25">
      <c r="A184" s="77"/>
      <c r="N184" s="77"/>
    </row>
    <row r="185" spans="1:14" x14ac:dyDescent="0.25">
      <c r="A185" s="77"/>
      <c r="N185" s="77"/>
    </row>
    <row r="186" spans="1:14" x14ac:dyDescent="0.25">
      <c r="A186" s="77"/>
      <c r="N186" s="77"/>
    </row>
    <row r="187" spans="1:14" x14ac:dyDescent="0.25">
      <c r="A187" s="77"/>
      <c r="N187" s="77"/>
    </row>
    <row r="188" spans="1:14" x14ac:dyDescent="0.25">
      <c r="A188" s="77"/>
    </row>
    <row r="189" spans="1:14" x14ac:dyDescent="0.25">
      <c r="A189" s="77"/>
    </row>
    <row r="190" spans="1:14" x14ac:dyDescent="0.25">
      <c r="A190" s="77"/>
    </row>
    <row r="191" spans="1:14" x14ac:dyDescent="0.25">
      <c r="A191" s="77"/>
    </row>
    <row r="192" spans="1:14" x14ac:dyDescent="0.25">
      <c r="A192" s="77"/>
    </row>
    <row r="193" spans="1:1" x14ac:dyDescent="0.25">
      <c r="A193" s="77"/>
    </row>
    <row r="194" spans="1:1" x14ac:dyDescent="0.25">
      <c r="A194" s="77"/>
    </row>
    <row r="195" spans="1:1" x14ac:dyDescent="0.25">
      <c r="A195" s="77"/>
    </row>
    <row r="196" spans="1:1" x14ac:dyDescent="0.25">
      <c r="A196" s="77"/>
    </row>
    <row r="197" spans="1:1" x14ac:dyDescent="0.25">
      <c r="A197" s="77"/>
    </row>
    <row r="198" spans="1:1" x14ac:dyDescent="0.25">
      <c r="A198" s="77"/>
    </row>
    <row r="199" spans="1:1" x14ac:dyDescent="0.25">
      <c r="A199" s="77"/>
    </row>
    <row r="200" spans="1:1" x14ac:dyDescent="0.25">
      <c r="A200" s="77"/>
    </row>
    <row r="201" spans="1:1" x14ac:dyDescent="0.25">
      <c r="A201" s="77"/>
    </row>
    <row r="202" spans="1:1" x14ac:dyDescent="0.25">
      <c r="A202" s="77"/>
    </row>
    <row r="203" spans="1:1" x14ac:dyDescent="0.25">
      <c r="A203" s="77"/>
    </row>
    <row r="204" spans="1:1" x14ac:dyDescent="0.25">
      <c r="A204" s="77"/>
    </row>
    <row r="205" spans="1:1" x14ac:dyDescent="0.25">
      <c r="A205" s="77"/>
    </row>
    <row r="206" spans="1:1" x14ac:dyDescent="0.25">
      <c r="A206" s="77"/>
    </row>
  </sheetData>
  <mergeCells count="266">
    <mergeCell ref="R109:S109"/>
    <mergeCell ref="A110:B110"/>
    <mergeCell ref="N110:O110"/>
    <mergeCell ref="N139:U139"/>
    <mergeCell ref="N119:U119"/>
    <mergeCell ref="N113:P113"/>
    <mergeCell ref="A113:C113"/>
    <mergeCell ref="F113:H113"/>
    <mergeCell ref="N114:T114"/>
    <mergeCell ref="A115:H115"/>
    <mergeCell ref="A119:G119"/>
    <mergeCell ref="N120:U120"/>
    <mergeCell ref="A120:G120"/>
    <mergeCell ref="N108:O108"/>
    <mergeCell ref="P108:Q108"/>
    <mergeCell ref="A112:C112"/>
    <mergeCell ref="F112:H112"/>
    <mergeCell ref="N112:P112"/>
    <mergeCell ref="A109:B109"/>
    <mergeCell ref="F109:G109"/>
    <mergeCell ref="N109:O109"/>
    <mergeCell ref="P109:Q109"/>
    <mergeCell ref="R106:S106"/>
    <mergeCell ref="A99:B99"/>
    <mergeCell ref="N99:O99"/>
    <mergeCell ref="P99:R99"/>
    <mergeCell ref="A100:B100"/>
    <mergeCell ref="N100:O100"/>
    <mergeCell ref="P100:R100"/>
    <mergeCell ref="R108:S108"/>
    <mergeCell ref="A103:C103"/>
    <mergeCell ref="F103:I103"/>
    <mergeCell ref="N103:U103"/>
    <mergeCell ref="C104:E104"/>
    <mergeCell ref="F105:G105"/>
    <mergeCell ref="A106:B106"/>
    <mergeCell ref="F106:G106"/>
    <mergeCell ref="N106:O106"/>
    <mergeCell ref="P106:Q106"/>
    <mergeCell ref="A107:B107"/>
    <mergeCell ref="F107:G107"/>
    <mergeCell ref="N107:O107"/>
    <mergeCell ref="P107:Q107"/>
    <mergeCell ref="R107:S107"/>
    <mergeCell ref="A108:B108"/>
    <mergeCell ref="F108:G108"/>
    <mergeCell ref="C91:D91"/>
    <mergeCell ref="P91:Q91"/>
    <mergeCell ref="C92:D92"/>
    <mergeCell ref="P92:Q92"/>
    <mergeCell ref="C93:D93"/>
    <mergeCell ref="P93:T93"/>
    <mergeCell ref="A94:I94"/>
    <mergeCell ref="N94:U94"/>
    <mergeCell ref="F96:I96"/>
    <mergeCell ref="N96:P96"/>
    <mergeCell ref="Q96:T96"/>
    <mergeCell ref="A87:I87"/>
    <mergeCell ref="N87:U87"/>
    <mergeCell ref="C88:D88"/>
    <mergeCell ref="C89:D89"/>
    <mergeCell ref="N89:O89"/>
    <mergeCell ref="P89:Q89"/>
    <mergeCell ref="R89:U89"/>
    <mergeCell ref="C90:D90"/>
    <mergeCell ref="P90:Q90"/>
    <mergeCell ref="A80:C80"/>
    <mergeCell ref="N80:P80"/>
    <mergeCell ref="A85:C85"/>
    <mergeCell ref="N85:P85"/>
    <mergeCell ref="F73:H73"/>
    <mergeCell ref="N73:T73"/>
    <mergeCell ref="N74:T74"/>
    <mergeCell ref="A78:C78"/>
    <mergeCell ref="N78:P78"/>
    <mergeCell ref="A79:C79"/>
    <mergeCell ref="A69:C69"/>
    <mergeCell ref="N69:P69"/>
    <mergeCell ref="N79:P79"/>
    <mergeCell ref="A76:C76"/>
    <mergeCell ref="N76:P76"/>
    <mergeCell ref="A77:C77"/>
    <mergeCell ref="A70:C70"/>
    <mergeCell ref="A71:C71"/>
    <mergeCell ref="N71:P71"/>
    <mergeCell ref="A72:C72"/>
    <mergeCell ref="N77:P77"/>
    <mergeCell ref="N72:P72"/>
    <mergeCell ref="A65:B65"/>
    <mergeCell ref="D65:G65"/>
    <mergeCell ref="N65:O65"/>
    <mergeCell ref="Q65:S65"/>
    <mergeCell ref="T65:U65"/>
    <mergeCell ref="N66:S66"/>
    <mergeCell ref="T66:U66"/>
    <mergeCell ref="A68:C68"/>
    <mergeCell ref="N68:P68"/>
    <mergeCell ref="A62:B62"/>
    <mergeCell ref="D62:G62"/>
    <mergeCell ref="N62:O62"/>
    <mergeCell ref="Q62:S62"/>
    <mergeCell ref="T62:U62"/>
    <mergeCell ref="N63:S63"/>
    <mergeCell ref="T63:U63"/>
    <mergeCell ref="A64:I64"/>
    <mergeCell ref="N64:U64"/>
    <mergeCell ref="A59:B59"/>
    <mergeCell ref="F59:H59"/>
    <mergeCell ref="N59:O59"/>
    <mergeCell ref="P59:Q59"/>
    <mergeCell ref="R59:T59"/>
    <mergeCell ref="A60:I60"/>
    <mergeCell ref="N60:U60"/>
    <mergeCell ref="A61:I61"/>
    <mergeCell ref="N61:U61"/>
    <mergeCell ref="A50:B58"/>
    <mergeCell ref="N50:O58"/>
    <mergeCell ref="P50:Q50"/>
    <mergeCell ref="P51:Q51"/>
    <mergeCell ref="P52:Q52"/>
    <mergeCell ref="P53:Q53"/>
    <mergeCell ref="P54:Q54"/>
    <mergeCell ref="P55:Q55"/>
    <mergeCell ref="P56:Q56"/>
    <mergeCell ref="P57:Q57"/>
    <mergeCell ref="P58:Q58"/>
    <mergeCell ref="A42:B42"/>
    <mergeCell ref="N42:O42"/>
    <mergeCell ref="P42:T42"/>
    <mergeCell ref="N43:Q43"/>
    <mergeCell ref="S43:T43"/>
    <mergeCell ref="N45:Q45"/>
    <mergeCell ref="S45:T45"/>
    <mergeCell ref="N49:O49"/>
    <mergeCell ref="P49:Q49"/>
    <mergeCell ref="A39:B39"/>
    <mergeCell ref="N39:O39"/>
    <mergeCell ref="P39:T39"/>
    <mergeCell ref="A40:B40"/>
    <mergeCell ref="N40:O40"/>
    <mergeCell ref="P40:T40"/>
    <mergeCell ref="A41:B41"/>
    <mergeCell ref="N41:O41"/>
    <mergeCell ref="P41:T41"/>
    <mergeCell ref="N34:T34"/>
    <mergeCell ref="A36:B36"/>
    <mergeCell ref="N36:O36"/>
    <mergeCell ref="P36:T36"/>
    <mergeCell ref="A37:B37"/>
    <mergeCell ref="N37:O37"/>
    <mergeCell ref="P37:T37"/>
    <mergeCell ref="F33:H36"/>
    <mergeCell ref="A38:B38"/>
    <mergeCell ref="N38:O38"/>
    <mergeCell ref="P38:T38"/>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A20:B20"/>
    <mergeCell ref="F20:G20"/>
    <mergeCell ref="N20:O20"/>
    <mergeCell ref="P20:Q20"/>
    <mergeCell ref="R20:S20"/>
    <mergeCell ref="A19:B19"/>
    <mergeCell ref="A21:B21"/>
    <mergeCell ref="F21:G21"/>
    <mergeCell ref="N21:O21"/>
    <mergeCell ref="P21:Q21"/>
    <mergeCell ref="R21:S21"/>
    <mergeCell ref="A18:B18"/>
    <mergeCell ref="F18:G18"/>
    <mergeCell ref="N18:O18"/>
    <mergeCell ref="P18:Q18"/>
    <mergeCell ref="R18:S18"/>
    <mergeCell ref="A17:B17"/>
    <mergeCell ref="F17:G17"/>
    <mergeCell ref="F19:G19"/>
    <mergeCell ref="N19:O19"/>
    <mergeCell ref="P19:Q19"/>
    <mergeCell ref="R19:S19"/>
    <mergeCell ref="A16:B16"/>
    <mergeCell ref="F16:G16"/>
    <mergeCell ref="N16:O16"/>
    <mergeCell ref="P16:Q16"/>
    <mergeCell ref="R16:S16"/>
    <mergeCell ref="A15:B15"/>
    <mergeCell ref="F15:G15"/>
    <mergeCell ref="N17:O17"/>
    <mergeCell ref="P17:Q17"/>
    <mergeCell ref="R17:S17"/>
    <mergeCell ref="A14:B14"/>
    <mergeCell ref="F14:G14"/>
    <mergeCell ref="N14:O14"/>
    <mergeCell ref="P14:Q14"/>
    <mergeCell ref="R14:S14"/>
    <mergeCell ref="A13:B13"/>
    <mergeCell ref="F13:G13"/>
    <mergeCell ref="N15:O15"/>
    <mergeCell ref="P15:Q15"/>
    <mergeCell ref="R15:S15"/>
    <mergeCell ref="A12:B12"/>
    <mergeCell ref="F12:G12"/>
    <mergeCell ref="N12:O12"/>
    <mergeCell ref="P12:Q12"/>
    <mergeCell ref="R12:S12"/>
    <mergeCell ref="A11:B11"/>
    <mergeCell ref="F11:G11"/>
    <mergeCell ref="N13:O13"/>
    <mergeCell ref="P13:Q13"/>
    <mergeCell ref="R13:S13"/>
    <mergeCell ref="N8:O8"/>
    <mergeCell ref="P8:Q8"/>
    <mergeCell ref="R8:S8"/>
    <mergeCell ref="T8:U8"/>
    <mergeCell ref="F10:G10"/>
    <mergeCell ref="R10:S10"/>
    <mergeCell ref="A7:I7"/>
    <mergeCell ref="N11:O11"/>
    <mergeCell ref="P11:Q11"/>
    <mergeCell ref="R11:S11"/>
    <mergeCell ref="B1:I1"/>
    <mergeCell ref="O1:U1"/>
    <mergeCell ref="N2:U2"/>
    <mergeCell ref="N3:U3"/>
    <mergeCell ref="A4:B4"/>
    <mergeCell ref="C4:E4"/>
    <mergeCell ref="N4:O4"/>
    <mergeCell ref="P4:Q4"/>
    <mergeCell ref="N7:U7"/>
  </mergeCells>
  <pageMargins left="0.1" right="0.1" top="0.5" bottom="0.5" header="0" footer="0.1"/>
  <pageSetup scale="70" fitToHeight="3" orientation="portrait" r:id="rId1"/>
  <headerFooter alignWithMargins="0">
    <oddFooter>&amp;R&amp;P of &amp;N</oddFooter>
  </headerFooter>
  <rowBreaks count="1" manualBreakCount="1">
    <brk id="138" max="16383" man="1"/>
  </rowBreaks>
  <colBreaks count="1" manualBreakCount="1">
    <brk id="9"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CCFFCC"/>
  </sheetPr>
  <dimension ref="A1:U206"/>
  <sheetViews>
    <sheetView showGridLines="0" zoomScaleNormal="100" workbookViewId="0">
      <pane ySplit="1" topLeftCell="A50" activePane="bottomLeft" state="frozen"/>
      <selection activeCell="I9" sqref="I9"/>
      <selection pane="bottomLeft" activeCell="D50" sqref="D50:D58"/>
    </sheetView>
  </sheetViews>
  <sheetFormatPr defaultRowHeight="15.75" x14ac:dyDescent="0.25"/>
  <cols>
    <col min="1" max="1" width="10.28515625" style="72"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72"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5">
        <v>50</v>
      </c>
      <c r="B1" s="441" t="s">
        <v>17</v>
      </c>
      <c r="C1" s="442"/>
      <c r="D1" s="442"/>
      <c r="E1" s="442"/>
      <c r="F1" s="442"/>
      <c r="G1" s="442"/>
      <c r="H1" s="442"/>
      <c r="I1" s="442"/>
      <c r="J1" s="157"/>
      <c r="K1" s="157"/>
      <c r="L1" s="157"/>
      <c r="N1" s="85">
        <f>A1</f>
        <v>50</v>
      </c>
      <c r="O1" s="527" t="s">
        <v>17</v>
      </c>
      <c r="P1" s="528"/>
      <c r="Q1" s="528"/>
      <c r="R1" s="528"/>
      <c r="S1" s="528"/>
      <c r="T1" s="528"/>
      <c r="U1" s="528"/>
    </row>
    <row r="2" spans="1:21" ht="21" x14ac:dyDescent="0.35">
      <c r="A2" s="1" t="s">
        <v>156</v>
      </c>
      <c r="B2" s="2"/>
      <c r="C2" s="2"/>
      <c r="D2" s="2"/>
      <c r="E2" s="2"/>
      <c r="F2" s="2"/>
      <c r="G2" s="2"/>
      <c r="H2" s="2"/>
      <c r="I2" s="2"/>
      <c r="N2" s="529" t="s">
        <v>23</v>
      </c>
      <c r="O2" s="529"/>
      <c r="P2" s="529"/>
      <c r="Q2" s="529"/>
      <c r="R2" s="529"/>
      <c r="S2" s="529"/>
      <c r="T2" s="529"/>
      <c r="U2" s="529"/>
    </row>
    <row r="3" spans="1:21" x14ac:dyDescent="0.25">
      <c r="A3" s="84" t="str">
        <f>'0664'!A3</f>
        <v>Based on the FLDOE 2022-23 FEFP Third Calculation</v>
      </c>
      <c r="N3" s="485" t="str">
        <f>A3</f>
        <v>Based on the FLDOE 2022-23 FEFP Third Calculation</v>
      </c>
      <c r="O3" s="485"/>
      <c r="P3" s="485"/>
      <c r="Q3" s="485"/>
      <c r="R3" s="485"/>
      <c r="S3" s="485"/>
      <c r="T3" s="485"/>
      <c r="U3" s="485"/>
    </row>
    <row r="4" spans="1:21" x14ac:dyDescent="0.25">
      <c r="A4" s="443" t="s">
        <v>0</v>
      </c>
      <c r="B4" s="443"/>
      <c r="C4" s="444" t="s">
        <v>9</v>
      </c>
      <c r="D4" s="444"/>
      <c r="E4" s="444"/>
      <c r="F4" s="4" t="str">
        <f>'0664'!F4</f>
        <v>Apr 2023</v>
      </c>
      <c r="G4" s="4"/>
      <c r="H4" s="4"/>
      <c r="I4" s="4"/>
      <c r="N4" s="530" t="s">
        <v>0</v>
      </c>
      <c r="O4" s="530"/>
      <c r="P4" s="531" t="str">
        <f>C4</f>
        <v>Palm Beach</v>
      </c>
      <c r="Q4" s="531"/>
      <c r="R4" s="5"/>
      <c r="S4" s="5"/>
      <c r="T4" s="5"/>
      <c r="U4" s="5"/>
    </row>
    <row r="5" spans="1:21" ht="12" customHeight="1" thickBot="1" x14ac:dyDescent="0.3">
      <c r="A5" s="262"/>
      <c r="B5" s="262"/>
      <c r="C5" s="253"/>
      <c r="D5" s="253"/>
      <c r="E5" s="253"/>
      <c r="F5" s="254"/>
      <c r="G5" s="254"/>
      <c r="H5" s="254"/>
      <c r="I5" s="254"/>
      <c r="N5" s="86"/>
      <c r="O5" s="86"/>
      <c r="P5" s="6"/>
      <c r="Q5" s="6"/>
      <c r="R5" s="5"/>
      <c r="S5" s="5"/>
      <c r="T5" s="5"/>
      <c r="U5" s="5"/>
    </row>
    <row r="6" spans="1:21" ht="12" customHeight="1" x14ac:dyDescent="0.25">
      <c r="A6" s="150"/>
      <c r="B6" s="150"/>
      <c r="C6" s="261"/>
      <c r="D6" s="261"/>
      <c r="E6" s="261"/>
      <c r="F6" s="4"/>
      <c r="G6" s="4"/>
      <c r="H6" s="4"/>
      <c r="I6" s="4"/>
      <c r="N6" s="86"/>
      <c r="O6" s="86"/>
      <c r="P6" s="6"/>
      <c r="Q6" s="6"/>
      <c r="R6" s="5"/>
      <c r="S6" s="5"/>
      <c r="T6" s="5"/>
      <c r="U6" s="5"/>
    </row>
    <row r="7" spans="1:21" x14ac:dyDescent="0.25">
      <c r="A7" s="445" t="str">
        <f>'0664'!A7:I7</f>
        <v>1.   2022-23 FEFP State and Local Funding</v>
      </c>
      <c r="B7" s="533"/>
      <c r="C7" s="533"/>
      <c r="D7" s="533"/>
      <c r="E7" s="533"/>
      <c r="F7" s="533"/>
      <c r="G7" s="533"/>
      <c r="H7" s="533"/>
      <c r="I7" s="533"/>
      <c r="N7" s="530" t="s">
        <v>86</v>
      </c>
      <c r="O7" s="530"/>
      <c r="P7" s="530"/>
      <c r="Q7" s="530"/>
      <c r="R7" s="530"/>
      <c r="S7" s="530"/>
      <c r="T7" s="530"/>
      <c r="U7" s="530"/>
    </row>
    <row r="8" spans="1:21" x14ac:dyDescent="0.25">
      <c r="A8" s="87"/>
      <c r="B8" s="88" t="s">
        <v>123</v>
      </c>
      <c r="C8" s="334">
        <f>'0664'!C8</f>
        <v>4587.3999999999996</v>
      </c>
      <c r="D8" s="89"/>
      <c r="E8" s="90"/>
      <c r="F8" s="87"/>
      <c r="G8" s="88" t="s">
        <v>122</v>
      </c>
      <c r="H8" s="320">
        <f>'0664'!H8</f>
        <v>1.0438000000000001</v>
      </c>
      <c r="I8" s="78"/>
      <c r="N8" s="534" t="s">
        <v>10</v>
      </c>
      <c r="O8" s="534"/>
      <c r="P8" s="535">
        <v>4154.45</v>
      </c>
      <c r="Q8" s="535"/>
      <c r="R8" s="518" t="s">
        <v>11</v>
      </c>
      <c r="S8" s="518"/>
      <c r="T8" s="519">
        <f>H8</f>
        <v>1.0438000000000001</v>
      </c>
      <c r="U8" s="519"/>
    </row>
    <row r="9" spans="1:21" x14ac:dyDescent="0.25">
      <c r="A9" s="7"/>
      <c r="B9" s="44" t="s">
        <v>370</v>
      </c>
      <c r="C9" s="41" t="s">
        <v>370</v>
      </c>
      <c r="D9" s="91" t="s">
        <v>370</v>
      </c>
      <c r="E9" s="8"/>
      <c r="F9" s="9"/>
      <c r="G9" s="9"/>
      <c r="H9" s="10"/>
      <c r="I9" s="340" t="str">
        <f>'0664'!I9</f>
        <v>2022-23</v>
      </c>
      <c r="N9" s="12"/>
      <c r="O9" s="12"/>
      <c r="P9" s="13"/>
      <c r="Q9" s="13"/>
      <c r="R9" s="14"/>
      <c r="S9" s="14"/>
      <c r="T9" s="15"/>
      <c r="U9" s="405" t="s">
        <v>405</v>
      </c>
    </row>
    <row r="10" spans="1:21" x14ac:dyDescent="0.25">
      <c r="A10" s="7"/>
      <c r="B10" s="7"/>
      <c r="C10" s="91" t="s">
        <v>463</v>
      </c>
      <c r="D10" s="371" t="s">
        <v>464</v>
      </c>
      <c r="E10" s="92" t="s">
        <v>8</v>
      </c>
      <c r="F10" s="446" t="s">
        <v>1</v>
      </c>
      <c r="G10" s="446"/>
      <c r="H10" s="10" t="s">
        <v>73</v>
      </c>
      <c r="I10" s="11" t="s">
        <v>36</v>
      </c>
      <c r="N10" s="12"/>
      <c r="O10" s="12"/>
      <c r="P10" s="13"/>
      <c r="Q10" s="13"/>
      <c r="R10" s="520" t="s">
        <v>1</v>
      </c>
      <c r="S10" s="520"/>
      <c r="T10" s="15" t="s">
        <v>73</v>
      </c>
      <c r="U10" s="16" t="s">
        <v>36</v>
      </c>
    </row>
    <row r="11" spans="1:21" x14ac:dyDescent="0.25">
      <c r="A11" s="447" t="s">
        <v>1</v>
      </c>
      <c r="B11" s="447"/>
      <c r="C11" s="362" t="s">
        <v>2</v>
      </c>
      <c r="D11" s="362" t="s">
        <v>2</v>
      </c>
      <c r="E11" s="362" t="s">
        <v>2</v>
      </c>
      <c r="F11" s="448" t="s">
        <v>76</v>
      </c>
      <c r="G11" s="448"/>
      <c r="H11" s="17" t="s">
        <v>72</v>
      </c>
      <c r="I11" s="18" t="s">
        <v>75</v>
      </c>
      <c r="N11" s="510" t="s">
        <v>1</v>
      </c>
      <c r="O11" s="510"/>
      <c r="P11" s="521" t="s">
        <v>24</v>
      </c>
      <c r="Q11" s="521"/>
      <c r="R11" s="522" t="s">
        <v>76</v>
      </c>
      <c r="S11" s="522"/>
      <c r="T11" s="19" t="s">
        <v>72</v>
      </c>
      <c r="U11" s="20" t="s">
        <v>75</v>
      </c>
    </row>
    <row r="12" spans="1:21" x14ac:dyDescent="0.25">
      <c r="A12" s="449" t="s">
        <v>47</v>
      </c>
      <c r="B12" s="449"/>
      <c r="C12" s="94"/>
      <c r="D12" s="94"/>
      <c r="E12" s="95" t="s">
        <v>48</v>
      </c>
      <c r="F12" s="450" t="s">
        <v>49</v>
      </c>
      <c r="G12" s="450"/>
      <c r="H12" s="21" t="s">
        <v>50</v>
      </c>
      <c r="I12" s="22" t="s">
        <v>51</v>
      </c>
      <c r="N12" s="523" t="s">
        <v>47</v>
      </c>
      <c r="O12" s="523"/>
      <c r="P12" s="524" t="s">
        <v>48</v>
      </c>
      <c r="Q12" s="524"/>
      <c r="R12" s="525" t="s">
        <v>49</v>
      </c>
      <c r="S12" s="525"/>
      <c r="T12" s="23" t="s">
        <v>50</v>
      </c>
      <c r="U12" s="24" t="s">
        <v>51</v>
      </c>
    </row>
    <row r="13" spans="1:21" x14ac:dyDescent="0.25">
      <c r="A13" s="451" t="s">
        <v>29</v>
      </c>
      <c r="B13" s="451"/>
      <c r="C13" s="165">
        <v>0</v>
      </c>
      <c r="D13" s="163">
        <v>0</v>
      </c>
      <c r="E13" s="210">
        <f>IF(D$29=0,C13*2,C13+D13)</f>
        <v>0</v>
      </c>
      <c r="F13" s="537">
        <f>'0664'!F13:G13</f>
        <v>1.1259999999999999</v>
      </c>
      <c r="G13" s="537"/>
      <c r="H13" s="167">
        <f>ROUND(E13*F13,4)</f>
        <v>0</v>
      </c>
      <c r="I13" s="119">
        <f t="shared" ref="I13:I28" si="0">ROUND(ROUND(H13*$C$8,4)*($H$8),2)</f>
        <v>0</v>
      </c>
      <c r="N13" s="512" t="s">
        <v>29</v>
      </c>
      <c r="O13" s="512"/>
      <c r="P13" s="513">
        <f t="shared" ref="P13:P28" si="1">IF($H$120=1,E13,0)</f>
        <v>0</v>
      </c>
      <c r="Q13" s="513"/>
      <c r="R13" s="526">
        <v>1</v>
      </c>
      <c r="S13" s="526"/>
      <c r="T13" s="98">
        <f>ROUND(P13*R13,4)</f>
        <v>0</v>
      </c>
      <c r="U13" s="99">
        <f t="shared" ref="U13:U28" si="2">ROUND(ROUND(T13*$C$8,4)*($H$8),0)</f>
        <v>0</v>
      </c>
    </row>
    <row r="14" spans="1:21" x14ac:dyDescent="0.25">
      <c r="A14" s="453" t="s">
        <v>30</v>
      </c>
      <c r="B14" s="453"/>
      <c r="C14" s="165">
        <v>0</v>
      </c>
      <c r="D14" s="165">
        <v>0</v>
      </c>
      <c r="E14" s="125">
        <f t="shared" ref="E14:E28" si="3">IF(D$29=0,C14*2,C14+D14)</f>
        <v>0</v>
      </c>
      <c r="F14" s="532">
        <f>'0664'!F14:G14</f>
        <v>1.1259999999999999</v>
      </c>
      <c r="G14" s="532"/>
      <c r="H14" s="83">
        <f t="shared" ref="H14:H28" si="4">ROUND(E14*F14,4)</f>
        <v>0</v>
      </c>
      <c r="I14" s="104">
        <f t="shared" si="0"/>
        <v>0</v>
      </c>
      <c r="J14" s="68" t="str">
        <f>IF(ROUND(E14,2)=ROUND(SUM(E50:E52),2)," ","CHECK PK-3 LINES BELOW")</f>
        <v xml:space="preserve"> </v>
      </c>
      <c r="N14" s="479" t="s">
        <v>30</v>
      </c>
      <c r="O14" s="479"/>
      <c r="P14" s="513">
        <f t="shared" si="1"/>
        <v>0</v>
      </c>
      <c r="Q14" s="513"/>
      <c r="R14" s="517">
        <v>1</v>
      </c>
      <c r="S14" s="517"/>
      <c r="T14" s="98">
        <f t="shared" ref="T14:T28" si="5">ROUND(P14*R14,4)</f>
        <v>0</v>
      </c>
      <c r="U14" s="99">
        <f t="shared" si="2"/>
        <v>0</v>
      </c>
    </row>
    <row r="15" spans="1:21" x14ac:dyDescent="0.25">
      <c r="A15" s="453" t="s">
        <v>31</v>
      </c>
      <c r="B15" s="453"/>
      <c r="C15" s="165">
        <v>0</v>
      </c>
      <c r="D15" s="165">
        <v>0</v>
      </c>
      <c r="E15" s="125">
        <f t="shared" si="3"/>
        <v>0</v>
      </c>
      <c r="F15" s="532">
        <f>'0664'!F15:G15</f>
        <v>1</v>
      </c>
      <c r="G15" s="532"/>
      <c r="H15" s="83">
        <f t="shared" si="4"/>
        <v>0</v>
      </c>
      <c r="I15" s="104">
        <f t="shared" si="0"/>
        <v>0</v>
      </c>
      <c r="N15" s="479" t="s">
        <v>31</v>
      </c>
      <c r="O15" s="479"/>
      <c r="P15" s="513">
        <f t="shared" si="1"/>
        <v>0</v>
      </c>
      <c r="Q15" s="513"/>
      <c r="R15" s="517">
        <v>1</v>
      </c>
      <c r="S15" s="517"/>
      <c r="T15" s="98">
        <f t="shared" si="5"/>
        <v>0</v>
      </c>
      <c r="U15" s="99">
        <f t="shared" si="2"/>
        <v>0</v>
      </c>
    </row>
    <row r="16" spans="1:21" x14ac:dyDescent="0.25">
      <c r="A16" s="453" t="s">
        <v>32</v>
      </c>
      <c r="B16" s="453"/>
      <c r="C16" s="165">
        <v>0</v>
      </c>
      <c r="D16" s="165">
        <v>0</v>
      </c>
      <c r="E16" s="125">
        <f t="shared" si="3"/>
        <v>0</v>
      </c>
      <c r="F16" s="532">
        <f>'0664'!F16:G16</f>
        <v>1</v>
      </c>
      <c r="G16" s="532"/>
      <c r="H16" s="83">
        <f t="shared" si="4"/>
        <v>0</v>
      </c>
      <c r="I16" s="104">
        <f t="shared" si="0"/>
        <v>0</v>
      </c>
      <c r="J16" s="68" t="str">
        <f>IF(ROUND(E16,2)=ROUND(SUM(E53:E55),2)," ","CHECK 4-8 LINES BELOW")</f>
        <v xml:space="preserve"> </v>
      </c>
      <c r="N16" s="479" t="s">
        <v>32</v>
      </c>
      <c r="O16" s="479"/>
      <c r="P16" s="513">
        <f t="shared" si="1"/>
        <v>0</v>
      </c>
      <c r="Q16" s="513"/>
      <c r="R16" s="517">
        <v>1</v>
      </c>
      <c r="S16" s="517"/>
      <c r="T16" s="98">
        <f t="shared" si="5"/>
        <v>0</v>
      </c>
      <c r="U16" s="99">
        <f t="shared" si="2"/>
        <v>0</v>
      </c>
    </row>
    <row r="17" spans="1:21" x14ac:dyDescent="0.25">
      <c r="A17" s="453" t="s">
        <v>33</v>
      </c>
      <c r="B17" s="453"/>
      <c r="C17" s="165">
        <v>0</v>
      </c>
      <c r="D17" s="165">
        <v>0</v>
      </c>
      <c r="E17" s="125">
        <f t="shared" si="3"/>
        <v>0</v>
      </c>
      <c r="F17" s="532">
        <f>'0664'!F17:G17</f>
        <v>0.999</v>
      </c>
      <c r="G17" s="532"/>
      <c r="H17" s="83">
        <f t="shared" si="4"/>
        <v>0</v>
      </c>
      <c r="I17" s="104">
        <f t="shared" si="0"/>
        <v>0</v>
      </c>
      <c r="N17" s="479" t="s">
        <v>33</v>
      </c>
      <c r="O17" s="479"/>
      <c r="P17" s="513">
        <f t="shared" si="1"/>
        <v>0</v>
      </c>
      <c r="Q17" s="513"/>
      <c r="R17" s="517">
        <v>1</v>
      </c>
      <c r="S17" s="517"/>
      <c r="T17" s="98">
        <f t="shared" si="5"/>
        <v>0</v>
      </c>
      <c r="U17" s="99">
        <f t="shared" si="2"/>
        <v>0</v>
      </c>
    </row>
    <row r="18" spans="1:21" x14ac:dyDescent="0.25">
      <c r="A18" s="453" t="s">
        <v>34</v>
      </c>
      <c r="B18" s="453"/>
      <c r="C18" s="165">
        <v>20.440000000000001</v>
      </c>
      <c r="D18" s="165">
        <v>25</v>
      </c>
      <c r="E18" s="125">
        <f t="shared" si="3"/>
        <v>45.44</v>
      </c>
      <c r="F18" s="532">
        <f>'0664'!F18:G18</f>
        <v>0.999</v>
      </c>
      <c r="G18" s="532"/>
      <c r="H18" s="83">
        <f t="shared" si="4"/>
        <v>45.394599999999997</v>
      </c>
      <c r="I18" s="104">
        <f t="shared" si="0"/>
        <v>217364.24</v>
      </c>
      <c r="J18" s="68" t="str">
        <f>IF(ROUND(E18,2)=ROUND(SUM(E56:E58),2)," ","CHECK 4-8 LINES BELOW")</f>
        <v xml:space="preserve"> </v>
      </c>
      <c r="N18" s="479" t="s">
        <v>34</v>
      </c>
      <c r="O18" s="479"/>
      <c r="P18" s="513">
        <f t="shared" si="1"/>
        <v>45.44</v>
      </c>
      <c r="Q18" s="513"/>
      <c r="R18" s="517">
        <v>1</v>
      </c>
      <c r="S18" s="517"/>
      <c r="T18" s="98">
        <f t="shared" si="5"/>
        <v>45.44</v>
      </c>
      <c r="U18" s="101">
        <f t="shared" si="2"/>
        <v>217582</v>
      </c>
    </row>
    <row r="19" spans="1:21" x14ac:dyDescent="0.25">
      <c r="A19" s="453" t="s">
        <v>108</v>
      </c>
      <c r="B19" s="453"/>
      <c r="C19" s="165">
        <v>0</v>
      </c>
      <c r="D19" s="165">
        <v>0</v>
      </c>
      <c r="E19" s="125">
        <f t="shared" si="3"/>
        <v>0</v>
      </c>
      <c r="F19" s="532">
        <f>'0664'!F19:G19</f>
        <v>3.6739999999999999</v>
      </c>
      <c r="G19" s="532"/>
      <c r="H19" s="83">
        <f t="shared" si="4"/>
        <v>0</v>
      </c>
      <c r="I19" s="104">
        <f t="shared" si="0"/>
        <v>0</v>
      </c>
      <c r="N19" s="479" t="s">
        <v>108</v>
      </c>
      <c r="O19" s="479"/>
      <c r="P19" s="513">
        <f t="shared" si="1"/>
        <v>0</v>
      </c>
      <c r="Q19" s="513"/>
      <c r="R19" s="517">
        <v>1</v>
      </c>
      <c r="S19" s="517"/>
      <c r="T19" s="98">
        <f t="shared" si="5"/>
        <v>0</v>
      </c>
      <c r="U19" s="99">
        <f t="shared" si="2"/>
        <v>0</v>
      </c>
    </row>
    <row r="20" spans="1:21" x14ac:dyDescent="0.25">
      <c r="A20" s="453" t="s">
        <v>109</v>
      </c>
      <c r="B20" s="453"/>
      <c r="C20" s="165">
        <v>0</v>
      </c>
      <c r="D20" s="165">
        <v>0</v>
      </c>
      <c r="E20" s="125">
        <f t="shared" si="3"/>
        <v>0</v>
      </c>
      <c r="F20" s="532">
        <f>'0664'!F20:G20</f>
        <v>3.6739999999999999</v>
      </c>
      <c r="G20" s="532"/>
      <c r="H20" s="83">
        <f t="shared" si="4"/>
        <v>0</v>
      </c>
      <c r="I20" s="104">
        <f t="shared" si="0"/>
        <v>0</v>
      </c>
      <c r="N20" s="479" t="s">
        <v>109</v>
      </c>
      <c r="O20" s="479"/>
      <c r="P20" s="513">
        <f t="shared" si="1"/>
        <v>0</v>
      </c>
      <c r="Q20" s="513"/>
      <c r="R20" s="517">
        <v>1</v>
      </c>
      <c r="S20" s="517"/>
      <c r="T20" s="98">
        <f t="shared" si="5"/>
        <v>0</v>
      </c>
      <c r="U20" s="99">
        <f t="shared" si="2"/>
        <v>0</v>
      </c>
    </row>
    <row r="21" spans="1:21" x14ac:dyDescent="0.25">
      <c r="A21" s="453" t="s">
        <v>110</v>
      </c>
      <c r="B21" s="453"/>
      <c r="C21" s="165">
        <v>13.44</v>
      </c>
      <c r="D21" s="165">
        <v>10.29</v>
      </c>
      <c r="E21" s="125">
        <f t="shared" si="3"/>
        <v>23.729999999999997</v>
      </c>
      <c r="F21" s="532">
        <f>'0664'!F21:G21</f>
        <v>3.6739999999999999</v>
      </c>
      <c r="G21" s="532"/>
      <c r="H21" s="83">
        <f t="shared" si="4"/>
        <v>87.183999999999997</v>
      </c>
      <c r="I21" s="104">
        <f t="shared" si="0"/>
        <v>417465.59999999998</v>
      </c>
      <c r="N21" s="479" t="s">
        <v>110</v>
      </c>
      <c r="O21" s="479"/>
      <c r="P21" s="513">
        <f t="shared" si="1"/>
        <v>23.729999999999997</v>
      </c>
      <c r="Q21" s="513"/>
      <c r="R21" s="517">
        <v>1</v>
      </c>
      <c r="S21" s="517"/>
      <c r="T21" s="98">
        <f t="shared" si="5"/>
        <v>23.73</v>
      </c>
      <c r="U21" s="99">
        <f t="shared" si="2"/>
        <v>113627</v>
      </c>
    </row>
    <row r="22" spans="1:21" x14ac:dyDescent="0.25">
      <c r="A22" s="453" t="s">
        <v>111</v>
      </c>
      <c r="B22" s="453"/>
      <c r="C22" s="165">
        <v>0</v>
      </c>
      <c r="D22" s="165">
        <v>0</v>
      </c>
      <c r="E22" s="125">
        <f t="shared" si="3"/>
        <v>0</v>
      </c>
      <c r="F22" s="532">
        <f>'0664'!F22:G22</f>
        <v>5.4009999999999998</v>
      </c>
      <c r="G22" s="532"/>
      <c r="H22" s="83">
        <f t="shared" si="4"/>
        <v>0</v>
      </c>
      <c r="I22" s="104">
        <f t="shared" si="0"/>
        <v>0</v>
      </c>
      <c r="N22" s="479" t="s">
        <v>111</v>
      </c>
      <c r="O22" s="479"/>
      <c r="P22" s="513">
        <f t="shared" si="1"/>
        <v>0</v>
      </c>
      <c r="Q22" s="513"/>
      <c r="R22" s="517">
        <v>1</v>
      </c>
      <c r="S22" s="517"/>
      <c r="T22" s="98">
        <f t="shared" si="5"/>
        <v>0</v>
      </c>
      <c r="U22" s="99">
        <f t="shared" si="2"/>
        <v>0</v>
      </c>
    </row>
    <row r="23" spans="1:21" x14ac:dyDescent="0.25">
      <c r="A23" s="453" t="s">
        <v>112</v>
      </c>
      <c r="B23" s="453"/>
      <c r="C23" s="165">
        <v>0</v>
      </c>
      <c r="D23" s="165">
        <v>0</v>
      </c>
      <c r="E23" s="125">
        <f t="shared" si="3"/>
        <v>0</v>
      </c>
      <c r="F23" s="532">
        <f>'0664'!F23:G23</f>
        <v>5.4009999999999998</v>
      </c>
      <c r="G23" s="532"/>
      <c r="H23" s="83">
        <f t="shared" si="4"/>
        <v>0</v>
      </c>
      <c r="I23" s="104">
        <f t="shared" si="0"/>
        <v>0</v>
      </c>
      <c r="N23" s="479" t="s">
        <v>112</v>
      </c>
      <c r="O23" s="479"/>
      <c r="P23" s="513">
        <f t="shared" si="1"/>
        <v>0</v>
      </c>
      <c r="Q23" s="513"/>
      <c r="R23" s="517">
        <v>1</v>
      </c>
      <c r="S23" s="517"/>
      <c r="T23" s="98">
        <f t="shared" si="5"/>
        <v>0</v>
      </c>
      <c r="U23" s="99">
        <f t="shared" si="2"/>
        <v>0</v>
      </c>
    </row>
    <row r="24" spans="1:21" x14ac:dyDescent="0.25">
      <c r="A24" s="453" t="s">
        <v>113</v>
      </c>
      <c r="B24" s="453"/>
      <c r="C24" s="165">
        <v>0</v>
      </c>
      <c r="D24" s="165">
        <v>0</v>
      </c>
      <c r="E24" s="125">
        <f t="shared" si="3"/>
        <v>0</v>
      </c>
      <c r="F24" s="532">
        <f>'0664'!F24:G24</f>
        <v>5.4009999999999998</v>
      </c>
      <c r="G24" s="532"/>
      <c r="H24" s="83">
        <f t="shared" si="4"/>
        <v>0</v>
      </c>
      <c r="I24" s="104">
        <f t="shared" si="0"/>
        <v>0</v>
      </c>
      <c r="N24" s="479" t="s">
        <v>113</v>
      </c>
      <c r="O24" s="479"/>
      <c r="P24" s="513">
        <f t="shared" si="1"/>
        <v>0</v>
      </c>
      <c r="Q24" s="513"/>
      <c r="R24" s="517">
        <v>1</v>
      </c>
      <c r="S24" s="517"/>
      <c r="T24" s="98">
        <f t="shared" si="5"/>
        <v>0</v>
      </c>
      <c r="U24" s="99">
        <f t="shared" si="2"/>
        <v>0</v>
      </c>
    </row>
    <row r="25" spans="1:21" x14ac:dyDescent="0.25">
      <c r="A25" s="453" t="s">
        <v>114</v>
      </c>
      <c r="B25" s="453"/>
      <c r="C25" s="165">
        <v>0</v>
      </c>
      <c r="D25" s="165">
        <v>0</v>
      </c>
      <c r="E25" s="125">
        <f t="shared" si="3"/>
        <v>0</v>
      </c>
      <c r="F25" s="532">
        <f>'0664'!F25:G25</f>
        <v>1.206</v>
      </c>
      <c r="G25" s="532"/>
      <c r="H25" s="83">
        <f t="shared" si="4"/>
        <v>0</v>
      </c>
      <c r="I25" s="104">
        <f t="shared" si="0"/>
        <v>0</v>
      </c>
      <c r="N25" s="479" t="s">
        <v>114</v>
      </c>
      <c r="O25" s="479"/>
      <c r="P25" s="513">
        <f t="shared" si="1"/>
        <v>0</v>
      </c>
      <c r="Q25" s="513"/>
      <c r="R25" s="517">
        <v>1</v>
      </c>
      <c r="S25" s="517"/>
      <c r="T25" s="98">
        <f t="shared" si="5"/>
        <v>0</v>
      </c>
      <c r="U25" s="99">
        <f t="shared" si="2"/>
        <v>0</v>
      </c>
    </row>
    <row r="26" spans="1:21" x14ac:dyDescent="0.25">
      <c r="A26" s="453" t="s">
        <v>115</v>
      </c>
      <c r="B26" s="453"/>
      <c r="C26" s="165">
        <v>0</v>
      </c>
      <c r="D26" s="165">
        <v>0</v>
      </c>
      <c r="E26" s="125">
        <f t="shared" si="3"/>
        <v>0</v>
      </c>
      <c r="F26" s="532">
        <f>'0664'!F26:G26</f>
        <v>1.206</v>
      </c>
      <c r="G26" s="532"/>
      <c r="H26" s="83">
        <f t="shared" si="4"/>
        <v>0</v>
      </c>
      <c r="I26" s="104">
        <f t="shared" si="0"/>
        <v>0</v>
      </c>
      <c r="N26" s="479" t="s">
        <v>115</v>
      </c>
      <c r="O26" s="479"/>
      <c r="P26" s="513">
        <f t="shared" si="1"/>
        <v>0</v>
      </c>
      <c r="Q26" s="513"/>
      <c r="R26" s="517">
        <v>1</v>
      </c>
      <c r="S26" s="517"/>
      <c r="T26" s="98">
        <f t="shared" si="5"/>
        <v>0</v>
      </c>
      <c r="U26" s="99">
        <f t="shared" si="2"/>
        <v>0</v>
      </c>
    </row>
    <row r="27" spans="1:21" x14ac:dyDescent="0.25">
      <c r="A27" s="453" t="s">
        <v>116</v>
      </c>
      <c r="B27" s="453"/>
      <c r="C27" s="165">
        <v>0</v>
      </c>
      <c r="D27" s="165">
        <v>0</v>
      </c>
      <c r="E27" s="125">
        <f t="shared" si="3"/>
        <v>0</v>
      </c>
      <c r="F27" s="532">
        <f>'0664'!F27:G27</f>
        <v>1.206</v>
      </c>
      <c r="G27" s="532"/>
      <c r="H27" s="83">
        <f t="shared" si="4"/>
        <v>0</v>
      </c>
      <c r="I27" s="104">
        <f t="shared" si="0"/>
        <v>0</v>
      </c>
      <c r="N27" s="479" t="s">
        <v>116</v>
      </c>
      <c r="O27" s="479"/>
      <c r="P27" s="513">
        <f t="shared" si="1"/>
        <v>0</v>
      </c>
      <c r="Q27" s="513"/>
      <c r="R27" s="517">
        <v>1</v>
      </c>
      <c r="S27" s="517"/>
      <c r="T27" s="98">
        <f t="shared" si="5"/>
        <v>0</v>
      </c>
      <c r="U27" s="99">
        <f t="shared" si="2"/>
        <v>0</v>
      </c>
    </row>
    <row r="28" spans="1:21" x14ac:dyDescent="0.25">
      <c r="A28" s="453" t="s">
        <v>117</v>
      </c>
      <c r="B28" s="453"/>
      <c r="C28" s="116">
        <v>0</v>
      </c>
      <c r="D28" s="116">
        <v>0</v>
      </c>
      <c r="E28" s="177">
        <f t="shared" si="3"/>
        <v>0</v>
      </c>
      <c r="F28" s="532">
        <f>'0664'!F28:G28</f>
        <v>0.999</v>
      </c>
      <c r="G28" s="532"/>
      <c r="H28" s="96">
        <f t="shared" si="4"/>
        <v>0</v>
      </c>
      <c r="I28" s="97">
        <f t="shared" si="0"/>
        <v>0</v>
      </c>
      <c r="N28" s="482" t="s">
        <v>117</v>
      </c>
      <c r="O28" s="482"/>
      <c r="P28" s="513">
        <f t="shared" si="1"/>
        <v>0</v>
      </c>
      <c r="Q28" s="513"/>
      <c r="R28" s="514">
        <v>1</v>
      </c>
      <c r="S28" s="514"/>
      <c r="T28" s="98">
        <f t="shared" si="5"/>
        <v>0</v>
      </c>
      <c r="U28" s="99">
        <f t="shared" si="2"/>
        <v>0</v>
      </c>
    </row>
    <row r="29" spans="1:21" x14ac:dyDescent="0.25">
      <c r="A29" s="461" t="s">
        <v>5</v>
      </c>
      <c r="B29" s="461"/>
      <c r="C29" s="97">
        <f>SUM(C13:C28)</f>
        <v>33.880000000000003</v>
      </c>
      <c r="D29" s="97">
        <f>SUM(D13:D28)</f>
        <v>35.29</v>
      </c>
      <c r="E29" s="97">
        <f>SUM(E13:E28)</f>
        <v>69.169999999999987</v>
      </c>
      <c r="F29" s="457"/>
      <c r="G29" s="457"/>
      <c r="H29" s="102">
        <f>SUM(H13:H28)</f>
        <v>132.57859999999999</v>
      </c>
      <c r="I29" s="97">
        <f>SUM(I13:I28)</f>
        <v>634829.84</v>
      </c>
      <c r="N29" s="515" t="s">
        <v>5</v>
      </c>
      <c r="O29" s="515"/>
      <c r="P29" s="516">
        <f>SUM(P13:P28)</f>
        <v>69.169999999999987</v>
      </c>
      <c r="Q29" s="516"/>
      <c r="R29" s="508"/>
      <c r="S29" s="508"/>
      <c r="T29" s="103">
        <f>SUM(T13:T28)</f>
        <v>69.17</v>
      </c>
      <c r="U29" s="99">
        <f>SUM(U13:U28)</f>
        <v>331209</v>
      </c>
    </row>
    <row r="30" spans="1:21" x14ac:dyDescent="0.25">
      <c r="A30" s="27"/>
      <c r="B30" s="27"/>
      <c r="C30" s="104"/>
      <c r="D30" s="104"/>
      <c r="E30" s="104"/>
      <c r="F30" s="28"/>
      <c r="G30" s="28"/>
      <c r="H30" s="83"/>
      <c r="I30" s="104"/>
      <c r="N30" s="29"/>
      <c r="O30" s="29"/>
      <c r="P30" s="30"/>
      <c r="Q30" s="30"/>
      <c r="R30" s="31"/>
      <c r="S30" s="31"/>
      <c r="T30" s="105"/>
      <c r="U30" s="106"/>
    </row>
    <row r="31" spans="1:21" x14ac:dyDescent="0.25">
      <c r="A31" s="168" t="s">
        <v>97</v>
      </c>
      <c r="B31" s="27"/>
      <c r="C31" s="104"/>
      <c r="D31" s="104"/>
      <c r="E31" s="104"/>
      <c r="F31" s="28"/>
      <c r="G31" s="28"/>
      <c r="H31" s="83"/>
      <c r="I31" s="104"/>
      <c r="N31" s="29"/>
      <c r="O31" s="29"/>
      <c r="P31" s="30"/>
      <c r="Q31" s="30"/>
      <c r="R31" s="31"/>
      <c r="S31" s="31"/>
      <c r="T31" s="105"/>
      <c r="U31" s="106"/>
    </row>
    <row r="32" spans="1:21" hidden="1" x14ac:dyDescent="0.25">
      <c r="A32" s="168"/>
      <c r="B32" s="27"/>
      <c r="C32" s="104"/>
      <c r="D32" s="104"/>
      <c r="E32" s="104"/>
      <c r="F32" s="28"/>
      <c r="G32" s="28"/>
      <c r="H32" s="83"/>
      <c r="I32" s="104"/>
      <c r="N32" s="29"/>
      <c r="O32" s="29"/>
      <c r="P32" s="30"/>
      <c r="Q32" s="30"/>
      <c r="R32" s="31"/>
      <c r="S32" s="31"/>
      <c r="T32" s="105"/>
      <c r="U32" s="106"/>
    </row>
    <row r="33" spans="1:21" hidden="1" x14ac:dyDescent="0.25">
      <c r="A33" s="168"/>
      <c r="B33" s="27"/>
      <c r="C33" s="104"/>
      <c r="D33" s="104"/>
      <c r="E33" s="104"/>
      <c r="F33" s="541" t="s">
        <v>282</v>
      </c>
      <c r="G33" s="541"/>
      <c r="H33" s="541"/>
      <c r="I33" s="104"/>
      <c r="N33" s="29"/>
      <c r="O33" s="29"/>
      <c r="P33" s="30"/>
      <c r="Q33" s="30"/>
      <c r="R33" s="31"/>
      <c r="S33" s="31"/>
      <c r="T33" s="105"/>
      <c r="U33" s="106"/>
    </row>
    <row r="34" spans="1:21" hidden="1" x14ac:dyDescent="0.25">
      <c r="A34" s="3"/>
      <c r="B34" s="72"/>
      <c r="C34" s="72"/>
      <c r="D34" s="72"/>
      <c r="E34" s="72"/>
      <c r="F34" s="541"/>
      <c r="G34" s="541"/>
      <c r="H34" s="541"/>
      <c r="I34" s="25" t="s">
        <v>74</v>
      </c>
      <c r="N34" s="485" t="s">
        <v>35</v>
      </c>
      <c r="O34" s="485"/>
      <c r="P34" s="485"/>
      <c r="Q34" s="485"/>
      <c r="R34" s="485"/>
      <c r="S34" s="485"/>
      <c r="T34" s="485"/>
      <c r="U34" s="26" t="s">
        <v>74</v>
      </c>
    </row>
    <row r="35" spans="1:21" hidden="1" x14ac:dyDescent="0.25">
      <c r="A35" s="27"/>
      <c r="B35" s="27"/>
      <c r="C35" s="91" t="s">
        <v>124</v>
      </c>
      <c r="D35" s="91" t="s">
        <v>125</v>
      </c>
      <c r="E35" s="92" t="s">
        <v>8</v>
      </c>
      <c r="F35" s="541"/>
      <c r="G35" s="541"/>
      <c r="H35" s="541"/>
      <c r="I35" s="25" t="s">
        <v>36</v>
      </c>
      <c r="N35" s="29"/>
      <c r="O35" s="29"/>
      <c r="P35" s="30"/>
      <c r="Q35" s="30"/>
      <c r="R35" s="31"/>
      <c r="S35" s="31"/>
      <c r="T35" s="105"/>
      <c r="U35" s="26" t="s">
        <v>36</v>
      </c>
    </row>
    <row r="36" spans="1:21" hidden="1" x14ac:dyDescent="0.25">
      <c r="A36" s="447" t="s">
        <v>63</v>
      </c>
      <c r="B36" s="447"/>
      <c r="C36" s="93" t="s">
        <v>2</v>
      </c>
      <c r="D36" s="93" t="s">
        <v>2</v>
      </c>
      <c r="E36" s="93" t="s">
        <v>2</v>
      </c>
      <c r="F36" s="542"/>
      <c r="G36" s="542"/>
      <c r="H36" s="542"/>
      <c r="I36" s="32" t="s">
        <v>75</v>
      </c>
      <c r="N36" s="510" t="s">
        <v>63</v>
      </c>
      <c r="O36" s="510"/>
      <c r="P36" s="511" t="s">
        <v>24</v>
      </c>
      <c r="Q36" s="511"/>
      <c r="R36" s="511"/>
      <c r="S36" s="511"/>
      <c r="T36" s="511"/>
      <c r="U36" s="20" t="s">
        <v>75</v>
      </c>
    </row>
    <row r="37" spans="1:21" hidden="1" x14ac:dyDescent="0.25">
      <c r="A37" s="451" t="s">
        <v>56</v>
      </c>
      <c r="B37" s="451"/>
      <c r="C37" s="169">
        <v>0</v>
      </c>
      <c r="D37" s="169">
        <v>0</v>
      </c>
      <c r="E37" s="210">
        <f t="shared" ref="E37:E42" si="6">IF(D$43=0,C37*2,C37+D37)</f>
        <v>0</v>
      </c>
      <c r="F37" s="170"/>
      <c r="G37" s="170"/>
      <c r="H37" s="170"/>
      <c r="I37" s="119">
        <f t="shared" ref="I37:I42" si="7">ROUND(ROUND(E37*$C$8,4)*($H$8),2)</f>
        <v>0</v>
      </c>
      <c r="N37" s="512" t="s">
        <v>56</v>
      </c>
      <c r="O37" s="512"/>
      <c r="P37" s="483">
        <f t="shared" ref="P37:P42" si="8">IF($H$120=1,E37,0)</f>
        <v>0</v>
      </c>
      <c r="Q37" s="483"/>
      <c r="R37" s="483"/>
      <c r="S37" s="483"/>
      <c r="T37" s="483"/>
      <c r="U37" s="101">
        <f t="shared" ref="U37:U42" si="9">ROUND(ROUND(P37*$C$8,4)*($H$8),0)</f>
        <v>0</v>
      </c>
    </row>
    <row r="38" spans="1:21" hidden="1" x14ac:dyDescent="0.25">
      <c r="A38" s="453" t="s">
        <v>57</v>
      </c>
      <c r="B38" s="453"/>
      <c r="C38" s="172">
        <v>0</v>
      </c>
      <c r="D38" s="172">
        <v>0</v>
      </c>
      <c r="E38" s="125">
        <f t="shared" si="6"/>
        <v>0</v>
      </c>
      <c r="F38" s="173"/>
      <c r="G38" s="173"/>
      <c r="H38" s="173"/>
      <c r="I38" s="104">
        <f t="shared" si="7"/>
        <v>0</v>
      </c>
      <c r="N38" s="479" t="s">
        <v>57</v>
      </c>
      <c r="O38" s="479"/>
      <c r="P38" s="483">
        <f t="shared" si="8"/>
        <v>0</v>
      </c>
      <c r="Q38" s="483"/>
      <c r="R38" s="483"/>
      <c r="S38" s="483"/>
      <c r="T38" s="483"/>
      <c r="U38" s="101">
        <f t="shared" si="9"/>
        <v>0</v>
      </c>
    </row>
    <row r="39" spans="1:21" hidden="1" x14ac:dyDescent="0.25">
      <c r="A39" s="458" t="s">
        <v>58</v>
      </c>
      <c r="B39" s="458"/>
      <c r="C39" s="172">
        <v>0</v>
      </c>
      <c r="D39" s="172">
        <v>0</v>
      </c>
      <c r="E39" s="125">
        <f t="shared" si="6"/>
        <v>0</v>
      </c>
      <c r="F39" s="173"/>
      <c r="G39" s="173"/>
      <c r="H39" s="173"/>
      <c r="I39" s="104">
        <f t="shared" si="7"/>
        <v>0</v>
      </c>
      <c r="N39" s="509" t="s">
        <v>58</v>
      </c>
      <c r="O39" s="509"/>
      <c r="P39" s="483">
        <f t="shared" si="8"/>
        <v>0</v>
      </c>
      <c r="Q39" s="483"/>
      <c r="R39" s="483"/>
      <c r="S39" s="483"/>
      <c r="T39" s="483"/>
      <c r="U39" s="101">
        <f t="shared" si="9"/>
        <v>0</v>
      </c>
    </row>
    <row r="40" spans="1:21" hidden="1" x14ac:dyDescent="0.25">
      <c r="A40" s="453" t="s">
        <v>59</v>
      </c>
      <c r="B40" s="453"/>
      <c r="C40" s="172">
        <v>0</v>
      </c>
      <c r="D40" s="172">
        <v>0</v>
      </c>
      <c r="E40" s="125">
        <f t="shared" si="6"/>
        <v>0</v>
      </c>
      <c r="F40" s="173"/>
      <c r="G40" s="173"/>
      <c r="H40" s="173"/>
      <c r="I40" s="104">
        <f t="shared" si="7"/>
        <v>0</v>
      </c>
      <c r="N40" s="479" t="s">
        <v>59</v>
      </c>
      <c r="O40" s="479"/>
      <c r="P40" s="483">
        <f t="shared" si="8"/>
        <v>0</v>
      </c>
      <c r="Q40" s="483"/>
      <c r="R40" s="483"/>
      <c r="S40" s="483"/>
      <c r="T40" s="483"/>
      <c r="U40" s="101">
        <f t="shared" si="9"/>
        <v>0</v>
      </c>
    </row>
    <row r="41" spans="1:21" hidden="1" x14ac:dyDescent="0.25">
      <c r="A41" s="453" t="s">
        <v>60</v>
      </c>
      <c r="B41" s="453"/>
      <c r="C41" s="172"/>
      <c r="D41" s="172">
        <v>0</v>
      </c>
      <c r="E41" s="125">
        <f t="shared" si="6"/>
        <v>0</v>
      </c>
      <c r="F41" s="173"/>
      <c r="G41" s="173"/>
      <c r="H41" s="173"/>
      <c r="I41" s="104">
        <f t="shared" si="7"/>
        <v>0</v>
      </c>
      <c r="N41" s="479" t="s">
        <v>60</v>
      </c>
      <c r="O41" s="479"/>
      <c r="P41" s="483">
        <f t="shared" si="8"/>
        <v>0</v>
      </c>
      <c r="Q41" s="483"/>
      <c r="R41" s="483"/>
      <c r="S41" s="483"/>
      <c r="T41" s="483"/>
      <c r="U41" s="101">
        <f t="shared" si="9"/>
        <v>0</v>
      </c>
    </row>
    <row r="42" spans="1:21" hidden="1" x14ac:dyDescent="0.25">
      <c r="A42" s="453" t="s">
        <v>52</v>
      </c>
      <c r="B42" s="453"/>
      <c r="C42" s="171">
        <v>0</v>
      </c>
      <c r="D42" s="171">
        <v>0</v>
      </c>
      <c r="E42" s="177">
        <f t="shared" si="6"/>
        <v>0</v>
      </c>
      <c r="F42" s="173"/>
      <c r="G42" s="173"/>
      <c r="H42" s="173"/>
      <c r="I42" s="97">
        <f t="shared" si="7"/>
        <v>0</v>
      </c>
      <c r="N42" s="482" t="s">
        <v>52</v>
      </c>
      <c r="O42" s="482"/>
      <c r="P42" s="483">
        <f t="shared" si="8"/>
        <v>0</v>
      </c>
      <c r="Q42" s="483"/>
      <c r="R42" s="483"/>
      <c r="S42" s="483"/>
      <c r="T42" s="483"/>
      <c r="U42" s="101">
        <f t="shared" si="9"/>
        <v>0</v>
      </c>
    </row>
    <row r="43" spans="1:21" hidden="1" x14ac:dyDescent="0.25">
      <c r="A43" s="3"/>
      <c r="B43" s="55" t="s">
        <v>126</v>
      </c>
      <c r="C43" s="100">
        <f>SUM(C37:C42)</f>
        <v>0</v>
      </c>
      <c r="D43" s="100">
        <f>SUM(D37:D42)</f>
        <v>0</v>
      </c>
      <c r="E43" s="100">
        <f>SUM(E37:E42)</f>
        <v>0</v>
      </c>
      <c r="F43" s="33"/>
      <c r="G43" s="109"/>
      <c r="H43" s="110" t="s">
        <v>128</v>
      </c>
      <c r="I43" s="100">
        <f>SUM(I37:I42)</f>
        <v>0</v>
      </c>
      <c r="N43" s="480" t="s">
        <v>54</v>
      </c>
      <c r="O43" s="480"/>
      <c r="P43" s="480"/>
      <c r="Q43" s="480"/>
      <c r="R43" s="34">
        <f>SUM(P37:R42)</f>
        <v>0</v>
      </c>
      <c r="S43" s="508" t="s">
        <v>64</v>
      </c>
      <c r="T43" s="508"/>
      <c r="U43" s="106">
        <f>SUM(U37:U42)</f>
        <v>0</v>
      </c>
    </row>
    <row r="44" spans="1:21" ht="16.5" hidden="1" thickBot="1" x14ac:dyDescent="0.3">
      <c r="A44" s="3"/>
      <c r="B44" s="55"/>
      <c r="C44" s="104"/>
      <c r="D44" s="104"/>
      <c r="E44" s="119"/>
      <c r="F44" s="33"/>
      <c r="G44" s="109"/>
      <c r="H44" s="110"/>
      <c r="I44" s="104"/>
      <c r="N44" s="29"/>
      <c r="O44" s="29"/>
      <c r="P44" s="29"/>
      <c r="Q44" s="29"/>
      <c r="R44" s="34"/>
      <c r="S44" s="31"/>
      <c r="T44" s="31"/>
      <c r="U44" s="106"/>
    </row>
    <row r="45" spans="1:21" ht="16.5" hidden="1" thickBot="1" x14ac:dyDescent="0.3">
      <c r="A45" s="3"/>
      <c r="B45" s="55" t="s">
        <v>127</v>
      </c>
      <c r="E45" s="174">
        <f>H29+E43</f>
        <v>132.57859999999999</v>
      </c>
      <c r="F45" s="35"/>
      <c r="G45" s="109"/>
      <c r="H45" s="110" t="s">
        <v>129</v>
      </c>
      <c r="I45" s="97">
        <f>SUM(I43,I29)</f>
        <v>634829.84</v>
      </c>
      <c r="N45" s="480" t="s">
        <v>55</v>
      </c>
      <c r="O45" s="480"/>
      <c r="P45" s="480"/>
      <c r="Q45" s="480"/>
      <c r="R45" s="36">
        <f>R43+T29</f>
        <v>69.17</v>
      </c>
      <c r="S45" s="508" t="s">
        <v>53</v>
      </c>
      <c r="T45" s="508"/>
      <c r="U45" s="111">
        <f>SUM(U43,U29)</f>
        <v>331209</v>
      </c>
    </row>
    <row r="46" spans="1:21" ht="16.5" hidden="1" thickTop="1" x14ac:dyDescent="0.25">
      <c r="A46" s="27"/>
      <c r="B46" s="27"/>
      <c r="C46" s="27"/>
      <c r="D46" s="27"/>
      <c r="E46" s="27"/>
      <c r="F46" s="35"/>
      <c r="G46" s="28"/>
      <c r="H46" s="28"/>
      <c r="I46" s="104"/>
      <c r="N46" s="29"/>
      <c r="O46" s="29"/>
      <c r="P46" s="29"/>
      <c r="Q46" s="29"/>
      <c r="R46" s="36"/>
      <c r="S46" s="31"/>
      <c r="T46" s="31"/>
      <c r="U46" s="106"/>
    </row>
    <row r="47" spans="1:21" x14ac:dyDescent="0.25">
      <c r="A47" s="27"/>
      <c r="B47" s="55" t="s">
        <v>370</v>
      </c>
      <c r="C47" s="41" t="s">
        <v>370</v>
      </c>
      <c r="D47" s="91" t="s">
        <v>370</v>
      </c>
      <c r="E47" s="27"/>
      <c r="F47" s="35"/>
      <c r="G47" s="28"/>
      <c r="H47" s="28"/>
      <c r="I47" s="104"/>
      <c r="M47" s="280"/>
      <c r="N47" s="29"/>
      <c r="O47" s="29"/>
      <c r="P47" s="29"/>
      <c r="Q47" s="29"/>
      <c r="R47" s="36"/>
      <c r="S47" s="31"/>
      <c r="T47" s="31"/>
      <c r="U47" s="106"/>
    </row>
    <row r="48" spans="1:21" x14ac:dyDescent="0.25">
      <c r="A48" s="27"/>
      <c r="B48" s="27"/>
      <c r="C48" s="91" t="s">
        <v>463</v>
      </c>
      <c r="D48" s="371" t="s">
        <v>464</v>
      </c>
      <c r="E48" s="92" t="s">
        <v>8</v>
      </c>
      <c r="F48" s="49" t="s">
        <v>130</v>
      </c>
      <c r="G48" s="112" t="s">
        <v>132</v>
      </c>
      <c r="H48" s="113" t="s">
        <v>133</v>
      </c>
      <c r="I48" s="104"/>
      <c r="M48" s="280"/>
      <c r="N48" s="29"/>
      <c r="O48" s="29"/>
      <c r="P48" s="29"/>
      <c r="Q48" s="29"/>
      <c r="R48" s="36"/>
      <c r="S48" s="31"/>
      <c r="T48" s="31"/>
      <c r="U48" s="106"/>
    </row>
    <row r="49" spans="1:21" x14ac:dyDescent="0.25">
      <c r="A49" s="37" t="s">
        <v>87</v>
      </c>
      <c r="B49" s="37"/>
      <c r="C49" s="362" t="s">
        <v>2</v>
      </c>
      <c r="D49" s="362" t="s">
        <v>2</v>
      </c>
      <c r="E49" s="362" t="s">
        <v>2</v>
      </c>
      <c r="F49" s="95" t="s">
        <v>131</v>
      </c>
      <c r="G49" s="62" t="s">
        <v>131</v>
      </c>
      <c r="H49" s="114" t="s">
        <v>134</v>
      </c>
      <c r="I49" s="37"/>
      <c r="N49" s="482" t="s">
        <v>87</v>
      </c>
      <c r="O49" s="482"/>
      <c r="P49" s="503" t="s">
        <v>2</v>
      </c>
      <c r="Q49" s="503"/>
      <c r="R49" s="38" t="s">
        <v>25</v>
      </c>
      <c r="S49" s="63" t="s">
        <v>26</v>
      </c>
      <c r="T49" s="115" t="s">
        <v>27</v>
      </c>
      <c r="U49" s="38"/>
    </row>
    <row r="50" spans="1:21" x14ac:dyDescent="0.25">
      <c r="A50" s="459" t="s">
        <v>98</v>
      </c>
      <c r="B50" s="459"/>
      <c r="C50" s="165">
        <v>0</v>
      </c>
      <c r="D50" s="165">
        <v>0</v>
      </c>
      <c r="E50" s="125">
        <f>IF(D$59=0,C50*2,C50+D50)</f>
        <v>0</v>
      </c>
      <c r="F50" s="39" t="s">
        <v>21</v>
      </c>
      <c r="G50" s="39">
        <v>251</v>
      </c>
      <c r="H50" s="321">
        <f>'0664'!H50</f>
        <v>1047</v>
      </c>
      <c r="I50" s="104">
        <f>ROUND(E50*H50,2)</f>
        <v>0</v>
      </c>
      <c r="N50" s="504" t="s">
        <v>28</v>
      </c>
      <c r="O50" s="504"/>
      <c r="P50" s="505"/>
      <c r="Q50" s="505"/>
      <c r="R50" s="40" t="s">
        <v>21</v>
      </c>
      <c r="S50" s="40">
        <v>251</v>
      </c>
      <c r="T50" s="117">
        <f>H50</f>
        <v>1047</v>
      </c>
      <c r="U50" s="118">
        <f>ROUND(P50*T50,0)</f>
        <v>0</v>
      </c>
    </row>
    <row r="51" spans="1:21" x14ac:dyDescent="0.25">
      <c r="A51" s="460"/>
      <c r="B51" s="460"/>
      <c r="C51" s="165">
        <v>0</v>
      </c>
      <c r="D51" s="165">
        <v>0</v>
      </c>
      <c r="E51" s="125">
        <f t="shared" ref="E51:E58" si="10">IF(D$59=0,C51*2,C51+D51)</f>
        <v>0</v>
      </c>
      <c r="F51" s="39" t="s">
        <v>21</v>
      </c>
      <c r="G51" s="39">
        <v>252</v>
      </c>
      <c r="H51" s="321">
        <f>'0664'!H51</f>
        <v>3380</v>
      </c>
      <c r="I51" s="104">
        <f t="shared" ref="I51:I58" si="11">ROUND(E51*H51,2)</f>
        <v>0</v>
      </c>
      <c r="N51" s="504"/>
      <c r="O51" s="504"/>
      <c r="P51" s="506"/>
      <c r="Q51" s="506"/>
      <c r="R51" s="40" t="s">
        <v>21</v>
      </c>
      <c r="S51" s="40">
        <v>252</v>
      </c>
      <c r="T51" s="117">
        <f t="shared" ref="T51:T58" si="12">H51</f>
        <v>3380</v>
      </c>
      <c r="U51" s="118">
        <f t="shared" ref="U51:U58" si="13">ROUND(P51*T51,0)</f>
        <v>0</v>
      </c>
    </row>
    <row r="52" spans="1:21" x14ac:dyDescent="0.25">
      <c r="A52" s="460"/>
      <c r="B52" s="460"/>
      <c r="C52" s="165">
        <v>0</v>
      </c>
      <c r="D52" s="165">
        <v>0</v>
      </c>
      <c r="E52" s="125">
        <f t="shared" si="10"/>
        <v>0</v>
      </c>
      <c r="F52" s="39" t="s">
        <v>21</v>
      </c>
      <c r="G52" s="39">
        <v>253</v>
      </c>
      <c r="H52" s="321">
        <f>'0664'!H52</f>
        <v>6896</v>
      </c>
      <c r="I52" s="104">
        <f t="shared" si="11"/>
        <v>0</v>
      </c>
      <c r="N52" s="504"/>
      <c r="O52" s="504"/>
      <c r="P52" s="506"/>
      <c r="Q52" s="506"/>
      <c r="R52" s="40" t="s">
        <v>21</v>
      </c>
      <c r="S52" s="40">
        <v>253</v>
      </c>
      <c r="T52" s="117">
        <f t="shared" si="12"/>
        <v>6896</v>
      </c>
      <c r="U52" s="118">
        <f t="shared" si="13"/>
        <v>0</v>
      </c>
    </row>
    <row r="53" spans="1:21" x14ac:dyDescent="0.25">
      <c r="A53" s="460"/>
      <c r="B53" s="460"/>
      <c r="C53" s="165">
        <v>0</v>
      </c>
      <c r="D53" s="165">
        <v>0</v>
      </c>
      <c r="E53" s="125">
        <f t="shared" si="10"/>
        <v>0</v>
      </c>
      <c r="F53" s="41" t="s">
        <v>14</v>
      </c>
      <c r="G53" s="39">
        <v>251</v>
      </c>
      <c r="H53" s="321">
        <f>'0664'!H53</f>
        <v>1173</v>
      </c>
      <c r="I53" s="104">
        <f t="shared" si="11"/>
        <v>0</v>
      </c>
      <c r="N53" s="504"/>
      <c r="O53" s="504"/>
      <c r="P53" s="506"/>
      <c r="Q53" s="506"/>
      <c r="R53" s="42" t="s">
        <v>14</v>
      </c>
      <c r="S53" s="40">
        <v>251</v>
      </c>
      <c r="T53" s="117">
        <f t="shared" si="12"/>
        <v>1173</v>
      </c>
      <c r="U53" s="118">
        <f t="shared" si="13"/>
        <v>0</v>
      </c>
    </row>
    <row r="54" spans="1:21" x14ac:dyDescent="0.25">
      <c r="A54" s="460"/>
      <c r="B54" s="460"/>
      <c r="C54" s="165">
        <v>0</v>
      </c>
      <c r="D54" s="165">
        <v>0</v>
      </c>
      <c r="E54" s="125">
        <f t="shared" si="10"/>
        <v>0</v>
      </c>
      <c r="F54" s="41" t="s">
        <v>14</v>
      </c>
      <c r="G54" s="39">
        <v>252</v>
      </c>
      <c r="H54" s="321">
        <f>'0664'!H54</f>
        <v>3506</v>
      </c>
      <c r="I54" s="104">
        <f t="shared" si="11"/>
        <v>0</v>
      </c>
      <c r="N54" s="504"/>
      <c r="O54" s="504"/>
      <c r="P54" s="506"/>
      <c r="Q54" s="506"/>
      <c r="R54" s="42" t="s">
        <v>14</v>
      </c>
      <c r="S54" s="40">
        <v>252</v>
      </c>
      <c r="T54" s="117">
        <f t="shared" si="12"/>
        <v>3506</v>
      </c>
      <c r="U54" s="118">
        <f t="shared" si="13"/>
        <v>0</v>
      </c>
    </row>
    <row r="55" spans="1:21" x14ac:dyDescent="0.25">
      <c r="A55" s="460"/>
      <c r="B55" s="460"/>
      <c r="C55" s="165">
        <v>0</v>
      </c>
      <c r="D55" s="165">
        <v>0</v>
      </c>
      <c r="E55" s="125">
        <f t="shared" si="10"/>
        <v>0</v>
      </c>
      <c r="F55" s="41" t="s">
        <v>14</v>
      </c>
      <c r="G55" s="39">
        <v>253</v>
      </c>
      <c r="H55" s="321">
        <f>'0664'!H55</f>
        <v>7023</v>
      </c>
      <c r="I55" s="104">
        <f t="shared" si="11"/>
        <v>0</v>
      </c>
      <c r="N55" s="504"/>
      <c r="O55" s="504"/>
      <c r="P55" s="506"/>
      <c r="Q55" s="506"/>
      <c r="R55" s="42" t="s">
        <v>14</v>
      </c>
      <c r="S55" s="40">
        <v>253</v>
      </c>
      <c r="T55" s="117">
        <f t="shared" si="12"/>
        <v>7023</v>
      </c>
      <c r="U55" s="118">
        <f t="shared" si="13"/>
        <v>0</v>
      </c>
    </row>
    <row r="56" spans="1:21" x14ac:dyDescent="0.25">
      <c r="A56" s="460"/>
      <c r="B56" s="460"/>
      <c r="C56" s="165">
        <v>0</v>
      </c>
      <c r="D56" s="165">
        <v>0</v>
      </c>
      <c r="E56" s="125">
        <f t="shared" si="10"/>
        <v>0</v>
      </c>
      <c r="F56" s="41" t="s">
        <v>15</v>
      </c>
      <c r="G56" s="39">
        <v>251</v>
      </c>
      <c r="H56" s="321">
        <f>'0664'!H56</f>
        <v>835</v>
      </c>
      <c r="I56" s="104">
        <f t="shared" si="11"/>
        <v>0</v>
      </c>
      <c r="N56" s="504"/>
      <c r="O56" s="504"/>
      <c r="P56" s="506"/>
      <c r="Q56" s="506"/>
      <c r="R56" s="42" t="s">
        <v>15</v>
      </c>
      <c r="S56" s="40">
        <v>251</v>
      </c>
      <c r="T56" s="117">
        <f t="shared" si="12"/>
        <v>835</v>
      </c>
      <c r="U56" s="118">
        <f t="shared" si="13"/>
        <v>0</v>
      </c>
    </row>
    <row r="57" spans="1:21" x14ac:dyDescent="0.25">
      <c r="A57" s="460"/>
      <c r="B57" s="460"/>
      <c r="C57" s="165">
        <v>0.5</v>
      </c>
      <c r="D57" s="165">
        <v>0.61</v>
      </c>
      <c r="E57" s="125">
        <f t="shared" si="10"/>
        <v>1.1099999999999999</v>
      </c>
      <c r="F57" s="41" t="s">
        <v>15</v>
      </c>
      <c r="G57" s="39">
        <v>252</v>
      </c>
      <c r="H57" s="321">
        <f>'0664'!H57</f>
        <v>3168</v>
      </c>
      <c r="I57" s="104">
        <f t="shared" si="11"/>
        <v>3516.48</v>
      </c>
      <c r="N57" s="504"/>
      <c r="O57" s="504"/>
      <c r="P57" s="506"/>
      <c r="Q57" s="506"/>
      <c r="R57" s="42" t="s">
        <v>15</v>
      </c>
      <c r="S57" s="40">
        <v>252</v>
      </c>
      <c r="T57" s="117">
        <f t="shared" si="12"/>
        <v>3168</v>
      </c>
      <c r="U57" s="118">
        <f t="shared" si="13"/>
        <v>0</v>
      </c>
    </row>
    <row r="58" spans="1:21" ht="16.5" thickBot="1" x14ac:dyDescent="0.3">
      <c r="A58" s="460"/>
      <c r="B58" s="460"/>
      <c r="C58" s="165">
        <v>19.940000000000001</v>
      </c>
      <c r="D58" s="165">
        <v>24.39</v>
      </c>
      <c r="E58" s="125">
        <f t="shared" si="10"/>
        <v>44.33</v>
      </c>
      <c r="F58" s="41" t="s">
        <v>15</v>
      </c>
      <c r="G58" s="39">
        <v>253</v>
      </c>
      <c r="H58" s="321">
        <f>'0664'!H58</f>
        <v>6685</v>
      </c>
      <c r="I58" s="104">
        <f t="shared" si="11"/>
        <v>296346.05</v>
      </c>
      <c r="N58" s="504"/>
      <c r="O58" s="504"/>
      <c r="P58" s="507"/>
      <c r="Q58" s="507"/>
      <c r="R58" s="42" t="s">
        <v>15</v>
      </c>
      <c r="S58" s="40">
        <v>253</v>
      </c>
      <c r="T58" s="117">
        <f t="shared" si="12"/>
        <v>6685</v>
      </c>
      <c r="U58" s="120">
        <f t="shared" si="13"/>
        <v>0</v>
      </c>
    </row>
    <row r="59" spans="1:21" ht="16.5" thickBot="1" x14ac:dyDescent="0.3">
      <c r="A59" s="461" t="s">
        <v>16</v>
      </c>
      <c r="B59" s="461"/>
      <c r="C59" s="100">
        <f>SUM(C50:C58)</f>
        <v>20.440000000000001</v>
      </c>
      <c r="D59" s="100">
        <f>SUM(D50:D58)</f>
        <v>25</v>
      </c>
      <c r="E59" s="100">
        <f>SUM(E50:E58)</f>
        <v>45.44</v>
      </c>
      <c r="F59" s="461" t="s">
        <v>77</v>
      </c>
      <c r="G59" s="461"/>
      <c r="H59" s="461"/>
      <c r="I59" s="100">
        <f>SUM(I50:I58)</f>
        <v>299862.52999999997</v>
      </c>
      <c r="N59" s="480" t="s">
        <v>16</v>
      </c>
      <c r="O59" s="480"/>
      <c r="P59" s="502">
        <f>SUM(P50:P58)</f>
        <v>0</v>
      </c>
      <c r="Q59" s="502"/>
      <c r="R59" s="480" t="s">
        <v>77</v>
      </c>
      <c r="S59" s="480"/>
      <c r="T59" s="480"/>
      <c r="U59" s="111">
        <f>SUM(U50:U58)</f>
        <v>0</v>
      </c>
    </row>
    <row r="60" spans="1:21" x14ac:dyDescent="0.25">
      <c r="A60" s="462"/>
      <c r="B60" s="462"/>
      <c r="C60" s="462"/>
      <c r="D60" s="462"/>
      <c r="E60" s="462"/>
      <c r="F60" s="462"/>
      <c r="G60" s="462"/>
      <c r="H60" s="462"/>
      <c r="I60" s="462"/>
      <c r="N60" s="484"/>
      <c r="O60" s="484"/>
      <c r="P60" s="484"/>
      <c r="Q60" s="484"/>
      <c r="R60" s="484"/>
      <c r="S60" s="484"/>
      <c r="T60" s="484"/>
      <c r="U60" s="484"/>
    </row>
    <row r="61" spans="1:21" x14ac:dyDescent="0.25">
      <c r="A61" s="463" t="s">
        <v>136</v>
      </c>
      <c r="B61" s="453"/>
      <c r="C61" s="453"/>
      <c r="D61" s="453"/>
      <c r="E61" s="453"/>
      <c r="F61" s="453"/>
      <c r="G61" s="453"/>
      <c r="H61" s="453"/>
      <c r="I61" s="453"/>
      <c r="N61" s="479" t="s">
        <v>88</v>
      </c>
      <c r="O61" s="479"/>
      <c r="P61" s="479"/>
      <c r="Q61" s="479"/>
      <c r="R61" s="479"/>
      <c r="S61" s="479"/>
      <c r="T61" s="479"/>
      <c r="U61" s="479"/>
    </row>
    <row r="62" spans="1:21" x14ac:dyDescent="0.25">
      <c r="A62" s="463" t="s">
        <v>138</v>
      </c>
      <c r="B62" s="453"/>
      <c r="C62" s="121">
        <f>E29</f>
        <v>69.169999999999987</v>
      </c>
      <c r="D62" s="464" t="s">
        <v>135</v>
      </c>
      <c r="E62" s="464"/>
      <c r="F62" s="464"/>
      <c r="G62" s="464"/>
      <c r="H62" s="335">
        <f>'0664'!H62</f>
        <v>193340.76</v>
      </c>
      <c r="I62" s="122"/>
      <c r="N62" s="478" t="s">
        <v>312</v>
      </c>
      <c r="O62" s="479"/>
      <c r="P62" s="43">
        <f>P29</f>
        <v>69.169999999999987</v>
      </c>
      <c r="Q62" s="498" t="s">
        <v>78</v>
      </c>
      <c r="R62" s="498"/>
      <c r="S62" s="498"/>
      <c r="T62" s="497">
        <f>H62</f>
        <v>193340.76</v>
      </c>
      <c r="U62" s="497"/>
    </row>
    <row r="63" spans="1:21" x14ac:dyDescent="0.25">
      <c r="B63" s="72"/>
      <c r="G63" s="44" t="s">
        <v>13</v>
      </c>
      <c r="H63" s="123">
        <f>ROUND(C62/H62,6)</f>
        <v>3.5799999999999997E-4</v>
      </c>
      <c r="I63" s="124"/>
      <c r="N63" s="479" t="s">
        <v>19</v>
      </c>
      <c r="O63" s="479"/>
      <c r="P63" s="479"/>
      <c r="Q63" s="479"/>
      <c r="R63" s="479"/>
      <c r="S63" s="479"/>
      <c r="T63" s="501">
        <f>ROUND(P62/T62,6)</f>
        <v>3.5799999999999997E-4</v>
      </c>
      <c r="U63" s="501"/>
    </row>
    <row r="64" spans="1:21" x14ac:dyDescent="0.25">
      <c r="A64" s="463" t="s">
        <v>137</v>
      </c>
      <c r="B64" s="453"/>
      <c r="C64" s="453"/>
      <c r="D64" s="453"/>
      <c r="E64" s="453"/>
      <c r="F64" s="453"/>
      <c r="G64" s="453"/>
      <c r="H64" s="453"/>
      <c r="I64" s="453"/>
      <c r="N64" s="479" t="s">
        <v>89</v>
      </c>
      <c r="O64" s="479"/>
      <c r="P64" s="479"/>
      <c r="Q64" s="479"/>
      <c r="R64" s="479"/>
      <c r="S64" s="479"/>
      <c r="T64" s="479"/>
      <c r="U64" s="479"/>
    </row>
    <row r="65" spans="1:21" x14ac:dyDescent="0.25">
      <c r="A65" s="463" t="s">
        <v>139</v>
      </c>
      <c r="B65" s="453"/>
      <c r="C65" s="121">
        <f>E45</f>
        <v>132.57859999999999</v>
      </c>
      <c r="D65" s="464" t="s">
        <v>140</v>
      </c>
      <c r="E65" s="464"/>
      <c r="F65" s="464"/>
      <c r="G65" s="464"/>
      <c r="H65" s="336">
        <f>'0664'!H65</f>
        <v>216845.88</v>
      </c>
      <c r="I65" s="125"/>
      <c r="N65" s="479" t="s">
        <v>80</v>
      </c>
      <c r="O65" s="479"/>
      <c r="P65" s="43">
        <f>R45</f>
        <v>69.17</v>
      </c>
      <c r="Q65" s="498" t="s">
        <v>79</v>
      </c>
      <c r="R65" s="498"/>
      <c r="S65" s="498"/>
      <c r="T65" s="497">
        <f>H65</f>
        <v>216845.88</v>
      </c>
      <c r="U65" s="497"/>
    </row>
    <row r="66" spans="1:21" s="37" customFormat="1" x14ac:dyDescent="0.25">
      <c r="A66" s="126"/>
      <c r="G66" s="45" t="s">
        <v>13</v>
      </c>
      <c r="H66" s="127">
        <f>ROUND(C65/H65,6)</f>
        <v>6.11E-4</v>
      </c>
      <c r="I66" s="127"/>
      <c r="N66" s="482" t="s">
        <v>20</v>
      </c>
      <c r="O66" s="482"/>
      <c r="P66" s="482"/>
      <c r="Q66" s="482"/>
      <c r="R66" s="482"/>
      <c r="S66" s="482"/>
      <c r="T66" s="500">
        <f>ROUND(P65/T65,6)</f>
        <v>3.19E-4</v>
      </c>
      <c r="U66" s="500"/>
    </row>
    <row r="67" spans="1:21" x14ac:dyDescent="0.25">
      <c r="G67" s="44"/>
      <c r="H67" s="123"/>
      <c r="I67" s="123"/>
      <c r="N67" s="48"/>
      <c r="O67" s="48"/>
      <c r="P67" s="48"/>
      <c r="Q67" s="48"/>
      <c r="R67" s="128"/>
      <c r="S67" s="48"/>
      <c r="T67" s="129"/>
      <c r="U67" s="130"/>
    </row>
    <row r="68" spans="1:21" x14ac:dyDescent="0.25">
      <c r="A68" s="453" t="s">
        <v>85</v>
      </c>
      <c r="B68" s="453"/>
      <c r="C68" s="453"/>
      <c r="D68" s="72"/>
      <c r="E68" s="46" t="s">
        <v>3</v>
      </c>
      <c r="F68" s="337">
        <f>'0664'!F68</f>
        <v>42465042</v>
      </c>
      <c r="G68" s="39" t="s">
        <v>6</v>
      </c>
      <c r="H68" s="131">
        <f>H63</f>
        <v>3.5799999999999997E-4</v>
      </c>
      <c r="I68" s="104">
        <f>ROUND(F68*H68,2)</f>
        <v>15202.49</v>
      </c>
      <c r="N68" s="479" t="s">
        <v>85</v>
      </c>
      <c r="O68" s="479"/>
      <c r="P68" s="479"/>
      <c r="Q68" s="47"/>
      <c r="R68" s="132">
        <f>F68</f>
        <v>42465042</v>
      </c>
      <c r="S68" s="40" t="s">
        <v>6</v>
      </c>
      <c r="T68" s="133">
        <f>T63</f>
        <v>3.5799999999999997E-4</v>
      </c>
      <c r="U68" s="99">
        <f>ROUND(R68*T68,0)</f>
        <v>15202</v>
      </c>
    </row>
    <row r="69" spans="1:21" x14ac:dyDescent="0.25">
      <c r="A69" s="458" t="s">
        <v>96</v>
      </c>
      <c r="B69" s="453"/>
      <c r="C69" s="453"/>
      <c r="D69" s="72"/>
      <c r="E69" s="46"/>
      <c r="F69" s="136"/>
      <c r="G69" s="39"/>
      <c r="H69" s="131"/>
      <c r="I69" s="104"/>
      <c r="N69" s="479" t="s">
        <v>84</v>
      </c>
      <c r="O69" s="479"/>
      <c r="P69" s="479"/>
      <c r="Q69" s="54"/>
      <c r="R69" s="54"/>
      <c r="S69" s="54"/>
      <c r="T69" s="54"/>
      <c r="U69" s="54"/>
    </row>
    <row r="70" spans="1:21" x14ac:dyDescent="0.25">
      <c r="A70" s="465" t="s">
        <v>141</v>
      </c>
      <c r="B70" s="453"/>
      <c r="C70" s="453"/>
      <c r="D70" s="72"/>
      <c r="E70" s="46" t="s">
        <v>3</v>
      </c>
      <c r="F70" s="337">
        <f>'0664'!F70</f>
        <v>0</v>
      </c>
      <c r="G70" s="39" t="s">
        <v>6</v>
      </c>
      <c r="H70" s="131">
        <f>H63</f>
        <v>3.5799999999999997E-4</v>
      </c>
      <c r="I70" s="104">
        <f>ROUND(F70*H70,2)</f>
        <v>0</v>
      </c>
      <c r="N70" s="48"/>
      <c r="O70" s="48"/>
      <c r="P70" s="48"/>
      <c r="Q70" s="47"/>
      <c r="R70" s="132">
        <f>F70</f>
        <v>0</v>
      </c>
      <c r="S70" s="40" t="s">
        <v>6</v>
      </c>
      <c r="T70" s="133">
        <f>T63</f>
        <v>3.5799999999999997E-4</v>
      </c>
      <c r="U70" s="99">
        <f>ROUND(R70*T70,0)</f>
        <v>0</v>
      </c>
    </row>
    <row r="71" spans="1:21" x14ac:dyDescent="0.25">
      <c r="A71" s="463" t="s">
        <v>433</v>
      </c>
      <c r="B71" s="453"/>
      <c r="C71" s="453"/>
      <c r="D71" s="72"/>
      <c r="E71" s="46" t="s">
        <v>3</v>
      </c>
      <c r="F71" s="337">
        <f>'0664'!F71</f>
        <v>13414654</v>
      </c>
      <c r="G71" s="39" t="s">
        <v>6</v>
      </c>
      <c r="H71" s="131">
        <f>H63</f>
        <v>3.5799999999999997E-4</v>
      </c>
      <c r="I71" s="104">
        <f>ROUND(F71*H71,2)</f>
        <v>4802.45</v>
      </c>
      <c r="N71" s="479" t="s">
        <v>83</v>
      </c>
      <c r="O71" s="479"/>
      <c r="P71" s="479"/>
      <c r="Q71" s="47"/>
      <c r="R71" s="132">
        <f>F71</f>
        <v>13414654</v>
      </c>
      <c r="S71" s="40" t="s">
        <v>6</v>
      </c>
      <c r="T71" s="133">
        <f>T63</f>
        <v>3.5799999999999997E-4</v>
      </c>
      <c r="U71" s="99">
        <f>ROUND(R71*T71,0)</f>
        <v>4802</v>
      </c>
    </row>
    <row r="72" spans="1:21" x14ac:dyDescent="0.25">
      <c r="A72" s="463" t="s">
        <v>434</v>
      </c>
      <c r="B72" s="453"/>
      <c r="C72" s="453"/>
      <c r="D72" s="72"/>
      <c r="E72" s="46" t="s">
        <v>3</v>
      </c>
      <c r="F72" s="337">
        <f>'0664'!F72</f>
        <v>14708421</v>
      </c>
      <c r="G72" s="39" t="s">
        <v>6</v>
      </c>
      <c r="H72" s="131">
        <f>H63</f>
        <v>3.5799999999999997E-4</v>
      </c>
      <c r="I72" s="104">
        <f>ROUND(F72*H72,2)</f>
        <v>5265.61</v>
      </c>
      <c r="N72" s="479" t="s">
        <v>82</v>
      </c>
      <c r="O72" s="479"/>
      <c r="P72" s="479"/>
      <c r="Q72" s="47"/>
      <c r="R72" s="134">
        <f>F72</f>
        <v>14708421</v>
      </c>
      <c r="S72" s="40" t="s">
        <v>6</v>
      </c>
      <c r="T72" s="133">
        <f>T63</f>
        <v>3.5799999999999997E-4</v>
      </c>
      <c r="U72" s="99">
        <f>ROUND(R72*T72,0)</f>
        <v>5266</v>
      </c>
    </row>
    <row r="73" spans="1:21" x14ac:dyDescent="0.25">
      <c r="A73" s="263" t="s">
        <v>99</v>
      </c>
      <c r="D73" s="72"/>
      <c r="E73" s="41" t="s">
        <v>353</v>
      </c>
      <c r="F73" s="466"/>
      <c r="G73" s="466"/>
      <c r="H73" s="466"/>
      <c r="I73" s="104">
        <v>0</v>
      </c>
      <c r="N73" s="499" t="s">
        <v>118</v>
      </c>
      <c r="O73" s="499"/>
      <c r="P73" s="499"/>
      <c r="Q73" s="499"/>
      <c r="R73" s="499"/>
      <c r="S73" s="499"/>
      <c r="T73" s="499"/>
      <c r="U73" s="99">
        <f>IF($H$120=1,I73,0)</f>
        <v>0</v>
      </c>
    </row>
    <row r="74" spans="1:21" x14ac:dyDescent="0.25">
      <c r="A74" s="264" t="s">
        <v>142</v>
      </c>
      <c r="I74" s="104"/>
      <c r="N74" s="499" t="s">
        <v>43</v>
      </c>
      <c r="O74" s="499"/>
      <c r="P74" s="499"/>
      <c r="Q74" s="499"/>
      <c r="R74" s="499"/>
      <c r="S74" s="499"/>
      <c r="T74" s="499"/>
      <c r="U74" s="99">
        <f>IF($H$120=1,I74,0)</f>
        <v>0</v>
      </c>
    </row>
    <row r="75" spans="1:21" x14ac:dyDescent="0.25">
      <c r="A75" s="324" t="s">
        <v>101</v>
      </c>
      <c r="B75" s="72"/>
      <c r="C75" s="72"/>
      <c r="D75" s="72"/>
      <c r="E75" s="72"/>
      <c r="F75" s="72"/>
      <c r="G75" s="72"/>
      <c r="H75" s="72"/>
      <c r="I75" s="135"/>
      <c r="N75" s="382" t="s">
        <v>44</v>
      </c>
      <c r="O75" s="48"/>
      <c r="P75" s="48"/>
      <c r="Q75" s="48"/>
      <c r="R75" s="48"/>
      <c r="S75" s="48"/>
      <c r="T75" s="48"/>
      <c r="U75" s="106"/>
    </row>
    <row r="76" spans="1:21" x14ac:dyDescent="0.25">
      <c r="A76" s="463" t="s">
        <v>435</v>
      </c>
      <c r="B76" s="453"/>
      <c r="C76" s="453"/>
      <c r="D76" s="72"/>
      <c r="E76" s="46" t="s">
        <v>3</v>
      </c>
      <c r="F76" s="337">
        <f>'0664'!F76</f>
        <v>8720092</v>
      </c>
      <c r="G76" s="39" t="s">
        <v>6</v>
      </c>
      <c r="H76" s="131">
        <f>H63</f>
        <v>3.5799999999999997E-4</v>
      </c>
      <c r="I76" s="104">
        <f t="shared" ref="I76:I85" si="14">ROUND(F76*H76,2)</f>
        <v>3121.79</v>
      </c>
      <c r="N76" s="478" t="s">
        <v>366</v>
      </c>
      <c r="O76" s="479"/>
      <c r="P76" s="479"/>
      <c r="Q76" s="47"/>
      <c r="R76" s="134">
        <f t="shared" ref="R76:R85" si="15">F76</f>
        <v>8720092</v>
      </c>
      <c r="S76" s="40" t="s">
        <v>6</v>
      </c>
      <c r="T76" s="133">
        <f>T63</f>
        <v>3.5799999999999997E-4</v>
      </c>
      <c r="U76" s="99">
        <f t="shared" ref="U76:U85" si="16">ROUND(R76*T76,0)</f>
        <v>3122</v>
      </c>
    </row>
    <row r="77" spans="1:21" x14ac:dyDescent="0.25">
      <c r="A77" s="463" t="s">
        <v>436</v>
      </c>
      <c r="B77" s="453"/>
      <c r="C77" s="453"/>
      <c r="D77" s="72"/>
      <c r="E77" s="46" t="s">
        <v>3</v>
      </c>
      <c r="F77" s="337">
        <f>'0664'!F77</f>
        <v>0</v>
      </c>
      <c r="G77" s="39" t="s">
        <v>6</v>
      </c>
      <c r="H77" s="131">
        <f>H63</f>
        <v>3.5799999999999997E-4</v>
      </c>
      <c r="I77" s="104">
        <f t="shared" si="14"/>
        <v>0</v>
      </c>
      <c r="N77" s="479" t="s">
        <v>367</v>
      </c>
      <c r="O77" s="479"/>
      <c r="P77" s="479"/>
      <c r="Q77" s="47"/>
      <c r="R77" s="134">
        <f t="shared" si="15"/>
        <v>0</v>
      </c>
      <c r="S77" s="40" t="s">
        <v>6</v>
      </c>
      <c r="T77" s="133">
        <f>T63</f>
        <v>3.5799999999999997E-4</v>
      </c>
      <c r="U77" s="99">
        <f t="shared" si="16"/>
        <v>0</v>
      </c>
    </row>
    <row r="78" spans="1:21" x14ac:dyDescent="0.25">
      <c r="A78" s="463" t="s">
        <v>437</v>
      </c>
      <c r="B78" s="453"/>
      <c r="C78" s="453"/>
      <c r="D78" s="72"/>
      <c r="E78" s="46" t="s">
        <v>4</v>
      </c>
      <c r="F78" s="337">
        <f>'0664'!F78</f>
        <v>0</v>
      </c>
      <c r="G78" s="39" t="s">
        <v>6</v>
      </c>
      <c r="H78" s="131">
        <f>H66</f>
        <v>6.11E-4</v>
      </c>
      <c r="I78" s="104">
        <f t="shared" si="14"/>
        <v>0</v>
      </c>
      <c r="N78" s="478" t="s">
        <v>392</v>
      </c>
      <c r="O78" s="479"/>
      <c r="P78" s="479"/>
      <c r="Q78" s="47"/>
      <c r="R78" s="134">
        <f t="shared" si="15"/>
        <v>0</v>
      </c>
      <c r="S78" s="40" t="s">
        <v>6</v>
      </c>
      <c r="T78" s="133">
        <f>T66</f>
        <v>3.19E-4</v>
      </c>
      <c r="U78" s="99">
        <f t="shared" si="16"/>
        <v>0</v>
      </c>
    </row>
    <row r="79" spans="1:21" x14ac:dyDescent="0.25">
      <c r="A79" s="463" t="s">
        <v>438</v>
      </c>
      <c r="B79" s="453"/>
      <c r="C79" s="453"/>
      <c r="D79" s="72"/>
      <c r="E79" s="46" t="s">
        <v>4</v>
      </c>
      <c r="F79" s="337">
        <f>'0664'!F79</f>
        <v>11278687</v>
      </c>
      <c r="G79" s="39" t="s">
        <v>6</v>
      </c>
      <c r="H79" s="131">
        <f>H66</f>
        <v>6.11E-4</v>
      </c>
      <c r="I79" s="104">
        <f t="shared" si="14"/>
        <v>6891.28</v>
      </c>
      <c r="N79" s="478" t="s">
        <v>393</v>
      </c>
      <c r="O79" s="479"/>
      <c r="P79" s="479"/>
      <c r="Q79" s="47"/>
      <c r="R79" s="134">
        <f t="shared" si="15"/>
        <v>11278687</v>
      </c>
      <c r="S79" s="40" t="s">
        <v>6</v>
      </c>
      <c r="T79" s="133">
        <f>T66</f>
        <v>3.19E-4</v>
      </c>
      <c r="U79" s="99">
        <f t="shared" si="16"/>
        <v>3598</v>
      </c>
    </row>
    <row r="80" spans="1:21" x14ac:dyDescent="0.25">
      <c r="A80" s="463" t="s">
        <v>439</v>
      </c>
      <c r="B80" s="453"/>
      <c r="C80" s="453"/>
      <c r="D80" s="72"/>
      <c r="E80" s="46" t="s">
        <v>4</v>
      </c>
      <c r="F80" s="337">
        <f>'0664'!F80</f>
        <v>206284749</v>
      </c>
      <c r="G80" s="39" t="s">
        <v>6</v>
      </c>
      <c r="H80" s="131">
        <f>H66</f>
        <v>6.11E-4</v>
      </c>
      <c r="I80" s="104">
        <f t="shared" si="14"/>
        <v>126039.98</v>
      </c>
      <c r="N80" s="478" t="s">
        <v>397</v>
      </c>
      <c r="O80" s="479"/>
      <c r="P80" s="479"/>
      <c r="Q80" s="47"/>
      <c r="R80" s="134">
        <f t="shared" si="15"/>
        <v>206284749</v>
      </c>
      <c r="S80" s="40" t="s">
        <v>6</v>
      </c>
      <c r="T80" s="133">
        <f>T66</f>
        <v>3.19E-4</v>
      </c>
      <c r="U80" s="99">
        <f t="shared" si="16"/>
        <v>65805</v>
      </c>
    </row>
    <row r="81" spans="1:21" x14ac:dyDescent="0.25">
      <c r="A81" s="84" t="s">
        <v>440</v>
      </c>
      <c r="B81" s="72"/>
      <c r="C81" s="72"/>
      <c r="D81" s="72"/>
      <c r="E81" s="46"/>
      <c r="F81" s="337"/>
      <c r="G81" s="39"/>
      <c r="H81" s="131"/>
      <c r="I81" s="104"/>
      <c r="N81" s="419" t="s">
        <v>440</v>
      </c>
      <c r="O81" s="48"/>
      <c r="P81" s="48"/>
      <c r="Q81" s="47"/>
      <c r="R81" s="423"/>
      <c r="S81" s="40"/>
      <c r="T81" s="133"/>
      <c r="U81" s="120"/>
    </row>
    <row r="82" spans="1:21" x14ac:dyDescent="0.25">
      <c r="A82" s="264" t="s">
        <v>441</v>
      </c>
      <c r="B82" s="72"/>
      <c r="C82" s="72"/>
      <c r="D82" s="72"/>
      <c r="E82" s="46" t="s">
        <v>442</v>
      </c>
      <c r="F82" s="337">
        <f>'0664'!F82</f>
        <v>0</v>
      </c>
      <c r="G82" s="39" t="s">
        <v>6</v>
      </c>
      <c r="H82" s="131">
        <f>H66</f>
        <v>6.11E-4</v>
      </c>
      <c r="I82" s="104">
        <v>28107.1</v>
      </c>
      <c r="N82" s="422" t="s">
        <v>441</v>
      </c>
      <c r="O82" s="48"/>
      <c r="P82" s="48"/>
      <c r="Q82" s="47"/>
      <c r="R82" s="134">
        <f t="shared" si="15"/>
        <v>0</v>
      </c>
      <c r="S82" s="40"/>
      <c r="T82" s="133"/>
      <c r="U82" s="99">
        <f t="shared" si="16"/>
        <v>0</v>
      </c>
    </row>
    <row r="83" spans="1:21" x14ac:dyDescent="0.25">
      <c r="A83" s="264" t="s">
        <v>443</v>
      </c>
      <c r="B83" s="72"/>
      <c r="C83" s="72"/>
      <c r="D83" s="72"/>
      <c r="E83" s="46" t="s">
        <v>442</v>
      </c>
      <c r="F83" s="337">
        <f>'0664'!F83</f>
        <v>0</v>
      </c>
      <c r="G83" s="39" t="s">
        <v>6</v>
      </c>
      <c r="H83" s="131">
        <f>H66</f>
        <v>6.11E-4</v>
      </c>
      <c r="I83" s="104">
        <v>12775.96</v>
      </c>
      <c r="N83" s="422" t="s">
        <v>443</v>
      </c>
      <c r="O83" s="48"/>
      <c r="P83" s="48"/>
      <c r="Q83" s="47"/>
      <c r="R83" s="134">
        <f t="shared" si="15"/>
        <v>0</v>
      </c>
      <c r="S83" s="40"/>
      <c r="T83" s="133"/>
      <c r="U83" s="99">
        <f t="shared" si="16"/>
        <v>0</v>
      </c>
    </row>
    <row r="84" spans="1:21" x14ac:dyDescent="0.25">
      <c r="A84" s="420" t="s">
        <v>444</v>
      </c>
      <c r="B84" s="72"/>
      <c r="C84" s="72"/>
      <c r="D84" s="72"/>
      <c r="E84" s="46"/>
      <c r="F84" s="337"/>
      <c r="G84" s="39"/>
      <c r="H84" s="131"/>
      <c r="I84" s="104">
        <f>I82+I83</f>
        <v>40883.06</v>
      </c>
      <c r="N84" s="421" t="s">
        <v>444</v>
      </c>
      <c r="O84" s="48"/>
      <c r="P84" s="48"/>
      <c r="Q84" s="47"/>
      <c r="R84" s="423"/>
      <c r="S84" s="40"/>
      <c r="T84" s="133"/>
      <c r="U84" s="99">
        <f>U82+U83</f>
        <v>0</v>
      </c>
    </row>
    <row r="85" spans="1:21" x14ac:dyDescent="0.25">
      <c r="A85" s="463" t="s">
        <v>398</v>
      </c>
      <c r="B85" s="453"/>
      <c r="C85" s="453"/>
      <c r="D85" s="72"/>
      <c r="E85" s="46" t="s">
        <v>4</v>
      </c>
      <c r="F85" s="337">
        <f>'0664'!F85</f>
        <v>0</v>
      </c>
      <c r="G85" s="39" t="s">
        <v>6</v>
      </c>
      <c r="H85" s="131">
        <f>H66</f>
        <v>6.11E-4</v>
      </c>
      <c r="I85" s="104">
        <f t="shared" si="14"/>
        <v>0</v>
      </c>
      <c r="N85" s="478" t="s">
        <v>398</v>
      </c>
      <c r="O85" s="479"/>
      <c r="P85" s="479"/>
      <c r="Q85" s="47"/>
      <c r="R85" s="132">
        <f t="shared" si="15"/>
        <v>0</v>
      </c>
      <c r="S85" s="40" t="s">
        <v>6</v>
      </c>
      <c r="T85" s="133">
        <f>T66</f>
        <v>3.19E-4</v>
      </c>
      <c r="U85" s="99">
        <f t="shared" si="16"/>
        <v>0</v>
      </c>
    </row>
    <row r="86" spans="1:21" x14ac:dyDescent="0.25">
      <c r="B86" s="72"/>
      <c r="C86" s="72"/>
      <c r="D86" s="72"/>
      <c r="E86" s="46"/>
      <c r="F86" s="136"/>
      <c r="G86" s="39"/>
      <c r="H86" s="131"/>
      <c r="I86" s="104"/>
      <c r="N86" s="48"/>
      <c r="O86" s="48"/>
      <c r="P86" s="48"/>
      <c r="Q86" s="47"/>
      <c r="R86" s="137"/>
      <c r="S86" s="40"/>
      <c r="T86" s="133"/>
      <c r="U86" s="106"/>
    </row>
    <row r="87" spans="1:21" x14ac:dyDescent="0.25">
      <c r="A87" s="463" t="s">
        <v>445</v>
      </c>
      <c r="B87" s="453"/>
      <c r="C87" s="453"/>
      <c r="D87" s="453"/>
      <c r="E87" s="453"/>
      <c r="F87" s="453"/>
      <c r="G87" s="453"/>
      <c r="H87" s="453"/>
      <c r="I87" s="453"/>
      <c r="N87" s="478" t="s">
        <v>429</v>
      </c>
      <c r="O87" s="479"/>
      <c r="P87" s="479"/>
      <c r="Q87" s="479"/>
      <c r="R87" s="479"/>
      <c r="S87" s="479"/>
      <c r="T87" s="479"/>
      <c r="U87" s="479"/>
    </row>
    <row r="88" spans="1:21" x14ac:dyDescent="0.25">
      <c r="B88" s="72"/>
      <c r="C88" s="466" t="s">
        <v>73</v>
      </c>
      <c r="D88" s="466"/>
      <c r="E88" s="72"/>
      <c r="F88" s="41" t="s">
        <v>37</v>
      </c>
      <c r="G88" s="72"/>
      <c r="H88" s="72"/>
      <c r="I88" s="72"/>
      <c r="N88" s="48"/>
      <c r="O88" s="48"/>
      <c r="P88" s="48"/>
      <c r="Q88" s="48"/>
      <c r="R88" s="48"/>
      <c r="S88" s="48"/>
      <c r="T88" s="48"/>
      <c r="U88" s="48"/>
    </row>
    <row r="89" spans="1:21" x14ac:dyDescent="0.25">
      <c r="A89" s="3"/>
      <c r="B89" s="138"/>
      <c r="C89" s="462" t="s">
        <v>144</v>
      </c>
      <c r="D89" s="462"/>
      <c r="E89" s="139" t="s">
        <v>150</v>
      </c>
      <c r="F89" s="140" t="s">
        <v>149</v>
      </c>
      <c r="G89" s="141"/>
      <c r="H89" s="141"/>
      <c r="I89" s="141"/>
      <c r="N89" s="495" t="s">
        <v>46</v>
      </c>
      <c r="O89" s="495"/>
      <c r="P89" s="496" t="s">
        <v>119</v>
      </c>
      <c r="Q89" s="496"/>
      <c r="R89" s="497" t="s">
        <v>40</v>
      </c>
      <c r="S89" s="497"/>
      <c r="T89" s="497"/>
      <c r="U89" s="497"/>
    </row>
    <row r="90" spans="1:21" x14ac:dyDescent="0.25">
      <c r="A90" s="27"/>
      <c r="B90" s="55" t="s">
        <v>148</v>
      </c>
      <c r="C90" s="467">
        <f>H13+H14+H19+H22+H25</f>
        <v>0</v>
      </c>
      <c r="D90" s="467"/>
      <c r="E90" s="49">
        <f>H8</f>
        <v>1.0438000000000001</v>
      </c>
      <c r="F90" s="338">
        <f>'0664'!F90</f>
        <v>957.94</v>
      </c>
      <c r="G90" s="41" t="s">
        <v>13</v>
      </c>
      <c r="H90" s="104">
        <f>ROUND(C90*E90*F90,2)</f>
        <v>0</v>
      </c>
      <c r="I90" s="107"/>
      <c r="N90" s="29" t="s">
        <v>22</v>
      </c>
      <c r="O90" s="50">
        <f>T13+T14+T19+T22+T25</f>
        <v>0</v>
      </c>
      <c r="P90" s="490">
        <f>T8</f>
        <v>1.0438000000000001</v>
      </c>
      <c r="Q90" s="490"/>
      <c r="R90" s="51">
        <f>F90</f>
        <v>957.94</v>
      </c>
      <c r="S90" s="42" t="s">
        <v>13</v>
      </c>
      <c r="T90" s="134">
        <f>ROUND(O90*P90*R90,0)</f>
        <v>0</v>
      </c>
      <c r="U90" s="105"/>
    </row>
    <row r="91" spans="1:21" x14ac:dyDescent="0.25">
      <c r="A91" s="52"/>
      <c r="B91" s="52" t="s">
        <v>147</v>
      </c>
      <c r="C91" s="467">
        <f>H15+H16+H20+H23+H26</f>
        <v>0</v>
      </c>
      <c r="D91" s="467"/>
      <c r="E91" s="49">
        <f>H8</f>
        <v>1.0438000000000001</v>
      </c>
      <c r="F91" s="338">
        <f>'0664'!F91</f>
        <v>914.63</v>
      </c>
      <c r="G91" s="41" t="s">
        <v>13</v>
      </c>
      <c r="H91" s="104">
        <f>ROUND(C91*E91*F91,2)</f>
        <v>0</v>
      </c>
      <c r="N91" s="53" t="s">
        <v>14</v>
      </c>
      <c r="O91" s="50">
        <f>T15+T16+T20+T23+T26</f>
        <v>0</v>
      </c>
      <c r="P91" s="490">
        <f>T8</f>
        <v>1.0438000000000001</v>
      </c>
      <c r="Q91" s="490"/>
      <c r="R91" s="51">
        <f>F91</f>
        <v>914.63</v>
      </c>
      <c r="S91" s="42" t="s">
        <v>13</v>
      </c>
      <c r="T91" s="134">
        <f>ROUND(O91*P91*R91,0)</f>
        <v>0</v>
      </c>
      <c r="U91" s="54"/>
    </row>
    <row r="92" spans="1:21" ht="16.5" thickBot="1" x14ac:dyDescent="0.3">
      <c r="A92" s="55"/>
      <c r="B92" s="55" t="s">
        <v>146</v>
      </c>
      <c r="C92" s="467">
        <f>H17+H18+H21+H24+H27+H28</f>
        <v>132.57859999999999</v>
      </c>
      <c r="D92" s="467"/>
      <c r="E92" s="49">
        <f>H8</f>
        <v>1.0438000000000001</v>
      </c>
      <c r="F92" s="338">
        <f>'0664'!F92</f>
        <v>916.84</v>
      </c>
      <c r="G92" s="41" t="s">
        <v>13</v>
      </c>
      <c r="H92" s="97">
        <f>ROUND(C92*E92*F92,2)</f>
        <v>126877.4</v>
      </c>
      <c r="N92" s="56" t="s">
        <v>15</v>
      </c>
      <c r="O92" s="57">
        <f>T17+T18+T21+T24+T27+T28</f>
        <v>69.17</v>
      </c>
      <c r="P92" s="490">
        <f>T8</f>
        <v>1.0438000000000001</v>
      </c>
      <c r="Q92" s="490"/>
      <c r="R92" s="51">
        <f>F92</f>
        <v>916.84</v>
      </c>
      <c r="S92" s="42" t="s">
        <v>13</v>
      </c>
      <c r="T92" s="134">
        <f>ROUND(O92*P92*R92,0)</f>
        <v>66196</v>
      </c>
      <c r="U92" s="54"/>
    </row>
    <row r="93" spans="1:21" ht="16.5" thickBot="1" x14ac:dyDescent="0.3">
      <c r="A93" s="58"/>
      <c r="B93" s="142" t="s">
        <v>145</v>
      </c>
      <c r="C93" s="469">
        <f>SUM(C90:C92)</f>
        <v>132.57859999999999</v>
      </c>
      <c r="D93" s="469"/>
      <c r="E93" s="143"/>
      <c r="F93" s="143"/>
      <c r="G93" s="143"/>
      <c r="H93" s="144" t="s">
        <v>143</v>
      </c>
      <c r="I93" s="104">
        <f>IF(A1=75,0,H92+H91+H90)</f>
        <v>126877.4</v>
      </c>
      <c r="N93" s="59" t="s">
        <v>120</v>
      </c>
      <c r="O93" s="60">
        <f>SUM(O90:O92)</f>
        <v>69.17</v>
      </c>
      <c r="P93" s="491" t="s">
        <v>18</v>
      </c>
      <c r="Q93" s="492"/>
      <c r="R93" s="492"/>
      <c r="S93" s="492"/>
      <c r="T93" s="492"/>
      <c r="U93" s="99">
        <f>IF(N1=75,0,T92+T91+T90)</f>
        <v>66196</v>
      </c>
    </row>
    <row r="94" spans="1:21" ht="16.5" thickTop="1" x14ac:dyDescent="0.25">
      <c r="A94" s="540" t="s">
        <v>90</v>
      </c>
      <c r="B94" s="540"/>
      <c r="C94" s="540"/>
      <c r="D94" s="540"/>
      <c r="E94" s="540"/>
      <c r="F94" s="540"/>
      <c r="G94" s="540"/>
      <c r="H94" s="540"/>
      <c r="I94" s="540"/>
      <c r="N94" s="493" t="s">
        <v>90</v>
      </c>
      <c r="O94" s="493"/>
      <c r="P94" s="493"/>
      <c r="Q94" s="493"/>
      <c r="R94" s="493"/>
      <c r="S94" s="493"/>
      <c r="T94" s="493"/>
      <c r="U94" s="493"/>
    </row>
    <row r="95" spans="1:21" x14ac:dyDescent="0.25">
      <c r="A95" s="145"/>
      <c r="B95" s="145"/>
      <c r="C95" s="145"/>
      <c r="D95" s="145"/>
      <c r="E95" s="145"/>
      <c r="F95" s="145"/>
      <c r="G95" s="145"/>
      <c r="H95" s="145"/>
      <c r="I95" s="145"/>
      <c r="N95" s="146"/>
      <c r="O95" s="146"/>
      <c r="P95" s="146"/>
      <c r="Q95" s="146"/>
      <c r="R95" s="146"/>
      <c r="S95" s="146"/>
      <c r="T95" s="146"/>
      <c r="U95" s="146"/>
    </row>
    <row r="96" spans="1:21" x14ac:dyDescent="0.25">
      <c r="A96" s="84" t="s">
        <v>446</v>
      </c>
      <c r="C96" s="8"/>
      <c r="D96" s="8"/>
      <c r="E96" s="46" t="s">
        <v>100</v>
      </c>
      <c r="F96" s="471"/>
      <c r="G96" s="471"/>
      <c r="H96" s="471"/>
      <c r="I96" s="471"/>
      <c r="N96" s="478" t="s">
        <v>426</v>
      </c>
      <c r="O96" s="479"/>
      <c r="P96" s="479"/>
      <c r="Q96" s="494"/>
      <c r="R96" s="494"/>
      <c r="S96" s="494"/>
      <c r="T96" s="494"/>
      <c r="U96" s="106"/>
    </row>
    <row r="97" spans="1:21" x14ac:dyDescent="0.25">
      <c r="B97" s="72"/>
      <c r="C97" s="91" t="s">
        <v>409</v>
      </c>
      <c r="D97" s="371" t="s">
        <v>410</v>
      </c>
      <c r="E97" s="92" t="s">
        <v>151</v>
      </c>
      <c r="F97" s="46"/>
      <c r="G97" s="46"/>
      <c r="H97" s="46"/>
      <c r="I97" s="46"/>
      <c r="N97" s="48"/>
      <c r="O97" s="48"/>
      <c r="P97" s="48"/>
      <c r="Q97" s="147"/>
      <c r="R97" s="147"/>
      <c r="S97" s="147"/>
      <c r="T97" s="147"/>
      <c r="U97" s="106"/>
    </row>
    <row r="98" spans="1:21" x14ac:dyDescent="0.25">
      <c r="B98" s="72"/>
      <c r="C98" s="362" t="s">
        <v>2</v>
      </c>
      <c r="D98" s="362" t="s">
        <v>2</v>
      </c>
      <c r="E98" s="362" t="s">
        <v>2</v>
      </c>
      <c r="F98" s="46"/>
      <c r="G98" s="46"/>
      <c r="H98" s="46"/>
      <c r="I98" s="46"/>
      <c r="N98" s="48"/>
      <c r="O98" s="48"/>
      <c r="P98" s="48"/>
      <c r="Q98" s="147"/>
      <c r="R98" s="147"/>
      <c r="S98" s="147"/>
      <c r="T98" s="147"/>
      <c r="U98" s="106"/>
    </row>
    <row r="99" spans="1:21" x14ac:dyDescent="0.25">
      <c r="A99" s="536" t="s">
        <v>470</v>
      </c>
      <c r="B99" s="461"/>
      <c r="C99" s="165">
        <v>35</v>
      </c>
      <c r="D99" s="165">
        <v>0</v>
      </c>
      <c r="E99" s="125">
        <f>C99</f>
        <v>35</v>
      </c>
      <c r="F99" s="148" t="s">
        <v>39</v>
      </c>
      <c r="G99" s="339">
        <f>'0664'!G99</f>
        <v>558</v>
      </c>
      <c r="I99" s="104">
        <f>ROUND(G99*E99,2)</f>
        <v>19530</v>
      </c>
      <c r="N99" s="488" t="s">
        <v>65</v>
      </c>
      <c r="O99" s="488"/>
      <c r="P99" s="489">
        <f>IF(H120=1,E99,0)</f>
        <v>35</v>
      </c>
      <c r="Q99" s="489"/>
      <c r="R99" s="489"/>
      <c r="S99" s="86" t="s">
        <v>39</v>
      </c>
      <c r="T99" s="61">
        <f>G99</f>
        <v>558</v>
      </c>
      <c r="U99" s="99">
        <f>ROUND(T99*P99,0)</f>
        <v>19530</v>
      </c>
    </row>
    <row r="100" spans="1:21" x14ac:dyDescent="0.25">
      <c r="A100" s="536" t="s">
        <v>471</v>
      </c>
      <c r="B100" s="461"/>
      <c r="C100" s="165">
        <v>0</v>
      </c>
      <c r="D100" s="165">
        <v>0</v>
      </c>
      <c r="E100" s="125">
        <f>C100</f>
        <v>0</v>
      </c>
      <c r="F100" s="148" t="s">
        <v>39</v>
      </c>
      <c r="G100" s="339">
        <f>'0664'!G100</f>
        <v>1707</v>
      </c>
      <c r="I100" s="104">
        <f>ROUND(G100*E100,2)</f>
        <v>0</v>
      </c>
      <c r="N100" s="488" t="s">
        <v>81</v>
      </c>
      <c r="O100" s="488"/>
      <c r="P100" s="483"/>
      <c r="Q100" s="483"/>
      <c r="R100" s="483"/>
      <c r="S100" s="86" t="s">
        <v>39</v>
      </c>
      <c r="T100" s="61">
        <f>G100</f>
        <v>1707</v>
      </c>
      <c r="U100" s="99">
        <f>ROUND(T100*P100,0)</f>
        <v>0</v>
      </c>
    </row>
    <row r="101" spans="1:21" x14ac:dyDescent="0.25">
      <c r="A101" s="149"/>
      <c r="B101" s="149"/>
      <c r="C101" s="68"/>
      <c r="D101" s="68"/>
      <c r="E101" s="68"/>
      <c r="F101" s="68"/>
      <c r="G101" s="150"/>
      <c r="H101" s="151"/>
      <c r="I101" s="104"/>
      <c r="N101" s="152"/>
      <c r="O101" s="152"/>
      <c r="P101" s="153"/>
      <c r="Q101" s="153"/>
      <c r="R101" s="153"/>
      <c r="S101" s="86"/>
      <c r="T101" s="61"/>
      <c r="U101" s="106"/>
    </row>
    <row r="102" spans="1:21" x14ac:dyDescent="0.25">
      <c r="A102" s="149"/>
      <c r="B102" s="149"/>
      <c r="C102" s="68"/>
      <c r="D102" s="68"/>
      <c r="E102" s="68"/>
      <c r="F102" s="68"/>
      <c r="G102" s="150"/>
      <c r="H102" s="151"/>
      <c r="I102" s="104"/>
      <c r="N102" s="152"/>
      <c r="O102" s="152"/>
      <c r="P102" s="153"/>
      <c r="Q102" s="153"/>
      <c r="R102" s="153"/>
      <c r="S102" s="86"/>
      <c r="T102" s="61"/>
      <c r="U102" s="106"/>
    </row>
    <row r="103" spans="1:21" hidden="1" x14ac:dyDescent="0.25">
      <c r="A103" s="463" t="s">
        <v>447</v>
      </c>
      <c r="B103" s="453"/>
      <c r="C103" s="453"/>
      <c r="D103" s="72"/>
      <c r="E103" s="41" t="s">
        <v>41</v>
      </c>
      <c r="F103" s="466"/>
      <c r="G103" s="466"/>
      <c r="H103" s="466"/>
      <c r="I103" s="466"/>
      <c r="N103" s="478" t="s">
        <v>362</v>
      </c>
      <c r="O103" s="479"/>
      <c r="P103" s="479"/>
      <c r="Q103" s="479"/>
      <c r="R103" s="479"/>
      <c r="S103" s="479"/>
      <c r="T103" s="479"/>
      <c r="U103" s="479"/>
    </row>
    <row r="104" spans="1:21" hidden="1" x14ac:dyDescent="0.25">
      <c r="B104" s="72"/>
      <c r="C104" s="462" t="s">
        <v>91</v>
      </c>
      <c r="D104" s="462"/>
      <c r="E104" s="462"/>
      <c r="F104" s="39"/>
      <c r="G104" s="39"/>
      <c r="H104" s="41" t="s">
        <v>152</v>
      </c>
      <c r="I104" s="39"/>
      <c r="N104" s="48"/>
      <c r="O104" s="48"/>
      <c r="P104" s="48"/>
      <c r="Q104" s="48"/>
      <c r="R104" s="48"/>
      <c r="S104" s="48"/>
      <c r="T104" s="48"/>
      <c r="U104" s="48"/>
    </row>
    <row r="105" spans="1:21" hidden="1" x14ac:dyDescent="0.25">
      <c r="B105" s="72"/>
      <c r="C105" s="91" t="s">
        <v>371</v>
      </c>
      <c r="D105" s="91" t="s">
        <v>351</v>
      </c>
      <c r="E105" s="159" t="s">
        <v>8</v>
      </c>
      <c r="F105" s="464" t="s">
        <v>153</v>
      </c>
      <c r="G105" s="466"/>
      <c r="H105" s="39" t="s">
        <v>38</v>
      </c>
      <c r="I105" s="39"/>
      <c r="N105" s="48"/>
      <c r="O105" s="48"/>
      <c r="P105" s="48"/>
      <c r="Q105" s="48"/>
      <c r="R105" s="48"/>
      <c r="S105" s="48"/>
      <c r="T105" s="48"/>
      <c r="U105" s="48"/>
    </row>
    <row r="106" spans="1:21" hidden="1" x14ac:dyDescent="0.25">
      <c r="A106" s="462" t="s">
        <v>94</v>
      </c>
      <c r="B106" s="462"/>
      <c r="C106" s="93" t="s">
        <v>2</v>
      </c>
      <c r="D106" s="93" t="s">
        <v>2</v>
      </c>
      <c r="E106" s="62" t="s">
        <v>2</v>
      </c>
      <c r="F106" s="462" t="s">
        <v>37</v>
      </c>
      <c r="G106" s="462"/>
      <c r="H106" s="62" t="s">
        <v>37</v>
      </c>
      <c r="I106" s="62" t="s">
        <v>8</v>
      </c>
      <c r="N106" s="484" t="s">
        <v>66</v>
      </c>
      <c r="O106" s="484"/>
      <c r="P106" s="489" t="s">
        <v>91</v>
      </c>
      <c r="Q106" s="489"/>
      <c r="R106" s="484" t="s">
        <v>67</v>
      </c>
      <c r="S106" s="484"/>
      <c r="T106" s="63" t="s">
        <v>68</v>
      </c>
      <c r="U106" s="63" t="s">
        <v>8</v>
      </c>
    </row>
    <row r="107" spans="1:21" hidden="1" x14ac:dyDescent="0.25">
      <c r="A107" s="473" t="s">
        <v>69</v>
      </c>
      <c r="B107" s="473"/>
      <c r="C107" s="163">
        <v>0</v>
      </c>
      <c r="D107" s="163">
        <v>0</v>
      </c>
      <c r="E107" s="210">
        <f>IF(D$59=0,C107*2,C107+D107)</f>
        <v>0</v>
      </c>
      <c r="F107" s="474">
        <v>0</v>
      </c>
      <c r="G107" s="474"/>
      <c r="H107" s="250">
        <f>IF(C107=0,0,125)</f>
        <v>0</v>
      </c>
      <c r="I107" s="104">
        <f>ROUND((H107+F107)*E107,2)</f>
        <v>0</v>
      </c>
      <c r="N107" s="479" t="s">
        <v>69</v>
      </c>
      <c r="O107" s="479"/>
      <c r="P107" s="483">
        <f>IF(H$120=1,C107,0)</f>
        <v>0</v>
      </c>
      <c r="Q107" s="483"/>
      <c r="R107" s="486">
        <f>F107</f>
        <v>0</v>
      </c>
      <c r="S107" s="486"/>
      <c r="T107" s="65">
        <f>H107</f>
        <v>0</v>
      </c>
      <c r="U107" s="99">
        <f>ROUND((T107+R107)*P107,0)</f>
        <v>0</v>
      </c>
    </row>
    <row r="108" spans="1:21" hidden="1" x14ac:dyDescent="0.25">
      <c r="A108" s="456" t="s">
        <v>70</v>
      </c>
      <c r="B108" s="456"/>
      <c r="C108" s="165">
        <v>0</v>
      </c>
      <c r="D108" s="165">
        <v>0</v>
      </c>
      <c r="E108" s="125">
        <f>IF(D$59=0,C108*2,C108+D108)</f>
        <v>0</v>
      </c>
      <c r="F108" s="468">
        <f>ROUND(F107/2,2)</f>
        <v>0</v>
      </c>
      <c r="G108" s="468"/>
      <c r="H108" s="250">
        <f>IF(C108=0,0,62.5)</f>
        <v>0</v>
      </c>
      <c r="I108" s="104">
        <f>ROUND((H108+F108)*E108,2)</f>
        <v>0</v>
      </c>
      <c r="N108" s="479" t="s">
        <v>70</v>
      </c>
      <c r="O108" s="479"/>
      <c r="P108" s="483">
        <f>IF(H$120=1,C108,0)</f>
        <v>0</v>
      </c>
      <c r="Q108" s="483"/>
      <c r="R108" s="487">
        <f>ROUND(R107/2,2)</f>
        <v>0</v>
      </c>
      <c r="S108" s="487"/>
      <c r="T108" s="65">
        <f>H108</f>
        <v>0</v>
      </c>
      <c r="U108" s="99">
        <f>ROUND((T108+R108)*P108,0)</f>
        <v>0</v>
      </c>
    </row>
    <row r="109" spans="1:21" ht="16.5" hidden="1" thickBot="1" x14ac:dyDescent="0.3">
      <c r="A109" s="456" t="s">
        <v>71</v>
      </c>
      <c r="B109" s="456"/>
      <c r="C109" s="165">
        <v>0</v>
      </c>
      <c r="D109" s="165">
        <v>0</v>
      </c>
      <c r="E109" s="125">
        <f>IF(D$59=0,C109*2,C109+D109)</f>
        <v>0</v>
      </c>
      <c r="F109" s="475"/>
      <c r="G109" s="475"/>
      <c r="H109" s="251">
        <f>IF(H107&gt;0,436,0)</f>
        <v>0</v>
      </c>
      <c r="I109" s="104">
        <f>ROUND(H109*E109,2)</f>
        <v>0</v>
      </c>
      <c r="N109" s="482" t="s">
        <v>71</v>
      </c>
      <c r="O109" s="482"/>
      <c r="P109" s="483">
        <f>IF(H$120=1,C109,0)</f>
        <v>0</v>
      </c>
      <c r="Q109" s="483"/>
      <c r="R109" s="484"/>
      <c r="S109" s="484"/>
      <c r="T109" s="67">
        <f>H109</f>
        <v>0</v>
      </c>
      <c r="U109" s="106">
        <f>ROUND(T109*P109,0)</f>
        <v>0</v>
      </c>
    </row>
    <row r="110" spans="1:21" ht="16.5" hidden="1" thickBot="1" x14ac:dyDescent="0.3">
      <c r="A110" s="466" t="s">
        <v>8</v>
      </c>
      <c r="B110" s="466"/>
      <c r="C110" s="68"/>
      <c r="D110" s="68"/>
      <c r="E110" s="68"/>
      <c r="F110" s="68"/>
      <c r="G110" s="68"/>
      <c r="H110" s="68"/>
      <c r="I110" s="100">
        <f>SUM(I107:I109)</f>
        <v>0</v>
      </c>
      <c r="N110" s="485" t="s">
        <v>8</v>
      </c>
      <c r="O110" s="485"/>
      <c r="P110" s="69"/>
      <c r="Q110" s="69"/>
      <c r="R110" s="69"/>
      <c r="S110" s="69"/>
      <c r="T110" s="69"/>
      <c r="U110" s="70">
        <f>SUM(U107:U109)</f>
        <v>0</v>
      </c>
    </row>
    <row r="111" spans="1:21" hidden="1" x14ac:dyDescent="0.25">
      <c r="A111" s="39"/>
      <c r="B111" s="39"/>
      <c r="C111" s="68"/>
      <c r="D111" s="68"/>
      <c r="E111" s="68"/>
      <c r="F111" s="68"/>
      <c r="G111" s="68"/>
      <c r="H111" s="68"/>
      <c r="I111" s="104"/>
      <c r="N111" s="40"/>
      <c r="O111" s="40"/>
      <c r="P111" s="69"/>
      <c r="Q111" s="69"/>
      <c r="R111" s="69"/>
      <c r="S111" s="69"/>
      <c r="T111" s="69"/>
      <c r="U111" s="160"/>
    </row>
    <row r="112" spans="1:21" x14ac:dyDescent="0.25">
      <c r="A112" s="463" t="s">
        <v>448</v>
      </c>
      <c r="B112" s="453"/>
      <c r="C112" s="453"/>
      <c r="D112" s="72"/>
      <c r="E112" s="71" t="s">
        <v>354</v>
      </c>
      <c r="F112" s="472"/>
      <c r="G112" s="472"/>
      <c r="H112" s="472"/>
      <c r="I112" s="125">
        <v>0</v>
      </c>
      <c r="N112" s="478" t="s">
        <v>427</v>
      </c>
      <c r="O112" s="479"/>
      <c r="P112" s="479"/>
      <c r="Q112" s="341"/>
      <c r="R112" s="341"/>
      <c r="S112" s="341"/>
      <c r="T112" s="341"/>
      <c r="U112" s="99">
        <f>IF($H$120=1,I112,0)</f>
        <v>0</v>
      </c>
    </row>
    <row r="113" spans="1:21" x14ac:dyDescent="0.25">
      <c r="A113" s="463" t="s">
        <v>449</v>
      </c>
      <c r="B113" s="453"/>
      <c r="C113" s="453"/>
      <c r="D113" s="72"/>
      <c r="E113" s="71" t="s">
        <v>45</v>
      </c>
      <c r="F113" s="472"/>
      <c r="G113" s="472"/>
      <c r="H113" s="472"/>
      <c r="I113" s="177">
        <v>0</v>
      </c>
      <c r="N113" s="478" t="s">
        <v>428</v>
      </c>
      <c r="O113" s="479"/>
      <c r="P113" s="479"/>
      <c r="Q113" s="341"/>
      <c r="R113" s="341"/>
      <c r="S113" s="341"/>
      <c r="T113" s="341"/>
      <c r="U113" s="99">
        <f>IF($H$120=1,I113,0)</f>
        <v>0</v>
      </c>
    </row>
    <row r="114" spans="1:21" ht="16.5" thickBot="1" x14ac:dyDescent="0.3">
      <c r="B114" s="72"/>
      <c r="C114" s="72"/>
      <c r="D114" s="72"/>
      <c r="E114" s="71"/>
      <c r="F114" s="71"/>
      <c r="G114" s="71"/>
      <c r="H114" s="71"/>
      <c r="I114" s="125"/>
      <c r="N114" s="480" t="s">
        <v>42</v>
      </c>
      <c r="O114" s="480"/>
      <c r="P114" s="480"/>
      <c r="Q114" s="480"/>
      <c r="R114" s="480"/>
      <c r="S114" s="480"/>
      <c r="T114" s="480"/>
      <c r="U114" s="154">
        <f>SUM(U112,U110,U100,U99,U93,U77,U76,U74,U73,U72,U71,U70,U68,U59,U45,U78,U79,U80,U85,U113)</f>
        <v>514730</v>
      </c>
    </row>
    <row r="115" spans="1:21" ht="16.5" thickTop="1" x14ac:dyDescent="0.25">
      <c r="A115" s="461" t="s">
        <v>8</v>
      </c>
      <c r="B115" s="461"/>
      <c r="C115" s="461"/>
      <c r="D115" s="461"/>
      <c r="E115" s="461"/>
      <c r="F115" s="461"/>
      <c r="G115" s="461"/>
      <c r="H115" s="461"/>
      <c r="I115" s="97">
        <f>SUM(I113,I112,I110,I100,I99,I93,I85,I84,I80,I79,I78,I77,I76,I74,I73,I72,I71,I70,I68,I59,I45)</f>
        <v>1283306.43</v>
      </c>
      <c r="N115" s="29"/>
      <c r="O115" s="29"/>
      <c r="P115" s="29"/>
      <c r="Q115" s="29"/>
      <c r="R115" s="29"/>
      <c r="S115" s="29"/>
      <c r="T115" s="29"/>
      <c r="U115" s="160"/>
    </row>
    <row r="116" spans="1:21" x14ac:dyDescent="0.25">
      <c r="A116" s="27"/>
      <c r="B116" s="27"/>
      <c r="C116" s="27"/>
      <c r="D116" s="27"/>
      <c r="E116" s="27"/>
      <c r="F116" s="27"/>
      <c r="G116" s="27"/>
      <c r="H116" s="27"/>
      <c r="I116" s="104"/>
      <c r="N116" s="29"/>
      <c r="O116" s="29"/>
      <c r="P116" s="29"/>
      <c r="Q116" s="29"/>
      <c r="R116" s="29"/>
      <c r="S116" s="29"/>
      <c r="T116" s="29"/>
      <c r="U116" s="160"/>
    </row>
    <row r="117" spans="1:21" x14ac:dyDescent="0.25">
      <c r="A117" s="432" t="s">
        <v>467</v>
      </c>
      <c r="B117" s="27"/>
      <c r="C117" s="27"/>
      <c r="D117" s="27"/>
      <c r="E117" s="27"/>
      <c r="F117" s="27"/>
      <c r="G117" s="27"/>
      <c r="H117" s="27"/>
      <c r="I117" s="104">
        <f>I115-I84</f>
        <v>1242423.3699999999</v>
      </c>
      <c r="N117" s="29"/>
      <c r="O117" s="29"/>
      <c r="P117" s="29"/>
      <c r="Q117" s="29"/>
      <c r="R117" s="29"/>
      <c r="S117" s="29"/>
      <c r="T117" s="29"/>
      <c r="U117" s="160"/>
    </row>
    <row r="118" spans="1:21" x14ac:dyDescent="0.25">
      <c r="A118" s="27"/>
      <c r="B118" s="27"/>
      <c r="C118" s="27"/>
      <c r="D118" s="27"/>
      <c r="E118" s="27"/>
      <c r="F118" s="27"/>
      <c r="G118" s="27"/>
      <c r="H118" s="27"/>
      <c r="I118" s="104"/>
      <c r="N118" s="29"/>
      <c r="O118" s="29"/>
      <c r="P118" s="29"/>
      <c r="Q118" s="29"/>
      <c r="R118" s="29"/>
      <c r="S118" s="29"/>
      <c r="T118" s="29"/>
      <c r="U118" s="160"/>
    </row>
    <row r="119" spans="1:21" x14ac:dyDescent="0.25">
      <c r="A119" s="463" t="s">
        <v>468</v>
      </c>
      <c r="B119" s="453"/>
      <c r="C119" s="453"/>
      <c r="D119" s="453"/>
      <c r="E119" s="453"/>
      <c r="F119" s="453"/>
      <c r="G119" s="453"/>
      <c r="H119" s="84" t="s">
        <v>394</v>
      </c>
      <c r="I119" s="156"/>
      <c r="N119" s="481"/>
      <c r="O119" s="481"/>
      <c r="P119" s="481"/>
      <c r="Q119" s="481"/>
      <c r="R119" s="481"/>
      <c r="S119" s="481"/>
      <c r="T119" s="481"/>
      <c r="U119" s="481"/>
    </row>
    <row r="120" spans="1:21" x14ac:dyDescent="0.25">
      <c r="A120" s="453" t="s">
        <v>95</v>
      </c>
      <c r="B120" s="453"/>
      <c r="C120" s="453"/>
      <c r="D120" s="453"/>
      <c r="E120" s="453"/>
      <c r="F120" s="453"/>
      <c r="G120" s="453"/>
      <c r="H120" s="73">
        <f>IF(E29=0,"",IF((E14+E16+SUM(E18:E24))/E29&gt;0.75,1,""))</f>
        <v>1</v>
      </c>
      <c r="I120" s="125">
        <f>U114</f>
        <v>514730</v>
      </c>
      <c r="N120" s="476" t="s">
        <v>7</v>
      </c>
      <c r="O120" s="476"/>
      <c r="P120" s="476"/>
      <c r="Q120" s="476"/>
      <c r="R120" s="476"/>
      <c r="S120" s="476"/>
      <c r="T120" s="476"/>
      <c r="U120" s="476"/>
    </row>
    <row r="121" spans="1:21" x14ac:dyDescent="0.25">
      <c r="B121" s="72"/>
      <c r="C121" s="72"/>
      <c r="D121" s="72"/>
      <c r="E121" s="72"/>
      <c r="F121" s="72"/>
      <c r="G121" s="72"/>
      <c r="H121" s="68"/>
      <c r="I121" s="104"/>
      <c r="N121" s="74" t="s">
        <v>106</v>
      </c>
      <c r="O121" s="74"/>
      <c r="P121" s="74"/>
      <c r="Q121" s="74"/>
      <c r="R121" s="74"/>
      <c r="S121" s="74"/>
      <c r="T121" s="74"/>
      <c r="U121" s="74"/>
    </row>
    <row r="122" spans="1:21" x14ac:dyDescent="0.25">
      <c r="A122" s="3" t="s">
        <v>102</v>
      </c>
      <c r="B122" s="72"/>
      <c r="C122" s="72"/>
      <c r="D122" s="72"/>
      <c r="E122" s="72"/>
      <c r="F122" s="72"/>
      <c r="G122" s="286"/>
      <c r="H122" s="161">
        <f>IF(H120=1,I120,I117)</f>
        <v>514730</v>
      </c>
      <c r="I122" s="97">
        <f>ROUND(IF(E29=0,0,IF(E29&gt;250,-(((250/E29)*H122)*IF(G122="H",0.02,0.05)),IF(G122="H",-0.02*H122,-0.05*H122))),2)</f>
        <v>-25736.5</v>
      </c>
      <c r="N122" s="75" t="s">
        <v>107</v>
      </c>
      <c r="O122" s="74"/>
      <c r="P122" s="74"/>
      <c r="Q122" s="74"/>
      <c r="R122" s="74"/>
      <c r="S122" s="74"/>
      <c r="T122" s="74"/>
      <c r="U122" s="74"/>
    </row>
    <row r="123" spans="1:21" x14ac:dyDescent="0.25">
      <c r="B123" s="72"/>
      <c r="C123" s="72"/>
      <c r="D123" s="72"/>
      <c r="E123" s="72"/>
      <c r="F123" s="72"/>
      <c r="G123" s="72"/>
      <c r="H123" s="68"/>
      <c r="I123" s="104"/>
      <c r="N123" s="76"/>
      <c r="O123" s="76"/>
      <c r="P123" s="76"/>
      <c r="Q123" s="76"/>
      <c r="R123" s="76"/>
      <c r="S123" s="76"/>
      <c r="T123" s="76"/>
      <c r="U123" s="76"/>
    </row>
    <row r="124" spans="1:21" x14ac:dyDescent="0.25">
      <c r="A124" s="345" t="s">
        <v>103</v>
      </c>
      <c r="B124" s="346"/>
      <c r="C124" s="346"/>
      <c r="D124" s="346"/>
      <c r="E124" s="346"/>
      <c r="F124" s="346"/>
      <c r="G124" s="346"/>
      <c r="H124" s="347"/>
      <c r="I124" s="348">
        <f>I115+I122</f>
        <v>1257569.93</v>
      </c>
      <c r="N124" s="76"/>
      <c r="O124" s="76"/>
      <c r="P124" s="76"/>
      <c r="Q124" s="76"/>
      <c r="R124" s="76"/>
      <c r="S124" s="76"/>
      <c r="T124" s="76"/>
      <c r="U124" s="76"/>
    </row>
    <row r="125" spans="1:21" x14ac:dyDescent="0.25">
      <c r="B125" s="72"/>
      <c r="C125" s="72"/>
      <c r="D125" s="72"/>
      <c r="E125" s="72"/>
      <c r="F125" s="72"/>
      <c r="G125" s="72"/>
      <c r="H125" s="68"/>
      <c r="I125" s="104"/>
      <c r="N125" s="76"/>
      <c r="O125" s="76"/>
      <c r="P125" s="76"/>
      <c r="Q125" s="76"/>
      <c r="R125" s="76"/>
      <c r="S125" s="76"/>
      <c r="T125" s="76"/>
      <c r="U125" s="76"/>
    </row>
    <row r="126" spans="1:21" x14ac:dyDescent="0.25">
      <c r="A126" s="3" t="s">
        <v>104</v>
      </c>
      <c r="B126" s="72"/>
      <c r="C126" s="162"/>
      <c r="D126" s="72"/>
      <c r="F126" s="72"/>
      <c r="G126" s="72"/>
      <c r="H126" s="68"/>
      <c r="I126" s="302">
        <v>-982374.05</v>
      </c>
      <c r="N126" s="76"/>
      <c r="O126" s="76"/>
      <c r="P126" s="76"/>
      <c r="Q126" s="76"/>
      <c r="R126" s="76"/>
      <c r="S126" s="76"/>
      <c r="T126" s="76"/>
      <c r="U126" s="76"/>
    </row>
    <row r="127" spans="1:21" x14ac:dyDescent="0.25">
      <c r="B127" s="72"/>
      <c r="C127" s="72"/>
      <c r="D127" s="72"/>
      <c r="E127" s="72"/>
      <c r="F127" s="72"/>
      <c r="G127" s="72"/>
      <c r="H127" s="68"/>
      <c r="I127" s="104"/>
      <c r="N127" s="76"/>
      <c r="O127" s="76"/>
      <c r="P127" s="76"/>
      <c r="Q127" s="76"/>
      <c r="R127" s="76"/>
      <c r="S127" s="76"/>
      <c r="T127" s="76"/>
      <c r="U127" s="76"/>
    </row>
    <row r="128" spans="1:21" x14ac:dyDescent="0.25">
      <c r="A128" s="84" t="s">
        <v>297</v>
      </c>
      <c r="B128" s="72"/>
      <c r="C128" s="72"/>
      <c r="D128" s="72"/>
      <c r="E128" s="72"/>
      <c r="F128" s="72"/>
      <c r="G128" s="72"/>
      <c r="H128" s="68"/>
      <c r="I128" s="104">
        <f>I124+I126</f>
        <v>275195.87999999989</v>
      </c>
      <c r="N128" s="76"/>
      <c r="O128" s="76"/>
      <c r="P128" s="76"/>
      <c r="Q128" s="76"/>
      <c r="R128" s="76"/>
      <c r="S128" s="76"/>
      <c r="T128" s="76"/>
      <c r="U128" s="76"/>
    </row>
    <row r="129" spans="1:21" x14ac:dyDescent="0.25">
      <c r="A129" s="84"/>
      <c r="B129" s="72"/>
      <c r="C129" s="72"/>
      <c r="D129" s="72"/>
      <c r="E129" s="72"/>
      <c r="F129" s="72"/>
      <c r="G129" s="72"/>
      <c r="H129" s="68"/>
      <c r="I129" s="104"/>
      <c r="N129" s="76"/>
      <c r="O129" s="76"/>
      <c r="P129" s="76"/>
      <c r="Q129" s="76"/>
      <c r="R129" s="76"/>
      <c r="S129" s="76"/>
      <c r="T129" s="76"/>
      <c r="U129" s="76"/>
    </row>
    <row r="130" spans="1:21" x14ac:dyDescent="0.25">
      <c r="A130" s="84" t="s">
        <v>298</v>
      </c>
      <c r="B130" s="72"/>
      <c r="C130" s="72"/>
      <c r="D130" s="72"/>
      <c r="E130" s="72"/>
      <c r="F130" s="72"/>
      <c r="G130" s="72"/>
      <c r="H130" s="68"/>
      <c r="I130" s="303">
        <f>'0664'!I130</f>
        <v>3</v>
      </c>
      <c r="N130" s="76"/>
      <c r="O130" s="76"/>
      <c r="P130" s="76"/>
      <c r="Q130" s="76"/>
      <c r="R130" s="76"/>
      <c r="S130" s="76"/>
      <c r="T130" s="76"/>
      <c r="U130" s="76"/>
    </row>
    <row r="131" spans="1:21" x14ac:dyDescent="0.25">
      <c r="B131" s="72"/>
      <c r="C131" s="72"/>
      <c r="D131" s="72"/>
      <c r="E131" s="72"/>
      <c r="F131" s="72"/>
      <c r="G131" s="72"/>
      <c r="H131" s="68"/>
      <c r="I131" s="104"/>
      <c r="N131" s="76"/>
      <c r="O131" s="76"/>
      <c r="P131" s="76"/>
      <c r="Q131" s="76"/>
      <c r="R131" s="76"/>
      <c r="S131" s="76"/>
      <c r="T131" s="76"/>
      <c r="U131" s="76"/>
    </row>
    <row r="132" spans="1:21" ht="16.5" thickBot="1" x14ac:dyDescent="0.3">
      <c r="A132" s="3" t="s">
        <v>105</v>
      </c>
      <c r="B132" s="72"/>
      <c r="C132" s="72"/>
      <c r="D132" s="72"/>
      <c r="E132" s="72"/>
      <c r="F132" s="72"/>
      <c r="G132" s="72"/>
      <c r="H132" s="68"/>
      <c r="I132" s="178">
        <f>ROUND(I128/I130,2)</f>
        <v>91731.96</v>
      </c>
      <c r="N132" s="76"/>
      <c r="O132" s="76"/>
      <c r="P132" s="76"/>
      <c r="Q132" s="76"/>
      <c r="R132" s="76"/>
      <c r="S132" s="76"/>
      <c r="T132" s="76"/>
      <c r="U132" s="76"/>
    </row>
    <row r="133" spans="1:21" ht="16.5" thickTop="1" x14ac:dyDescent="0.25">
      <c r="B133" s="72"/>
      <c r="C133" s="72"/>
      <c r="D133" s="72"/>
      <c r="E133" s="72"/>
      <c r="F133" s="72"/>
      <c r="G133" s="72"/>
      <c r="H133" s="68"/>
      <c r="I133" s="104"/>
      <c r="N133" s="76"/>
      <c r="O133" s="76"/>
      <c r="P133" s="76"/>
      <c r="Q133" s="76"/>
      <c r="R133" s="76"/>
      <c r="S133" s="76"/>
      <c r="T133" s="76"/>
      <c r="U133" s="76"/>
    </row>
    <row r="134" spans="1:21" ht="16.5" thickBot="1" x14ac:dyDescent="0.3">
      <c r="A134" s="3" t="s">
        <v>121</v>
      </c>
      <c r="B134" s="72"/>
      <c r="C134" s="72"/>
      <c r="D134" s="72"/>
      <c r="E134" s="72"/>
      <c r="F134" s="72"/>
      <c r="G134" s="72"/>
      <c r="H134" s="68"/>
      <c r="I134" s="155">
        <f>ROUND(IF(G122="H",(H122*0.02)+I122,(H122*0.05)+I122),2)</f>
        <v>0</v>
      </c>
      <c r="N134" s="76"/>
      <c r="O134" s="76"/>
      <c r="P134" s="76"/>
      <c r="Q134" s="76"/>
      <c r="R134" s="76"/>
      <c r="S134" s="76"/>
      <c r="T134" s="76"/>
      <c r="U134" s="76"/>
    </row>
    <row r="135" spans="1:21" ht="16.5" thickTop="1" x14ac:dyDescent="0.25">
      <c r="B135" s="72"/>
      <c r="C135" s="72"/>
      <c r="D135" s="72"/>
      <c r="E135" s="72"/>
      <c r="F135" s="72"/>
      <c r="G135" s="72"/>
      <c r="H135" s="68"/>
      <c r="I135" s="156"/>
      <c r="N135" s="76"/>
      <c r="O135" s="76"/>
      <c r="P135" s="76"/>
      <c r="Q135" s="76"/>
      <c r="R135" s="76"/>
      <c r="S135" s="76"/>
      <c r="T135" s="76"/>
      <c r="U135" s="76"/>
    </row>
    <row r="136" spans="1:21" x14ac:dyDescent="0.25">
      <c r="B136" s="72"/>
      <c r="C136" s="72"/>
      <c r="D136" s="72"/>
      <c r="E136" s="72"/>
      <c r="F136" s="72"/>
      <c r="G136" s="72"/>
      <c r="H136" s="68"/>
      <c r="I136" s="104"/>
      <c r="N136" s="76"/>
      <c r="O136" s="76"/>
      <c r="P136" s="76"/>
      <c r="Q136" s="76"/>
      <c r="R136" s="76"/>
      <c r="S136" s="76"/>
      <c r="T136" s="76"/>
      <c r="U136" s="76"/>
    </row>
    <row r="137" spans="1:21" x14ac:dyDescent="0.25">
      <c r="B137" s="72"/>
      <c r="C137" s="72"/>
      <c r="D137" s="72"/>
      <c r="E137" s="72"/>
      <c r="F137" s="72"/>
      <c r="G137" s="72"/>
      <c r="H137" s="68"/>
      <c r="I137" s="156"/>
      <c r="N137" s="76"/>
      <c r="O137" s="76"/>
      <c r="P137" s="76"/>
      <c r="Q137" s="76"/>
      <c r="R137" s="76"/>
      <c r="S137" s="76"/>
      <c r="T137" s="76"/>
      <c r="U137" s="76"/>
    </row>
    <row r="138" spans="1:21" x14ac:dyDescent="0.25">
      <c r="A138" s="281" t="s">
        <v>7</v>
      </c>
      <c r="B138" s="281"/>
      <c r="C138" s="281"/>
      <c r="D138" s="281"/>
      <c r="E138" s="281"/>
      <c r="F138" s="281"/>
      <c r="G138" s="281"/>
      <c r="H138" s="281"/>
      <c r="I138" s="281"/>
      <c r="J138" s="156"/>
      <c r="N138" s="76"/>
      <c r="O138" s="76"/>
      <c r="P138" s="76"/>
      <c r="Q138" s="76"/>
      <c r="R138" s="76"/>
      <c r="S138" s="76"/>
      <c r="T138" s="76"/>
      <c r="U138" s="76"/>
    </row>
    <row r="139" spans="1:21" ht="15.75" customHeight="1" x14ac:dyDescent="0.25">
      <c r="A139" s="384" t="str">
        <f>'0664'!A139</f>
        <v>(a) Additional FTE includes FTE earned through Advanced Placement, International Baccalaureate, Advanced International Certificate of Education, Industry Certified Career</v>
      </c>
      <c r="B139" s="385"/>
      <c r="C139" s="385"/>
      <c r="D139" s="385"/>
      <c r="E139" s="385"/>
      <c r="F139" s="385"/>
      <c r="G139" s="385"/>
      <c r="H139" s="385"/>
      <c r="I139" s="385"/>
      <c r="J139" s="80"/>
      <c r="K139" s="79"/>
      <c r="L139" s="79"/>
      <c r="M139" s="79"/>
      <c r="N139" s="477"/>
      <c r="O139" s="477"/>
      <c r="P139" s="477"/>
      <c r="Q139" s="477"/>
      <c r="R139" s="477"/>
      <c r="S139" s="477"/>
      <c r="T139" s="477"/>
      <c r="U139" s="477"/>
    </row>
    <row r="140" spans="1:21" ht="15.75" customHeight="1" x14ac:dyDescent="0.25">
      <c r="A140" s="390" t="str">
        <f>'0664'!A140</f>
        <v xml:space="preserve">Education (CAPE), Early High School Graduation and the small district ESE Supplement, pursuant to s. 1011.62(1)(l-p), F.S. </v>
      </c>
      <c r="B140" s="385"/>
      <c r="C140" s="385"/>
      <c r="D140" s="385"/>
      <c r="E140" s="385"/>
      <c r="F140" s="385"/>
      <c r="G140" s="385"/>
      <c r="H140" s="385"/>
      <c r="I140" s="385"/>
      <c r="J140" s="80"/>
      <c r="K140" s="79"/>
      <c r="L140" s="79"/>
      <c r="M140" s="79"/>
      <c r="N140" s="76"/>
      <c r="O140" s="76"/>
      <c r="P140" s="76"/>
      <c r="Q140" s="76"/>
      <c r="R140" s="76"/>
      <c r="S140" s="76"/>
      <c r="T140" s="76"/>
      <c r="U140" s="76"/>
    </row>
    <row r="141" spans="1:21" x14ac:dyDescent="0.25">
      <c r="A141" s="384" t="str">
        <f>'0664'!A141</f>
        <v>(b) District allocations multiplied by percentage from item 3A.</v>
      </c>
      <c r="B141" s="386"/>
      <c r="C141" s="386"/>
      <c r="D141" s="386"/>
      <c r="E141" s="386"/>
      <c r="F141" s="386"/>
      <c r="G141" s="386"/>
      <c r="H141" s="386"/>
      <c r="I141" s="386"/>
      <c r="J141" s="79"/>
      <c r="K141" s="79"/>
      <c r="L141" s="79"/>
      <c r="M141" s="79"/>
      <c r="N141" s="81"/>
      <c r="O141" s="82"/>
      <c r="P141" s="82"/>
      <c r="Q141" s="82"/>
      <c r="R141" s="82"/>
      <c r="S141" s="82"/>
      <c r="T141" s="82"/>
      <c r="U141" s="82"/>
    </row>
    <row r="142" spans="1:21" s="79" customFormat="1" x14ac:dyDescent="0.2">
      <c r="A142" s="384" t="str">
        <f>'0664'!A142</f>
        <v>(c) District allocations multiplied by percentage from item 3B.</v>
      </c>
      <c r="B142" s="386"/>
      <c r="C142" s="386"/>
      <c r="D142" s="386"/>
      <c r="E142" s="386"/>
      <c r="F142" s="386"/>
      <c r="G142" s="386"/>
      <c r="H142" s="386"/>
      <c r="I142" s="386"/>
      <c r="N142" s="81"/>
    </row>
    <row r="143" spans="1:21" s="79" customFormat="1" ht="15.75" customHeight="1" x14ac:dyDescent="0.2">
      <c r="A143" s="384" t="str">
        <f>'0664'!A143</f>
        <v>(d) The Digital Classroom Allocation is provided pursuant to s. 1011.62(12), F.S.</v>
      </c>
      <c r="B143" s="386"/>
      <c r="C143" s="386"/>
      <c r="D143" s="386"/>
      <c r="E143" s="386"/>
      <c r="F143" s="386"/>
      <c r="G143" s="386"/>
      <c r="H143" s="386"/>
      <c r="I143" s="386"/>
      <c r="N143" s="81"/>
    </row>
    <row r="144" spans="1:21" s="79" customFormat="1" ht="15.75" customHeight="1" x14ac:dyDescent="0.2">
      <c r="A144" s="384" t="str">
        <f>'0664'!A144</f>
        <v>(e) School districts are required to pay for instructional materials used for the instruction of public high school students who are earning credit toward high school</v>
      </c>
      <c r="B144" s="386"/>
      <c r="C144" s="386"/>
      <c r="D144" s="386"/>
      <c r="E144" s="386"/>
      <c r="F144" s="386"/>
      <c r="G144" s="386"/>
      <c r="H144" s="386"/>
      <c r="I144" s="386"/>
      <c r="N144" s="81"/>
    </row>
    <row r="145" spans="1:14" s="79" customFormat="1" ht="15.75" customHeight="1" x14ac:dyDescent="0.2">
      <c r="A145" s="390" t="str">
        <f>'0664'!A145</f>
        <v xml:space="preserve">graduation under the dual enrollment program as provided in s. 1011.62(l)(i), F.S.  </v>
      </c>
      <c r="B145" s="386"/>
      <c r="C145" s="386"/>
      <c r="D145" s="386"/>
      <c r="E145" s="386"/>
      <c r="F145" s="386"/>
      <c r="G145" s="386"/>
      <c r="H145" s="386"/>
      <c r="I145" s="386"/>
      <c r="N145" s="81"/>
    </row>
    <row r="146" spans="1:14" s="79" customFormat="1" x14ac:dyDescent="0.2">
      <c r="A146" s="384" t="str">
        <f>'0664'!A146</f>
        <v>(f) This allocation will be frozen as of the 2021-22 FEFP Second Calculation and will not be recalculated throughout the year. Charter school allocations should be</v>
      </c>
      <c r="B146" s="386"/>
      <c r="C146" s="386"/>
      <c r="D146" s="386"/>
      <c r="E146" s="386"/>
      <c r="F146" s="386"/>
      <c r="G146" s="386"/>
      <c r="H146" s="386"/>
      <c r="I146" s="386"/>
      <c r="N146" s="81"/>
    </row>
    <row r="147" spans="1:14" s="79" customFormat="1" x14ac:dyDescent="0.2">
      <c r="A147" s="390" t="str">
        <f>'0664'!A147</f>
        <v xml:space="preserve">distributed on weighted FTE (or base funding as is done in the FEFP) and should not be recalculated with fluctuations in student enrollment later in the year. </v>
      </c>
      <c r="B147" s="386"/>
      <c r="C147" s="386"/>
      <c r="D147" s="386"/>
      <c r="E147" s="386"/>
      <c r="F147" s="386"/>
      <c r="G147" s="386"/>
      <c r="H147" s="386"/>
      <c r="I147" s="386"/>
      <c r="N147" s="81"/>
    </row>
    <row r="148" spans="1:14" s="79" customFormat="1" x14ac:dyDescent="0.2">
      <c r="A148" s="384" t="str">
        <f>'0664'!A148</f>
        <v>(g) Numbers entered here will be multiplied by the district level transportation funding per rider. "All Adjusted Fundable Riders" should include both basic and ESE Riders.</v>
      </c>
      <c r="B148" s="386"/>
      <c r="C148" s="386"/>
      <c r="D148" s="386"/>
      <c r="E148" s="386"/>
      <c r="F148" s="386"/>
      <c r="G148" s="386"/>
      <c r="H148" s="386"/>
      <c r="I148" s="386"/>
      <c r="N148" s="81"/>
    </row>
    <row r="149" spans="1:14" s="79" customFormat="1" x14ac:dyDescent="0.2">
      <c r="A149" s="390" t="str">
        <f>'0664'!A149</f>
        <v>"All Adjusted ESE Riders" should include only ESE Riders.</v>
      </c>
      <c r="B149" s="386"/>
      <c r="C149" s="386"/>
      <c r="D149" s="386"/>
      <c r="E149" s="386"/>
      <c r="F149" s="386"/>
      <c r="G149" s="386"/>
      <c r="H149" s="386"/>
      <c r="I149" s="386"/>
      <c r="N149" s="81"/>
    </row>
    <row r="150" spans="1:14" s="79" customFormat="1" x14ac:dyDescent="0.2">
      <c r="A150" s="384" t="str">
        <f>'0664'!A150</f>
        <v xml:space="preserve">(h) The Federally Connected Student Supplement provides additional funding for students on federal lands that receive Section 8003 impact aide pursuant to s. 1011.62(13), F.S. </v>
      </c>
      <c r="B150" s="386"/>
      <c r="C150" s="386"/>
      <c r="D150" s="386"/>
      <c r="E150" s="386"/>
      <c r="F150" s="386"/>
      <c r="G150" s="386"/>
      <c r="H150" s="386"/>
      <c r="I150" s="386"/>
      <c r="N150" s="81"/>
    </row>
    <row r="151" spans="1:14" s="79" customFormat="1" x14ac:dyDescent="0.2">
      <c r="A151" s="384" t="str">
        <f>'0664'!A151</f>
        <v>(i) Teacher Classroom Supply Assistance Program allocation pursuant to s. 1012.71, F.S., for certified teachers employed by a public school district or public charter school</v>
      </c>
      <c r="B151" s="386"/>
      <c r="C151" s="386"/>
      <c r="D151" s="386"/>
      <c r="E151" s="386"/>
      <c r="F151" s="386"/>
      <c r="G151" s="386"/>
      <c r="H151" s="386"/>
      <c r="I151" s="386"/>
      <c r="N151" s="81"/>
    </row>
    <row r="152" spans="1:14" s="79" customFormat="1" x14ac:dyDescent="0.2">
      <c r="A152" s="390" t="str">
        <f>'0664'!A152</f>
        <v xml:space="preserve">before September 1 of each year whose full-time or job-share responsibility is the classroom instruction of students in prekindergarten through grade 12, including </v>
      </c>
      <c r="B152" s="386"/>
      <c r="C152" s="386"/>
      <c r="D152" s="386"/>
      <c r="E152" s="386"/>
      <c r="F152" s="386"/>
      <c r="G152" s="386"/>
      <c r="H152" s="386"/>
      <c r="I152" s="386"/>
      <c r="N152" s="81"/>
    </row>
    <row r="153" spans="1:14" s="79" customFormat="1" ht="15.75" customHeight="1" x14ac:dyDescent="0.2">
      <c r="A153" s="390" t="str">
        <f>'0664'!A153</f>
        <v>full-time media specialists and certified school counselors serving students in prekindergarten through grade 12, who are funded through the FEFP.</v>
      </c>
      <c r="B153" s="386"/>
      <c r="C153" s="386"/>
      <c r="D153" s="386"/>
      <c r="E153" s="386"/>
      <c r="F153" s="386"/>
      <c r="G153" s="386"/>
      <c r="H153" s="386"/>
      <c r="I153" s="386"/>
      <c r="N153" s="81"/>
    </row>
    <row r="154" spans="1:14" s="79" customFormat="1" ht="15.75" customHeight="1" x14ac:dyDescent="0.2">
      <c r="A154" s="384" t="str">
        <f>'0664'!A154</f>
        <v xml:space="preserve">(j) Funding based on student eligibility and meals provided, if participating in the National School Lunch Program. </v>
      </c>
      <c r="B154" s="386"/>
      <c r="C154" s="386"/>
      <c r="D154" s="386"/>
      <c r="E154" s="386"/>
      <c r="F154" s="386"/>
      <c r="G154" s="386"/>
      <c r="H154" s="386"/>
      <c r="I154" s="386"/>
      <c r="N154" s="81"/>
    </row>
    <row r="155" spans="1:14" s="79" customFormat="1" ht="15.75" customHeight="1" x14ac:dyDescent="0.2">
      <c r="A155" s="384" t="str">
        <f>'0664'!A155</f>
        <v>(k) Consistent with s. 1002.33(20)(a), F.S., for charter schools with a population of 75% or more ESE students, the administrative fee shall be calculated based on</v>
      </c>
      <c r="B155" s="386"/>
      <c r="C155" s="386"/>
      <c r="D155" s="386"/>
      <c r="E155" s="386"/>
      <c r="F155" s="386"/>
      <c r="G155" s="386"/>
      <c r="H155" s="386"/>
      <c r="I155" s="386"/>
      <c r="N155" s="81"/>
    </row>
    <row r="156" spans="1:14" s="79" customFormat="1" ht="15.75" customHeight="1" x14ac:dyDescent="0.2">
      <c r="A156" s="390" t="str">
        <f>'0664'!A156</f>
        <v xml:space="preserve">unweighted full-time equivalent students. </v>
      </c>
      <c r="B156" s="386"/>
      <c r="C156" s="386"/>
      <c r="D156" s="386"/>
      <c r="E156" s="386"/>
      <c r="F156" s="386"/>
      <c r="G156" s="386"/>
      <c r="H156" s="386"/>
      <c r="I156" s="386"/>
      <c r="N156" s="81"/>
    </row>
    <row r="157" spans="1:14" s="79" customFormat="1" ht="15.75" customHeight="1" x14ac:dyDescent="0.2">
      <c r="A157" s="384"/>
      <c r="B157" s="386"/>
      <c r="C157" s="386"/>
      <c r="D157" s="386"/>
      <c r="E157" s="386"/>
      <c r="F157" s="386"/>
      <c r="G157" s="386"/>
      <c r="H157" s="386"/>
      <c r="I157" s="386"/>
      <c r="N157" s="81"/>
    </row>
    <row r="158" spans="1:14" s="79" customFormat="1" ht="15.75" customHeight="1" x14ac:dyDescent="0.25">
      <c r="A158" s="397" t="str">
        <f>'0664'!A158</f>
        <v>Administrative fees:</v>
      </c>
      <c r="B158" s="386"/>
      <c r="C158" s="386"/>
      <c r="D158" s="386"/>
      <c r="E158" s="386"/>
      <c r="F158" s="386"/>
      <c r="G158" s="386"/>
      <c r="H158" s="386"/>
      <c r="I158" s="386"/>
      <c r="J158" s="3"/>
      <c r="K158" s="3"/>
      <c r="L158" s="3"/>
      <c r="M158" s="3"/>
      <c r="N158" s="81"/>
    </row>
    <row r="159" spans="1:14" s="79" customFormat="1" ht="15.75" customHeight="1" x14ac:dyDescent="0.25">
      <c r="A159" s="401" t="str">
        <f>'0664'!A159</f>
        <v xml:space="preserve">Administrative fees charged by the school district pursuant to s. 1002.33(20)(a), F.S., shall be calculated based upon 5% of available funds from the FEFP and categorical </v>
      </c>
      <c r="B159" s="389"/>
      <c r="C159" s="389"/>
      <c r="D159" s="389"/>
      <c r="E159" s="389"/>
      <c r="F159" s="389"/>
      <c r="G159" s="389"/>
      <c r="H159" s="389"/>
      <c r="I159" s="389"/>
      <c r="J159" s="3"/>
      <c r="K159" s="3"/>
      <c r="L159" s="3"/>
      <c r="M159" s="3"/>
      <c r="N159" s="81"/>
    </row>
    <row r="160" spans="1:14" s="79" customFormat="1" ht="15.75" customHeight="1" x14ac:dyDescent="0.25">
      <c r="A160" s="402" t="str">
        <f>'0664'!A160</f>
        <v>funding for which charter students may be eligible.  To calculate the administrative fee to be withheld for schools with more than 250 students, divide the school</v>
      </c>
      <c r="B160" s="396"/>
      <c r="C160" s="396"/>
      <c r="D160" s="396"/>
      <c r="E160" s="396"/>
      <c r="F160" s="396"/>
      <c r="G160" s="396"/>
      <c r="H160" s="396"/>
      <c r="I160" s="396"/>
      <c r="J160" s="3"/>
      <c r="K160" s="3"/>
      <c r="L160" s="3"/>
      <c r="M160" s="3"/>
      <c r="N160" s="81"/>
    </row>
    <row r="161" spans="1:21" s="79" customFormat="1" ht="15.75" customHeight="1" x14ac:dyDescent="0.25">
      <c r="A161" s="402" t="str">
        <f>'0664'!A161</f>
        <v xml:space="preserve">population into 250. Multiply that fraction times the funds available, then times 5%.  </v>
      </c>
      <c r="B161" s="396"/>
      <c r="C161" s="396"/>
      <c r="D161" s="396"/>
      <c r="E161" s="396"/>
      <c r="F161" s="396"/>
      <c r="G161" s="396"/>
      <c r="H161" s="396"/>
      <c r="I161" s="396"/>
      <c r="J161" s="3"/>
      <c r="K161" s="3"/>
      <c r="L161" s="3"/>
      <c r="M161" s="3"/>
      <c r="N161" s="81"/>
    </row>
    <row r="162" spans="1:21" s="79" customFormat="1" ht="15.75" customHeight="1" x14ac:dyDescent="0.25">
      <c r="A162" s="401"/>
      <c r="B162" s="396"/>
      <c r="C162" s="396"/>
      <c r="D162" s="396"/>
      <c r="E162" s="396"/>
      <c r="F162" s="396"/>
      <c r="G162" s="396"/>
      <c r="H162" s="396"/>
      <c r="I162" s="396"/>
      <c r="N162" s="77"/>
      <c r="O162" s="3"/>
      <c r="P162" s="3"/>
      <c r="Q162" s="3"/>
      <c r="R162" s="3"/>
      <c r="S162" s="3"/>
      <c r="T162" s="3"/>
      <c r="U162" s="3"/>
    </row>
    <row r="163" spans="1:21" ht="15.75" customHeight="1" x14ac:dyDescent="0.25">
      <c r="A163" s="401" t="str">
        <f>'0664'!A163</f>
        <v xml:space="preserve">For high performing charter schools, administrative fees charged by the school district shall be calculated based upon 2% of available funds from the FEFP and categorical </v>
      </c>
      <c r="B163" s="389"/>
      <c r="C163" s="389"/>
      <c r="D163" s="389"/>
      <c r="E163" s="389"/>
      <c r="F163" s="389"/>
      <c r="G163" s="389"/>
      <c r="H163" s="389"/>
      <c r="I163" s="389"/>
      <c r="J163" s="79"/>
      <c r="K163" s="79"/>
      <c r="L163" s="79"/>
      <c r="M163" s="79"/>
      <c r="N163" s="81"/>
      <c r="O163" s="79"/>
      <c r="P163" s="79"/>
      <c r="Q163" s="79"/>
      <c r="R163" s="79"/>
      <c r="S163" s="79"/>
      <c r="T163" s="79"/>
      <c r="U163" s="79"/>
    </row>
    <row r="164" spans="1:21" ht="15.75" customHeight="1" x14ac:dyDescent="0.25">
      <c r="A164" s="402" t="str">
        <f>'0664'!A164</f>
        <v>funding for which charter students may be eligible.  To calculate the administrative fee to be withheld for schools with more than 250 students, divide the school</v>
      </c>
      <c r="B164" s="389"/>
      <c r="C164" s="389"/>
      <c r="D164" s="389"/>
      <c r="E164" s="389"/>
      <c r="F164" s="389"/>
      <c r="G164" s="389"/>
      <c r="H164" s="389"/>
      <c r="I164" s="389"/>
      <c r="J164" s="79"/>
      <c r="K164" s="79"/>
      <c r="L164" s="79"/>
      <c r="M164" s="79"/>
      <c r="N164" s="81"/>
      <c r="O164" s="79"/>
      <c r="P164" s="79"/>
      <c r="Q164" s="79"/>
      <c r="R164" s="79"/>
      <c r="S164" s="79"/>
      <c r="T164" s="79"/>
      <c r="U164" s="79"/>
    </row>
    <row r="165" spans="1:21" s="79" customFormat="1" ht="15.75" customHeight="1" x14ac:dyDescent="0.2">
      <c r="A165" s="402" t="str">
        <f>'0664'!A165</f>
        <v xml:space="preserve">population into 250. Multiply that fraction times the funds available, then times 2%.  </v>
      </c>
      <c r="B165" s="389"/>
      <c r="C165" s="389"/>
      <c r="D165" s="389"/>
      <c r="E165" s="389"/>
      <c r="F165" s="389"/>
      <c r="G165" s="389"/>
      <c r="H165" s="389"/>
      <c r="I165" s="389"/>
      <c r="N165" s="81"/>
    </row>
    <row r="166" spans="1:21" x14ac:dyDescent="0.25">
      <c r="A166" s="384"/>
      <c r="B166" s="389"/>
      <c r="C166" s="389"/>
      <c r="D166" s="389"/>
      <c r="E166" s="389"/>
      <c r="F166" s="389"/>
      <c r="G166" s="389"/>
      <c r="H166" s="389"/>
      <c r="I166" s="389"/>
      <c r="N166" s="77"/>
    </row>
    <row r="167" spans="1:21" x14ac:dyDescent="0.25">
      <c r="A167" s="397" t="str">
        <f>'0664'!A167</f>
        <v>Other:</v>
      </c>
      <c r="B167" s="395"/>
      <c r="C167" s="395"/>
      <c r="D167" s="395"/>
      <c r="E167" s="395"/>
      <c r="F167" s="395"/>
      <c r="G167" s="395"/>
      <c r="H167" s="395"/>
      <c r="I167" s="395"/>
      <c r="N167" s="77"/>
    </row>
    <row r="168" spans="1:21" x14ac:dyDescent="0.25">
      <c r="A168" s="401" t="str">
        <f>'0664'!A168</f>
        <v>FEFP and categorical funding are recalculated during the year to reflect the revised number of full-time equivalent students reported during the survey periods designated</v>
      </c>
      <c r="B168" s="389"/>
      <c r="C168" s="389"/>
      <c r="D168" s="389"/>
      <c r="E168" s="389"/>
      <c r="F168" s="389"/>
      <c r="G168" s="389"/>
      <c r="H168" s="389"/>
      <c r="I168" s="389"/>
      <c r="N168" s="77"/>
    </row>
    <row r="169" spans="1:21" x14ac:dyDescent="0.25">
      <c r="A169" s="402" t="str">
        <f>'0664'!A169</f>
        <v>by the Commissioner of Education.</v>
      </c>
      <c r="B169" s="396"/>
      <c r="C169" s="396"/>
      <c r="D169" s="396"/>
      <c r="E169" s="396"/>
      <c r="F169" s="396"/>
      <c r="G169" s="396"/>
      <c r="H169" s="396"/>
      <c r="I169" s="396"/>
      <c r="N169" s="77"/>
    </row>
    <row r="170" spans="1:21" x14ac:dyDescent="0.25">
      <c r="A170" s="401" t="str">
        <f>'0664'!A170</f>
        <v>Revenues flow to districts from state sources and from county tax collectors on various distribution schedules.</v>
      </c>
      <c r="B170" s="389"/>
      <c r="C170" s="389"/>
      <c r="D170" s="389"/>
      <c r="E170" s="389"/>
      <c r="F170" s="389"/>
      <c r="G170" s="389"/>
      <c r="H170" s="389"/>
      <c r="I170" s="389"/>
      <c r="N170" s="77"/>
    </row>
    <row r="171" spans="1:21" x14ac:dyDescent="0.25">
      <c r="A171" s="328"/>
      <c r="B171" s="328"/>
      <c r="C171" s="328"/>
      <c r="D171" s="328"/>
      <c r="E171" s="328"/>
      <c r="F171" s="328"/>
      <c r="G171" s="328"/>
      <c r="H171" s="328"/>
      <c r="I171" s="328"/>
      <c r="N171" s="77"/>
    </row>
    <row r="172" spans="1:21" x14ac:dyDescent="0.25">
      <c r="A172" s="77"/>
      <c r="N172" s="77"/>
    </row>
    <row r="173" spans="1:21" x14ac:dyDescent="0.25">
      <c r="A173" s="77"/>
      <c r="N173" s="77"/>
    </row>
    <row r="174" spans="1:21" x14ac:dyDescent="0.25">
      <c r="A174" s="77"/>
      <c r="N174" s="77"/>
    </row>
    <row r="175" spans="1:21" x14ac:dyDescent="0.25">
      <c r="A175" s="77"/>
      <c r="B175" s="157"/>
      <c r="C175" s="157"/>
      <c r="D175" s="157"/>
      <c r="E175" s="157"/>
      <c r="F175" s="157"/>
      <c r="G175" s="157"/>
      <c r="H175" s="157"/>
      <c r="I175" s="157"/>
      <c r="N175" s="77"/>
    </row>
    <row r="176" spans="1:21" x14ac:dyDescent="0.25">
      <c r="A176" s="77"/>
      <c r="N176" s="77"/>
    </row>
    <row r="177" spans="1:14" x14ac:dyDescent="0.25">
      <c r="A177" s="77"/>
      <c r="N177" s="77"/>
    </row>
    <row r="178" spans="1:14" x14ac:dyDescent="0.25">
      <c r="A178" s="77"/>
      <c r="N178" s="77"/>
    </row>
    <row r="179" spans="1:14" x14ac:dyDescent="0.25">
      <c r="A179" s="77"/>
      <c r="N179" s="77"/>
    </row>
    <row r="180" spans="1:14" x14ac:dyDescent="0.25">
      <c r="A180" s="77"/>
      <c r="N180" s="77"/>
    </row>
    <row r="181" spans="1:14" x14ac:dyDescent="0.25">
      <c r="A181" s="77"/>
      <c r="N181" s="77"/>
    </row>
    <row r="182" spans="1:14" x14ac:dyDescent="0.25">
      <c r="A182" s="77"/>
      <c r="N182" s="77"/>
    </row>
    <row r="183" spans="1:14" x14ac:dyDescent="0.25">
      <c r="A183" s="77"/>
      <c r="N183" s="77"/>
    </row>
    <row r="184" spans="1:14" x14ac:dyDescent="0.25">
      <c r="A184" s="77"/>
      <c r="N184" s="77"/>
    </row>
    <row r="185" spans="1:14" x14ac:dyDescent="0.25">
      <c r="A185" s="77"/>
      <c r="N185" s="77"/>
    </row>
    <row r="186" spans="1:14" x14ac:dyDescent="0.25">
      <c r="A186" s="77"/>
      <c r="N186" s="77"/>
    </row>
    <row r="187" spans="1:14" x14ac:dyDescent="0.25">
      <c r="A187" s="77"/>
      <c r="N187" s="77"/>
    </row>
    <row r="188" spans="1:14" x14ac:dyDescent="0.25">
      <c r="A188" s="77"/>
    </row>
    <row r="189" spans="1:14" x14ac:dyDescent="0.25">
      <c r="A189" s="77"/>
    </row>
    <row r="190" spans="1:14" x14ac:dyDescent="0.25">
      <c r="A190" s="77"/>
    </row>
    <row r="191" spans="1:14" x14ac:dyDescent="0.25">
      <c r="A191" s="77"/>
    </row>
    <row r="192" spans="1:14" x14ac:dyDescent="0.25">
      <c r="A192" s="77"/>
    </row>
    <row r="193" spans="1:1" x14ac:dyDescent="0.25">
      <c r="A193" s="77"/>
    </row>
    <row r="194" spans="1:1" x14ac:dyDescent="0.25">
      <c r="A194" s="77"/>
    </row>
    <row r="195" spans="1:1" x14ac:dyDescent="0.25">
      <c r="A195" s="77"/>
    </row>
    <row r="196" spans="1:1" x14ac:dyDescent="0.25">
      <c r="A196" s="77"/>
    </row>
    <row r="197" spans="1:1" x14ac:dyDescent="0.25">
      <c r="A197" s="77"/>
    </row>
    <row r="198" spans="1:1" x14ac:dyDescent="0.25">
      <c r="A198" s="77"/>
    </row>
    <row r="199" spans="1:1" x14ac:dyDescent="0.25">
      <c r="A199" s="77"/>
    </row>
    <row r="200" spans="1:1" x14ac:dyDescent="0.25">
      <c r="A200" s="77"/>
    </row>
    <row r="201" spans="1:1" x14ac:dyDescent="0.25">
      <c r="A201" s="77"/>
    </row>
    <row r="202" spans="1:1" x14ac:dyDescent="0.25">
      <c r="A202" s="77"/>
    </row>
    <row r="203" spans="1:1" x14ac:dyDescent="0.25">
      <c r="A203" s="77"/>
    </row>
    <row r="204" spans="1:1" x14ac:dyDescent="0.25">
      <c r="A204" s="77"/>
    </row>
    <row r="205" spans="1:1" x14ac:dyDescent="0.25">
      <c r="A205" s="77"/>
    </row>
    <row r="206" spans="1:1" x14ac:dyDescent="0.25">
      <c r="A206" s="77"/>
    </row>
  </sheetData>
  <mergeCells count="266">
    <mergeCell ref="N110:O110"/>
    <mergeCell ref="A110:B110"/>
    <mergeCell ref="R107:S107"/>
    <mergeCell ref="A108:B108"/>
    <mergeCell ref="F108:G108"/>
    <mergeCell ref="N108:O108"/>
    <mergeCell ref="P108:Q108"/>
    <mergeCell ref="N139:U139"/>
    <mergeCell ref="N119:U119"/>
    <mergeCell ref="N113:P113"/>
    <mergeCell ref="A113:C113"/>
    <mergeCell ref="F113:H113"/>
    <mergeCell ref="N114:T114"/>
    <mergeCell ref="A115:H115"/>
    <mergeCell ref="A119:G119"/>
    <mergeCell ref="A120:G120"/>
    <mergeCell ref="A112:C112"/>
    <mergeCell ref="F112:H112"/>
    <mergeCell ref="N112:P112"/>
    <mergeCell ref="N120:U120"/>
    <mergeCell ref="A109:B109"/>
    <mergeCell ref="F109:G109"/>
    <mergeCell ref="N109:O109"/>
    <mergeCell ref="P109:Q109"/>
    <mergeCell ref="R109:S109"/>
    <mergeCell ref="R106:S106"/>
    <mergeCell ref="A99:B99"/>
    <mergeCell ref="N99:O99"/>
    <mergeCell ref="P99:R99"/>
    <mergeCell ref="A100:B100"/>
    <mergeCell ref="N100:O100"/>
    <mergeCell ref="P100:R100"/>
    <mergeCell ref="R108:S108"/>
    <mergeCell ref="A103:C103"/>
    <mergeCell ref="F103:I103"/>
    <mergeCell ref="N103:U103"/>
    <mergeCell ref="C104:E104"/>
    <mergeCell ref="F105:G105"/>
    <mergeCell ref="A106:B106"/>
    <mergeCell ref="F106:G106"/>
    <mergeCell ref="N106:O106"/>
    <mergeCell ref="P106:Q106"/>
    <mergeCell ref="A107:B107"/>
    <mergeCell ref="F107:G107"/>
    <mergeCell ref="N107:O107"/>
    <mergeCell ref="P107:Q107"/>
    <mergeCell ref="C91:D91"/>
    <mergeCell ref="P91:Q91"/>
    <mergeCell ref="C92:D92"/>
    <mergeCell ref="P92:Q92"/>
    <mergeCell ref="C93:D93"/>
    <mergeCell ref="P93:T93"/>
    <mergeCell ref="A94:I94"/>
    <mergeCell ref="N94:U94"/>
    <mergeCell ref="F96:I96"/>
    <mergeCell ref="N96:P96"/>
    <mergeCell ref="Q96:T96"/>
    <mergeCell ref="A87:I87"/>
    <mergeCell ref="N87:U87"/>
    <mergeCell ref="C88:D88"/>
    <mergeCell ref="C89:D89"/>
    <mergeCell ref="N89:O89"/>
    <mergeCell ref="P89:Q89"/>
    <mergeCell ref="R89:U89"/>
    <mergeCell ref="C90:D90"/>
    <mergeCell ref="P90:Q90"/>
    <mergeCell ref="A80:C80"/>
    <mergeCell ref="N80:P80"/>
    <mergeCell ref="A85:C85"/>
    <mergeCell ref="N85:P85"/>
    <mergeCell ref="F73:H73"/>
    <mergeCell ref="N73:T73"/>
    <mergeCell ref="N74:T74"/>
    <mergeCell ref="A78:C78"/>
    <mergeCell ref="N78:P78"/>
    <mergeCell ref="A79:C79"/>
    <mergeCell ref="A69:C69"/>
    <mergeCell ref="N69:P69"/>
    <mergeCell ref="N79:P79"/>
    <mergeCell ref="A76:C76"/>
    <mergeCell ref="N76:P76"/>
    <mergeCell ref="A77:C77"/>
    <mergeCell ref="A70:C70"/>
    <mergeCell ref="A71:C71"/>
    <mergeCell ref="N71:P71"/>
    <mergeCell ref="A72:C72"/>
    <mergeCell ref="N77:P77"/>
    <mergeCell ref="N72:P72"/>
    <mergeCell ref="A65:B65"/>
    <mergeCell ref="D65:G65"/>
    <mergeCell ref="N65:O65"/>
    <mergeCell ref="Q65:S65"/>
    <mergeCell ref="T65:U65"/>
    <mergeCell ref="N66:S66"/>
    <mergeCell ref="T66:U66"/>
    <mergeCell ref="A68:C68"/>
    <mergeCell ref="N68:P68"/>
    <mergeCell ref="A62:B62"/>
    <mergeCell ref="D62:G62"/>
    <mergeCell ref="N62:O62"/>
    <mergeCell ref="Q62:S62"/>
    <mergeCell ref="T62:U62"/>
    <mergeCell ref="N63:S63"/>
    <mergeCell ref="T63:U63"/>
    <mergeCell ref="A64:I64"/>
    <mergeCell ref="N64:U64"/>
    <mergeCell ref="A59:B59"/>
    <mergeCell ref="F59:H59"/>
    <mergeCell ref="N59:O59"/>
    <mergeCell ref="P59:Q59"/>
    <mergeCell ref="R59:T59"/>
    <mergeCell ref="A60:I60"/>
    <mergeCell ref="N60:U60"/>
    <mergeCell ref="A61:I61"/>
    <mergeCell ref="N61:U61"/>
    <mergeCell ref="A50:B58"/>
    <mergeCell ref="N50:O58"/>
    <mergeCell ref="P50:Q50"/>
    <mergeCell ref="P51:Q51"/>
    <mergeCell ref="P52:Q52"/>
    <mergeCell ref="P53:Q53"/>
    <mergeCell ref="P54:Q54"/>
    <mergeCell ref="P55:Q55"/>
    <mergeCell ref="P56:Q56"/>
    <mergeCell ref="P57:Q57"/>
    <mergeCell ref="P58:Q58"/>
    <mergeCell ref="A42:B42"/>
    <mergeCell ref="N42:O42"/>
    <mergeCell ref="P42:T42"/>
    <mergeCell ref="N43:Q43"/>
    <mergeCell ref="S43:T43"/>
    <mergeCell ref="N45:Q45"/>
    <mergeCell ref="S45:T45"/>
    <mergeCell ref="N49:O49"/>
    <mergeCell ref="P49:Q49"/>
    <mergeCell ref="A39:B39"/>
    <mergeCell ref="N39:O39"/>
    <mergeCell ref="P39:T39"/>
    <mergeCell ref="A40:B40"/>
    <mergeCell ref="N40:O40"/>
    <mergeCell ref="P40:T40"/>
    <mergeCell ref="A41:B41"/>
    <mergeCell ref="N41:O41"/>
    <mergeCell ref="P41:T41"/>
    <mergeCell ref="N34:T34"/>
    <mergeCell ref="A36:B36"/>
    <mergeCell ref="N36:O36"/>
    <mergeCell ref="P36:T36"/>
    <mergeCell ref="A37:B37"/>
    <mergeCell ref="N37:O37"/>
    <mergeCell ref="P37:T37"/>
    <mergeCell ref="F33:H36"/>
    <mergeCell ref="A38:B38"/>
    <mergeCell ref="N38:O38"/>
    <mergeCell ref="P38:T38"/>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A20:B20"/>
    <mergeCell ref="F20:G20"/>
    <mergeCell ref="N20:O20"/>
    <mergeCell ref="P20:Q20"/>
    <mergeCell ref="R20:S20"/>
    <mergeCell ref="A19:B19"/>
    <mergeCell ref="A21:B21"/>
    <mergeCell ref="F21:G21"/>
    <mergeCell ref="N21:O21"/>
    <mergeCell ref="P21:Q21"/>
    <mergeCell ref="R21:S21"/>
    <mergeCell ref="A18:B18"/>
    <mergeCell ref="F18:G18"/>
    <mergeCell ref="N18:O18"/>
    <mergeCell ref="P18:Q18"/>
    <mergeCell ref="R18:S18"/>
    <mergeCell ref="A17:B17"/>
    <mergeCell ref="F17:G17"/>
    <mergeCell ref="F19:G19"/>
    <mergeCell ref="N19:O19"/>
    <mergeCell ref="P19:Q19"/>
    <mergeCell ref="R19:S19"/>
    <mergeCell ref="A16:B16"/>
    <mergeCell ref="F16:G16"/>
    <mergeCell ref="N16:O16"/>
    <mergeCell ref="P16:Q16"/>
    <mergeCell ref="R16:S16"/>
    <mergeCell ref="A15:B15"/>
    <mergeCell ref="F15:G15"/>
    <mergeCell ref="N17:O17"/>
    <mergeCell ref="P17:Q17"/>
    <mergeCell ref="R17:S17"/>
    <mergeCell ref="A14:B14"/>
    <mergeCell ref="F14:G14"/>
    <mergeCell ref="N14:O14"/>
    <mergeCell ref="P14:Q14"/>
    <mergeCell ref="R14:S14"/>
    <mergeCell ref="A13:B13"/>
    <mergeCell ref="F13:G13"/>
    <mergeCell ref="N15:O15"/>
    <mergeCell ref="P15:Q15"/>
    <mergeCell ref="R15:S15"/>
    <mergeCell ref="A12:B12"/>
    <mergeCell ref="F12:G12"/>
    <mergeCell ref="N12:O12"/>
    <mergeCell ref="P12:Q12"/>
    <mergeCell ref="R12:S12"/>
    <mergeCell ref="A11:B11"/>
    <mergeCell ref="F11:G11"/>
    <mergeCell ref="N13:O13"/>
    <mergeCell ref="P13:Q13"/>
    <mergeCell ref="R13:S13"/>
    <mergeCell ref="N8:O8"/>
    <mergeCell ref="P8:Q8"/>
    <mergeCell ref="R8:S8"/>
    <mergeCell ref="T8:U8"/>
    <mergeCell ref="F10:G10"/>
    <mergeCell ref="R10:S10"/>
    <mergeCell ref="A7:I7"/>
    <mergeCell ref="N11:O11"/>
    <mergeCell ref="P11:Q11"/>
    <mergeCell ref="R11:S11"/>
    <mergeCell ref="B1:I1"/>
    <mergeCell ref="O1:U1"/>
    <mergeCell ref="N2:U2"/>
    <mergeCell ref="N3:U3"/>
    <mergeCell ref="A4:B4"/>
    <mergeCell ref="C4:E4"/>
    <mergeCell ref="N4:O4"/>
    <mergeCell ref="P4:Q4"/>
    <mergeCell ref="N7:U7"/>
  </mergeCells>
  <pageMargins left="0.1" right="0.1" top="0.5" bottom="0.5" header="0" footer="0.1"/>
  <pageSetup scale="70" fitToHeight="3" orientation="portrait" r:id="rId1"/>
  <headerFooter alignWithMargins="0">
    <oddFooter>&amp;R&amp;P of &amp;N</oddFooter>
  </headerFooter>
  <rowBreaks count="1" manualBreakCount="1">
    <brk id="138" max="16383" man="1"/>
  </rowBreaks>
  <colBreaks count="1" manualBreakCount="1">
    <brk id="9" max="1048575" man="1"/>
  </col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tabColor rgb="FFCCFFCC"/>
    <pageSetUpPr fitToPage="1"/>
  </sheetPr>
  <dimension ref="A1:U206"/>
  <sheetViews>
    <sheetView showGridLines="0" zoomScaleNormal="100" workbookViewId="0">
      <pane ySplit="1" topLeftCell="A11" activePane="bottomLeft" state="frozen"/>
      <selection activeCell="I9" sqref="I9"/>
      <selection pane="bottomLeft" activeCell="D52" sqref="D52"/>
    </sheetView>
  </sheetViews>
  <sheetFormatPr defaultRowHeight="15.75" x14ac:dyDescent="0.25"/>
  <cols>
    <col min="1" max="1" width="10.28515625" style="72"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72"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5">
        <v>50</v>
      </c>
      <c r="B1" s="441" t="s">
        <v>17</v>
      </c>
      <c r="C1" s="442"/>
      <c r="D1" s="442"/>
      <c r="E1" s="442"/>
      <c r="F1" s="442"/>
      <c r="G1" s="442"/>
      <c r="H1" s="442"/>
      <c r="I1" s="442"/>
      <c r="J1" s="157"/>
      <c r="K1" s="157"/>
      <c r="L1" s="157"/>
      <c r="N1" s="85">
        <f>A1</f>
        <v>50</v>
      </c>
      <c r="O1" s="527" t="s">
        <v>17</v>
      </c>
      <c r="P1" s="528"/>
      <c r="Q1" s="528"/>
      <c r="R1" s="528"/>
      <c r="S1" s="528"/>
      <c r="T1" s="528"/>
      <c r="U1" s="528"/>
    </row>
    <row r="2" spans="1:21" ht="21" x14ac:dyDescent="0.35">
      <c r="A2" s="1" t="s">
        <v>157</v>
      </c>
      <c r="B2" s="2"/>
      <c r="C2" s="2"/>
      <c r="D2" s="2"/>
      <c r="E2" s="2"/>
      <c r="F2" s="2"/>
      <c r="G2" s="2"/>
      <c r="H2" s="2"/>
      <c r="I2" s="2"/>
      <c r="N2" s="529" t="s">
        <v>23</v>
      </c>
      <c r="O2" s="529"/>
      <c r="P2" s="529"/>
      <c r="Q2" s="529"/>
      <c r="R2" s="529"/>
      <c r="S2" s="529"/>
      <c r="T2" s="529"/>
      <c r="U2" s="529"/>
    </row>
    <row r="3" spans="1:21" x14ac:dyDescent="0.25">
      <c r="A3" s="84" t="str">
        <f>'0664'!A3</f>
        <v>Based on the FLDOE 2022-23 FEFP Third Calculation</v>
      </c>
      <c r="N3" s="485" t="str">
        <f>A3</f>
        <v>Based on the FLDOE 2022-23 FEFP Third Calculation</v>
      </c>
      <c r="O3" s="485"/>
      <c r="P3" s="485"/>
      <c r="Q3" s="485"/>
      <c r="R3" s="485"/>
      <c r="S3" s="485"/>
      <c r="T3" s="485"/>
      <c r="U3" s="485"/>
    </row>
    <row r="4" spans="1:21" x14ac:dyDescent="0.25">
      <c r="A4" s="443" t="s">
        <v>0</v>
      </c>
      <c r="B4" s="443"/>
      <c r="C4" s="444" t="s">
        <v>9</v>
      </c>
      <c r="D4" s="444"/>
      <c r="E4" s="444"/>
      <c r="F4" s="4" t="str">
        <f>'0664'!F4</f>
        <v>Apr 2023</v>
      </c>
      <c r="G4" s="4"/>
      <c r="H4" s="4"/>
      <c r="I4" s="4"/>
      <c r="N4" s="530" t="s">
        <v>0</v>
      </c>
      <c r="O4" s="530"/>
      <c r="P4" s="531" t="str">
        <f>C4</f>
        <v>Palm Beach</v>
      </c>
      <c r="Q4" s="531"/>
      <c r="R4" s="5"/>
      <c r="S4" s="5"/>
      <c r="T4" s="5"/>
      <c r="U4" s="5"/>
    </row>
    <row r="5" spans="1:21" ht="12" customHeight="1" thickBot="1" x14ac:dyDescent="0.3">
      <c r="A5" s="262"/>
      <c r="B5" s="262"/>
      <c r="C5" s="253"/>
      <c r="D5" s="253"/>
      <c r="E5" s="253"/>
      <c r="F5" s="254"/>
      <c r="G5" s="254"/>
      <c r="H5" s="254"/>
      <c r="I5" s="254"/>
      <c r="N5" s="86"/>
      <c r="O5" s="86"/>
      <c r="P5" s="6"/>
      <c r="Q5" s="6"/>
      <c r="R5" s="5"/>
      <c r="S5" s="5"/>
      <c r="T5" s="5"/>
      <c r="U5" s="5"/>
    </row>
    <row r="6" spans="1:21" ht="12" customHeight="1" x14ac:dyDescent="0.25">
      <c r="A6" s="150"/>
      <c r="B6" s="150"/>
      <c r="C6" s="261"/>
      <c r="D6" s="261"/>
      <c r="E6" s="261"/>
      <c r="F6" s="4"/>
      <c r="G6" s="4"/>
      <c r="H6" s="4"/>
      <c r="I6" s="4"/>
      <c r="N6" s="86"/>
      <c r="O6" s="86"/>
      <c r="P6" s="6"/>
      <c r="Q6" s="6"/>
      <c r="R6" s="5"/>
      <c r="S6" s="5"/>
      <c r="T6" s="5"/>
      <c r="U6" s="5"/>
    </row>
    <row r="7" spans="1:21" x14ac:dyDescent="0.25">
      <c r="A7" s="445" t="str">
        <f>'0664'!A7:I7</f>
        <v>1.   2022-23 FEFP State and Local Funding</v>
      </c>
      <c r="B7" s="533"/>
      <c r="C7" s="533"/>
      <c r="D7" s="533"/>
      <c r="E7" s="533"/>
      <c r="F7" s="533"/>
      <c r="G7" s="533"/>
      <c r="H7" s="533"/>
      <c r="I7" s="533"/>
      <c r="N7" s="530" t="s">
        <v>86</v>
      </c>
      <c r="O7" s="530"/>
      <c r="P7" s="530"/>
      <c r="Q7" s="530"/>
      <c r="R7" s="530"/>
      <c r="S7" s="530"/>
      <c r="T7" s="530"/>
      <c r="U7" s="530"/>
    </row>
    <row r="8" spans="1:21" x14ac:dyDescent="0.25">
      <c r="A8" s="87"/>
      <c r="B8" s="88" t="s">
        <v>123</v>
      </c>
      <c r="C8" s="334">
        <f>'0664'!C8</f>
        <v>4587.3999999999996</v>
      </c>
      <c r="D8" s="89"/>
      <c r="E8" s="90"/>
      <c r="F8" s="87"/>
      <c r="G8" s="88" t="s">
        <v>122</v>
      </c>
      <c r="H8" s="320">
        <f>'0664'!H8</f>
        <v>1.0438000000000001</v>
      </c>
      <c r="I8" s="78"/>
      <c r="N8" s="534" t="s">
        <v>10</v>
      </c>
      <c r="O8" s="534"/>
      <c r="P8" s="535">
        <v>4154.45</v>
      </c>
      <c r="Q8" s="535"/>
      <c r="R8" s="518" t="s">
        <v>11</v>
      </c>
      <c r="S8" s="518"/>
      <c r="T8" s="519">
        <f>H8</f>
        <v>1.0438000000000001</v>
      </c>
      <c r="U8" s="519"/>
    </row>
    <row r="9" spans="1:21" x14ac:dyDescent="0.25">
      <c r="A9" s="7"/>
      <c r="B9" s="44" t="s">
        <v>370</v>
      </c>
      <c r="C9" s="372" t="s">
        <v>370</v>
      </c>
      <c r="D9" s="372" t="s">
        <v>370</v>
      </c>
      <c r="E9" s="8"/>
      <c r="F9" s="9"/>
      <c r="G9" s="9"/>
      <c r="H9" s="10"/>
      <c r="I9" s="340" t="str">
        <f>'0664'!I9</f>
        <v>2022-23</v>
      </c>
      <c r="N9" s="12"/>
      <c r="O9" s="12"/>
      <c r="P9" s="13"/>
      <c r="Q9" s="13"/>
      <c r="R9" s="14"/>
      <c r="S9" s="14"/>
      <c r="T9" s="15"/>
      <c r="U9" s="405" t="s">
        <v>405</v>
      </c>
    </row>
    <row r="10" spans="1:21" x14ac:dyDescent="0.25">
      <c r="A10" s="7"/>
      <c r="B10" s="7"/>
      <c r="C10" s="91" t="s">
        <v>463</v>
      </c>
      <c r="D10" s="371" t="s">
        <v>464</v>
      </c>
      <c r="E10" s="92" t="s">
        <v>8</v>
      </c>
      <c r="F10" s="446" t="s">
        <v>1</v>
      </c>
      <c r="G10" s="446"/>
      <c r="H10" s="10" t="s">
        <v>73</v>
      </c>
      <c r="I10" s="11" t="s">
        <v>36</v>
      </c>
      <c r="N10" s="12"/>
      <c r="O10" s="12"/>
      <c r="P10" s="13"/>
      <c r="Q10" s="13"/>
      <c r="R10" s="520" t="s">
        <v>1</v>
      </c>
      <c r="S10" s="520"/>
      <c r="T10" s="15" t="s">
        <v>73</v>
      </c>
      <c r="U10" s="16" t="s">
        <v>36</v>
      </c>
    </row>
    <row r="11" spans="1:21" x14ac:dyDescent="0.25">
      <c r="A11" s="447" t="s">
        <v>1</v>
      </c>
      <c r="B11" s="447"/>
      <c r="C11" s="362" t="s">
        <v>2</v>
      </c>
      <c r="D11" s="362" t="s">
        <v>2</v>
      </c>
      <c r="E11" s="362" t="s">
        <v>2</v>
      </c>
      <c r="F11" s="448" t="s">
        <v>76</v>
      </c>
      <c r="G11" s="448"/>
      <c r="H11" s="17" t="s">
        <v>72</v>
      </c>
      <c r="I11" s="18" t="s">
        <v>75</v>
      </c>
      <c r="N11" s="510" t="s">
        <v>1</v>
      </c>
      <c r="O11" s="510"/>
      <c r="P11" s="521" t="s">
        <v>24</v>
      </c>
      <c r="Q11" s="521"/>
      <c r="R11" s="522" t="s">
        <v>76</v>
      </c>
      <c r="S11" s="522"/>
      <c r="T11" s="19" t="s">
        <v>72</v>
      </c>
      <c r="U11" s="20" t="s">
        <v>75</v>
      </c>
    </row>
    <row r="12" spans="1:21" x14ac:dyDescent="0.25">
      <c r="A12" s="449" t="s">
        <v>47</v>
      </c>
      <c r="B12" s="449"/>
      <c r="C12" s="94"/>
      <c r="D12" s="94"/>
      <c r="E12" s="95" t="s">
        <v>48</v>
      </c>
      <c r="F12" s="450" t="s">
        <v>49</v>
      </c>
      <c r="G12" s="450"/>
      <c r="H12" s="21" t="s">
        <v>50</v>
      </c>
      <c r="I12" s="22" t="s">
        <v>51</v>
      </c>
      <c r="N12" s="523" t="s">
        <v>47</v>
      </c>
      <c r="O12" s="523"/>
      <c r="P12" s="524" t="s">
        <v>48</v>
      </c>
      <c r="Q12" s="524"/>
      <c r="R12" s="525" t="s">
        <v>49</v>
      </c>
      <c r="S12" s="525"/>
      <c r="T12" s="23" t="s">
        <v>50</v>
      </c>
      <c r="U12" s="24" t="s">
        <v>51</v>
      </c>
    </row>
    <row r="13" spans="1:21" x14ac:dyDescent="0.25">
      <c r="A13" s="451" t="s">
        <v>29</v>
      </c>
      <c r="B13" s="451"/>
      <c r="C13" s="165">
        <v>0</v>
      </c>
      <c r="D13" s="163">
        <v>0</v>
      </c>
      <c r="E13" s="210">
        <f>IF(D$29=0,C13*2,C13+D13)</f>
        <v>0</v>
      </c>
      <c r="F13" s="537">
        <f>'0664'!F13:G13</f>
        <v>1.1259999999999999</v>
      </c>
      <c r="G13" s="537"/>
      <c r="H13" s="167">
        <f>ROUND(E13*F13,4)</f>
        <v>0</v>
      </c>
      <c r="I13" s="119">
        <f t="shared" ref="I13:I28" si="0">ROUND(ROUND(H13*$C$8,4)*($H$8),2)</f>
        <v>0</v>
      </c>
      <c r="N13" s="512" t="s">
        <v>29</v>
      </c>
      <c r="O13" s="512"/>
      <c r="P13" s="513">
        <f t="shared" ref="P13:P28" si="1">IF($H$120=1,E13,0)</f>
        <v>0</v>
      </c>
      <c r="Q13" s="513"/>
      <c r="R13" s="526">
        <v>1</v>
      </c>
      <c r="S13" s="526"/>
      <c r="T13" s="98">
        <f>ROUND(P13*R13,4)</f>
        <v>0</v>
      </c>
      <c r="U13" s="99">
        <f t="shared" ref="U13:U28" si="2">ROUND(ROUND(T13*$C$8,4)*($H$8),0)</f>
        <v>0</v>
      </c>
    </row>
    <row r="14" spans="1:21" x14ac:dyDescent="0.25">
      <c r="A14" s="453" t="s">
        <v>30</v>
      </c>
      <c r="B14" s="453"/>
      <c r="C14" s="165">
        <v>0.5</v>
      </c>
      <c r="D14" s="165">
        <v>0.55000000000000004</v>
      </c>
      <c r="E14" s="125">
        <f t="shared" ref="E14:E28" si="3">IF(D$29=0,C14*2,C14+D14)</f>
        <v>1.05</v>
      </c>
      <c r="F14" s="532">
        <f>'0664'!F14:G14</f>
        <v>1.1259999999999999</v>
      </c>
      <c r="G14" s="532"/>
      <c r="H14" s="83">
        <f t="shared" ref="H14:H28" si="4">ROUND(E14*F14,4)</f>
        <v>1.1822999999999999</v>
      </c>
      <c r="I14" s="104">
        <f t="shared" si="0"/>
        <v>5661.24</v>
      </c>
      <c r="J14" s="68" t="str">
        <f>IF(ROUND(E14,2)=ROUND(SUM(E50:E52),2)," ","CHECK PK-3 LINES BELOW")</f>
        <v xml:space="preserve"> </v>
      </c>
      <c r="N14" s="479" t="s">
        <v>30</v>
      </c>
      <c r="O14" s="479"/>
      <c r="P14" s="513">
        <f t="shared" si="1"/>
        <v>1.05</v>
      </c>
      <c r="Q14" s="513"/>
      <c r="R14" s="517">
        <v>1</v>
      </c>
      <c r="S14" s="517"/>
      <c r="T14" s="98">
        <f t="shared" ref="T14:T28" si="5">ROUND(P14*R14,4)</f>
        <v>1.05</v>
      </c>
      <c r="U14" s="99">
        <f t="shared" si="2"/>
        <v>5028</v>
      </c>
    </row>
    <row r="15" spans="1:21" x14ac:dyDescent="0.25">
      <c r="A15" s="453" t="s">
        <v>31</v>
      </c>
      <c r="B15" s="453"/>
      <c r="C15" s="165">
        <v>0</v>
      </c>
      <c r="D15" s="165">
        <v>0</v>
      </c>
      <c r="E15" s="125">
        <f t="shared" si="3"/>
        <v>0</v>
      </c>
      <c r="F15" s="532">
        <f>'0664'!F15:G15</f>
        <v>1</v>
      </c>
      <c r="G15" s="532"/>
      <c r="H15" s="83">
        <f t="shared" si="4"/>
        <v>0</v>
      </c>
      <c r="I15" s="104">
        <f t="shared" si="0"/>
        <v>0</v>
      </c>
      <c r="N15" s="479" t="s">
        <v>31</v>
      </c>
      <c r="O15" s="479"/>
      <c r="P15" s="513">
        <f t="shared" si="1"/>
        <v>0</v>
      </c>
      <c r="Q15" s="513"/>
      <c r="R15" s="517">
        <v>1</v>
      </c>
      <c r="S15" s="517"/>
      <c r="T15" s="98">
        <f t="shared" si="5"/>
        <v>0</v>
      </c>
      <c r="U15" s="99">
        <f t="shared" si="2"/>
        <v>0</v>
      </c>
    </row>
    <row r="16" spans="1:21" x14ac:dyDescent="0.25">
      <c r="A16" s="453" t="s">
        <v>32</v>
      </c>
      <c r="B16" s="453"/>
      <c r="C16" s="165">
        <v>0</v>
      </c>
      <c r="D16" s="165">
        <v>0</v>
      </c>
      <c r="E16" s="125">
        <f t="shared" si="3"/>
        <v>0</v>
      </c>
      <c r="F16" s="532">
        <f>'0664'!F16:G16</f>
        <v>1</v>
      </c>
      <c r="G16" s="532"/>
      <c r="H16" s="83">
        <f t="shared" si="4"/>
        <v>0</v>
      </c>
      <c r="I16" s="104">
        <f t="shared" si="0"/>
        <v>0</v>
      </c>
      <c r="J16" s="68" t="str">
        <f>IF(ROUND(E16,2)=ROUND(SUM(E53:E55),2)," ","CHECK 4-8 LINES BELOW")</f>
        <v xml:space="preserve"> </v>
      </c>
      <c r="N16" s="479" t="s">
        <v>32</v>
      </c>
      <c r="O16" s="479"/>
      <c r="P16" s="513">
        <f t="shared" si="1"/>
        <v>0</v>
      </c>
      <c r="Q16" s="513"/>
      <c r="R16" s="517">
        <v>1</v>
      </c>
      <c r="S16" s="517"/>
      <c r="T16" s="98">
        <f t="shared" si="5"/>
        <v>0</v>
      </c>
      <c r="U16" s="99">
        <f t="shared" si="2"/>
        <v>0</v>
      </c>
    </row>
    <row r="17" spans="1:21" x14ac:dyDescent="0.25">
      <c r="A17" s="453" t="s">
        <v>33</v>
      </c>
      <c r="B17" s="453"/>
      <c r="C17" s="165">
        <v>0</v>
      </c>
      <c r="D17" s="165">
        <v>0</v>
      </c>
      <c r="E17" s="125">
        <f t="shared" si="3"/>
        <v>0</v>
      </c>
      <c r="F17" s="532">
        <f>'0664'!F17:G17</f>
        <v>0.999</v>
      </c>
      <c r="G17" s="532"/>
      <c r="H17" s="83">
        <f t="shared" si="4"/>
        <v>0</v>
      </c>
      <c r="I17" s="104">
        <f t="shared" si="0"/>
        <v>0</v>
      </c>
      <c r="N17" s="479" t="s">
        <v>33</v>
      </c>
      <c r="O17" s="479"/>
      <c r="P17" s="513">
        <f t="shared" si="1"/>
        <v>0</v>
      </c>
      <c r="Q17" s="513"/>
      <c r="R17" s="517">
        <v>1</v>
      </c>
      <c r="S17" s="517"/>
      <c r="T17" s="98">
        <f t="shared" si="5"/>
        <v>0</v>
      </c>
      <c r="U17" s="99">
        <f t="shared" si="2"/>
        <v>0</v>
      </c>
    </row>
    <row r="18" spans="1:21" x14ac:dyDescent="0.25">
      <c r="A18" s="453" t="s">
        <v>34</v>
      </c>
      <c r="B18" s="453"/>
      <c r="C18" s="165">
        <v>0</v>
      </c>
      <c r="D18" s="165">
        <v>0</v>
      </c>
      <c r="E18" s="125">
        <f t="shared" si="3"/>
        <v>0</v>
      </c>
      <c r="F18" s="532">
        <f>'0664'!F18:G18</f>
        <v>0.999</v>
      </c>
      <c r="G18" s="532"/>
      <c r="H18" s="83">
        <f t="shared" si="4"/>
        <v>0</v>
      </c>
      <c r="I18" s="104">
        <f t="shared" si="0"/>
        <v>0</v>
      </c>
      <c r="J18" s="68" t="str">
        <f>IF(ROUND(E18,2)=ROUND(SUM(E56:E58),2)," ","CHECK 4-8 LINES BELOW")</f>
        <v xml:space="preserve"> </v>
      </c>
      <c r="N18" s="479" t="s">
        <v>34</v>
      </c>
      <c r="O18" s="479"/>
      <c r="P18" s="513">
        <f t="shared" si="1"/>
        <v>0</v>
      </c>
      <c r="Q18" s="513"/>
      <c r="R18" s="517">
        <v>1</v>
      </c>
      <c r="S18" s="517"/>
      <c r="T18" s="98">
        <f t="shared" si="5"/>
        <v>0</v>
      </c>
      <c r="U18" s="101">
        <f t="shared" si="2"/>
        <v>0</v>
      </c>
    </row>
    <row r="19" spans="1:21" x14ac:dyDescent="0.25">
      <c r="A19" s="453" t="s">
        <v>108</v>
      </c>
      <c r="B19" s="453"/>
      <c r="C19" s="165">
        <v>1.5</v>
      </c>
      <c r="D19" s="165">
        <v>1.5</v>
      </c>
      <c r="E19" s="125">
        <f t="shared" si="3"/>
        <v>3</v>
      </c>
      <c r="F19" s="532">
        <f>'0664'!F19:G19</f>
        <v>3.6739999999999999</v>
      </c>
      <c r="G19" s="532"/>
      <c r="H19" s="83">
        <f t="shared" si="4"/>
        <v>11.022</v>
      </c>
      <c r="I19" s="104">
        <f t="shared" si="0"/>
        <v>52776.95</v>
      </c>
      <c r="N19" s="479" t="s">
        <v>108</v>
      </c>
      <c r="O19" s="479"/>
      <c r="P19" s="513">
        <f t="shared" si="1"/>
        <v>3</v>
      </c>
      <c r="Q19" s="513"/>
      <c r="R19" s="517">
        <v>1</v>
      </c>
      <c r="S19" s="517"/>
      <c r="T19" s="98">
        <f t="shared" si="5"/>
        <v>3</v>
      </c>
      <c r="U19" s="99">
        <f t="shared" si="2"/>
        <v>14365</v>
      </c>
    </row>
    <row r="20" spans="1:21" x14ac:dyDescent="0.25">
      <c r="A20" s="453" t="s">
        <v>109</v>
      </c>
      <c r="B20" s="453"/>
      <c r="C20" s="165">
        <v>4</v>
      </c>
      <c r="D20" s="165">
        <v>4</v>
      </c>
      <c r="E20" s="125">
        <f t="shared" si="3"/>
        <v>8</v>
      </c>
      <c r="F20" s="532">
        <f>'0664'!F20:G20</f>
        <v>3.6739999999999999</v>
      </c>
      <c r="G20" s="532"/>
      <c r="H20" s="83">
        <f t="shared" si="4"/>
        <v>29.391999999999999</v>
      </c>
      <c r="I20" s="104">
        <f t="shared" si="0"/>
        <v>140738.54</v>
      </c>
      <c r="N20" s="479" t="s">
        <v>109</v>
      </c>
      <c r="O20" s="479"/>
      <c r="P20" s="513">
        <f t="shared" si="1"/>
        <v>8</v>
      </c>
      <c r="Q20" s="513"/>
      <c r="R20" s="517">
        <v>1</v>
      </c>
      <c r="S20" s="517"/>
      <c r="T20" s="98">
        <f t="shared" si="5"/>
        <v>8</v>
      </c>
      <c r="U20" s="99">
        <f t="shared" si="2"/>
        <v>38307</v>
      </c>
    </row>
    <row r="21" spans="1:21" x14ac:dyDescent="0.25">
      <c r="A21" s="453" t="s">
        <v>110</v>
      </c>
      <c r="B21" s="453"/>
      <c r="C21" s="165">
        <v>0</v>
      </c>
      <c r="D21" s="165">
        <v>0</v>
      </c>
      <c r="E21" s="125">
        <f t="shared" si="3"/>
        <v>0</v>
      </c>
      <c r="F21" s="532">
        <f>'0664'!F21:G21</f>
        <v>3.6739999999999999</v>
      </c>
      <c r="G21" s="532"/>
      <c r="H21" s="83">
        <f t="shared" si="4"/>
        <v>0</v>
      </c>
      <c r="I21" s="104">
        <f t="shared" si="0"/>
        <v>0</v>
      </c>
      <c r="N21" s="479" t="s">
        <v>110</v>
      </c>
      <c r="O21" s="479"/>
      <c r="P21" s="513">
        <f t="shared" si="1"/>
        <v>0</v>
      </c>
      <c r="Q21" s="513"/>
      <c r="R21" s="517">
        <v>1</v>
      </c>
      <c r="S21" s="517"/>
      <c r="T21" s="98">
        <f t="shared" si="5"/>
        <v>0</v>
      </c>
      <c r="U21" s="99">
        <f t="shared" si="2"/>
        <v>0</v>
      </c>
    </row>
    <row r="22" spans="1:21" x14ac:dyDescent="0.25">
      <c r="A22" s="453" t="s">
        <v>111</v>
      </c>
      <c r="B22" s="453"/>
      <c r="C22" s="165">
        <v>2.5</v>
      </c>
      <c r="D22" s="165">
        <v>3</v>
      </c>
      <c r="E22" s="125">
        <f t="shared" si="3"/>
        <v>5.5</v>
      </c>
      <c r="F22" s="532">
        <f>'0664'!F22:G22</f>
        <v>5.4009999999999998</v>
      </c>
      <c r="G22" s="532"/>
      <c r="H22" s="83">
        <f t="shared" si="4"/>
        <v>29.705500000000001</v>
      </c>
      <c r="I22" s="104">
        <f t="shared" si="0"/>
        <v>142239.67999999999</v>
      </c>
      <c r="N22" s="479" t="s">
        <v>111</v>
      </c>
      <c r="O22" s="479"/>
      <c r="P22" s="513">
        <f t="shared" si="1"/>
        <v>5.5</v>
      </c>
      <c r="Q22" s="513"/>
      <c r="R22" s="517">
        <v>1</v>
      </c>
      <c r="S22" s="517"/>
      <c r="T22" s="98">
        <f t="shared" si="5"/>
        <v>5.5</v>
      </c>
      <c r="U22" s="99">
        <f t="shared" si="2"/>
        <v>26336</v>
      </c>
    </row>
    <row r="23" spans="1:21" x14ac:dyDescent="0.25">
      <c r="A23" s="453" t="s">
        <v>112</v>
      </c>
      <c r="B23" s="453"/>
      <c r="C23" s="165">
        <v>5</v>
      </c>
      <c r="D23" s="165">
        <v>4.5</v>
      </c>
      <c r="E23" s="125">
        <f t="shared" si="3"/>
        <v>9.5</v>
      </c>
      <c r="F23" s="532">
        <f>'0664'!F23:G23</f>
        <v>5.4009999999999998</v>
      </c>
      <c r="G23" s="532"/>
      <c r="H23" s="83">
        <f t="shared" si="4"/>
        <v>51.3095</v>
      </c>
      <c r="I23" s="104">
        <f t="shared" si="0"/>
        <v>245686.72</v>
      </c>
      <c r="N23" s="479" t="s">
        <v>112</v>
      </c>
      <c r="O23" s="479"/>
      <c r="P23" s="513">
        <f t="shared" si="1"/>
        <v>9.5</v>
      </c>
      <c r="Q23" s="513"/>
      <c r="R23" s="517">
        <v>1</v>
      </c>
      <c r="S23" s="517"/>
      <c r="T23" s="98">
        <f t="shared" si="5"/>
        <v>9.5</v>
      </c>
      <c r="U23" s="99">
        <f t="shared" si="2"/>
        <v>45489</v>
      </c>
    </row>
    <row r="24" spans="1:21" x14ac:dyDescent="0.25">
      <c r="A24" s="453" t="s">
        <v>113</v>
      </c>
      <c r="B24" s="453"/>
      <c r="C24" s="165">
        <v>0</v>
      </c>
      <c r="D24" s="165">
        <v>0</v>
      </c>
      <c r="E24" s="125">
        <f t="shared" si="3"/>
        <v>0</v>
      </c>
      <c r="F24" s="532">
        <f>'0664'!F24:G24</f>
        <v>5.4009999999999998</v>
      </c>
      <c r="G24" s="532"/>
      <c r="H24" s="83">
        <f t="shared" si="4"/>
        <v>0</v>
      </c>
      <c r="I24" s="104">
        <f t="shared" si="0"/>
        <v>0</v>
      </c>
      <c r="N24" s="479" t="s">
        <v>113</v>
      </c>
      <c r="O24" s="479"/>
      <c r="P24" s="513">
        <f t="shared" si="1"/>
        <v>0</v>
      </c>
      <c r="Q24" s="513"/>
      <c r="R24" s="517">
        <v>1</v>
      </c>
      <c r="S24" s="517"/>
      <c r="T24" s="98">
        <f t="shared" si="5"/>
        <v>0</v>
      </c>
      <c r="U24" s="99">
        <f t="shared" si="2"/>
        <v>0</v>
      </c>
    </row>
    <row r="25" spans="1:21" x14ac:dyDescent="0.25">
      <c r="A25" s="453" t="s">
        <v>114</v>
      </c>
      <c r="B25" s="453"/>
      <c r="C25" s="165">
        <v>0</v>
      </c>
      <c r="D25" s="165">
        <v>0</v>
      </c>
      <c r="E25" s="125">
        <f t="shared" si="3"/>
        <v>0</v>
      </c>
      <c r="F25" s="532">
        <f>'0664'!F25:G25</f>
        <v>1.206</v>
      </c>
      <c r="G25" s="532"/>
      <c r="H25" s="83">
        <f t="shared" si="4"/>
        <v>0</v>
      </c>
      <c r="I25" s="104">
        <f t="shared" si="0"/>
        <v>0</v>
      </c>
      <c r="N25" s="479" t="s">
        <v>114</v>
      </c>
      <c r="O25" s="479"/>
      <c r="P25" s="513">
        <f t="shared" si="1"/>
        <v>0</v>
      </c>
      <c r="Q25" s="513"/>
      <c r="R25" s="517">
        <v>1</v>
      </c>
      <c r="S25" s="517"/>
      <c r="T25" s="98">
        <f t="shared" si="5"/>
        <v>0</v>
      </c>
      <c r="U25" s="99">
        <f t="shared" si="2"/>
        <v>0</v>
      </c>
    </row>
    <row r="26" spans="1:21" x14ac:dyDescent="0.25">
      <c r="A26" s="453" t="s">
        <v>115</v>
      </c>
      <c r="B26" s="453"/>
      <c r="C26" s="165">
        <v>0</v>
      </c>
      <c r="D26" s="165">
        <v>0</v>
      </c>
      <c r="E26" s="125">
        <f t="shared" si="3"/>
        <v>0</v>
      </c>
      <c r="F26" s="532">
        <f>'0664'!F26:G26</f>
        <v>1.206</v>
      </c>
      <c r="G26" s="532"/>
      <c r="H26" s="83">
        <f t="shared" si="4"/>
        <v>0</v>
      </c>
      <c r="I26" s="104">
        <f t="shared" si="0"/>
        <v>0</v>
      </c>
      <c r="N26" s="479" t="s">
        <v>115</v>
      </c>
      <c r="O26" s="479"/>
      <c r="P26" s="513">
        <f t="shared" si="1"/>
        <v>0</v>
      </c>
      <c r="Q26" s="513"/>
      <c r="R26" s="517">
        <v>1</v>
      </c>
      <c r="S26" s="517"/>
      <c r="T26" s="98">
        <f t="shared" si="5"/>
        <v>0</v>
      </c>
      <c r="U26" s="99">
        <f t="shared" si="2"/>
        <v>0</v>
      </c>
    </row>
    <row r="27" spans="1:21" x14ac:dyDescent="0.25">
      <c r="A27" s="453" t="s">
        <v>116</v>
      </c>
      <c r="B27" s="453"/>
      <c r="C27" s="165">
        <v>0</v>
      </c>
      <c r="D27" s="165">
        <v>0</v>
      </c>
      <c r="E27" s="125">
        <f t="shared" si="3"/>
        <v>0</v>
      </c>
      <c r="F27" s="532">
        <f>'0664'!F27:G27</f>
        <v>1.206</v>
      </c>
      <c r="G27" s="532"/>
      <c r="H27" s="83">
        <f t="shared" si="4"/>
        <v>0</v>
      </c>
      <c r="I27" s="104">
        <f t="shared" si="0"/>
        <v>0</v>
      </c>
      <c r="N27" s="479" t="s">
        <v>116</v>
      </c>
      <c r="O27" s="479"/>
      <c r="P27" s="513">
        <f t="shared" si="1"/>
        <v>0</v>
      </c>
      <c r="Q27" s="513"/>
      <c r="R27" s="517">
        <v>1</v>
      </c>
      <c r="S27" s="517"/>
      <c r="T27" s="98">
        <f t="shared" si="5"/>
        <v>0</v>
      </c>
      <c r="U27" s="99">
        <f t="shared" si="2"/>
        <v>0</v>
      </c>
    </row>
    <row r="28" spans="1:21" x14ac:dyDescent="0.25">
      <c r="A28" s="453" t="s">
        <v>117</v>
      </c>
      <c r="B28" s="453"/>
      <c r="C28" s="116">
        <v>0</v>
      </c>
      <c r="D28" s="116">
        <v>0</v>
      </c>
      <c r="E28" s="177">
        <f t="shared" si="3"/>
        <v>0</v>
      </c>
      <c r="F28" s="532">
        <f>'0664'!F28:G28</f>
        <v>0.999</v>
      </c>
      <c r="G28" s="532"/>
      <c r="H28" s="96">
        <f t="shared" si="4"/>
        <v>0</v>
      </c>
      <c r="I28" s="97">
        <f t="shared" si="0"/>
        <v>0</v>
      </c>
      <c r="N28" s="482" t="s">
        <v>117</v>
      </c>
      <c r="O28" s="482"/>
      <c r="P28" s="513">
        <f t="shared" si="1"/>
        <v>0</v>
      </c>
      <c r="Q28" s="513"/>
      <c r="R28" s="514">
        <v>1</v>
      </c>
      <c r="S28" s="514"/>
      <c r="T28" s="98">
        <f t="shared" si="5"/>
        <v>0</v>
      </c>
      <c r="U28" s="99">
        <f t="shared" si="2"/>
        <v>0</v>
      </c>
    </row>
    <row r="29" spans="1:21" x14ac:dyDescent="0.25">
      <c r="A29" s="461" t="s">
        <v>5</v>
      </c>
      <c r="B29" s="461"/>
      <c r="C29" s="97">
        <f>SUM(C13:C28)</f>
        <v>13.5</v>
      </c>
      <c r="D29" s="97">
        <f>SUM(D13:D28)</f>
        <v>13.55</v>
      </c>
      <c r="E29" s="97">
        <f>SUM(E13:E28)</f>
        <v>27.05</v>
      </c>
      <c r="F29" s="457"/>
      <c r="G29" s="457"/>
      <c r="H29" s="102">
        <f>SUM(H13:H28)</f>
        <v>122.6113</v>
      </c>
      <c r="I29" s="97">
        <f>SUM(I13:I28)</f>
        <v>587103.13</v>
      </c>
      <c r="N29" s="515" t="s">
        <v>5</v>
      </c>
      <c r="O29" s="515"/>
      <c r="P29" s="516">
        <f>SUM(P13:P28)</f>
        <v>27.05</v>
      </c>
      <c r="Q29" s="516"/>
      <c r="R29" s="508"/>
      <c r="S29" s="508"/>
      <c r="T29" s="103">
        <f>SUM(T13:T28)</f>
        <v>27.05</v>
      </c>
      <c r="U29" s="99">
        <f>SUM(U13:U28)</f>
        <v>129525</v>
      </c>
    </row>
    <row r="30" spans="1:21" x14ac:dyDescent="0.25">
      <c r="A30" s="27"/>
      <c r="B30" s="27"/>
      <c r="C30" s="104"/>
      <c r="D30" s="104"/>
      <c r="E30" s="104"/>
      <c r="F30" s="28"/>
      <c r="G30" s="28"/>
      <c r="H30" s="83"/>
      <c r="I30" s="104"/>
      <c r="N30" s="29"/>
      <c r="O30" s="29"/>
      <c r="P30" s="30"/>
      <c r="Q30" s="30"/>
      <c r="R30" s="31"/>
      <c r="S30" s="31"/>
      <c r="T30" s="105"/>
      <c r="U30" s="106"/>
    </row>
    <row r="31" spans="1:21" x14ac:dyDescent="0.25">
      <c r="A31" s="168" t="s">
        <v>97</v>
      </c>
      <c r="B31" s="27"/>
      <c r="C31" s="104"/>
      <c r="D31" s="104"/>
      <c r="E31" s="104"/>
      <c r="F31" s="28"/>
      <c r="G31" s="28"/>
      <c r="H31" s="83"/>
      <c r="I31" s="104"/>
      <c r="N31" s="29"/>
      <c r="O31" s="29"/>
      <c r="P31" s="30"/>
      <c r="Q31" s="30"/>
      <c r="R31" s="31"/>
      <c r="S31" s="31"/>
      <c r="T31" s="105"/>
      <c r="U31" s="106"/>
    </row>
    <row r="32" spans="1:21" hidden="1" x14ac:dyDescent="0.25">
      <c r="A32" s="168"/>
      <c r="B32" s="27"/>
      <c r="C32" s="104"/>
      <c r="D32" s="104"/>
      <c r="E32" s="104"/>
      <c r="F32" s="28"/>
      <c r="G32" s="28"/>
      <c r="H32" s="83"/>
      <c r="I32" s="104"/>
      <c r="N32" s="29"/>
      <c r="O32" s="29"/>
      <c r="P32" s="30"/>
      <c r="Q32" s="30"/>
      <c r="R32" s="31"/>
      <c r="S32" s="31"/>
      <c r="T32" s="105"/>
      <c r="U32" s="106"/>
    </row>
    <row r="33" spans="1:21" hidden="1" x14ac:dyDescent="0.25">
      <c r="A33" s="168"/>
      <c r="B33" s="27"/>
      <c r="C33" s="104"/>
      <c r="D33" s="104"/>
      <c r="E33" s="104"/>
      <c r="F33" s="541" t="s">
        <v>282</v>
      </c>
      <c r="G33" s="541"/>
      <c r="H33" s="541"/>
      <c r="I33" s="104"/>
      <c r="N33" s="29"/>
      <c r="O33" s="29"/>
      <c r="P33" s="30"/>
      <c r="Q33" s="30"/>
      <c r="R33" s="31"/>
      <c r="S33" s="31"/>
      <c r="T33" s="105"/>
      <c r="U33" s="106"/>
    </row>
    <row r="34" spans="1:21" hidden="1" x14ac:dyDescent="0.25">
      <c r="A34" s="3"/>
      <c r="B34" s="72"/>
      <c r="C34" s="72"/>
      <c r="D34" s="72"/>
      <c r="E34" s="72"/>
      <c r="F34" s="541"/>
      <c r="G34" s="541"/>
      <c r="H34" s="541"/>
      <c r="I34" s="25" t="s">
        <v>74</v>
      </c>
      <c r="N34" s="485" t="s">
        <v>35</v>
      </c>
      <c r="O34" s="485"/>
      <c r="P34" s="485"/>
      <c r="Q34" s="485"/>
      <c r="R34" s="485"/>
      <c r="S34" s="485"/>
      <c r="T34" s="485"/>
      <c r="U34" s="26" t="s">
        <v>74</v>
      </c>
    </row>
    <row r="35" spans="1:21" hidden="1" x14ac:dyDescent="0.25">
      <c r="A35" s="27"/>
      <c r="B35" s="27"/>
      <c r="C35" s="91" t="s">
        <v>124</v>
      </c>
      <c r="D35" s="91" t="s">
        <v>125</v>
      </c>
      <c r="E35" s="92" t="s">
        <v>8</v>
      </c>
      <c r="F35" s="541"/>
      <c r="G35" s="541"/>
      <c r="H35" s="541"/>
      <c r="I35" s="25" t="s">
        <v>36</v>
      </c>
      <c r="N35" s="29"/>
      <c r="O35" s="29"/>
      <c r="P35" s="30"/>
      <c r="Q35" s="30"/>
      <c r="R35" s="31"/>
      <c r="S35" s="31"/>
      <c r="T35" s="105"/>
      <c r="U35" s="26" t="s">
        <v>36</v>
      </c>
    </row>
    <row r="36" spans="1:21" hidden="1" x14ac:dyDescent="0.25">
      <c r="A36" s="447" t="s">
        <v>63</v>
      </c>
      <c r="B36" s="447"/>
      <c r="C36" s="93" t="s">
        <v>2</v>
      </c>
      <c r="D36" s="93" t="s">
        <v>2</v>
      </c>
      <c r="E36" s="93" t="s">
        <v>2</v>
      </c>
      <c r="F36" s="542"/>
      <c r="G36" s="542"/>
      <c r="H36" s="542"/>
      <c r="I36" s="32" t="s">
        <v>75</v>
      </c>
      <c r="N36" s="510" t="s">
        <v>63</v>
      </c>
      <c r="O36" s="510"/>
      <c r="P36" s="511" t="s">
        <v>24</v>
      </c>
      <c r="Q36" s="511"/>
      <c r="R36" s="511"/>
      <c r="S36" s="511"/>
      <c r="T36" s="511"/>
      <c r="U36" s="20" t="s">
        <v>75</v>
      </c>
    </row>
    <row r="37" spans="1:21" hidden="1" x14ac:dyDescent="0.25">
      <c r="A37" s="451" t="s">
        <v>56</v>
      </c>
      <c r="B37" s="451"/>
      <c r="C37" s="169">
        <v>0</v>
      </c>
      <c r="D37" s="169">
        <v>0</v>
      </c>
      <c r="E37" s="210">
        <f t="shared" ref="E37:E42" si="6">IF(D$43=0,C37*2,C37+D37)</f>
        <v>0</v>
      </c>
      <c r="F37" s="170"/>
      <c r="G37" s="170"/>
      <c r="H37" s="170"/>
      <c r="I37" s="119">
        <f t="shared" ref="I37:I42" si="7">ROUND(ROUND(E37*$C$8,4)*($H$8),2)</f>
        <v>0</v>
      </c>
      <c r="N37" s="512" t="s">
        <v>56</v>
      </c>
      <c r="O37" s="512"/>
      <c r="P37" s="483">
        <f t="shared" ref="P37:P42" si="8">IF($H$120=1,E37,0)</f>
        <v>0</v>
      </c>
      <c r="Q37" s="483"/>
      <c r="R37" s="483"/>
      <c r="S37" s="483"/>
      <c r="T37" s="483"/>
      <c r="U37" s="101">
        <f t="shared" ref="U37:U42" si="9">ROUND(ROUND(P37*$C$8,4)*($H$8),0)</f>
        <v>0</v>
      </c>
    </row>
    <row r="38" spans="1:21" hidden="1" x14ac:dyDescent="0.25">
      <c r="A38" s="453" t="s">
        <v>57</v>
      </c>
      <c r="B38" s="453"/>
      <c r="C38" s="172">
        <v>0</v>
      </c>
      <c r="D38" s="172">
        <v>0</v>
      </c>
      <c r="E38" s="125">
        <f t="shared" si="6"/>
        <v>0</v>
      </c>
      <c r="F38" s="173"/>
      <c r="G38" s="173"/>
      <c r="H38" s="173"/>
      <c r="I38" s="104">
        <f t="shared" si="7"/>
        <v>0</v>
      </c>
      <c r="N38" s="479" t="s">
        <v>57</v>
      </c>
      <c r="O38" s="479"/>
      <c r="P38" s="483">
        <f t="shared" si="8"/>
        <v>0</v>
      </c>
      <c r="Q38" s="483"/>
      <c r="R38" s="483"/>
      <c r="S38" s="483"/>
      <c r="T38" s="483"/>
      <c r="U38" s="101">
        <f t="shared" si="9"/>
        <v>0</v>
      </c>
    </row>
    <row r="39" spans="1:21" hidden="1" x14ac:dyDescent="0.25">
      <c r="A39" s="458" t="s">
        <v>58</v>
      </c>
      <c r="B39" s="458"/>
      <c r="C39" s="172">
        <v>0</v>
      </c>
      <c r="D39" s="172">
        <v>0</v>
      </c>
      <c r="E39" s="125">
        <f t="shared" si="6"/>
        <v>0</v>
      </c>
      <c r="F39" s="173"/>
      <c r="G39" s="173"/>
      <c r="H39" s="173"/>
      <c r="I39" s="104">
        <f t="shared" si="7"/>
        <v>0</v>
      </c>
      <c r="N39" s="509" t="s">
        <v>58</v>
      </c>
      <c r="O39" s="509"/>
      <c r="P39" s="483">
        <f t="shared" si="8"/>
        <v>0</v>
      </c>
      <c r="Q39" s="483"/>
      <c r="R39" s="483"/>
      <c r="S39" s="483"/>
      <c r="T39" s="483"/>
      <c r="U39" s="101">
        <f t="shared" si="9"/>
        <v>0</v>
      </c>
    </row>
    <row r="40" spans="1:21" hidden="1" x14ac:dyDescent="0.25">
      <c r="A40" s="453" t="s">
        <v>59</v>
      </c>
      <c r="B40" s="453"/>
      <c r="C40" s="172">
        <v>0</v>
      </c>
      <c r="D40" s="172">
        <v>0</v>
      </c>
      <c r="E40" s="125">
        <f t="shared" si="6"/>
        <v>0</v>
      </c>
      <c r="F40" s="173"/>
      <c r="G40" s="173"/>
      <c r="H40" s="173"/>
      <c r="I40" s="104">
        <f t="shared" si="7"/>
        <v>0</v>
      </c>
      <c r="N40" s="479" t="s">
        <v>59</v>
      </c>
      <c r="O40" s="479"/>
      <c r="P40" s="483">
        <f t="shared" si="8"/>
        <v>0</v>
      </c>
      <c r="Q40" s="483"/>
      <c r="R40" s="483"/>
      <c r="S40" s="483"/>
      <c r="T40" s="483"/>
      <c r="U40" s="101">
        <f t="shared" si="9"/>
        <v>0</v>
      </c>
    </row>
    <row r="41" spans="1:21" hidden="1" x14ac:dyDescent="0.25">
      <c r="A41" s="453" t="s">
        <v>60</v>
      </c>
      <c r="B41" s="453"/>
      <c r="C41" s="172">
        <v>0</v>
      </c>
      <c r="D41" s="172">
        <v>0</v>
      </c>
      <c r="E41" s="125">
        <f t="shared" si="6"/>
        <v>0</v>
      </c>
      <c r="F41" s="173"/>
      <c r="G41" s="173"/>
      <c r="H41" s="173"/>
      <c r="I41" s="104">
        <f t="shared" si="7"/>
        <v>0</v>
      </c>
      <c r="N41" s="479" t="s">
        <v>60</v>
      </c>
      <c r="O41" s="479"/>
      <c r="P41" s="483">
        <f t="shared" si="8"/>
        <v>0</v>
      </c>
      <c r="Q41" s="483"/>
      <c r="R41" s="483"/>
      <c r="S41" s="483"/>
      <c r="T41" s="483"/>
      <c r="U41" s="101">
        <f t="shared" si="9"/>
        <v>0</v>
      </c>
    </row>
    <row r="42" spans="1:21" hidden="1" x14ac:dyDescent="0.25">
      <c r="A42" s="453" t="s">
        <v>52</v>
      </c>
      <c r="B42" s="453"/>
      <c r="C42" s="171">
        <v>0</v>
      </c>
      <c r="D42" s="171">
        <v>0</v>
      </c>
      <c r="E42" s="177">
        <f t="shared" si="6"/>
        <v>0</v>
      </c>
      <c r="F42" s="173"/>
      <c r="G42" s="173"/>
      <c r="H42" s="173"/>
      <c r="I42" s="97">
        <f t="shared" si="7"/>
        <v>0</v>
      </c>
      <c r="N42" s="482" t="s">
        <v>52</v>
      </c>
      <c r="O42" s="482"/>
      <c r="P42" s="483">
        <f t="shared" si="8"/>
        <v>0</v>
      </c>
      <c r="Q42" s="483"/>
      <c r="R42" s="483"/>
      <c r="S42" s="483"/>
      <c r="T42" s="483"/>
      <c r="U42" s="101">
        <f t="shared" si="9"/>
        <v>0</v>
      </c>
    </row>
    <row r="43" spans="1:21" hidden="1" x14ac:dyDescent="0.25">
      <c r="A43" s="3"/>
      <c r="B43" s="55" t="s">
        <v>126</v>
      </c>
      <c r="C43" s="100">
        <f>SUM(C37:C42)</f>
        <v>0</v>
      </c>
      <c r="D43" s="100">
        <f>SUM(D37:D42)</f>
        <v>0</v>
      </c>
      <c r="E43" s="100">
        <f>SUM(E37:E42)</f>
        <v>0</v>
      </c>
      <c r="F43" s="33"/>
      <c r="G43" s="109"/>
      <c r="H43" s="110" t="s">
        <v>128</v>
      </c>
      <c r="I43" s="100">
        <f>SUM(I37:I42)</f>
        <v>0</v>
      </c>
      <c r="N43" s="480" t="s">
        <v>54</v>
      </c>
      <c r="O43" s="480"/>
      <c r="P43" s="480"/>
      <c r="Q43" s="480"/>
      <c r="R43" s="34">
        <f>SUM(P37:R42)</f>
        <v>0</v>
      </c>
      <c r="S43" s="508" t="s">
        <v>64</v>
      </c>
      <c r="T43" s="508"/>
      <c r="U43" s="106">
        <f>SUM(U37:U42)</f>
        <v>0</v>
      </c>
    </row>
    <row r="44" spans="1:21" ht="16.5" hidden="1" thickBot="1" x14ac:dyDescent="0.3">
      <c r="A44" s="3"/>
      <c r="B44" s="55"/>
      <c r="C44" s="104"/>
      <c r="D44" s="104"/>
      <c r="E44" s="119"/>
      <c r="F44" s="33"/>
      <c r="G44" s="109"/>
      <c r="H44" s="110"/>
      <c r="I44" s="104"/>
      <c r="N44" s="29"/>
      <c r="O44" s="29"/>
      <c r="P44" s="29"/>
      <c r="Q44" s="29"/>
      <c r="R44" s="34"/>
      <c r="S44" s="31"/>
      <c r="T44" s="31"/>
      <c r="U44" s="106"/>
    </row>
    <row r="45" spans="1:21" ht="16.5" hidden="1" thickBot="1" x14ac:dyDescent="0.3">
      <c r="A45" s="3"/>
      <c r="B45" s="55" t="s">
        <v>127</v>
      </c>
      <c r="E45" s="174">
        <f>H29+E43</f>
        <v>122.6113</v>
      </c>
      <c r="F45" s="35"/>
      <c r="G45" s="109"/>
      <c r="H45" s="110" t="s">
        <v>129</v>
      </c>
      <c r="I45" s="97">
        <f>SUM(I43,I29)</f>
        <v>587103.13</v>
      </c>
      <c r="N45" s="480" t="s">
        <v>55</v>
      </c>
      <c r="O45" s="480"/>
      <c r="P45" s="480"/>
      <c r="Q45" s="480"/>
      <c r="R45" s="36">
        <f>R43+T29</f>
        <v>27.05</v>
      </c>
      <c r="S45" s="508" t="s">
        <v>53</v>
      </c>
      <c r="T45" s="508"/>
      <c r="U45" s="111">
        <f>SUM(U43,U29)</f>
        <v>129525</v>
      </c>
    </row>
    <row r="46" spans="1:21" hidden="1" x14ac:dyDescent="0.25">
      <c r="A46" s="27"/>
      <c r="B46" s="27"/>
      <c r="C46" s="27"/>
      <c r="D46" s="27"/>
      <c r="E46" s="27"/>
      <c r="F46" s="35"/>
      <c r="G46" s="28"/>
      <c r="H46" s="28"/>
      <c r="I46" s="104"/>
      <c r="N46" s="29"/>
      <c r="O46" s="29"/>
      <c r="P46" s="29"/>
      <c r="Q46" s="29"/>
      <c r="R46" s="36"/>
      <c r="S46" s="31"/>
      <c r="T46" s="31"/>
      <c r="U46" s="106"/>
    </row>
    <row r="47" spans="1:21" x14ac:dyDescent="0.25">
      <c r="A47" s="27"/>
      <c r="B47" s="55" t="s">
        <v>370</v>
      </c>
      <c r="C47" s="372" t="s">
        <v>370</v>
      </c>
      <c r="D47" s="372" t="s">
        <v>370</v>
      </c>
      <c r="E47" s="27"/>
      <c r="F47" s="35"/>
      <c r="G47" s="28"/>
      <c r="H47" s="28"/>
      <c r="I47" s="104"/>
      <c r="N47" s="29"/>
      <c r="O47" s="29"/>
      <c r="P47" s="29"/>
      <c r="Q47" s="29"/>
      <c r="R47" s="36"/>
      <c r="S47" s="31"/>
      <c r="T47" s="31"/>
      <c r="U47" s="106"/>
    </row>
    <row r="48" spans="1:21" x14ac:dyDescent="0.25">
      <c r="A48" s="27"/>
      <c r="B48" s="27"/>
      <c r="C48" s="91" t="s">
        <v>463</v>
      </c>
      <c r="D48" s="371" t="s">
        <v>464</v>
      </c>
      <c r="E48" s="92" t="s">
        <v>8</v>
      </c>
      <c r="F48" s="49" t="s">
        <v>130</v>
      </c>
      <c r="G48" s="112" t="s">
        <v>132</v>
      </c>
      <c r="H48" s="113" t="s">
        <v>133</v>
      </c>
      <c r="I48" s="104"/>
      <c r="N48" s="29"/>
      <c r="O48" s="29"/>
      <c r="P48" s="29"/>
      <c r="Q48" s="29"/>
      <c r="R48" s="36"/>
      <c r="S48" s="31"/>
      <c r="T48" s="31"/>
      <c r="U48" s="106"/>
    </row>
    <row r="49" spans="1:21" x14ac:dyDescent="0.25">
      <c r="A49" s="37" t="s">
        <v>87</v>
      </c>
      <c r="B49" s="37"/>
      <c r="C49" s="362" t="s">
        <v>2</v>
      </c>
      <c r="D49" s="362" t="s">
        <v>2</v>
      </c>
      <c r="E49" s="362" t="s">
        <v>2</v>
      </c>
      <c r="F49" s="95" t="s">
        <v>131</v>
      </c>
      <c r="G49" s="62" t="s">
        <v>131</v>
      </c>
      <c r="H49" s="114" t="s">
        <v>134</v>
      </c>
      <c r="I49" s="37"/>
      <c r="N49" s="482" t="s">
        <v>87</v>
      </c>
      <c r="O49" s="482"/>
      <c r="P49" s="503" t="s">
        <v>2</v>
      </c>
      <c r="Q49" s="503"/>
      <c r="R49" s="38" t="s">
        <v>25</v>
      </c>
      <c r="S49" s="63" t="s">
        <v>26</v>
      </c>
      <c r="T49" s="115" t="s">
        <v>27</v>
      </c>
      <c r="U49" s="38"/>
    </row>
    <row r="50" spans="1:21" x14ac:dyDescent="0.25">
      <c r="A50" s="459" t="s">
        <v>98</v>
      </c>
      <c r="B50" s="459"/>
      <c r="C50" s="165">
        <v>0</v>
      </c>
      <c r="D50" s="165">
        <v>0</v>
      </c>
      <c r="E50" s="125">
        <f>IF(D$59=0,C50*2,C50+D50)</f>
        <v>0</v>
      </c>
      <c r="F50" s="39" t="s">
        <v>21</v>
      </c>
      <c r="G50" s="39">
        <v>251</v>
      </c>
      <c r="H50" s="321">
        <f>'0664'!H50</f>
        <v>1047</v>
      </c>
      <c r="I50" s="104">
        <f>ROUND(E50*H50,2)</f>
        <v>0</v>
      </c>
      <c r="N50" s="504" t="s">
        <v>28</v>
      </c>
      <c r="O50" s="504"/>
      <c r="P50" s="505"/>
      <c r="Q50" s="505"/>
      <c r="R50" s="40" t="s">
        <v>21</v>
      </c>
      <c r="S50" s="40">
        <v>251</v>
      </c>
      <c r="T50" s="117">
        <f>H50</f>
        <v>1047</v>
      </c>
      <c r="U50" s="118">
        <f>ROUND(P50*T50,0)</f>
        <v>0</v>
      </c>
    </row>
    <row r="51" spans="1:21" x14ac:dyDescent="0.25">
      <c r="A51" s="460"/>
      <c r="B51" s="460"/>
      <c r="C51" s="165">
        <v>0</v>
      </c>
      <c r="D51" s="165">
        <v>0</v>
      </c>
      <c r="E51" s="125">
        <f t="shared" ref="E51:E58" si="10">IF(D$59=0,C51*2,C51+D51)</f>
        <v>0</v>
      </c>
      <c r="F51" s="39" t="s">
        <v>21</v>
      </c>
      <c r="G51" s="39">
        <v>252</v>
      </c>
      <c r="H51" s="321">
        <f>'0664'!H51</f>
        <v>3380</v>
      </c>
      <c r="I51" s="104">
        <f t="shared" ref="I51:I58" si="11">ROUND(E51*H51,2)</f>
        <v>0</v>
      </c>
      <c r="N51" s="504"/>
      <c r="O51" s="504"/>
      <c r="P51" s="506"/>
      <c r="Q51" s="506"/>
      <c r="R51" s="40" t="s">
        <v>21</v>
      </c>
      <c r="S51" s="40">
        <v>252</v>
      </c>
      <c r="T51" s="117">
        <f t="shared" ref="T51:T58" si="12">H51</f>
        <v>3380</v>
      </c>
      <c r="U51" s="118">
        <f t="shared" ref="U51:U58" si="13">ROUND(P51*T51,0)</f>
        <v>0</v>
      </c>
    </row>
    <row r="52" spans="1:21" x14ac:dyDescent="0.25">
      <c r="A52" s="460"/>
      <c r="B52" s="460"/>
      <c r="C52" s="165">
        <v>0.5</v>
      </c>
      <c r="D52" s="165">
        <v>0.55000000000000004</v>
      </c>
      <c r="E52" s="125">
        <f t="shared" si="10"/>
        <v>1.05</v>
      </c>
      <c r="F52" s="39" t="s">
        <v>21</v>
      </c>
      <c r="G52" s="39">
        <v>253</v>
      </c>
      <c r="H52" s="321">
        <f>'0664'!H52</f>
        <v>6896</v>
      </c>
      <c r="I52" s="104">
        <f t="shared" si="11"/>
        <v>7240.8</v>
      </c>
      <c r="N52" s="504"/>
      <c r="O52" s="504"/>
      <c r="P52" s="506"/>
      <c r="Q52" s="506"/>
      <c r="R52" s="40" t="s">
        <v>21</v>
      </c>
      <c r="S52" s="40">
        <v>253</v>
      </c>
      <c r="T52" s="117">
        <f t="shared" si="12"/>
        <v>6896</v>
      </c>
      <c r="U52" s="118">
        <f t="shared" si="13"/>
        <v>0</v>
      </c>
    </row>
    <row r="53" spans="1:21" x14ac:dyDescent="0.25">
      <c r="A53" s="460"/>
      <c r="B53" s="460"/>
      <c r="C53" s="165">
        <v>0</v>
      </c>
      <c r="D53" s="165">
        <v>0</v>
      </c>
      <c r="E53" s="125">
        <f t="shared" si="10"/>
        <v>0</v>
      </c>
      <c r="F53" s="41" t="s">
        <v>14</v>
      </c>
      <c r="G53" s="39">
        <v>251</v>
      </c>
      <c r="H53" s="321">
        <f>'0664'!H53</f>
        <v>1173</v>
      </c>
      <c r="I53" s="104">
        <f t="shared" si="11"/>
        <v>0</v>
      </c>
      <c r="N53" s="504"/>
      <c r="O53" s="504"/>
      <c r="P53" s="506"/>
      <c r="Q53" s="506"/>
      <c r="R53" s="42" t="s">
        <v>14</v>
      </c>
      <c r="S53" s="40">
        <v>251</v>
      </c>
      <c r="T53" s="117">
        <f t="shared" si="12"/>
        <v>1173</v>
      </c>
      <c r="U53" s="118">
        <f t="shared" si="13"/>
        <v>0</v>
      </c>
    </row>
    <row r="54" spans="1:21" x14ac:dyDescent="0.25">
      <c r="A54" s="460"/>
      <c r="B54" s="460"/>
      <c r="C54" s="165">
        <v>0</v>
      </c>
      <c r="D54" s="165">
        <v>0</v>
      </c>
      <c r="E54" s="125">
        <f t="shared" si="10"/>
        <v>0</v>
      </c>
      <c r="F54" s="41" t="s">
        <v>14</v>
      </c>
      <c r="G54" s="39">
        <v>252</v>
      </c>
      <c r="H54" s="321">
        <f>'0664'!H54</f>
        <v>3506</v>
      </c>
      <c r="I54" s="104">
        <f t="shared" si="11"/>
        <v>0</v>
      </c>
      <c r="N54" s="504"/>
      <c r="O54" s="504"/>
      <c r="P54" s="506"/>
      <c r="Q54" s="506"/>
      <c r="R54" s="42" t="s">
        <v>14</v>
      </c>
      <c r="S54" s="40">
        <v>252</v>
      </c>
      <c r="T54" s="117">
        <f t="shared" si="12"/>
        <v>3506</v>
      </c>
      <c r="U54" s="118">
        <f t="shared" si="13"/>
        <v>0</v>
      </c>
    </row>
    <row r="55" spans="1:21" x14ac:dyDescent="0.25">
      <c r="A55" s="460"/>
      <c r="B55" s="460"/>
      <c r="C55" s="165">
        <v>0</v>
      </c>
      <c r="D55" s="165">
        <v>0</v>
      </c>
      <c r="E55" s="125">
        <f t="shared" si="10"/>
        <v>0</v>
      </c>
      <c r="F55" s="41" t="s">
        <v>14</v>
      </c>
      <c r="G55" s="39">
        <v>253</v>
      </c>
      <c r="H55" s="321">
        <f>'0664'!H55</f>
        <v>7023</v>
      </c>
      <c r="I55" s="104">
        <f t="shared" si="11"/>
        <v>0</v>
      </c>
      <c r="N55" s="504"/>
      <c r="O55" s="504"/>
      <c r="P55" s="506"/>
      <c r="Q55" s="506"/>
      <c r="R55" s="42" t="s">
        <v>14</v>
      </c>
      <c r="S55" s="40">
        <v>253</v>
      </c>
      <c r="T55" s="117">
        <f t="shared" si="12"/>
        <v>7023</v>
      </c>
      <c r="U55" s="118">
        <f t="shared" si="13"/>
        <v>0</v>
      </c>
    </row>
    <row r="56" spans="1:21" x14ac:dyDescent="0.25">
      <c r="A56" s="460"/>
      <c r="B56" s="460"/>
      <c r="C56" s="165">
        <v>0</v>
      </c>
      <c r="D56" s="165">
        <v>0</v>
      </c>
      <c r="E56" s="125">
        <f t="shared" si="10"/>
        <v>0</v>
      </c>
      <c r="F56" s="41" t="s">
        <v>15</v>
      </c>
      <c r="G56" s="39">
        <v>251</v>
      </c>
      <c r="H56" s="321">
        <f>'0664'!H56</f>
        <v>835</v>
      </c>
      <c r="I56" s="104">
        <f t="shared" si="11"/>
        <v>0</v>
      </c>
      <c r="N56" s="504"/>
      <c r="O56" s="504"/>
      <c r="P56" s="506"/>
      <c r="Q56" s="506"/>
      <c r="R56" s="42" t="s">
        <v>15</v>
      </c>
      <c r="S56" s="40">
        <v>251</v>
      </c>
      <c r="T56" s="117">
        <f t="shared" si="12"/>
        <v>835</v>
      </c>
      <c r="U56" s="118">
        <f t="shared" si="13"/>
        <v>0</v>
      </c>
    </row>
    <row r="57" spans="1:21" x14ac:dyDescent="0.25">
      <c r="A57" s="460"/>
      <c r="B57" s="460"/>
      <c r="C57" s="165">
        <v>0</v>
      </c>
      <c r="D57" s="165">
        <v>0</v>
      </c>
      <c r="E57" s="125">
        <f t="shared" si="10"/>
        <v>0</v>
      </c>
      <c r="F57" s="41" t="s">
        <v>15</v>
      </c>
      <c r="G57" s="39">
        <v>252</v>
      </c>
      <c r="H57" s="321">
        <f>'0664'!H57</f>
        <v>3168</v>
      </c>
      <c r="I57" s="104">
        <f t="shared" si="11"/>
        <v>0</v>
      </c>
      <c r="N57" s="504"/>
      <c r="O57" s="504"/>
      <c r="P57" s="506"/>
      <c r="Q57" s="506"/>
      <c r="R57" s="42" t="s">
        <v>15</v>
      </c>
      <c r="S57" s="40">
        <v>252</v>
      </c>
      <c r="T57" s="117">
        <f t="shared" si="12"/>
        <v>3168</v>
      </c>
      <c r="U57" s="118">
        <f t="shared" si="13"/>
        <v>0</v>
      </c>
    </row>
    <row r="58" spans="1:21" ht="16.5" thickBot="1" x14ac:dyDescent="0.3">
      <c r="A58" s="460"/>
      <c r="B58" s="460"/>
      <c r="C58" s="165">
        <v>0</v>
      </c>
      <c r="D58" s="165">
        <v>0</v>
      </c>
      <c r="E58" s="125">
        <f t="shared" si="10"/>
        <v>0</v>
      </c>
      <c r="F58" s="41" t="s">
        <v>15</v>
      </c>
      <c r="G58" s="39">
        <v>253</v>
      </c>
      <c r="H58" s="321">
        <f>'0664'!H58</f>
        <v>6685</v>
      </c>
      <c r="I58" s="104">
        <f t="shared" si="11"/>
        <v>0</v>
      </c>
      <c r="N58" s="504"/>
      <c r="O58" s="504"/>
      <c r="P58" s="507"/>
      <c r="Q58" s="507"/>
      <c r="R58" s="42" t="s">
        <v>15</v>
      </c>
      <c r="S58" s="40">
        <v>253</v>
      </c>
      <c r="T58" s="117">
        <f t="shared" si="12"/>
        <v>6685</v>
      </c>
      <c r="U58" s="120">
        <f t="shared" si="13"/>
        <v>0</v>
      </c>
    </row>
    <row r="59" spans="1:21" ht="16.5" thickBot="1" x14ac:dyDescent="0.3">
      <c r="A59" s="461" t="s">
        <v>16</v>
      </c>
      <c r="B59" s="461"/>
      <c r="C59" s="100">
        <f>SUM(C50:C58)</f>
        <v>0.5</v>
      </c>
      <c r="D59" s="100">
        <f>SUM(D50:D58)</f>
        <v>0.55000000000000004</v>
      </c>
      <c r="E59" s="100">
        <f>SUM(E50:E58)</f>
        <v>1.05</v>
      </c>
      <c r="F59" s="461" t="s">
        <v>77</v>
      </c>
      <c r="G59" s="461"/>
      <c r="H59" s="461"/>
      <c r="I59" s="100">
        <f>SUM(I50:I58)</f>
        <v>7240.8</v>
      </c>
      <c r="N59" s="480" t="s">
        <v>16</v>
      </c>
      <c r="O59" s="480"/>
      <c r="P59" s="502">
        <f>SUM(P50:P58)</f>
        <v>0</v>
      </c>
      <c r="Q59" s="502"/>
      <c r="R59" s="480" t="s">
        <v>77</v>
      </c>
      <c r="S59" s="480"/>
      <c r="T59" s="480"/>
      <c r="U59" s="111">
        <f>SUM(U50:U58)</f>
        <v>0</v>
      </c>
    </row>
    <row r="60" spans="1:21" x14ac:dyDescent="0.25">
      <c r="A60" s="462"/>
      <c r="B60" s="462"/>
      <c r="C60" s="462"/>
      <c r="D60" s="462"/>
      <c r="E60" s="462"/>
      <c r="F60" s="462"/>
      <c r="G60" s="462"/>
      <c r="H60" s="462"/>
      <c r="I60" s="462"/>
      <c r="N60" s="484"/>
      <c r="O60" s="484"/>
      <c r="P60" s="484"/>
      <c r="Q60" s="484"/>
      <c r="R60" s="484"/>
      <c r="S60" s="484"/>
      <c r="T60" s="484"/>
      <c r="U60" s="484"/>
    </row>
    <row r="61" spans="1:21" x14ac:dyDescent="0.25">
      <c r="A61" s="463" t="s">
        <v>136</v>
      </c>
      <c r="B61" s="453"/>
      <c r="C61" s="453"/>
      <c r="D61" s="453"/>
      <c r="E61" s="453"/>
      <c r="F61" s="453"/>
      <c r="G61" s="453"/>
      <c r="H61" s="453"/>
      <c r="I61" s="453"/>
      <c r="N61" s="479" t="s">
        <v>88</v>
      </c>
      <c r="O61" s="479"/>
      <c r="P61" s="479"/>
      <c r="Q61" s="479"/>
      <c r="R61" s="479"/>
      <c r="S61" s="479"/>
      <c r="T61" s="479"/>
      <c r="U61" s="479"/>
    </row>
    <row r="62" spans="1:21" x14ac:dyDescent="0.25">
      <c r="A62" s="463" t="s">
        <v>138</v>
      </c>
      <c r="B62" s="453"/>
      <c r="C62" s="121">
        <f>E29</f>
        <v>27.05</v>
      </c>
      <c r="D62" s="464" t="s">
        <v>135</v>
      </c>
      <c r="E62" s="464"/>
      <c r="F62" s="464"/>
      <c r="G62" s="464"/>
      <c r="H62" s="335">
        <f>'0664'!H62</f>
        <v>193340.76</v>
      </c>
      <c r="I62" s="122"/>
      <c r="N62" s="478" t="s">
        <v>312</v>
      </c>
      <c r="O62" s="479"/>
      <c r="P62" s="43">
        <f>P29</f>
        <v>27.05</v>
      </c>
      <c r="Q62" s="498" t="s">
        <v>78</v>
      </c>
      <c r="R62" s="498"/>
      <c r="S62" s="498"/>
      <c r="T62" s="497">
        <f>H62</f>
        <v>193340.76</v>
      </c>
      <c r="U62" s="497"/>
    </row>
    <row r="63" spans="1:21" x14ac:dyDescent="0.25">
      <c r="B63" s="72"/>
      <c r="G63" s="44" t="s">
        <v>13</v>
      </c>
      <c r="H63" s="123">
        <f>ROUND(C62/H62,6)</f>
        <v>1.3999999999999999E-4</v>
      </c>
      <c r="I63" s="124"/>
      <c r="N63" s="479" t="s">
        <v>19</v>
      </c>
      <c r="O63" s="479"/>
      <c r="P63" s="479"/>
      <c r="Q63" s="479"/>
      <c r="R63" s="479"/>
      <c r="S63" s="479"/>
      <c r="T63" s="501">
        <f>ROUND(P62/T62,6)</f>
        <v>1.3999999999999999E-4</v>
      </c>
      <c r="U63" s="501"/>
    </row>
    <row r="64" spans="1:21" x14ac:dyDescent="0.25">
      <c r="A64" s="463" t="s">
        <v>137</v>
      </c>
      <c r="B64" s="453"/>
      <c r="C64" s="453"/>
      <c r="D64" s="453"/>
      <c r="E64" s="453"/>
      <c r="F64" s="453"/>
      <c r="G64" s="453"/>
      <c r="H64" s="453"/>
      <c r="I64" s="453"/>
      <c r="N64" s="479" t="s">
        <v>89</v>
      </c>
      <c r="O64" s="479"/>
      <c r="P64" s="479"/>
      <c r="Q64" s="479"/>
      <c r="R64" s="479"/>
      <c r="S64" s="479"/>
      <c r="T64" s="479"/>
      <c r="U64" s="479"/>
    </row>
    <row r="65" spans="1:21" x14ac:dyDescent="0.25">
      <c r="A65" s="463" t="s">
        <v>139</v>
      </c>
      <c r="B65" s="453"/>
      <c r="C65" s="121">
        <f>E45</f>
        <v>122.6113</v>
      </c>
      <c r="D65" s="464" t="s">
        <v>140</v>
      </c>
      <c r="E65" s="464"/>
      <c r="F65" s="464"/>
      <c r="G65" s="464"/>
      <c r="H65" s="336">
        <f>'0664'!H65</f>
        <v>216845.88</v>
      </c>
      <c r="I65" s="125"/>
      <c r="N65" s="479" t="s">
        <v>80</v>
      </c>
      <c r="O65" s="479"/>
      <c r="P65" s="43">
        <f>R45</f>
        <v>27.05</v>
      </c>
      <c r="Q65" s="498" t="s">
        <v>79</v>
      </c>
      <c r="R65" s="498"/>
      <c r="S65" s="498"/>
      <c r="T65" s="497">
        <f>H65</f>
        <v>216845.88</v>
      </c>
      <c r="U65" s="497"/>
    </row>
    <row r="66" spans="1:21" s="37" customFormat="1" x14ac:dyDescent="0.25">
      <c r="A66" s="126"/>
      <c r="G66" s="45" t="s">
        <v>13</v>
      </c>
      <c r="H66" s="127">
        <f>ROUND(C65/H65,6)</f>
        <v>5.6499999999999996E-4</v>
      </c>
      <c r="I66" s="127"/>
      <c r="N66" s="482" t="s">
        <v>20</v>
      </c>
      <c r="O66" s="482"/>
      <c r="P66" s="482"/>
      <c r="Q66" s="482"/>
      <c r="R66" s="482"/>
      <c r="S66" s="482"/>
      <c r="T66" s="500">
        <f>ROUND(P65/T65,6)</f>
        <v>1.25E-4</v>
      </c>
      <c r="U66" s="500"/>
    </row>
    <row r="67" spans="1:21" x14ac:dyDescent="0.25">
      <c r="G67" s="44"/>
      <c r="H67" s="123"/>
      <c r="I67" s="123"/>
      <c r="N67" s="48"/>
      <c r="O67" s="48"/>
      <c r="P67" s="48"/>
      <c r="Q67" s="48"/>
      <c r="R67" s="128"/>
      <c r="S67" s="48"/>
      <c r="T67" s="129"/>
      <c r="U67" s="130"/>
    </row>
    <row r="68" spans="1:21" x14ac:dyDescent="0.25">
      <c r="A68" s="453" t="s">
        <v>85</v>
      </c>
      <c r="B68" s="453"/>
      <c r="C68" s="453"/>
      <c r="D68" s="72"/>
      <c r="E68" s="46" t="s">
        <v>3</v>
      </c>
      <c r="F68" s="337">
        <f>'0664'!F68</f>
        <v>42465042</v>
      </c>
      <c r="G68" s="39" t="s">
        <v>6</v>
      </c>
      <c r="H68" s="131">
        <f>H63</f>
        <v>1.3999999999999999E-4</v>
      </c>
      <c r="I68" s="104">
        <f>ROUND(F68*H68,2)</f>
        <v>5945.11</v>
      </c>
      <c r="N68" s="479" t="s">
        <v>85</v>
      </c>
      <c r="O68" s="479"/>
      <c r="P68" s="479"/>
      <c r="Q68" s="47"/>
      <c r="R68" s="132">
        <f>F68</f>
        <v>42465042</v>
      </c>
      <c r="S68" s="40" t="s">
        <v>6</v>
      </c>
      <c r="T68" s="133">
        <f>T63</f>
        <v>1.3999999999999999E-4</v>
      </c>
      <c r="U68" s="99">
        <f>ROUND(R68*T68,0)</f>
        <v>5945</v>
      </c>
    </row>
    <row r="69" spans="1:21" x14ac:dyDescent="0.25">
      <c r="A69" s="458" t="s">
        <v>96</v>
      </c>
      <c r="B69" s="453"/>
      <c r="C69" s="453"/>
      <c r="D69" s="72"/>
      <c r="E69" s="46"/>
      <c r="F69" s="136"/>
      <c r="G69" s="39"/>
      <c r="H69" s="131"/>
      <c r="I69" s="104"/>
      <c r="N69" s="479" t="s">
        <v>84</v>
      </c>
      <c r="O69" s="479"/>
      <c r="P69" s="479"/>
      <c r="Q69" s="54"/>
      <c r="R69" s="54"/>
      <c r="S69" s="54"/>
      <c r="T69" s="54"/>
      <c r="U69" s="54"/>
    </row>
    <row r="70" spans="1:21" x14ac:dyDescent="0.25">
      <c r="A70" s="465" t="s">
        <v>141</v>
      </c>
      <c r="B70" s="453"/>
      <c r="C70" s="453"/>
      <c r="D70" s="72"/>
      <c r="E70" s="46" t="s">
        <v>3</v>
      </c>
      <c r="F70" s="337">
        <f>'0664'!F70</f>
        <v>0</v>
      </c>
      <c r="G70" s="39" t="s">
        <v>6</v>
      </c>
      <c r="H70" s="131">
        <f>H63</f>
        <v>1.3999999999999999E-4</v>
      </c>
      <c r="I70" s="104">
        <f>ROUND(F70*H70,2)</f>
        <v>0</v>
      </c>
      <c r="N70" s="48"/>
      <c r="O70" s="48"/>
      <c r="P70" s="48"/>
      <c r="Q70" s="47"/>
      <c r="R70" s="132">
        <f>F70</f>
        <v>0</v>
      </c>
      <c r="S70" s="40" t="s">
        <v>6</v>
      </c>
      <c r="T70" s="133">
        <f>T63</f>
        <v>1.3999999999999999E-4</v>
      </c>
      <c r="U70" s="99">
        <f>ROUND(R70*T70,0)</f>
        <v>0</v>
      </c>
    </row>
    <row r="71" spans="1:21" x14ac:dyDescent="0.25">
      <c r="A71" s="463" t="s">
        <v>433</v>
      </c>
      <c r="B71" s="453"/>
      <c r="C71" s="453"/>
      <c r="D71" s="72"/>
      <c r="E71" s="46" t="s">
        <v>3</v>
      </c>
      <c r="F71" s="337">
        <f>'0664'!F71</f>
        <v>13414654</v>
      </c>
      <c r="G71" s="39" t="s">
        <v>6</v>
      </c>
      <c r="H71" s="131">
        <f>H63</f>
        <v>1.3999999999999999E-4</v>
      </c>
      <c r="I71" s="104">
        <f>ROUND(F71*H71,2)</f>
        <v>1878.05</v>
      </c>
      <c r="N71" s="479" t="s">
        <v>83</v>
      </c>
      <c r="O71" s="479"/>
      <c r="P71" s="479"/>
      <c r="Q71" s="47"/>
      <c r="R71" s="132">
        <f>F71</f>
        <v>13414654</v>
      </c>
      <c r="S71" s="40" t="s">
        <v>6</v>
      </c>
      <c r="T71" s="133">
        <f>T63</f>
        <v>1.3999999999999999E-4</v>
      </c>
      <c r="U71" s="99">
        <f>ROUND(R71*T71,0)</f>
        <v>1878</v>
      </c>
    </row>
    <row r="72" spans="1:21" x14ac:dyDescent="0.25">
      <c r="A72" s="463" t="s">
        <v>434</v>
      </c>
      <c r="B72" s="453"/>
      <c r="C72" s="453"/>
      <c r="D72" s="72"/>
      <c r="E72" s="46" t="s">
        <v>3</v>
      </c>
      <c r="F72" s="337">
        <f>'0664'!F72</f>
        <v>14708421</v>
      </c>
      <c r="G72" s="39" t="s">
        <v>6</v>
      </c>
      <c r="H72" s="131">
        <f>H63</f>
        <v>1.3999999999999999E-4</v>
      </c>
      <c r="I72" s="104">
        <f>ROUND(F72*H72,2)</f>
        <v>2059.1799999999998</v>
      </c>
      <c r="N72" s="479" t="s">
        <v>82</v>
      </c>
      <c r="O72" s="479"/>
      <c r="P72" s="479"/>
      <c r="Q72" s="47"/>
      <c r="R72" s="134">
        <f>F72</f>
        <v>14708421</v>
      </c>
      <c r="S72" s="40" t="s">
        <v>6</v>
      </c>
      <c r="T72" s="133">
        <f>T63</f>
        <v>1.3999999999999999E-4</v>
      </c>
      <c r="U72" s="99">
        <f>ROUND(R72*T72,0)</f>
        <v>2059</v>
      </c>
    </row>
    <row r="73" spans="1:21" x14ac:dyDescent="0.25">
      <c r="A73" s="263" t="s">
        <v>99</v>
      </c>
      <c r="D73" s="72"/>
      <c r="E73" s="41" t="s">
        <v>353</v>
      </c>
      <c r="F73" s="466"/>
      <c r="G73" s="466"/>
      <c r="H73" s="466"/>
      <c r="I73" s="104">
        <v>0</v>
      </c>
      <c r="N73" s="499" t="s">
        <v>118</v>
      </c>
      <c r="O73" s="499"/>
      <c r="P73" s="499"/>
      <c r="Q73" s="499"/>
      <c r="R73" s="499"/>
      <c r="S73" s="499"/>
      <c r="T73" s="499"/>
      <c r="U73" s="99">
        <f>IF($H$120=1,I73,0)</f>
        <v>0</v>
      </c>
    </row>
    <row r="74" spans="1:21" x14ac:dyDescent="0.25">
      <c r="A74" s="264" t="s">
        <v>142</v>
      </c>
      <c r="I74" s="104"/>
      <c r="N74" s="499" t="s">
        <v>43</v>
      </c>
      <c r="O74" s="499"/>
      <c r="P74" s="499"/>
      <c r="Q74" s="499"/>
      <c r="R74" s="499"/>
      <c r="S74" s="499"/>
      <c r="T74" s="499"/>
      <c r="U74" s="99">
        <f>IF($H$120=1,I74,0)</f>
        <v>0</v>
      </c>
    </row>
    <row r="75" spans="1:21" x14ac:dyDescent="0.25">
      <c r="A75" s="324" t="s">
        <v>101</v>
      </c>
      <c r="B75" s="72"/>
      <c r="C75" s="72"/>
      <c r="D75" s="72"/>
      <c r="E75" s="72"/>
      <c r="F75" s="72"/>
      <c r="G75" s="72"/>
      <c r="H75" s="72"/>
      <c r="I75" s="135"/>
      <c r="N75" s="382" t="s">
        <v>44</v>
      </c>
      <c r="O75" s="48"/>
      <c r="P75" s="48"/>
      <c r="Q75" s="48"/>
      <c r="R75" s="48"/>
      <c r="S75" s="48"/>
      <c r="T75" s="48"/>
      <c r="U75" s="106"/>
    </row>
    <row r="76" spans="1:21" x14ac:dyDescent="0.25">
      <c r="A76" s="463" t="s">
        <v>435</v>
      </c>
      <c r="B76" s="453"/>
      <c r="C76" s="453"/>
      <c r="D76" s="72"/>
      <c r="E76" s="46" t="s">
        <v>3</v>
      </c>
      <c r="F76" s="337">
        <f>'0664'!F76</f>
        <v>8720092</v>
      </c>
      <c r="G76" s="39" t="s">
        <v>6</v>
      </c>
      <c r="H76" s="131">
        <f>H63</f>
        <v>1.3999999999999999E-4</v>
      </c>
      <c r="I76" s="104">
        <f t="shared" ref="I76:I85" si="14">ROUND(F76*H76,2)</f>
        <v>1220.81</v>
      </c>
      <c r="N76" s="478" t="s">
        <v>366</v>
      </c>
      <c r="O76" s="479"/>
      <c r="P76" s="479"/>
      <c r="Q76" s="47"/>
      <c r="R76" s="134">
        <f t="shared" ref="R76:R85" si="15">F76</f>
        <v>8720092</v>
      </c>
      <c r="S76" s="40" t="s">
        <v>6</v>
      </c>
      <c r="T76" s="133">
        <f>T63</f>
        <v>1.3999999999999999E-4</v>
      </c>
      <c r="U76" s="99">
        <f t="shared" ref="U76:U85" si="16">ROUND(R76*T76,0)</f>
        <v>1221</v>
      </c>
    </row>
    <row r="77" spans="1:21" x14ac:dyDescent="0.25">
      <c r="A77" s="463" t="s">
        <v>436</v>
      </c>
      <c r="B77" s="453"/>
      <c r="C77" s="453"/>
      <c r="D77" s="72"/>
      <c r="E77" s="46" t="s">
        <v>3</v>
      </c>
      <c r="F77" s="337">
        <f>'0664'!F77</f>
        <v>0</v>
      </c>
      <c r="G77" s="39" t="s">
        <v>6</v>
      </c>
      <c r="H77" s="131">
        <f>H63</f>
        <v>1.3999999999999999E-4</v>
      </c>
      <c r="I77" s="104">
        <f t="shared" si="14"/>
        <v>0</v>
      </c>
      <c r="N77" s="479" t="s">
        <v>367</v>
      </c>
      <c r="O77" s="479"/>
      <c r="P77" s="479"/>
      <c r="Q77" s="47"/>
      <c r="R77" s="134">
        <f t="shared" si="15"/>
        <v>0</v>
      </c>
      <c r="S77" s="40" t="s">
        <v>6</v>
      </c>
      <c r="T77" s="133">
        <f>T63</f>
        <v>1.3999999999999999E-4</v>
      </c>
      <c r="U77" s="99">
        <f t="shared" si="16"/>
        <v>0</v>
      </c>
    </row>
    <row r="78" spans="1:21" x14ac:dyDescent="0.25">
      <c r="A78" s="463" t="s">
        <v>437</v>
      </c>
      <c r="B78" s="453"/>
      <c r="C78" s="453"/>
      <c r="D78" s="72"/>
      <c r="E78" s="46" t="s">
        <v>4</v>
      </c>
      <c r="F78" s="337">
        <f>'0664'!F78</f>
        <v>0</v>
      </c>
      <c r="G78" s="39" t="s">
        <v>6</v>
      </c>
      <c r="H78" s="131">
        <f>H66</f>
        <v>5.6499999999999996E-4</v>
      </c>
      <c r="I78" s="104">
        <f t="shared" si="14"/>
        <v>0</v>
      </c>
      <c r="N78" s="478" t="s">
        <v>392</v>
      </c>
      <c r="O78" s="479"/>
      <c r="P78" s="479"/>
      <c r="Q78" s="47"/>
      <c r="R78" s="134">
        <f t="shared" si="15"/>
        <v>0</v>
      </c>
      <c r="S78" s="40" t="s">
        <v>6</v>
      </c>
      <c r="T78" s="133">
        <f>T66</f>
        <v>1.25E-4</v>
      </c>
      <c r="U78" s="99">
        <f t="shared" si="16"/>
        <v>0</v>
      </c>
    </row>
    <row r="79" spans="1:21" x14ac:dyDescent="0.25">
      <c r="A79" s="463" t="s">
        <v>438</v>
      </c>
      <c r="B79" s="453"/>
      <c r="C79" s="453"/>
      <c r="D79" s="72"/>
      <c r="E79" s="46" t="s">
        <v>4</v>
      </c>
      <c r="F79" s="337">
        <f>'0664'!F79</f>
        <v>11278687</v>
      </c>
      <c r="G79" s="39" t="s">
        <v>6</v>
      </c>
      <c r="H79" s="131">
        <f>H66</f>
        <v>5.6499999999999996E-4</v>
      </c>
      <c r="I79" s="104">
        <f t="shared" si="14"/>
        <v>6372.46</v>
      </c>
      <c r="N79" s="478" t="s">
        <v>393</v>
      </c>
      <c r="O79" s="479"/>
      <c r="P79" s="479"/>
      <c r="Q79" s="47"/>
      <c r="R79" s="134">
        <f t="shared" si="15"/>
        <v>11278687</v>
      </c>
      <c r="S79" s="40" t="s">
        <v>6</v>
      </c>
      <c r="T79" s="133">
        <f>T66</f>
        <v>1.25E-4</v>
      </c>
      <c r="U79" s="99">
        <f t="shared" si="16"/>
        <v>1410</v>
      </c>
    </row>
    <row r="80" spans="1:21" x14ac:dyDescent="0.25">
      <c r="A80" s="463" t="s">
        <v>439</v>
      </c>
      <c r="B80" s="453"/>
      <c r="C80" s="453"/>
      <c r="D80" s="72"/>
      <c r="E80" s="46" t="s">
        <v>4</v>
      </c>
      <c r="F80" s="337">
        <f>'0664'!F80</f>
        <v>206284749</v>
      </c>
      <c r="G80" s="39" t="s">
        <v>6</v>
      </c>
      <c r="H80" s="131">
        <f>H66</f>
        <v>5.6499999999999996E-4</v>
      </c>
      <c r="I80" s="104">
        <f t="shared" si="14"/>
        <v>116550.88</v>
      </c>
      <c r="N80" s="478" t="s">
        <v>397</v>
      </c>
      <c r="O80" s="479"/>
      <c r="P80" s="479"/>
      <c r="Q80" s="47"/>
      <c r="R80" s="134">
        <f t="shared" si="15"/>
        <v>206284749</v>
      </c>
      <c r="S80" s="40" t="s">
        <v>6</v>
      </c>
      <c r="T80" s="133">
        <f>T66</f>
        <v>1.25E-4</v>
      </c>
      <c r="U80" s="99">
        <f t="shared" si="16"/>
        <v>25786</v>
      </c>
    </row>
    <row r="81" spans="1:21" x14ac:dyDescent="0.25">
      <c r="A81" s="84" t="s">
        <v>440</v>
      </c>
      <c r="B81" s="72"/>
      <c r="C81" s="72"/>
      <c r="D81" s="72"/>
      <c r="E81" s="46"/>
      <c r="F81" s="337"/>
      <c r="G81" s="39"/>
      <c r="H81" s="131"/>
      <c r="I81" s="104"/>
      <c r="N81" s="419" t="s">
        <v>440</v>
      </c>
      <c r="O81" s="48"/>
      <c r="P81" s="48"/>
      <c r="Q81" s="47"/>
      <c r="R81" s="423"/>
      <c r="S81" s="40"/>
      <c r="T81" s="133"/>
      <c r="U81" s="120"/>
    </row>
    <row r="82" spans="1:21" x14ac:dyDescent="0.25">
      <c r="A82" s="264" t="s">
        <v>441</v>
      </c>
      <c r="B82" s="72"/>
      <c r="C82" s="72"/>
      <c r="D82" s="72"/>
      <c r="E82" s="46" t="s">
        <v>442</v>
      </c>
      <c r="F82" s="337">
        <f>'0664'!F82</f>
        <v>0</v>
      </c>
      <c r="G82" s="39" t="s">
        <v>6</v>
      </c>
      <c r="H82" s="131">
        <f>H66</f>
        <v>5.6499999999999996E-4</v>
      </c>
      <c r="I82" s="104">
        <v>24380.97</v>
      </c>
      <c r="N82" s="422" t="s">
        <v>441</v>
      </c>
      <c r="O82" s="48"/>
      <c r="P82" s="48"/>
      <c r="Q82" s="47"/>
      <c r="R82" s="134">
        <f t="shared" si="15"/>
        <v>0</v>
      </c>
      <c r="S82" s="40"/>
      <c r="T82" s="133"/>
      <c r="U82" s="99">
        <f t="shared" si="16"/>
        <v>0</v>
      </c>
    </row>
    <row r="83" spans="1:21" x14ac:dyDescent="0.25">
      <c r="A83" s="264" t="s">
        <v>443</v>
      </c>
      <c r="B83" s="72"/>
      <c r="C83" s="72"/>
      <c r="D83" s="72"/>
      <c r="E83" s="46" t="s">
        <v>442</v>
      </c>
      <c r="F83" s="337">
        <f>'0664'!F83</f>
        <v>0</v>
      </c>
      <c r="G83" s="39" t="s">
        <v>6</v>
      </c>
      <c r="H83" s="131">
        <f>H66</f>
        <v>5.6499999999999996E-4</v>
      </c>
      <c r="I83" s="104">
        <f t="shared" si="14"/>
        <v>0</v>
      </c>
      <c r="N83" s="422" t="s">
        <v>443</v>
      </c>
      <c r="O83" s="48"/>
      <c r="P83" s="48"/>
      <c r="Q83" s="47"/>
      <c r="R83" s="134">
        <f t="shared" si="15"/>
        <v>0</v>
      </c>
      <c r="S83" s="40"/>
      <c r="T83" s="133"/>
      <c r="U83" s="99">
        <f t="shared" si="16"/>
        <v>0</v>
      </c>
    </row>
    <row r="84" spans="1:21" x14ac:dyDescent="0.25">
      <c r="A84" s="420" t="s">
        <v>444</v>
      </c>
      <c r="B84" s="72"/>
      <c r="C84" s="72"/>
      <c r="D84" s="72"/>
      <c r="E84" s="46"/>
      <c r="F84" s="337"/>
      <c r="G84" s="39"/>
      <c r="H84" s="131"/>
      <c r="I84" s="104">
        <f>I82+I83</f>
        <v>24380.97</v>
      </c>
      <c r="N84" s="421" t="s">
        <v>444</v>
      </c>
      <c r="O84" s="48"/>
      <c r="P84" s="48"/>
      <c r="Q84" s="47"/>
      <c r="R84" s="423"/>
      <c r="S84" s="40"/>
      <c r="T84" s="133"/>
      <c r="U84" s="99">
        <f>U82+U83</f>
        <v>0</v>
      </c>
    </row>
    <row r="85" spans="1:21" x14ac:dyDescent="0.25">
      <c r="A85" s="463" t="s">
        <v>398</v>
      </c>
      <c r="B85" s="453"/>
      <c r="C85" s="453"/>
      <c r="D85" s="72"/>
      <c r="E85" s="46" t="s">
        <v>4</v>
      </c>
      <c r="F85" s="337">
        <f>'0664'!F85</f>
        <v>0</v>
      </c>
      <c r="G85" s="39" t="s">
        <v>6</v>
      </c>
      <c r="H85" s="131">
        <f>H66</f>
        <v>5.6499999999999996E-4</v>
      </c>
      <c r="I85" s="104">
        <f t="shared" si="14"/>
        <v>0</v>
      </c>
      <c r="N85" s="478" t="s">
        <v>398</v>
      </c>
      <c r="O85" s="479"/>
      <c r="P85" s="479"/>
      <c r="Q85" s="47"/>
      <c r="R85" s="132">
        <f t="shared" si="15"/>
        <v>0</v>
      </c>
      <c r="S85" s="40" t="s">
        <v>6</v>
      </c>
      <c r="T85" s="133">
        <f>T66</f>
        <v>1.25E-4</v>
      </c>
      <c r="U85" s="99">
        <f t="shared" si="16"/>
        <v>0</v>
      </c>
    </row>
    <row r="86" spans="1:21" x14ac:dyDescent="0.25">
      <c r="B86" s="72"/>
      <c r="C86" s="72"/>
      <c r="D86" s="72"/>
      <c r="E86" s="46"/>
      <c r="F86" s="136"/>
      <c r="G86" s="39"/>
      <c r="H86" s="131"/>
      <c r="I86" s="104"/>
      <c r="N86" s="48"/>
      <c r="O86" s="48"/>
      <c r="P86" s="48"/>
      <c r="Q86" s="47"/>
      <c r="R86" s="137"/>
      <c r="S86" s="40"/>
      <c r="T86" s="133"/>
      <c r="U86" s="106"/>
    </row>
    <row r="87" spans="1:21" x14ac:dyDescent="0.25">
      <c r="A87" s="463" t="s">
        <v>445</v>
      </c>
      <c r="B87" s="453"/>
      <c r="C87" s="453"/>
      <c r="D87" s="453"/>
      <c r="E87" s="453"/>
      <c r="F87" s="453"/>
      <c r="G87" s="453"/>
      <c r="H87" s="453"/>
      <c r="I87" s="453"/>
      <c r="N87" s="478" t="s">
        <v>429</v>
      </c>
      <c r="O87" s="479"/>
      <c r="P87" s="479"/>
      <c r="Q87" s="479"/>
      <c r="R87" s="479"/>
      <c r="S87" s="479"/>
      <c r="T87" s="479"/>
      <c r="U87" s="479"/>
    </row>
    <row r="88" spans="1:21" x14ac:dyDescent="0.25">
      <c r="B88" s="72"/>
      <c r="C88" s="466" t="s">
        <v>73</v>
      </c>
      <c r="D88" s="466"/>
      <c r="E88" s="72"/>
      <c r="F88" s="41" t="s">
        <v>37</v>
      </c>
      <c r="G88" s="72"/>
      <c r="H88" s="72"/>
      <c r="I88" s="72"/>
      <c r="N88" s="48"/>
      <c r="O88" s="48"/>
      <c r="P88" s="48"/>
      <c r="Q88" s="48"/>
      <c r="R88" s="48"/>
      <c r="S88" s="48"/>
      <c r="T88" s="48"/>
      <c r="U88" s="48"/>
    </row>
    <row r="89" spans="1:21" x14ac:dyDescent="0.25">
      <c r="A89" s="3"/>
      <c r="B89" s="138"/>
      <c r="C89" s="462" t="s">
        <v>144</v>
      </c>
      <c r="D89" s="462"/>
      <c r="E89" s="139" t="s">
        <v>150</v>
      </c>
      <c r="F89" s="140" t="s">
        <v>149</v>
      </c>
      <c r="G89" s="141"/>
      <c r="H89" s="141"/>
      <c r="I89" s="141"/>
      <c r="N89" s="495" t="s">
        <v>46</v>
      </c>
      <c r="O89" s="495"/>
      <c r="P89" s="496" t="s">
        <v>119</v>
      </c>
      <c r="Q89" s="496"/>
      <c r="R89" s="497" t="s">
        <v>40</v>
      </c>
      <c r="S89" s="497"/>
      <c r="T89" s="497"/>
      <c r="U89" s="497"/>
    </row>
    <row r="90" spans="1:21" x14ac:dyDescent="0.25">
      <c r="A90" s="27"/>
      <c r="B90" s="55" t="s">
        <v>148</v>
      </c>
      <c r="C90" s="467">
        <f>H13+H14+H19+H22+H25</f>
        <v>41.909800000000004</v>
      </c>
      <c r="D90" s="467"/>
      <c r="E90" s="49">
        <f>H8</f>
        <v>1.0438000000000001</v>
      </c>
      <c r="F90" s="338">
        <f>'0664'!F90</f>
        <v>957.94</v>
      </c>
      <c r="G90" s="41" t="s">
        <v>13</v>
      </c>
      <c r="H90" s="104">
        <f>ROUND(C90*E90*F90,2)</f>
        <v>41905.519999999997</v>
      </c>
      <c r="I90" s="107"/>
      <c r="N90" s="29" t="s">
        <v>22</v>
      </c>
      <c r="O90" s="50">
        <f>T13+T14+T19+T22+T25</f>
        <v>9.5500000000000007</v>
      </c>
      <c r="P90" s="490">
        <f>T8</f>
        <v>1.0438000000000001</v>
      </c>
      <c r="Q90" s="490"/>
      <c r="R90" s="51">
        <f>F90</f>
        <v>957.94</v>
      </c>
      <c r="S90" s="42" t="s">
        <v>13</v>
      </c>
      <c r="T90" s="134">
        <f>ROUND(O90*P90*R90,0)</f>
        <v>9549</v>
      </c>
      <c r="U90" s="105"/>
    </row>
    <row r="91" spans="1:21" x14ac:dyDescent="0.25">
      <c r="A91" s="52"/>
      <c r="B91" s="52" t="s">
        <v>147</v>
      </c>
      <c r="C91" s="467">
        <f>H15+H16+H20+H23+H26</f>
        <v>80.701499999999996</v>
      </c>
      <c r="D91" s="467"/>
      <c r="E91" s="49">
        <f>H8</f>
        <v>1.0438000000000001</v>
      </c>
      <c r="F91" s="338">
        <f>'0664'!F91</f>
        <v>914.63</v>
      </c>
      <c r="G91" s="41" t="s">
        <v>13</v>
      </c>
      <c r="H91" s="104">
        <f>ROUND(C91*E91*F91,2)</f>
        <v>77044.98</v>
      </c>
      <c r="N91" s="53" t="s">
        <v>14</v>
      </c>
      <c r="O91" s="50">
        <f>T15+T16+T20+T23+T26</f>
        <v>17.5</v>
      </c>
      <c r="P91" s="490">
        <f>T8</f>
        <v>1.0438000000000001</v>
      </c>
      <c r="Q91" s="490"/>
      <c r="R91" s="51">
        <f>F91</f>
        <v>914.63</v>
      </c>
      <c r="S91" s="42" t="s">
        <v>13</v>
      </c>
      <c r="T91" s="134">
        <f>ROUND(O91*P91*R91,0)</f>
        <v>16707</v>
      </c>
      <c r="U91" s="54"/>
    </row>
    <row r="92" spans="1:21" ht="16.5" thickBot="1" x14ac:dyDescent="0.3">
      <c r="A92" s="55"/>
      <c r="B92" s="55" t="s">
        <v>146</v>
      </c>
      <c r="C92" s="467">
        <f>H17+H18+H21+H24+H27+H28</f>
        <v>0</v>
      </c>
      <c r="D92" s="467"/>
      <c r="E92" s="49">
        <f>H8</f>
        <v>1.0438000000000001</v>
      </c>
      <c r="F92" s="338">
        <f>'0664'!F92</f>
        <v>916.84</v>
      </c>
      <c r="G92" s="41" t="s">
        <v>13</v>
      </c>
      <c r="H92" s="97">
        <f>ROUND(C92*E92*F92,2)</f>
        <v>0</v>
      </c>
      <c r="N92" s="56" t="s">
        <v>15</v>
      </c>
      <c r="O92" s="57">
        <f>T17+T18+T21+T24+T27+T28</f>
        <v>0</v>
      </c>
      <c r="P92" s="490">
        <f>T8</f>
        <v>1.0438000000000001</v>
      </c>
      <c r="Q92" s="490"/>
      <c r="R92" s="51">
        <f>F92</f>
        <v>916.84</v>
      </c>
      <c r="S92" s="42" t="s">
        <v>13</v>
      </c>
      <c r="T92" s="134">
        <f>ROUND(O92*P92*R92,0)</f>
        <v>0</v>
      </c>
      <c r="U92" s="54"/>
    </row>
    <row r="93" spans="1:21" ht="16.5" thickBot="1" x14ac:dyDescent="0.3">
      <c r="A93" s="58"/>
      <c r="B93" s="142" t="s">
        <v>145</v>
      </c>
      <c r="C93" s="469">
        <f>SUM(C90:C92)</f>
        <v>122.6113</v>
      </c>
      <c r="D93" s="469"/>
      <c r="E93" s="143"/>
      <c r="F93" s="143"/>
      <c r="G93" s="143"/>
      <c r="H93" s="144" t="s">
        <v>143</v>
      </c>
      <c r="I93" s="104">
        <f>IF(A1=75,0,H92+H91+H90)</f>
        <v>118950.5</v>
      </c>
      <c r="N93" s="59" t="s">
        <v>120</v>
      </c>
      <c r="O93" s="60">
        <f>SUM(O90:O92)</f>
        <v>27.05</v>
      </c>
      <c r="P93" s="491" t="s">
        <v>18</v>
      </c>
      <c r="Q93" s="492"/>
      <c r="R93" s="492"/>
      <c r="S93" s="492"/>
      <c r="T93" s="492"/>
      <c r="U93" s="99">
        <f>IF(N1=75,0,T92+T91+T90)</f>
        <v>26256</v>
      </c>
    </row>
    <row r="94" spans="1:21" ht="16.5" thickTop="1" x14ac:dyDescent="0.25">
      <c r="A94" s="540" t="s">
        <v>90</v>
      </c>
      <c r="B94" s="540"/>
      <c r="C94" s="540"/>
      <c r="D94" s="540"/>
      <c r="E94" s="540"/>
      <c r="F94" s="540"/>
      <c r="G94" s="540"/>
      <c r="H94" s="540"/>
      <c r="I94" s="540"/>
      <c r="N94" s="493" t="s">
        <v>90</v>
      </c>
      <c r="O94" s="493"/>
      <c r="P94" s="493"/>
      <c r="Q94" s="493"/>
      <c r="R94" s="493"/>
      <c r="S94" s="493"/>
      <c r="T94" s="493"/>
      <c r="U94" s="493"/>
    </row>
    <row r="95" spans="1:21" x14ac:dyDescent="0.25">
      <c r="A95" s="145"/>
      <c r="B95" s="145"/>
      <c r="C95" s="145"/>
      <c r="D95" s="145"/>
      <c r="E95" s="145"/>
      <c r="F95" s="145"/>
      <c r="G95" s="145"/>
      <c r="H95" s="145"/>
      <c r="I95" s="145"/>
      <c r="N95" s="146"/>
      <c r="O95" s="146"/>
      <c r="P95" s="146"/>
      <c r="Q95" s="146"/>
      <c r="R95" s="146"/>
      <c r="S95" s="146"/>
      <c r="T95" s="146"/>
      <c r="U95" s="146"/>
    </row>
    <row r="96" spans="1:21" x14ac:dyDescent="0.25">
      <c r="A96" s="84" t="s">
        <v>446</v>
      </c>
      <c r="C96" s="46"/>
      <c r="D96" s="72"/>
      <c r="E96" s="46" t="s">
        <v>100</v>
      </c>
      <c r="F96" s="471"/>
      <c r="G96" s="471"/>
      <c r="H96" s="471"/>
      <c r="I96" s="471"/>
      <c r="N96" s="478" t="s">
        <v>426</v>
      </c>
      <c r="O96" s="479"/>
      <c r="P96" s="479"/>
      <c r="Q96" s="494"/>
      <c r="R96" s="494"/>
      <c r="S96" s="494"/>
      <c r="T96" s="494"/>
      <c r="U96" s="106"/>
    </row>
    <row r="97" spans="1:21" x14ac:dyDescent="0.25">
      <c r="B97" s="72"/>
      <c r="C97" s="91" t="s">
        <v>409</v>
      </c>
      <c r="D97" s="371" t="s">
        <v>410</v>
      </c>
      <c r="E97" s="92" t="s">
        <v>151</v>
      </c>
      <c r="F97" s="46"/>
      <c r="G97" s="46"/>
      <c r="H97" s="46"/>
      <c r="I97" s="46"/>
      <c r="N97" s="48"/>
      <c r="O97" s="48"/>
      <c r="P97" s="48"/>
      <c r="Q97" s="147"/>
      <c r="R97" s="147"/>
      <c r="S97" s="147"/>
      <c r="T97" s="147"/>
      <c r="U97" s="106"/>
    </row>
    <row r="98" spans="1:21" x14ac:dyDescent="0.25">
      <c r="B98" s="72"/>
      <c r="C98" s="362" t="s">
        <v>2</v>
      </c>
      <c r="D98" s="362" t="s">
        <v>2</v>
      </c>
      <c r="E98" s="362" t="s">
        <v>2</v>
      </c>
      <c r="F98" s="46"/>
      <c r="G98" s="46"/>
      <c r="H98" s="46"/>
      <c r="I98" s="46"/>
      <c r="N98" s="48"/>
      <c r="O98" s="48"/>
      <c r="P98" s="48"/>
      <c r="Q98" s="147"/>
      <c r="R98" s="147"/>
      <c r="S98" s="147"/>
      <c r="T98" s="147"/>
      <c r="U98" s="106"/>
    </row>
    <row r="99" spans="1:21" x14ac:dyDescent="0.25">
      <c r="A99" s="536" t="s">
        <v>470</v>
      </c>
      <c r="B99" s="461"/>
      <c r="C99" s="165">
        <v>0</v>
      </c>
      <c r="D99" s="165">
        <v>0</v>
      </c>
      <c r="E99" s="125">
        <f>C99</f>
        <v>0</v>
      </c>
      <c r="F99" s="148" t="s">
        <v>39</v>
      </c>
      <c r="G99" s="339">
        <f>'0664'!G99</f>
        <v>558</v>
      </c>
      <c r="I99" s="104">
        <f>ROUND(G99*E99,2)</f>
        <v>0</v>
      </c>
      <c r="N99" s="488" t="s">
        <v>65</v>
      </c>
      <c r="O99" s="488"/>
      <c r="P99" s="489">
        <f>IF(H120=1,E99,0)</f>
        <v>0</v>
      </c>
      <c r="Q99" s="489"/>
      <c r="R99" s="489"/>
      <c r="S99" s="86" t="s">
        <v>39</v>
      </c>
      <c r="T99" s="61">
        <f>G99</f>
        <v>558</v>
      </c>
      <c r="U99" s="99">
        <f>ROUND(T99*P99,0)</f>
        <v>0</v>
      </c>
    </row>
    <row r="100" spans="1:21" x14ac:dyDescent="0.25">
      <c r="A100" s="536" t="s">
        <v>471</v>
      </c>
      <c r="B100" s="461"/>
      <c r="C100" s="165">
        <v>0</v>
      </c>
      <c r="D100" s="165">
        <v>0</v>
      </c>
      <c r="E100" s="125">
        <f>C100</f>
        <v>0</v>
      </c>
      <c r="F100" s="148" t="s">
        <v>39</v>
      </c>
      <c r="G100" s="339">
        <f>'0664'!G100</f>
        <v>1707</v>
      </c>
      <c r="I100" s="104">
        <f>ROUND(G100*E100,2)</f>
        <v>0</v>
      </c>
      <c r="N100" s="488" t="s">
        <v>81</v>
      </c>
      <c r="O100" s="488"/>
      <c r="P100" s="483"/>
      <c r="Q100" s="483"/>
      <c r="R100" s="483"/>
      <c r="S100" s="86" t="s">
        <v>39</v>
      </c>
      <c r="T100" s="61">
        <f>G100</f>
        <v>1707</v>
      </c>
      <c r="U100" s="99">
        <f>ROUND(T100*P100,0)</f>
        <v>0</v>
      </c>
    </row>
    <row r="101" spans="1:21" x14ac:dyDescent="0.25">
      <c r="A101" s="149"/>
      <c r="B101" s="149"/>
      <c r="C101" s="68"/>
      <c r="D101" s="68"/>
      <c r="E101" s="68"/>
      <c r="F101" s="68"/>
      <c r="G101" s="150"/>
      <c r="H101" s="151"/>
      <c r="I101" s="104"/>
      <c r="N101" s="152"/>
      <c r="O101" s="152"/>
      <c r="P101" s="153"/>
      <c r="Q101" s="153"/>
      <c r="R101" s="153"/>
      <c r="S101" s="86"/>
      <c r="T101" s="61"/>
      <c r="U101" s="106"/>
    </row>
    <row r="102" spans="1:21" x14ac:dyDescent="0.25">
      <c r="A102" s="149"/>
      <c r="B102" s="149"/>
      <c r="C102" s="68"/>
      <c r="D102" s="68"/>
      <c r="E102" s="68"/>
      <c r="F102" s="68"/>
      <c r="G102" s="150"/>
      <c r="H102" s="151"/>
      <c r="I102" s="104"/>
      <c r="N102" s="152"/>
      <c r="O102" s="152"/>
      <c r="P102" s="153"/>
      <c r="Q102" s="153"/>
      <c r="R102" s="153"/>
      <c r="S102" s="86"/>
      <c r="T102" s="61"/>
      <c r="U102" s="106"/>
    </row>
    <row r="103" spans="1:21" hidden="1" x14ac:dyDescent="0.25">
      <c r="A103" s="463" t="s">
        <v>447</v>
      </c>
      <c r="B103" s="453"/>
      <c r="C103" s="453"/>
      <c r="D103" s="72"/>
      <c r="E103" s="41" t="s">
        <v>41</v>
      </c>
      <c r="F103" s="466"/>
      <c r="G103" s="466"/>
      <c r="H103" s="466"/>
      <c r="I103" s="466"/>
      <c r="N103" s="478" t="s">
        <v>362</v>
      </c>
      <c r="O103" s="479"/>
      <c r="P103" s="479"/>
      <c r="Q103" s="479"/>
      <c r="R103" s="479"/>
      <c r="S103" s="479"/>
      <c r="T103" s="479"/>
      <c r="U103" s="479"/>
    </row>
    <row r="104" spans="1:21" hidden="1" x14ac:dyDescent="0.25">
      <c r="B104" s="72"/>
      <c r="C104" s="462" t="s">
        <v>91</v>
      </c>
      <c r="D104" s="462"/>
      <c r="E104" s="462"/>
      <c r="F104" s="39"/>
      <c r="G104" s="39"/>
      <c r="H104" s="41" t="s">
        <v>152</v>
      </c>
      <c r="I104" s="39"/>
      <c r="N104" s="48"/>
      <c r="O104" s="48"/>
      <c r="P104" s="48"/>
      <c r="Q104" s="48"/>
      <c r="R104" s="48"/>
      <c r="S104" s="48"/>
      <c r="T104" s="48"/>
      <c r="U104" s="48"/>
    </row>
    <row r="105" spans="1:21" hidden="1" x14ac:dyDescent="0.25">
      <c r="B105" s="72"/>
      <c r="C105" s="91" t="s">
        <v>371</v>
      </c>
      <c r="D105" s="91" t="s">
        <v>351</v>
      </c>
      <c r="E105" s="159" t="s">
        <v>8</v>
      </c>
      <c r="F105" s="464" t="s">
        <v>153</v>
      </c>
      <c r="G105" s="466"/>
      <c r="H105" s="39" t="s">
        <v>38</v>
      </c>
      <c r="I105" s="39"/>
      <c r="N105" s="48"/>
      <c r="O105" s="48"/>
      <c r="P105" s="48"/>
      <c r="Q105" s="48"/>
      <c r="R105" s="48"/>
      <c r="S105" s="48"/>
      <c r="T105" s="48"/>
      <c r="U105" s="48"/>
    </row>
    <row r="106" spans="1:21" hidden="1" x14ac:dyDescent="0.25">
      <c r="A106" s="462" t="s">
        <v>94</v>
      </c>
      <c r="B106" s="462"/>
      <c r="C106" s="93" t="s">
        <v>2</v>
      </c>
      <c r="D106" s="93" t="s">
        <v>2</v>
      </c>
      <c r="E106" s="62" t="s">
        <v>2</v>
      </c>
      <c r="F106" s="462" t="s">
        <v>37</v>
      </c>
      <c r="G106" s="462"/>
      <c r="H106" s="62" t="s">
        <v>37</v>
      </c>
      <c r="I106" s="62" t="s">
        <v>8</v>
      </c>
      <c r="N106" s="484" t="s">
        <v>66</v>
      </c>
      <c r="O106" s="484"/>
      <c r="P106" s="489" t="s">
        <v>91</v>
      </c>
      <c r="Q106" s="489"/>
      <c r="R106" s="484" t="s">
        <v>67</v>
      </c>
      <c r="S106" s="484"/>
      <c r="T106" s="63" t="s">
        <v>68</v>
      </c>
      <c r="U106" s="63" t="s">
        <v>8</v>
      </c>
    </row>
    <row r="107" spans="1:21" hidden="1" x14ac:dyDescent="0.25">
      <c r="A107" s="473" t="s">
        <v>69</v>
      </c>
      <c r="B107" s="473"/>
      <c r="C107" s="163">
        <v>0</v>
      </c>
      <c r="D107" s="163">
        <v>0</v>
      </c>
      <c r="E107" s="210">
        <f>IF(D$59=0,C107*2,C107+D107)</f>
        <v>0</v>
      </c>
      <c r="F107" s="474">
        <v>0</v>
      </c>
      <c r="G107" s="474"/>
      <c r="H107" s="250">
        <f>IF(C107=0,0,125)</f>
        <v>0</v>
      </c>
      <c r="I107" s="104">
        <f>ROUND((H107+F107)*E107,2)</f>
        <v>0</v>
      </c>
      <c r="N107" s="479" t="s">
        <v>69</v>
      </c>
      <c r="O107" s="479"/>
      <c r="P107" s="483">
        <f>IF(H$120=1,C107,0)</f>
        <v>0</v>
      </c>
      <c r="Q107" s="483"/>
      <c r="R107" s="486">
        <f>F107</f>
        <v>0</v>
      </c>
      <c r="S107" s="486"/>
      <c r="T107" s="65">
        <f>H107</f>
        <v>0</v>
      </c>
      <c r="U107" s="99">
        <f>ROUND((T107+R107)*P107,0)</f>
        <v>0</v>
      </c>
    </row>
    <row r="108" spans="1:21" hidden="1" x14ac:dyDescent="0.25">
      <c r="A108" s="456" t="s">
        <v>70</v>
      </c>
      <c r="B108" s="456"/>
      <c r="C108" s="165">
        <v>0</v>
      </c>
      <c r="D108" s="165">
        <v>0</v>
      </c>
      <c r="E108" s="125">
        <f>IF(D$59=0,C108*2,C108+D108)</f>
        <v>0</v>
      </c>
      <c r="F108" s="468">
        <f>ROUND(F107/2,2)</f>
        <v>0</v>
      </c>
      <c r="G108" s="468"/>
      <c r="H108" s="250">
        <f>IF(C108=0,0,62.5)</f>
        <v>0</v>
      </c>
      <c r="I108" s="104">
        <f>ROUND((H108+F108)*E108,2)</f>
        <v>0</v>
      </c>
      <c r="N108" s="479" t="s">
        <v>70</v>
      </c>
      <c r="O108" s="479"/>
      <c r="P108" s="483">
        <f>IF(H$120=1,C108,0)</f>
        <v>0</v>
      </c>
      <c r="Q108" s="483"/>
      <c r="R108" s="487">
        <f>ROUND(R107/2,2)</f>
        <v>0</v>
      </c>
      <c r="S108" s="487"/>
      <c r="T108" s="65">
        <f>H108</f>
        <v>0</v>
      </c>
      <c r="U108" s="99">
        <f>ROUND((T108+R108)*P108,0)</f>
        <v>0</v>
      </c>
    </row>
    <row r="109" spans="1:21" ht="16.5" hidden="1" thickBot="1" x14ac:dyDescent="0.3">
      <c r="A109" s="456" t="s">
        <v>71</v>
      </c>
      <c r="B109" s="456"/>
      <c r="C109" s="165">
        <v>0</v>
      </c>
      <c r="D109" s="165">
        <v>0</v>
      </c>
      <c r="E109" s="125">
        <f>IF(D$59=0,C109*2,C109+D109)</f>
        <v>0</v>
      </c>
      <c r="F109" s="475"/>
      <c r="G109" s="475"/>
      <c r="H109" s="251">
        <f>IF(H107&gt;0,436,0)</f>
        <v>0</v>
      </c>
      <c r="I109" s="104">
        <f>ROUND(H109*E109,2)</f>
        <v>0</v>
      </c>
      <c r="N109" s="482" t="s">
        <v>71</v>
      </c>
      <c r="O109" s="482"/>
      <c r="P109" s="483">
        <f>IF(H$120=1,C109,0)</f>
        <v>0</v>
      </c>
      <c r="Q109" s="483"/>
      <c r="R109" s="484"/>
      <c r="S109" s="484"/>
      <c r="T109" s="67">
        <f>H109</f>
        <v>0</v>
      </c>
      <c r="U109" s="106">
        <f>ROUND(T109*P109,0)</f>
        <v>0</v>
      </c>
    </row>
    <row r="110" spans="1:21" ht="16.5" hidden="1" thickBot="1" x14ac:dyDescent="0.3">
      <c r="A110" s="466" t="s">
        <v>8</v>
      </c>
      <c r="B110" s="466"/>
      <c r="C110" s="68"/>
      <c r="D110" s="68"/>
      <c r="E110" s="68"/>
      <c r="F110" s="68"/>
      <c r="G110" s="68"/>
      <c r="H110" s="68"/>
      <c r="I110" s="100">
        <f>SUM(I107:I109)</f>
        <v>0</v>
      </c>
      <c r="N110" s="485" t="s">
        <v>8</v>
      </c>
      <c r="O110" s="485"/>
      <c r="P110" s="69"/>
      <c r="Q110" s="69"/>
      <c r="R110" s="69"/>
      <c r="S110" s="69"/>
      <c r="T110" s="69"/>
      <c r="U110" s="70">
        <f>SUM(U107:U109)</f>
        <v>0</v>
      </c>
    </row>
    <row r="111" spans="1:21" hidden="1" x14ac:dyDescent="0.25">
      <c r="A111" s="39"/>
      <c r="B111" s="39"/>
      <c r="C111" s="68"/>
      <c r="D111" s="68"/>
      <c r="E111" s="68"/>
      <c r="F111" s="68"/>
      <c r="G111" s="68"/>
      <c r="H111" s="68"/>
      <c r="I111" s="104"/>
      <c r="N111" s="40"/>
      <c r="O111" s="40"/>
      <c r="P111" s="69"/>
      <c r="Q111" s="69"/>
      <c r="R111" s="69"/>
      <c r="S111" s="69"/>
      <c r="T111" s="69"/>
      <c r="U111" s="160"/>
    </row>
    <row r="112" spans="1:21" x14ac:dyDescent="0.25">
      <c r="A112" s="463" t="s">
        <v>448</v>
      </c>
      <c r="B112" s="453"/>
      <c r="C112" s="453"/>
      <c r="D112" s="72"/>
      <c r="E112" s="71" t="s">
        <v>354</v>
      </c>
      <c r="F112" s="472"/>
      <c r="G112" s="472"/>
      <c r="H112" s="472"/>
      <c r="I112" s="125">
        <v>0</v>
      </c>
      <c r="N112" s="478" t="s">
        <v>427</v>
      </c>
      <c r="O112" s="479"/>
      <c r="P112" s="479"/>
      <c r="Q112" s="341"/>
      <c r="R112" s="341"/>
      <c r="S112" s="341"/>
      <c r="T112" s="341"/>
      <c r="U112" s="99">
        <f>IF($H$120=1,I112,0)</f>
        <v>0</v>
      </c>
    </row>
    <row r="113" spans="1:21" x14ac:dyDescent="0.25">
      <c r="A113" s="463" t="s">
        <v>449</v>
      </c>
      <c r="B113" s="453"/>
      <c r="C113" s="453"/>
      <c r="D113" s="72"/>
      <c r="E113" s="71" t="s">
        <v>45</v>
      </c>
      <c r="F113" s="472"/>
      <c r="G113" s="472"/>
      <c r="H113" s="472"/>
      <c r="I113" s="177">
        <v>0</v>
      </c>
      <c r="N113" s="478" t="s">
        <v>428</v>
      </c>
      <c r="O113" s="479"/>
      <c r="P113" s="479"/>
      <c r="Q113" s="341"/>
      <c r="R113" s="341"/>
      <c r="S113" s="341"/>
      <c r="T113" s="341"/>
      <c r="U113" s="99">
        <f>IF($H$120=1,I113,0)</f>
        <v>0</v>
      </c>
    </row>
    <row r="114" spans="1:21" ht="16.5" thickBot="1" x14ac:dyDescent="0.3">
      <c r="B114" s="72"/>
      <c r="C114" s="72"/>
      <c r="D114" s="72"/>
      <c r="E114" s="71"/>
      <c r="F114" s="71"/>
      <c r="G114" s="71"/>
      <c r="H114" s="71"/>
      <c r="I114" s="125"/>
      <c r="N114" s="480" t="s">
        <v>42</v>
      </c>
      <c r="O114" s="480"/>
      <c r="P114" s="480"/>
      <c r="Q114" s="480"/>
      <c r="R114" s="480"/>
      <c r="S114" s="480"/>
      <c r="T114" s="480"/>
      <c r="U114" s="154">
        <f>SUM(U112,U110,U100,U99,U93,U77,U76,U74,U73,U72,U71,U70,U68,U59,U45,U78,U79,U80,U85,U113)</f>
        <v>194080</v>
      </c>
    </row>
    <row r="115" spans="1:21" ht="16.5" thickTop="1" x14ac:dyDescent="0.25">
      <c r="A115" s="461" t="s">
        <v>8</v>
      </c>
      <c r="B115" s="461"/>
      <c r="C115" s="461"/>
      <c r="D115" s="461"/>
      <c r="E115" s="461"/>
      <c r="F115" s="461"/>
      <c r="G115" s="461"/>
      <c r="H115" s="461"/>
      <c r="I115" s="97">
        <f>SUM(I113,I112,I110,I100,I99,I93,I85,I84,I80,I79,I78,I77,I76,I74,I73,I72,I71,I70,I68,I59,I45)</f>
        <v>871701.8899999999</v>
      </c>
      <c r="N115" s="29"/>
      <c r="O115" s="29"/>
      <c r="P115" s="29"/>
      <c r="Q115" s="29"/>
      <c r="R115" s="29"/>
      <c r="S115" s="29"/>
      <c r="T115" s="29"/>
      <c r="U115" s="160"/>
    </row>
    <row r="116" spans="1:21" x14ac:dyDescent="0.25">
      <c r="A116" s="27"/>
      <c r="B116" s="27"/>
      <c r="C116" s="27"/>
      <c r="D116" s="27"/>
      <c r="E116" s="27"/>
      <c r="F116" s="27"/>
      <c r="G116" s="27"/>
      <c r="H116" s="27"/>
      <c r="I116" s="104"/>
      <c r="N116" s="29"/>
      <c r="O116" s="29"/>
      <c r="P116" s="29"/>
      <c r="Q116" s="29"/>
      <c r="R116" s="29"/>
      <c r="S116" s="29"/>
      <c r="T116" s="29"/>
      <c r="U116" s="160"/>
    </row>
    <row r="117" spans="1:21" x14ac:dyDescent="0.25">
      <c r="A117" s="432" t="s">
        <v>467</v>
      </c>
      <c r="B117" s="27"/>
      <c r="C117" s="27"/>
      <c r="D117" s="27"/>
      <c r="E117" s="27"/>
      <c r="F117" s="27"/>
      <c r="G117" s="27"/>
      <c r="H117" s="27"/>
      <c r="I117" s="104">
        <f>I115-I84</f>
        <v>847320.91999999993</v>
      </c>
      <c r="N117" s="29"/>
      <c r="O117" s="29"/>
      <c r="P117" s="29"/>
      <c r="Q117" s="29"/>
      <c r="R117" s="29"/>
      <c r="S117" s="29"/>
      <c r="T117" s="29"/>
      <c r="U117" s="160"/>
    </row>
    <row r="118" spans="1:21" x14ac:dyDescent="0.25">
      <c r="A118" s="27"/>
      <c r="B118" s="27"/>
      <c r="C118" s="27"/>
      <c r="D118" s="27"/>
      <c r="E118" s="27"/>
      <c r="F118" s="27"/>
      <c r="G118" s="27"/>
      <c r="H118" s="27"/>
      <c r="I118" s="104"/>
      <c r="N118" s="29"/>
      <c r="O118" s="29"/>
      <c r="P118" s="29"/>
      <c r="Q118" s="29"/>
      <c r="R118" s="29"/>
      <c r="S118" s="29"/>
      <c r="T118" s="29"/>
      <c r="U118" s="160"/>
    </row>
    <row r="119" spans="1:21" x14ac:dyDescent="0.25">
      <c r="A119" s="463" t="s">
        <v>468</v>
      </c>
      <c r="B119" s="453"/>
      <c r="C119" s="453"/>
      <c r="D119" s="453"/>
      <c r="E119" s="453"/>
      <c r="F119" s="453"/>
      <c r="G119" s="453"/>
      <c r="H119" s="84" t="s">
        <v>394</v>
      </c>
      <c r="I119" s="156"/>
      <c r="N119" s="481"/>
      <c r="O119" s="481"/>
      <c r="P119" s="481"/>
      <c r="Q119" s="481"/>
      <c r="R119" s="481"/>
      <c r="S119" s="481"/>
      <c r="T119" s="481"/>
      <c r="U119" s="481"/>
    </row>
    <row r="120" spans="1:21" x14ac:dyDescent="0.25">
      <c r="A120" s="453" t="s">
        <v>95</v>
      </c>
      <c r="B120" s="453"/>
      <c r="C120" s="453"/>
      <c r="D120" s="453"/>
      <c r="E120" s="453"/>
      <c r="F120" s="453"/>
      <c r="G120" s="453"/>
      <c r="H120" s="73">
        <f>IF(E29=0,"",IF((E14+E16+SUM(E18:E24))/E29&gt;0.75,1,""))</f>
        <v>1</v>
      </c>
      <c r="I120" s="125">
        <f>U114</f>
        <v>194080</v>
      </c>
      <c r="N120" s="476" t="s">
        <v>7</v>
      </c>
      <c r="O120" s="476"/>
      <c r="P120" s="476"/>
      <c r="Q120" s="476"/>
      <c r="R120" s="476"/>
      <c r="S120" s="476"/>
      <c r="T120" s="476"/>
      <c r="U120" s="476"/>
    </row>
    <row r="121" spans="1:21" x14ac:dyDescent="0.25">
      <c r="B121" s="72"/>
      <c r="C121" s="72"/>
      <c r="D121" s="72"/>
      <c r="E121" s="72"/>
      <c r="F121" s="72"/>
      <c r="G121" s="72"/>
      <c r="H121" s="68"/>
      <c r="I121" s="104"/>
      <c r="N121" s="74" t="s">
        <v>106</v>
      </c>
      <c r="O121" s="74"/>
      <c r="P121" s="74"/>
      <c r="Q121" s="74"/>
      <c r="R121" s="74"/>
      <c r="S121" s="74"/>
      <c r="T121" s="74"/>
      <c r="U121" s="74"/>
    </row>
    <row r="122" spans="1:21" x14ac:dyDescent="0.25">
      <c r="A122" s="3" t="s">
        <v>102</v>
      </c>
      <c r="B122" s="72"/>
      <c r="C122" s="72"/>
      <c r="D122" s="72"/>
      <c r="E122" s="72"/>
      <c r="F122" s="72"/>
      <c r="G122" s="286"/>
      <c r="H122" s="161">
        <f>IF(H120=1,I120,I117)</f>
        <v>194080</v>
      </c>
      <c r="I122" s="97">
        <f>ROUND(IF(E29=0,0,IF(E29&gt;250,-(((250/E29)*H122)*IF(G122="H",0.02,0.05)),IF(G122="H",-0.02*H122,-0.05*H122))),2)</f>
        <v>-9704</v>
      </c>
      <c r="N122" s="75" t="s">
        <v>107</v>
      </c>
      <c r="O122" s="74"/>
      <c r="P122" s="74"/>
      <c r="Q122" s="74"/>
      <c r="R122" s="74"/>
      <c r="S122" s="74"/>
      <c r="T122" s="74"/>
      <c r="U122" s="74"/>
    </row>
    <row r="123" spans="1:21" x14ac:dyDescent="0.25">
      <c r="B123" s="72"/>
      <c r="C123" s="72"/>
      <c r="D123" s="72"/>
      <c r="E123" s="72"/>
      <c r="F123" s="72"/>
      <c r="G123" s="72"/>
      <c r="H123" s="68"/>
      <c r="I123" s="104"/>
      <c r="N123" s="76"/>
      <c r="O123" s="76"/>
      <c r="P123" s="76"/>
      <c r="Q123" s="76"/>
      <c r="R123" s="76"/>
      <c r="S123" s="76"/>
      <c r="T123" s="76"/>
      <c r="U123" s="76"/>
    </row>
    <row r="124" spans="1:21" x14ac:dyDescent="0.25">
      <c r="A124" s="345" t="s">
        <v>103</v>
      </c>
      <c r="B124" s="346"/>
      <c r="C124" s="346"/>
      <c r="D124" s="346"/>
      <c r="E124" s="346"/>
      <c r="F124" s="346"/>
      <c r="G124" s="346"/>
      <c r="H124" s="347"/>
      <c r="I124" s="348">
        <f>I115+I122</f>
        <v>861997.8899999999</v>
      </c>
      <c r="N124" s="76"/>
      <c r="O124" s="76"/>
      <c r="P124" s="76"/>
      <c r="Q124" s="76"/>
      <c r="R124" s="76"/>
      <c r="S124" s="76"/>
      <c r="T124" s="76"/>
      <c r="U124" s="76"/>
    </row>
    <row r="125" spans="1:21" x14ac:dyDescent="0.25">
      <c r="B125" s="72"/>
      <c r="C125" s="72"/>
      <c r="D125" s="72"/>
      <c r="E125" s="72"/>
      <c r="F125" s="72"/>
      <c r="G125" s="72"/>
      <c r="H125" s="68"/>
      <c r="I125" s="104"/>
      <c r="N125" s="76"/>
      <c r="O125" s="76"/>
      <c r="P125" s="76"/>
      <c r="Q125" s="76"/>
      <c r="R125" s="76"/>
      <c r="S125" s="76"/>
      <c r="T125" s="76"/>
      <c r="U125" s="76"/>
    </row>
    <row r="126" spans="1:21" x14ac:dyDescent="0.25">
      <c r="A126" s="3" t="s">
        <v>104</v>
      </c>
      <c r="B126" s="72"/>
      <c r="C126" s="162"/>
      <c r="D126" s="72"/>
      <c r="F126" s="72"/>
      <c r="G126" s="72"/>
      <c r="H126" s="68"/>
      <c r="I126" s="302">
        <v>-674524.74</v>
      </c>
      <c r="N126" s="76"/>
      <c r="O126" s="76"/>
      <c r="P126" s="76"/>
      <c r="Q126" s="76"/>
      <c r="R126" s="76"/>
      <c r="S126" s="76"/>
      <c r="T126" s="76"/>
      <c r="U126" s="76"/>
    </row>
    <row r="127" spans="1:21" x14ac:dyDescent="0.25">
      <c r="B127" s="72"/>
      <c r="C127" s="72"/>
      <c r="D127" s="72"/>
      <c r="E127" s="72"/>
      <c r="F127" s="72"/>
      <c r="G127" s="72"/>
      <c r="H127" s="68"/>
      <c r="I127" s="104"/>
      <c r="N127" s="76"/>
      <c r="O127" s="76"/>
      <c r="P127" s="76"/>
      <c r="Q127" s="76"/>
      <c r="R127" s="76"/>
      <c r="S127" s="76"/>
      <c r="T127" s="76"/>
      <c r="U127" s="76"/>
    </row>
    <row r="128" spans="1:21" x14ac:dyDescent="0.25">
      <c r="A128" s="84" t="s">
        <v>297</v>
      </c>
      <c r="B128" s="72"/>
      <c r="C128" s="72"/>
      <c r="D128" s="72"/>
      <c r="E128" s="72"/>
      <c r="F128" s="72"/>
      <c r="G128" s="72"/>
      <c r="H128" s="68"/>
      <c r="I128" s="104">
        <f>I124+I126</f>
        <v>187473.14999999991</v>
      </c>
      <c r="N128" s="76"/>
      <c r="O128" s="76"/>
      <c r="P128" s="76"/>
      <c r="Q128" s="76"/>
      <c r="R128" s="76"/>
      <c r="S128" s="76"/>
      <c r="T128" s="76"/>
      <c r="U128" s="76"/>
    </row>
    <row r="129" spans="1:21" x14ac:dyDescent="0.25">
      <c r="A129" s="84"/>
      <c r="B129" s="72"/>
      <c r="C129" s="72"/>
      <c r="D129" s="72"/>
      <c r="E129" s="72"/>
      <c r="F129" s="72"/>
      <c r="G129" s="72"/>
      <c r="H129" s="68"/>
      <c r="I129" s="104"/>
      <c r="N129" s="76"/>
      <c r="O129" s="76"/>
      <c r="P129" s="76"/>
      <c r="Q129" s="76"/>
      <c r="R129" s="76"/>
      <c r="S129" s="76"/>
      <c r="T129" s="76"/>
      <c r="U129" s="76"/>
    </row>
    <row r="130" spans="1:21" x14ac:dyDescent="0.25">
      <c r="A130" s="84" t="s">
        <v>298</v>
      </c>
      <c r="B130" s="72"/>
      <c r="C130" s="72"/>
      <c r="D130" s="72"/>
      <c r="E130" s="72"/>
      <c r="F130" s="72"/>
      <c r="G130" s="72"/>
      <c r="H130" s="68"/>
      <c r="I130" s="303">
        <f>'0664'!I130</f>
        <v>3</v>
      </c>
      <c r="N130" s="76"/>
      <c r="O130" s="76"/>
      <c r="P130" s="76"/>
      <c r="Q130" s="76"/>
      <c r="R130" s="76"/>
      <c r="S130" s="76"/>
      <c r="T130" s="76"/>
      <c r="U130" s="76"/>
    </row>
    <row r="131" spans="1:21" x14ac:dyDescent="0.25">
      <c r="B131" s="72"/>
      <c r="C131" s="72"/>
      <c r="D131" s="72"/>
      <c r="E131" s="72"/>
      <c r="F131" s="72"/>
      <c r="G131" s="72"/>
      <c r="H131" s="68"/>
      <c r="I131" s="104"/>
      <c r="N131" s="76"/>
      <c r="O131" s="76"/>
      <c r="P131" s="76"/>
      <c r="Q131" s="76"/>
      <c r="R131" s="76"/>
      <c r="S131" s="76"/>
      <c r="T131" s="76"/>
      <c r="U131" s="76"/>
    </row>
    <row r="132" spans="1:21" ht="16.5" thickBot="1" x14ac:dyDescent="0.3">
      <c r="A132" s="3" t="s">
        <v>105</v>
      </c>
      <c r="B132" s="72"/>
      <c r="C132" s="72"/>
      <c r="D132" s="72"/>
      <c r="E132" s="72"/>
      <c r="F132" s="72"/>
      <c r="G132" s="72"/>
      <c r="H132" s="68"/>
      <c r="I132" s="178">
        <f>ROUND(I128/I130,2)</f>
        <v>62491.05</v>
      </c>
      <c r="N132" s="76"/>
      <c r="O132" s="76"/>
      <c r="P132" s="76"/>
      <c r="Q132" s="76"/>
      <c r="R132" s="76"/>
      <c r="S132" s="76"/>
      <c r="T132" s="76"/>
      <c r="U132" s="76"/>
    </row>
    <row r="133" spans="1:21" ht="16.5" thickTop="1" x14ac:dyDescent="0.25">
      <c r="B133" s="72"/>
      <c r="C133" s="72"/>
      <c r="D133" s="72"/>
      <c r="E133" s="72"/>
      <c r="F133" s="72"/>
      <c r="G133" s="72"/>
      <c r="H133" s="68"/>
      <c r="I133" s="104"/>
      <c r="N133" s="76"/>
      <c r="O133" s="76"/>
      <c r="P133" s="76"/>
      <c r="Q133" s="76"/>
      <c r="R133" s="76"/>
      <c r="S133" s="76"/>
      <c r="T133" s="76"/>
      <c r="U133" s="76"/>
    </row>
    <row r="134" spans="1:21" ht="16.5" thickBot="1" x14ac:dyDescent="0.3">
      <c r="A134" s="3" t="s">
        <v>121</v>
      </c>
      <c r="B134" s="72"/>
      <c r="C134" s="72"/>
      <c r="D134" s="72"/>
      <c r="E134" s="72"/>
      <c r="F134" s="72"/>
      <c r="G134" s="72"/>
      <c r="H134" s="68"/>
      <c r="I134" s="155">
        <f>ROUND(IF(G122="H",(H122*0.02)+I122,(H122*0.05)+I122),2)</f>
        <v>0</v>
      </c>
      <c r="N134" s="76"/>
      <c r="O134" s="76"/>
      <c r="P134" s="76"/>
      <c r="Q134" s="76"/>
      <c r="R134" s="76"/>
      <c r="S134" s="76"/>
      <c r="T134" s="76"/>
      <c r="U134" s="76"/>
    </row>
    <row r="135" spans="1:21" ht="16.5" thickTop="1" x14ac:dyDescent="0.25">
      <c r="B135" s="72"/>
      <c r="C135" s="72"/>
      <c r="D135" s="72"/>
      <c r="E135" s="72"/>
      <c r="F135" s="72"/>
      <c r="G135" s="72"/>
      <c r="H135" s="68"/>
      <c r="I135" s="156"/>
      <c r="N135" s="76"/>
      <c r="O135" s="76"/>
      <c r="P135" s="76"/>
      <c r="Q135" s="76"/>
      <c r="R135" s="76"/>
      <c r="S135" s="76"/>
      <c r="T135" s="76"/>
      <c r="U135" s="76"/>
    </row>
    <row r="136" spans="1:21" x14ac:dyDescent="0.25">
      <c r="B136" s="72"/>
      <c r="C136" s="72"/>
      <c r="D136" s="72"/>
      <c r="E136" s="72"/>
      <c r="F136" s="72"/>
      <c r="G136" s="72"/>
      <c r="H136" s="68"/>
      <c r="I136" s="104"/>
      <c r="N136" s="76"/>
      <c r="O136" s="76"/>
      <c r="P136" s="76"/>
      <c r="Q136" s="76"/>
      <c r="R136" s="76"/>
      <c r="S136" s="76"/>
      <c r="T136" s="76"/>
      <c r="U136" s="76"/>
    </row>
    <row r="137" spans="1:21" x14ac:dyDescent="0.25">
      <c r="B137" s="72"/>
      <c r="C137" s="72"/>
      <c r="D137" s="72"/>
      <c r="E137" s="72"/>
      <c r="F137" s="72"/>
      <c r="G137" s="72"/>
      <c r="H137" s="68"/>
      <c r="I137" s="156"/>
      <c r="N137" s="76"/>
      <c r="O137" s="76"/>
      <c r="P137" s="76"/>
      <c r="Q137" s="76"/>
      <c r="R137" s="76"/>
      <c r="S137" s="76"/>
      <c r="T137" s="76"/>
      <c r="U137" s="76"/>
    </row>
    <row r="138" spans="1:21" x14ac:dyDescent="0.25">
      <c r="A138" s="281" t="s">
        <v>7</v>
      </c>
      <c r="B138" s="281"/>
      <c r="C138" s="281"/>
      <c r="D138" s="281"/>
      <c r="E138" s="281"/>
      <c r="F138" s="281"/>
      <c r="G138" s="281"/>
      <c r="H138" s="281"/>
      <c r="I138" s="281"/>
      <c r="J138" s="156"/>
      <c r="N138" s="76"/>
      <c r="O138" s="76"/>
      <c r="P138" s="76"/>
      <c r="Q138" s="76"/>
      <c r="R138" s="76"/>
      <c r="S138" s="76"/>
      <c r="T138" s="76"/>
      <c r="U138" s="76"/>
    </row>
    <row r="139" spans="1:21" ht="15.75" customHeight="1" x14ac:dyDescent="0.25">
      <c r="A139" s="384" t="str">
        <f>'0664'!A139</f>
        <v>(a) Additional FTE includes FTE earned through Advanced Placement, International Baccalaureate, Advanced International Certificate of Education, Industry Certified Career</v>
      </c>
      <c r="B139" s="385"/>
      <c r="C139" s="385"/>
      <c r="D139" s="385"/>
      <c r="E139" s="385"/>
      <c r="F139" s="385"/>
      <c r="G139" s="385"/>
      <c r="H139" s="385"/>
      <c r="I139" s="385"/>
      <c r="J139" s="80"/>
      <c r="K139" s="79"/>
      <c r="L139" s="79"/>
      <c r="M139" s="79"/>
      <c r="N139" s="477"/>
      <c r="O139" s="477"/>
      <c r="P139" s="477"/>
      <c r="Q139" s="477"/>
      <c r="R139" s="477"/>
      <c r="S139" s="477"/>
      <c r="T139" s="477"/>
      <c r="U139" s="477"/>
    </row>
    <row r="140" spans="1:21" ht="15.75" customHeight="1" x14ac:dyDescent="0.25">
      <c r="A140" s="390" t="str">
        <f>'0664'!A140</f>
        <v xml:space="preserve">Education (CAPE), Early High School Graduation and the small district ESE Supplement, pursuant to s. 1011.62(1)(l-p), F.S. </v>
      </c>
      <c r="B140" s="385"/>
      <c r="C140" s="385"/>
      <c r="D140" s="385"/>
      <c r="E140" s="385"/>
      <c r="F140" s="385"/>
      <c r="G140" s="385"/>
      <c r="H140" s="385"/>
      <c r="I140" s="385"/>
      <c r="J140" s="80"/>
      <c r="K140" s="79"/>
      <c r="L140" s="79"/>
      <c r="M140" s="79"/>
      <c r="N140" s="76"/>
      <c r="O140" s="76"/>
      <c r="P140" s="76"/>
      <c r="Q140" s="76"/>
      <c r="R140" s="76"/>
      <c r="S140" s="76"/>
      <c r="T140" s="76"/>
      <c r="U140" s="76"/>
    </row>
    <row r="141" spans="1:21" x14ac:dyDescent="0.25">
      <c r="A141" s="384" t="str">
        <f>'0664'!A141</f>
        <v>(b) District allocations multiplied by percentage from item 3A.</v>
      </c>
      <c r="B141" s="386"/>
      <c r="C141" s="386"/>
      <c r="D141" s="386"/>
      <c r="E141" s="386"/>
      <c r="F141" s="386"/>
      <c r="G141" s="386"/>
      <c r="H141" s="386"/>
      <c r="I141" s="386"/>
      <c r="J141" s="79"/>
      <c r="K141" s="79"/>
      <c r="L141" s="79"/>
      <c r="M141" s="79"/>
      <c r="N141" s="81"/>
      <c r="O141" s="82"/>
      <c r="P141" s="82"/>
      <c r="Q141" s="82"/>
      <c r="R141" s="82"/>
      <c r="S141" s="82"/>
      <c r="T141" s="82"/>
      <c r="U141" s="82"/>
    </row>
    <row r="142" spans="1:21" s="79" customFormat="1" x14ac:dyDescent="0.2">
      <c r="A142" s="384" t="str">
        <f>'0664'!A142</f>
        <v>(c) District allocations multiplied by percentage from item 3B.</v>
      </c>
      <c r="B142" s="386"/>
      <c r="C142" s="386"/>
      <c r="D142" s="386"/>
      <c r="E142" s="386"/>
      <c r="F142" s="386"/>
      <c r="G142" s="386"/>
      <c r="H142" s="386"/>
      <c r="I142" s="386"/>
      <c r="N142" s="81"/>
    </row>
    <row r="143" spans="1:21" s="79" customFormat="1" ht="15.75" customHeight="1" x14ac:dyDescent="0.2">
      <c r="A143" s="384" t="str">
        <f>'0664'!A143</f>
        <v>(d) The Digital Classroom Allocation is provided pursuant to s. 1011.62(12), F.S.</v>
      </c>
      <c r="B143" s="386"/>
      <c r="C143" s="386"/>
      <c r="D143" s="386"/>
      <c r="E143" s="386"/>
      <c r="F143" s="386"/>
      <c r="G143" s="386"/>
      <c r="H143" s="386"/>
      <c r="I143" s="386"/>
      <c r="N143" s="81"/>
    </row>
    <row r="144" spans="1:21" s="79" customFormat="1" ht="15.75" customHeight="1" x14ac:dyDescent="0.2">
      <c r="A144" s="384" t="str">
        <f>'0664'!A144</f>
        <v>(e) School districts are required to pay for instructional materials used for the instruction of public high school students who are earning credit toward high school</v>
      </c>
      <c r="B144" s="386"/>
      <c r="C144" s="386"/>
      <c r="D144" s="386"/>
      <c r="E144" s="386"/>
      <c r="F144" s="386"/>
      <c r="G144" s="386"/>
      <c r="H144" s="386"/>
      <c r="I144" s="386"/>
      <c r="N144" s="81"/>
    </row>
    <row r="145" spans="1:14" s="79" customFormat="1" ht="15.75" customHeight="1" x14ac:dyDescent="0.2">
      <c r="A145" s="390" t="str">
        <f>'0664'!A145</f>
        <v xml:space="preserve">graduation under the dual enrollment program as provided in s. 1011.62(l)(i), F.S.  </v>
      </c>
      <c r="B145" s="386"/>
      <c r="C145" s="386"/>
      <c r="D145" s="386"/>
      <c r="E145" s="386"/>
      <c r="F145" s="386"/>
      <c r="G145" s="386"/>
      <c r="H145" s="386"/>
      <c r="I145" s="386"/>
      <c r="N145" s="81"/>
    </row>
    <row r="146" spans="1:14" s="79" customFormat="1" x14ac:dyDescent="0.2">
      <c r="A146" s="384" t="str">
        <f>'0664'!A146</f>
        <v>(f) This allocation will be frozen as of the 2021-22 FEFP Second Calculation and will not be recalculated throughout the year. Charter school allocations should be</v>
      </c>
      <c r="B146" s="386"/>
      <c r="C146" s="386"/>
      <c r="D146" s="386"/>
      <c r="E146" s="386"/>
      <c r="F146" s="386"/>
      <c r="G146" s="386"/>
      <c r="H146" s="386"/>
      <c r="I146" s="386"/>
      <c r="N146" s="81"/>
    </row>
    <row r="147" spans="1:14" s="79" customFormat="1" x14ac:dyDescent="0.2">
      <c r="A147" s="390" t="str">
        <f>'0664'!A147</f>
        <v xml:space="preserve">distributed on weighted FTE (or base funding as is done in the FEFP) and should not be recalculated with fluctuations in student enrollment later in the year. </v>
      </c>
      <c r="B147" s="386"/>
      <c r="C147" s="386"/>
      <c r="D147" s="386"/>
      <c r="E147" s="386"/>
      <c r="F147" s="386"/>
      <c r="G147" s="386"/>
      <c r="H147" s="386"/>
      <c r="I147" s="386"/>
      <c r="N147" s="81"/>
    </row>
    <row r="148" spans="1:14" s="79" customFormat="1" x14ac:dyDescent="0.2">
      <c r="A148" s="384" t="str">
        <f>'0664'!A148</f>
        <v>(g) Numbers entered here will be multiplied by the district level transportation funding per rider. "All Adjusted Fundable Riders" should include both basic and ESE Riders.</v>
      </c>
      <c r="B148" s="386"/>
      <c r="C148" s="386"/>
      <c r="D148" s="386"/>
      <c r="E148" s="386"/>
      <c r="F148" s="386"/>
      <c r="G148" s="386"/>
      <c r="H148" s="386"/>
      <c r="I148" s="386"/>
      <c r="N148" s="81"/>
    </row>
    <row r="149" spans="1:14" s="79" customFormat="1" x14ac:dyDescent="0.2">
      <c r="A149" s="390" t="str">
        <f>'0664'!A149</f>
        <v>"All Adjusted ESE Riders" should include only ESE Riders.</v>
      </c>
      <c r="B149" s="386"/>
      <c r="C149" s="386"/>
      <c r="D149" s="386"/>
      <c r="E149" s="386"/>
      <c r="F149" s="386"/>
      <c r="G149" s="386"/>
      <c r="H149" s="386"/>
      <c r="I149" s="386"/>
      <c r="N149" s="81"/>
    </row>
    <row r="150" spans="1:14" s="79" customFormat="1" x14ac:dyDescent="0.2">
      <c r="A150" s="384" t="str">
        <f>'0664'!A150</f>
        <v xml:space="preserve">(h) The Federally Connected Student Supplement provides additional funding for students on federal lands that receive Section 8003 impact aide pursuant to s. 1011.62(13), F.S. </v>
      </c>
      <c r="B150" s="386"/>
      <c r="C150" s="386"/>
      <c r="D150" s="386"/>
      <c r="E150" s="386"/>
      <c r="F150" s="386"/>
      <c r="G150" s="386"/>
      <c r="H150" s="386"/>
      <c r="I150" s="386"/>
      <c r="N150" s="81"/>
    </row>
    <row r="151" spans="1:14" s="79" customFormat="1" x14ac:dyDescent="0.2">
      <c r="A151" s="384" t="str">
        <f>'0664'!A151</f>
        <v>(i) Teacher Classroom Supply Assistance Program allocation pursuant to s. 1012.71, F.S., for certified teachers employed by a public school district or public charter school</v>
      </c>
      <c r="B151" s="386"/>
      <c r="C151" s="386"/>
      <c r="D151" s="386"/>
      <c r="E151" s="386"/>
      <c r="F151" s="386"/>
      <c r="G151" s="386"/>
      <c r="H151" s="386"/>
      <c r="I151" s="386"/>
      <c r="N151" s="81"/>
    </row>
    <row r="152" spans="1:14" s="79" customFormat="1" x14ac:dyDescent="0.2">
      <c r="A152" s="390" t="str">
        <f>'0664'!A152</f>
        <v xml:space="preserve">before September 1 of each year whose full-time or job-share responsibility is the classroom instruction of students in prekindergarten through grade 12, including </v>
      </c>
      <c r="B152" s="386"/>
      <c r="C152" s="386"/>
      <c r="D152" s="386"/>
      <c r="E152" s="386"/>
      <c r="F152" s="386"/>
      <c r="G152" s="386"/>
      <c r="H152" s="386"/>
      <c r="I152" s="386"/>
      <c r="N152" s="81"/>
    </row>
    <row r="153" spans="1:14" s="79" customFormat="1" ht="15.75" customHeight="1" x14ac:dyDescent="0.2">
      <c r="A153" s="390" t="str">
        <f>'0664'!A153</f>
        <v>full-time media specialists and certified school counselors serving students in prekindergarten through grade 12, who are funded through the FEFP.</v>
      </c>
      <c r="B153" s="386"/>
      <c r="C153" s="386"/>
      <c r="D153" s="386"/>
      <c r="E153" s="386"/>
      <c r="F153" s="386"/>
      <c r="G153" s="386"/>
      <c r="H153" s="386"/>
      <c r="I153" s="386"/>
      <c r="N153" s="81"/>
    </row>
    <row r="154" spans="1:14" s="79" customFormat="1" ht="15.75" customHeight="1" x14ac:dyDescent="0.2">
      <c r="A154" s="384" t="str">
        <f>'0664'!A154</f>
        <v xml:space="preserve">(j) Funding based on student eligibility and meals provided, if participating in the National School Lunch Program. </v>
      </c>
      <c r="B154" s="386"/>
      <c r="C154" s="386"/>
      <c r="D154" s="386"/>
      <c r="E154" s="386"/>
      <c r="F154" s="386"/>
      <c r="G154" s="386"/>
      <c r="H154" s="386"/>
      <c r="I154" s="386"/>
      <c r="N154" s="81"/>
    </row>
    <row r="155" spans="1:14" s="79" customFormat="1" ht="15.75" customHeight="1" x14ac:dyDescent="0.2">
      <c r="A155" s="384" t="str">
        <f>'0664'!A155</f>
        <v>(k) Consistent with s. 1002.33(20)(a), F.S., for charter schools with a population of 75% or more ESE students, the administrative fee shall be calculated based on</v>
      </c>
      <c r="B155" s="386"/>
      <c r="C155" s="386"/>
      <c r="D155" s="386"/>
      <c r="E155" s="386"/>
      <c r="F155" s="386"/>
      <c r="G155" s="386"/>
      <c r="H155" s="386"/>
      <c r="I155" s="386"/>
      <c r="N155" s="81"/>
    </row>
    <row r="156" spans="1:14" s="79" customFormat="1" ht="15.75" customHeight="1" x14ac:dyDescent="0.2">
      <c r="A156" s="390" t="str">
        <f>'0664'!A156</f>
        <v xml:space="preserve">unweighted full-time equivalent students. </v>
      </c>
      <c r="B156" s="386"/>
      <c r="C156" s="386"/>
      <c r="D156" s="386"/>
      <c r="E156" s="386"/>
      <c r="F156" s="386"/>
      <c r="G156" s="386"/>
      <c r="H156" s="386"/>
      <c r="I156" s="386"/>
      <c r="N156" s="81"/>
    </row>
    <row r="157" spans="1:14" s="79" customFormat="1" ht="15.75" customHeight="1" x14ac:dyDescent="0.2">
      <c r="A157" s="384"/>
      <c r="B157" s="386"/>
      <c r="C157" s="386"/>
      <c r="D157" s="386"/>
      <c r="E157" s="386"/>
      <c r="F157" s="386"/>
      <c r="G157" s="386"/>
      <c r="H157" s="386"/>
      <c r="I157" s="386"/>
      <c r="N157" s="81"/>
    </row>
    <row r="158" spans="1:14" s="79" customFormat="1" ht="15.75" customHeight="1" x14ac:dyDescent="0.25">
      <c r="A158" s="397" t="str">
        <f>'0664'!A158</f>
        <v>Administrative fees:</v>
      </c>
      <c r="B158" s="386"/>
      <c r="C158" s="386"/>
      <c r="D158" s="386"/>
      <c r="E158" s="386"/>
      <c r="F158" s="386"/>
      <c r="G158" s="386"/>
      <c r="H158" s="386"/>
      <c r="I158" s="386"/>
      <c r="J158" s="3"/>
      <c r="K158" s="3"/>
      <c r="L158" s="3"/>
      <c r="M158" s="3"/>
      <c r="N158" s="81"/>
    </row>
    <row r="159" spans="1:14" s="79" customFormat="1" ht="15.75" customHeight="1" x14ac:dyDescent="0.25">
      <c r="A159" s="401" t="str">
        <f>'0664'!A159</f>
        <v xml:space="preserve">Administrative fees charged by the school district pursuant to s. 1002.33(20)(a), F.S., shall be calculated based upon 5% of available funds from the FEFP and categorical </v>
      </c>
      <c r="B159" s="389"/>
      <c r="C159" s="389"/>
      <c r="D159" s="389"/>
      <c r="E159" s="389"/>
      <c r="F159" s="389"/>
      <c r="G159" s="389"/>
      <c r="H159" s="389"/>
      <c r="I159" s="389"/>
      <c r="J159" s="3"/>
      <c r="K159" s="3"/>
      <c r="L159" s="3"/>
      <c r="M159" s="3"/>
      <c r="N159" s="81"/>
    </row>
    <row r="160" spans="1:14" s="79" customFormat="1" ht="15.75" customHeight="1" x14ac:dyDescent="0.25">
      <c r="A160" s="402" t="str">
        <f>'0664'!A160</f>
        <v>funding for which charter students may be eligible.  To calculate the administrative fee to be withheld for schools with more than 250 students, divide the school</v>
      </c>
      <c r="B160" s="396"/>
      <c r="C160" s="396"/>
      <c r="D160" s="396"/>
      <c r="E160" s="396"/>
      <c r="F160" s="396"/>
      <c r="G160" s="396"/>
      <c r="H160" s="396"/>
      <c r="I160" s="396"/>
      <c r="J160" s="3"/>
      <c r="K160" s="3"/>
      <c r="L160" s="3"/>
      <c r="M160" s="3"/>
      <c r="N160" s="81"/>
    </row>
    <row r="161" spans="1:21" s="79" customFormat="1" ht="15.75" customHeight="1" x14ac:dyDescent="0.25">
      <c r="A161" s="402" t="str">
        <f>'0664'!A161</f>
        <v xml:space="preserve">population into 250. Multiply that fraction times the funds available, then times 5%.  </v>
      </c>
      <c r="B161" s="396"/>
      <c r="C161" s="396"/>
      <c r="D161" s="396"/>
      <c r="E161" s="396"/>
      <c r="F161" s="396"/>
      <c r="G161" s="396"/>
      <c r="H161" s="396"/>
      <c r="I161" s="396"/>
      <c r="J161" s="3"/>
      <c r="K161" s="3"/>
      <c r="L161" s="3"/>
      <c r="M161" s="3"/>
      <c r="N161" s="81"/>
    </row>
    <row r="162" spans="1:21" s="79" customFormat="1" ht="15.75" customHeight="1" x14ac:dyDescent="0.25">
      <c r="A162" s="401"/>
      <c r="B162" s="396"/>
      <c r="C162" s="396"/>
      <c r="D162" s="396"/>
      <c r="E162" s="396"/>
      <c r="F162" s="396"/>
      <c r="G162" s="396"/>
      <c r="H162" s="396"/>
      <c r="I162" s="396"/>
      <c r="N162" s="77"/>
      <c r="O162" s="3"/>
      <c r="P162" s="3"/>
      <c r="Q162" s="3"/>
      <c r="R162" s="3"/>
      <c r="S162" s="3"/>
      <c r="T162" s="3"/>
      <c r="U162" s="3"/>
    </row>
    <row r="163" spans="1:21" ht="15.75" customHeight="1" x14ac:dyDescent="0.25">
      <c r="A163" s="401" t="str">
        <f>'0664'!A163</f>
        <v xml:space="preserve">For high performing charter schools, administrative fees charged by the school district shall be calculated based upon 2% of available funds from the FEFP and categorical </v>
      </c>
      <c r="B163" s="389"/>
      <c r="C163" s="389"/>
      <c r="D163" s="389"/>
      <c r="E163" s="389"/>
      <c r="F163" s="389"/>
      <c r="G163" s="389"/>
      <c r="H163" s="389"/>
      <c r="I163" s="389"/>
      <c r="J163" s="79"/>
      <c r="K163" s="79"/>
      <c r="L163" s="79"/>
      <c r="M163" s="79"/>
      <c r="N163" s="81"/>
      <c r="O163" s="79"/>
      <c r="P163" s="79"/>
      <c r="Q163" s="79"/>
      <c r="R163" s="79"/>
      <c r="S163" s="79"/>
      <c r="T163" s="79"/>
      <c r="U163" s="79"/>
    </row>
    <row r="164" spans="1:21" ht="15.75" customHeight="1" x14ac:dyDescent="0.25">
      <c r="A164" s="402" t="str">
        <f>'0664'!A164</f>
        <v>funding for which charter students may be eligible.  To calculate the administrative fee to be withheld for schools with more than 250 students, divide the school</v>
      </c>
      <c r="B164" s="389"/>
      <c r="C164" s="389"/>
      <c r="D164" s="389"/>
      <c r="E164" s="389"/>
      <c r="F164" s="389"/>
      <c r="G164" s="389"/>
      <c r="H164" s="389"/>
      <c r="I164" s="389"/>
      <c r="J164" s="79"/>
      <c r="K164" s="79"/>
      <c r="L164" s="79"/>
      <c r="M164" s="79"/>
      <c r="N164" s="81"/>
      <c r="O164" s="79"/>
      <c r="P164" s="79"/>
      <c r="Q164" s="79"/>
      <c r="R164" s="79"/>
      <c r="S164" s="79"/>
      <c r="T164" s="79"/>
      <c r="U164" s="79"/>
    </row>
    <row r="165" spans="1:21" s="79" customFormat="1" ht="15.75" customHeight="1" x14ac:dyDescent="0.2">
      <c r="A165" s="402" t="str">
        <f>'0664'!A165</f>
        <v xml:space="preserve">population into 250. Multiply that fraction times the funds available, then times 2%.  </v>
      </c>
      <c r="B165" s="389"/>
      <c r="C165" s="389"/>
      <c r="D165" s="389"/>
      <c r="E165" s="389"/>
      <c r="F165" s="389"/>
      <c r="G165" s="389"/>
      <c r="H165" s="389"/>
      <c r="I165" s="389"/>
      <c r="N165" s="81"/>
    </row>
    <row r="166" spans="1:21" x14ac:dyDescent="0.25">
      <c r="A166" s="384"/>
      <c r="B166" s="389"/>
      <c r="C166" s="389"/>
      <c r="D166" s="389"/>
      <c r="E166" s="389"/>
      <c r="F166" s="389"/>
      <c r="G166" s="389"/>
      <c r="H166" s="389"/>
      <c r="I166" s="389"/>
      <c r="N166" s="77"/>
    </row>
    <row r="167" spans="1:21" x14ac:dyDescent="0.25">
      <c r="A167" s="397" t="str">
        <f>'0664'!A167</f>
        <v>Other:</v>
      </c>
      <c r="B167" s="395"/>
      <c r="C167" s="395"/>
      <c r="D167" s="395"/>
      <c r="E167" s="395"/>
      <c r="F167" s="395"/>
      <c r="G167" s="395"/>
      <c r="H167" s="395"/>
      <c r="I167" s="395"/>
      <c r="N167" s="77"/>
    </row>
    <row r="168" spans="1:21" x14ac:dyDescent="0.25">
      <c r="A168" s="401" t="str">
        <f>'0664'!A168</f>
        <v>FEFP and categorical funding are recalculated during the year to reflect the revised number of full-time equivalent students reported during the survey periods designated</v>
      </c>
      <c r="B168" s="389"/>
      <c r="C168" s="389"/>
      <c r="D168" s="389"/>
      <c r="E168" s="389"/>
      <c r="F168" s="389"/>
      <c r="G168" s="389"/>
      <c r="H168" s="389"/>
      <c r="I168" s="389"/>
      <c r="N168" s="77"/>
    </row>
    <row r="169" spans="1:21" x14ac:dyDescent="0.25">
      <c r="A169" s="402" t="str">
        <f>'0664'!A169</f>
        <v>by the Commissioner of Education.</v>
      </c>
      <c r="B169" s="396"/>
      <c r="C169" s="396"/>
      <c r="D169" s="396"/>
      <c r="E169" s="396"/>
      <c r="F169" s="396"/>
      <c r="G169" s="396"/>
      <c r="H169" s="396"/>
      <c r="I169" s="396"/>
      <c r="N169" s="77"/>
    </row>
    <row r="170" spans="1:21" x14ac:dyDescent="0.25">
      <c r="A170" s="401" t="str">
        <f>'0664'!A170</f>
        <v>Revenues flow to districts from state sources and from county tax collectors on various distribution schedules.</v>
      </c>
      <c r="B170" s="389"/>
      <c r="C170" s="389"/>
      <c r="D170" s="389"/>
      <c r="E170" s="389"/>
      <c r="F170" s="389"/>
      <c r="G170" s="389"/>
      <c r="H170" s="389"/>
      <c r="I170" s="389"/>
      <c r="N170" s="77"/>
    </row>
    <row r="171" spans="1:21" x14ac:dyDescent="0.25">
      <c r="A171" s="328"/>
      <c r="B171" s="328"/>
      <c r="C171" s="328"/>
      <c r="D171" s="328"/>
      <c r="E171" s="328"/>
      <c r="F171" s="328"/>
      <c r="G171" s="328"/>
      <c r="H171" s="328"/>
      <c r="I171" s="328"/>
      <c r="N171" s="77"/>
    </row>
    <row r="172" spans="1:21" x14ac:dyDescent="0.25">
      <c r="A172" s="77"/>
      <c r="N172" s="77"/>
    </row>
    <row r="173" spans="1:21" x14ac:dyDescent="0.25">
      <c r="A173" s="77"/>
      <c r="N173" s="77"/>
    </row>
    <row r="174" spans="1:21" x14ac:dyDescent="0.25">
      <c r="A174" s="77"/>
      <c r="N174" s="77"/>
    </row>
    <row r="175" spans="1:21" x14ac:dyDescent="0.25">
      <c r="A175" s="77"/>
      <c r="B175" s="157"/>
      <c r="C175" s="157"/>
      <c r="D175" s="157"/>
      <c r="E175" s="157"/>
      <c r="F175" s="157"/>
      <c r="G175" s="157"/>
      <c r="H175" s="157"/>
      <c r="I175" s="157"/>
      <c r="N175" s="77"/>
    </row>
    <row r="176" spans="1:21" x14ac:dyDescent="0.25">
      <c r="A176" s="77"/>
      <c r="N176" s="77"/>
    </row>
    <row r="177" spans="1:14" x14ac:dyDescent="0.25">
      <c r="A177" s="77"/>
      <c r="N177" s="77"/>
    </row>
    <row r="178" spans="1:14" x14ac:dyDescent="0.25">
      <c r="A178" s="77"/>
      <c r="N178" s="77"/>
    </row>
    <row r="179" spans="1:14" x14ac:dyDescent="0.25">
      <c r="A179" s="77"/>
      <c r="N179" s="77"/>
    </row>
    <row r="180" spans="1:14" x14ac:dyDescent="0.25">
      <c r="A180" s="77"/>
      <c r="N180" s="77"/>
    </row>
    <row r="181" spans="1:14" x14ac:dyDescent="0.25">
      <c r="A181" s="77"/>
      <c r="N181" s="77"/>
    </row>
    <row r="182" spans="1:14" x14ac:dyDescent="0.25">
      <c r="A182" s="77"/>
      <c r="N182" s="77"/>
    </row>
    <row r="183" spans="1:14" x14ac:dyDescent="0.25">
      <c r="A183" s="77"/>
      <c r="N183" s="77"/>
    </row>
    <row r="184" spans="1:14" x14ac:dyDescent="0.25">
      <c r="A184" s="77"/>
      <c r="N184" s="77"/>
    </row>
    <row r="185" spans="1:14" x14ac:dyDescent="0.25">
      <c r="A185" s="77"/>
      <c r="N185" s="77"/>
    </row>
    <row r="186" spans="1:14" x14ac:dyDescent="0.25">
      <c r="A186" s="77"/>
      <c r="N186" s="77"/>
    </row>
    <row r="187" spans="1:14" x14ac:dyDescent="0.25">
      <c r="A187" s="77"/>
      <c r="N187" s="77"/>
    </row>
    <row r="188" spans="1:14" x14ac:dyDescent="0.25">
      <c r="A188" s="77"/>
    </row>
    <row r="189" spans="1:14" x14ac:dyDescent="0.25">
      <c r="A189" s="77"/>
    </row>
    <row r="190" spans="1:14" x14ac:dyDescent="0.25">
      <c r="A190" s="77"/>
    </row>
    <row r="191" spans="1:14" x14ac:dyDescent="0.25">
      <c r="A191" s="77"/>
    </row>
    <row r="192" spans="1:14" x14ac:dyDescent="0.25">
      <c r="A192" s="77"/>
    </row>
    <row r="193" spans="1:1" x14ac:dyDescent="0.25">
      <c r="A193" s="77"/>
    </row>
    <row r="194" spans="1:1" x14ac:dyDescent="0.25">
      <c r="A194" s="77"/>
    </row>
    <row r="195" spans="1:1" x14ac:dyDescent="0.25">
      <c r="A195" s="77"/>
    </row>
    <row r="196" spans="1:1" x14ac:dyDescent="0.25">
      <c r="A196" s="77"/>
    </row>
    <row r="197" spans="1:1" x14ac:dyDescent="0.25">
      <c r="A197" s="77"/>
    </row>
    <row r="198" spans="1:1" x14ac:dyDescent="0.25">
      <c r="A198" s="77"/>
    </row>
    <row r="199" spans="1:1" x14ac:dyDescent="0.25">
      <c r="A199" s="77"/>
    </row>
    <row r="200" spans="1:1" x14ac:dyDescent="0.25">
      <c r="A200" s="77"/>
    </row>
    <row r="201" spans="1:1" x14ac:dyDescent="0.25">
      <c r="A201" s="77"/>
    </row>
    <row r="202" spans="1:1" x14ac:dyDescent="0.25">
      <c r="A202" s="77"/>
    </row>
    <row r="203" spans="1:1" x14ac:dyDescent="0.25">
      <c r="A203" s="77"/>
    </row>
    <row r="204" spans="1:1" x14ac:dyDescent="0.25">
      <c r="A204" s="77"/>
    </row>
    <row r="205" spans="1:1" x14ac:dyDescent="0.25">
      <c r="A205" s="77"/>
    </row>
    <row r="206" spans="1:1" x14ac:dyDescent="0.25">
      <c r="A206" s="77"/>
    </row>
  </sheetData>
  <mergeCells count="266">
    <mergeCell ref="A112:C112"/>
    <mergeCell ref="F112:H112"/>
    <mergeCell ref="N112:P112"/>
    <mergeCell ref="A109:B109"/>
    <mergeCell ref="F109:G109"/>
    <mergeCell ref="N109:O109"/>
    <mergeCell ref="P109:Q109"/>
    <mergeCell ref="N139:U139"/>
    <mergeCell ref="N119:U119"/>
    <mergeCell ref="N113:P113"/>
    <mergeCell ref="A113:C113"/>
    <mergeCell ref="F113:H113"/>
    <mergeCell ref="N114:T114"/>
    <mergeCell ref="A115:H115"/>
    <mergeCell ref="A119:G119"/>
    <mergeCell ref="N120:U120"/>
    <mergeCell ref="A120:G120"/>
    <mergeCell ref="R109:S109"/>
    <mergeCell ref="A110:B110"/>
    <mergeCell ref="N110:O110"/>
    <mergeCell ref="A107:B107"/>
    <mergeCell ref="F107:G107"/>
    <mergeCell ref="N107:O107"/>
    <mergeCell ref="P107:Q107"/>
    <mergeCell ref="R107:S107"/>
    <mergeCell ref="A108:B108"/>
    <mergeCell ref="F108:G108"/>
    <mergeCell ref="N108:O108"/>
    <mergeCell ref="P108:Q108"/>
    <mergeCell ref="R108:S108"/>
    <mergeCell ref="A103:C103"/>
    <mergeCell ref="F103:I103"/>
    <mergeCell ref="N103:U103"/>
    <mergeCell ref="C104:E104"/>
    <mergeCell ref="F105:G105"/>
    <mergeCell ref="A106:B106"/>
    <mergeCell ref="F106:G106"/>
    <mergeCell ref="N106:O106"/>
    <mergeCell ref="P106:Q106"/>
    <mergeCell ref="R106:S106"/>
    <mergeCell ref="A99:B99"/>
    <mergeCell ref="N99:O99"/>
    <mergeCell ref="P99:R99"/>
    <mergeCell ref="A100:B100"/>
    <mergeCell ref="N100:O100"/>
    <mergeCell ref="P100:R100"/>
    <mergeCell ref="C91:D91"/>
    <mergeCell ref="P91:Q91"/>
    <mergeCell ref="C92:D92"/>
    <mergeCell ref="P92:Q92"/>
    <mergeCell ref="C93:D93"/>
    <mergeCell ref="P93:T93"/>
    <mergeCell ref="A94:I94"/>
    <mergeCell ref="N94:U94"/>
    <mergeCell ref="F96:I96"/>
    <mergeCell ref="N96:P96"/>
    <mergeCell ref="Q96:T96"/>
    <mergeCell ref="A87:I87"/>
    <mergeCell ref="N87:U87"/>
    <mergeCell ref="C88:D88"/>
    <mergeCell ref="C89:D89"/>
    <mergeCell ref="N89:O89"/>
    <mergeCell ref="P89:Q89"/>
    <mergeCell ref="R89:U89"/>
    <mergeCell ref="C90:D90"/>
    <mergeCell ref="P90:Q90"/>
    <mergeCell ref="A80:C80"/>
    <mergeCell ref="N80:P80"/>
    <mergeCell ref="A85:C85"/>
    <mergeCell ref="N85:P85"/>
    <mergeCell ref="F73:H73"/>
    <mergeCell ref="N73:T73"/>
    <mergeCell ref="N74:T74"/>
    <mergeCell ref="A78:C78"/>
    <mergeCell ref="N78:P78"/>
    <mergeCell ref="A79:C79"/>
    <mergeCell ref="A69:C69"/>
    <mergeCell ref="N69:P69"/>
    <mergeCell ref="N79:P79"/>
    <mergeCell ref="A76:C76"/>
    <mergeCell ref="N76:P76"/>
    <mergeCell ref="A77:C77"/>
    <mergeCell ref="A70:C70"/>
    <mergeCell ref="A71:C71"/>
    <mergeCell ref="N71:P71"/>
    <mergeCell ref="A72:C72"/>
    <mergeCell ref="N77:P77"/>
    <mergeCell ref="N72:P72"/>
    <mergeCell ref="A65:B65"/>
    <mergeCell ref="D65:G65"/>
    <mergeCell ref="N65:O65"/>
    <mergeCell ref="Q65:S65"/>
    <mergeCell ref="T65:U65"/>
    <mergeCell ref="N66:S66"/>
    <mergeCell ref="T66:U66"/>
    <mergeCell ref="A68:C68"/>
    <mergeCell ref="N68:P68"/>
    <mergeCell ref="A62:B62"/>
    <mergeCell ref="D62:G62"/>
    <mergeCell ref="N62:O62"/>
    <mergeCell ref="Q62:S62"/>
    <mergeCell ref="T62:U62"/>
    <mergeCell ref="N63:S63"/>
    <mergeCell ref="T63:U63"/>
    <mergeCell ref="A64:I64"/>
    <mergeCell ref="N64:U64"/>
    <mergeCell ref="A59:B59"/>
    <mergeCell ref="F59:H59"/>
    <mergeCell ref="N59:O59"/>
    <mergeCell ref="P59:Q59"/>
    <mergeCell ref="R59:T59"/>
    <mergeCell ref="A60:I60"/>
    <mergeCell ref="N60:U60"/>
    <mergeCell ref="A61:I61"/>
    <mergeCell ref="N61:U61"/>
    <mergeCell ref="A50:B58"/>
    <mergeCell ref="N50:O58"/>
    <mergeCell ref="P50:Q50"/>
    <mergeCell ref="P51:Q51"/>
    <mergeCell ref="P52:Q52"/>
    <mergeCell ref="P53:Q53"/>
    <mergeCell ref="P54:Q54"/>
    <mergeCell ref="P55:Q55"/>
    <mergeCell ref="P56:Q56"/>
    <mergeCell ref="P57:Q57"/>
    <mergeCell ref="P58:Q58"/>
    <mergeCell ref="A42:B42"/>
    <mergeCell ref="N42:O42"/>
    <mergeCell ref="P42:T42"/>
    <mergeCell ref="N43:Q43"/>
    <mergeCell ref="S43:T43"/>
    <mergeCell ref="N45:Q45"/>
    <mergeCell ref="S45:T45"/>
    <mergeCell ref="N49:O49"/>
    <mergeCell ref="P49:Q49"/>
    <mergeCell ref="A39:B39"/>
    <mergeCell ref="N39:O39"/>
    <mergeCell ref="P39:T39"/>
    <mergeCell ref="A40:B40"/>
    <mergeCell ref="N40:O40"/>
    <mergeCell ref="P40:T40"/>
    <mergeCell ref="A41:B41"/>
    <mergeCell ref="N41:O41"/>
    <mergeCell ref="P41:T41"/>
    <mergeCell ref="N34:T34"/>
    <mergeCell ref="A36:B36"/>
    <mergeCell ref="N36:O36"/>
    <mergeCell ref="P36:T36"/>
    <mergeCell ref="A37:B37"/>
    <mergeCell ref="N37:O37"/>
    <mergeCell ref="P37:T37"/>
    <mergeCell ref="F33:H36"/>
    <mergeCell ref="A38:B38"/>
    <mergeCell ref="N38:O38"/>
    <mergeCell ref="P38:T38"/>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A20:B20"/>
    <mergeCell ref="F20:G20"/>
    <mergeCell ref="N20:O20"/>
    <mergeCell ref="P20:Q20"/>
    <mergeCell ref="R20:S20"/>
    <mergeCell ref="A21:B21"/>
    <mergeCell ref="F21:G21"/>
    <mergeCell ref="N21:O21"/>
    <mergeCell ref="P21:Q21"/>
    <mergeCell ref="R21:S21"/>
    <mergeCell ref="A18:B18"/>
    <mergeCell ref="F18:G18"/>
    <mergeCell ref="N18:O18"/>
    <mergeCell ref="P18:Q18"/>
    <mergeCell ref="R18:S18"/>
    <mergeCell ref="A19:B19"/>
    <mergeCell ref="F19:G19"/>
    <mergeCell ref="N19:O19"/>
    <mergeCell ref="P19:Q19"/>
    <mergeCell ref="R19:S19"/>
    <mergeCell ref="A16:B16"/>
    <mergeCell ref="F16:G16"/>
    <mergeCell ref="N16:O16"/>
    <mergeCell ref="P16:Q16"/>
    <mergeCell ref="R16:S16"/>
    <mergeCell ref="A17:B17"/>
    <mergeCell ref="F17:G17"/>
    <mergeCell ref="N17:O17"/>
    <mergeCell ref="P17:Q17"/>
    <mergeCell ref="R17:S17"/>
    <mergeCell ref="A14:B14"/>
    <mergeCell ref="F14:G14"/>
    <mergeCell ref="N14:O14"/>
    <mergeCell ref="P14:Q14"/>
    <mergeCell ref="R14:S14"/>
    <mergeCell ref="A15:B15"/>
    <mergeCell ref="F15:G15"/>
    <mergeCell ref="N15:O15"/>
    <mergeCell ref="P15:Q15"/>
    <mergeCell ref="R15:S15"/>
    <mergeCell ref="A12:B12"/>
    <mergeCell ref="F12:G12"/>
    <mergeCell ref="N12:O12"/>
    <mergeCell ref="P12:Q12"/>
    <mergeCell ref="R12:S12"/>
    <mergeCell ref="A13:B13"/>
    <mergeCell ref="F13:G13"/>
    <mergeCell ref="N13:O13"/>
    <mergeCell ref="P13:Q13"/>
    <mergeCell ref="R13:S13"/>
    <mergeCell ref="N8:O8"/>
    <mergeCell ref="P8:Q8"/>
    <mergeCell ref="R8:S8"/>
    <mergeCell ref="T8:U8"/>
    <mergeCell ref="F10:G10"/>
    <mergeCell ref="R10:S10"/>
    <mergeCell ref="A11:B11"/>
    <mergeCell ref="F11:G11"/>
    <mergeCell ref="N11:O11"/>
    <mergeCell ref="P11:Q11"/>
    <mergeCell ref="R11:S11"/>
    <mergeCell ref="B1:I1"/>
    <mergeCell ref="O1:U1"/>
    <mergeCell ref="N2:U2"/>
    <mergeCell ref="N3:U3"/>
    <mergeCell ref="A4:B4"/>
    <mergeCell ref="C4:E4"/>
    <mergeCell ref="N4:O4"/>
    <mergeCell ref="P4:Q4"/>
    <mergeCell ref="A7:I7"/>
    <mergeCell ref="N7:U7"/>
  </mergeCells>
  <pageMargins left="0.5" right="0.1" top="0.5" bottom="0.5" header="0" footer="0.1"/>
  <pageSetup scale="76" fitToHeight="3" orientation="portrait" r:id="rId1"/>
  <headerFooter alignWithMargins="0">
    <oddFooter>&amp;R&amp;P of &amp;N</oddFooter>
  </headerFooter>
  <rowBreaks count="1" manualBreakCount="1">
    <brk id="138" max="16383" man="1"/>
  </rowBreaks>
  <colBreaks count="1" manualBreakCount="1">
    <brk id="9" max="1048575" man="1"/>
  </col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CCFFCC"/>
  </sheetPr>
  <dimension ref="A1:U206"/>
  <sheetViews>
    <sheetView showGridLines="0" zoomScaleNormal="100" workbookViewId="0">
      <pane ySplit="1" topLeftCell="A11" activePane="bottomLeft" state="frozen"/>
      <selection activeCell="I9" sqref="I9"/>
      <selection pane="bottomLeft" activeCell="D30" sqref="D30"/>
    </sheetView>
  </sheetViews>
  <sheetFormatPr defaultRowHeight="15.75" x14ac:dyDescent="0.25"/>
  <cols>
    <col min="1" max="1" width="10.28515625" style="72"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72"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5">
        <v>50</v>
      </c>
      <c r="B1" s="441" t="s">
        <v>17</v>
      </c>
      <c r="C1" s="442"/>
      <c r="D1" s="442"/>
      <c r="E1" s="442"/>
      <c r="F1" s="442"/>
      <c r="G1" s="442"/>
      <c r="H1" s="442"/>
      <c r="I1" s="442"/>
      <c r="J1" s="157"/>
      <c r="K1" s="157"/>
      <c r="L1" s="157"/>
      <c r="N1" s="85">
        <f>A1</f>
        <v>50</v>
      </c>
      <c r="O1" s="527" t="s">
        <v>17</v>
      </c>
      <c r="P1" s="528"/>
      <c r="Q1" s="528"/>
      <c r="R1" s="528"/>
      <c r="S1" s="528"/>
      <c r="T1" s="528"/>
      <c r="U1" s="528"/>
    </row>
    <row r="2" spans="1:21" ht="21" x14ac:dyDescent="0.35">
      <c r="A2" s="1" t="s">
        <v>307</v>
      </c>
      <c r="B2" s="2"/>
      <c r="C2" s="2"/>
      <c r="D2" s="2"/>
      <c r="E2" s="2"/>
      <c r="F2" s="2"/>
      <c r="G2" s="2"/>
      <c r="H2" s="2"/>
      <c r="I2" s="2"/>
      <c r="N2" s="529" t="s">
        <v>23</v>
      </c>
      <c r="O2" s="529"/>
      <c r="P2" s="529"/>
      <c r="Q2" s="529"/>
      <c r="R2" s="529"/>
      <c r="S2" s="529"/>
      <c r="T2" s="529"/>
      <c r="U2" s="529"/>
    </row>
    <row r="3" spans="1:21" x14ac:dyDescent="0.25">
      <c r="A3" s="84" t="str">
        <f>'0664'!A3</f>
        <v>Based on the FLDOE 2022-23 FEFP Third Calculation</v>
      </c>
      <c r="N3" s="485" t="str">
        <f>A3</f>
        <v>Based on the FLDOE 2022-23 FEFP Third Calculation</v>
      </c>
      <c r="O3" s="485"/>
      <c r="P3" s="485"/>
      <c r="Q3" s="485"/>
      <c r="R3" s="485"/>
      <c r="S3" s="485"/>
      <c r="T3" s="485"/>
      <c r="U3" s="485"/>
    </row>
    <row r="4" spans="1:21" x14ac:dyDescent="0.25">
      <c r="A4" s="443" t="s">
        <v>0</v>
      </c>
      <c r="B4" s="443"/>
      <c r="C4" s="444" t="s">
        <v>9</v>
      </c>
      <c r="D4" s="444"/>
      <c r="E4" s="444"/>
      <c r="F4" s="4" t="str">
        <f>'0664'!F4</f>
        <v>Apr 2023</v>
      </c>
      <c r="G4" s="4"/>
      <c r="H4" s="4"/>
      <c r="I4" s="4"/>
      <c r="N4" s="530" t="s">
        <v>0</v>
      </c>
      <c r="O4" s="530"/>
      <c r="P4" s="531" t="str">
        <f>C4</f>
        <v>Palm Beach</v>
      </c>
      <c r="Q4" s="531"/>
      <c r="R4" s="5"/>
      <c r="S4" s="5"/>
      <c r="T4" s="5"/>
      <c r="U4" s="5"/>
    </row>
    <row r="5" spans="1:21" ht="12" customHeight="1" thickBot="1" x14ac:dyDescent="0.3">
      <c r="A5" s="262"/>
      <c r="B5" s="262"/>
      <c r="C5" s="253"/>
      <c r="D5" s="253"/>
      <c r="E5" s="253"/>
      <c r="F5" s="254"/>
      <c r="G5" s="254"/>
      <c r="H5" s="254"/>
      <c r="I5" s="254"/>
      <c r="N5" s="86"/>
      <c r="O5" s="86"/>
      <c r="P5" s="6"/>
      <c r="Q5" s="6"/>
      <c r="R5" s="5"/>
      <c r="S5" s="5"/>
      <c r="T5" s="5"/>
      <c r="U5" s="5"/>
    </row>
    <row r="6" spans="1:21" ht="12" customHeight="1" x14ac:dyDescent="0.25">
      <c r="A6" s="150"/>
      <c r="B6" s="150"/>
      <c r="C6" s="261"/>
      <c r="D6" s="261"/>
      <c r="E6" s="261"/>
      <c r="F6" s="4"/>
      <c r="G6" s="4"/>
      <c r="H6" s="4"/>
      <c r="I6" s="4"/>
      <c r="N6" s="86"/>
      <c r="O6" s="86"/>
      <c r="P6" s="6"/>
      <c r="Q6" s="6"/>
      <c r="R6" s="5"/>
      <c r="S6" s="5"/>
      <c r="T6" s="5"/>
      <c r="U6" s="5"/>
    </row>
    <row r="7" spans="1:21" x14ac:dyDescent="0.25">
      <c r="A7" s="445" t="str">
        <f>'0664'!A7:I7</f>
        <v>1.   2022-23 FEFP State and Local Funding</v>
      </c>
      <c r="B7" s="533"/>
      <c r="C7" s="533"/>
      <c r="D7" s="533"/>
      <c r="E7" s="533"/>
      <c r="F7" s="533"/>
      <c r="G7" s="533"/>
      <c r="H7" s="533"/>
      <c r="I7" s="533"/>
      <c r="N7" s="530" t="s">
        <v>86</v>
      </c>
      <c r="O7" s="530"/>
      <c r="P7" s="530"/>
      <c r="Q7" s="530"/>
      <c r="R7" s="530"/>
      <c r="S7" s="530"/>
      <c r="T7" s="530"/>
      <c r="U7" s="530"/>
    </row>
    <row r="8" spans="1:21" x14ac:dyDescent="0.25">
      <c r="A8" s="87"/>
      <c r="B8" s="88" t="s">
        <v>123</v>
      </c>
      <c r="C8" s="334">
        <f>'0664'!C8</f>
        <v>4587.3999999999996</v>
      </c>
      <c r="D8" s="89"/>
      <c r="E8" s="90"/>
      <c r="F8" s="87"/>
      <c r="G8" s="88" t="s">
        <v>122</v>
      </c>
      <c r="H8" s="320">
        <f>'0664'!H8</f>
        <v>1.0438000000000001</v>
      </c>
      <c r="I8" s="78"/>
      <c r="N8" s="534" t="s">
        <v>10</v>
      </c>
      <c r="O8" s="534"/>
      <c r="P8" s="535">
        <v>4154.45</v>
      </c>
      <c r="Q8" s="535"/>
      <c r="R8" s="518" t="s">
        <v>11</v>
      </c>
      <c r="S8" s="518"/>
      <c r="T8" s="519">
        <f>H8</f>
        <v>1.0438000000000001</v>
      </c>
      <c r="U8" s="519"/>
    </row>
    <row r="9" spans="1:21" x14ac:dyDescent="0.25">
      <c r="A9" s="7"/>
      <c r="B9" s="44" t="s">
        <v>370</v>
      </c>
      <c r="C9" s="41" t="s">
        <v>370</v>
      </c>
      <c r="D9" s="91" t="s">
        <v>370</v>
      </c>
      <c r="E9" s="8"/>
      <c r="F9" s="9"/>
      <c r="G9" s="9"/>
      <c r="H9" s="10"/>
      <c r="I9" s="340" t="str">
        <f>'0664'!I9</f>
        <v>2022-23</v>
      </c>
      <c r="N9" s="12"/>
      <c r="O9" s="12"/>
      <c r="P9" s="13"/>
      <c r="Q9" s="13"/>
      <c r="R9" s="14"/>
      <c r="S9" s="14"/>
      <c r="T9" s="15"/>
      <c r="U9" s="405" t="s">
        <v>405</v>
      </c>
    </row>
    <row r="10" spans="1:21" x14ac:dyDescent="0.25">
      <c r="A10" s="7"/>
      <c r="B10" s="7"/>
      <c r="C10" s="91" t="s">
        <v>463</v>
      </c>
      <c r="D10" s="371" t="s">
        <v>464</v>
      </c>
      <c r="E10" s="92" t="s">
        <v>8</v>
      </c>
      <c r="F10" s="446" t="s">
        <v>1</v>
      </c>
      <c r="G10" s="446"/>
      <c r="H10" s="10" t="s">
        <v>73</v>
      </c>
      <c r="I10" s="11" t="s">
        <v>36</v>
      </c>
      <c r="N10" s="12"/>
      <c r="O10" s="12"/>
      <c r="P10" s="13"/>
      <c r="Q10" s="13"/>
      <c r="R10" s="520" t="s">
        <v>1</v>
      </c>
      <c r="S10" s="520"/>
      <c r="T10" s="15" t="s">
        <v>73</v>
      </c>
      <c r="U10" s="16" t="s">
        <v>36</v>
      </c>
    </row>
    <row r="11" spans="1:21" x14ac:dyDescent="0.25">
      <c r="A11" s="447" t="s">
        <v>1</v>
      </c>
      <c r="B11" s="447"/>
      <c r="C11" s="362" t="s">
        <v>2</v>
      </c>
      <c r="D11" s="362" t="s">
        <v>2</v>
      </c>
      <c r="E11" s="362" t="s">
        <v>2</v>
      </c>
      <c r="F11" s="448" t="s">
        <v>76</v>
      </c>
      <c r="G11" s="448"/>
      <c r="H11" s="17" t="s">
        <v>72</v>
      </c>
      <c r="I11" s="18" t="s">
        <v>75</v>
      </c>
      <c r="N11" s="510" t="s">
        <v>1</v>
      </c>
      <c r="O11" s="510"/>
      <c r="P11" s="521" t="s">
        <v>24</v>
      </c>
      <c r="Q11" s="521"/>
      <c r="R11" s="522" t="s">
        <v>76</v>
      </c>
      <c r="S11" s="522"/>
      <c r="T11" s="19" t="s">
        <v>72</v>
      </c>
      <c r="U11" s="20" t="s">
        <v>75</v>
      </c>
    </row>
    <row r="12" spans="1:21" x14ac:dyDescent="0.25">
      <c r="A12" s="449" t="s">
        <v>47</v>
      </c>
      <c r="B12" s="449"/>
      <c r="C12" s="94"/>
      <c r="D12" s="94"/>
      <c r="E12" s="95" t="s">
        <v>48</v>
      </c>
      <c r="F12" s="450" t="s">
        <v>49</v>
      </c>
      <c r="G12" s="450"/>
      <c r="H12" s="21" t="s">
        <v>50</v>
      </c>
      <c r="I12" s="22" t="s">
        <v>51</v>
      </c>
      <c r="N12" s="523" t="s">
        <v>47</v>
      </c>
      <c r="O12" s="523"/>
      <c r="P12" s="524" t="s">
        <v>48</v>
      </c>
      <c r="Q12" s="524"/>
      <c r="R12" s="525" t="s">
        <v>49</v>
      </c>
      <c r="S12" s="525"/>
      <c r="T12" s="23" t="s">
        <v>50</v>
      </c>
      <c r="U12" s="24" t="s">
        <v>51</v>
      </c>
    </row>
    <row r="13" spans="1:21" x14ac:dyDescent="0.25">
      <c r="A13" s="451" t="s">
        <v>29</v>
      </c>
      <c r="B13" s="451"/>
      <c r="C13" s="165">
        <v>0</v>
      </c>
      <c r="D13" s="163">
        <v>0</v>
      </c>
      <c r="E13" s="210">
        <f>IF(D$29=0,C13*2,C13+D13)</f>
        <v>0</v>
      </c>
      <c r="F13" s="537">
        <f>'0664'!F13:G13</f>
        <v>1.1259999999999999</v>
      </c>
      <c r="G13" s="537"/>
      <c r="H13" s="167">
        <f>ROUND(E13*F13,4)</f>
        <v>0</v>
      </c>
      <c r="I13" s="119">
        <f t="shared" ref="I13:I28" si="0">ROUND(ROUND(H13*$C$8,4)*($H$8),2)</f>
        <v>0</v>
      </c>
      <c r="N13" s="512" t="s">
        <v>29</v>
      </c>
      <c r="O13" s="512"/>
      <c r="P13" s="513">
        <f t="shared" ref="P13:P28" si="1">IF($H$120=1,E13,0)</f>
        <v>0</v>
      </c>
      <c r="Q13" s="513"/>
      <c r="R13" s="526">
        <v>1</v>
      </c>
      <c r="S13" s="526"/>
      <c r="T13" s="98">
        <f>ROUND(P13*R13,4)</f>
        <v>0</v>
      </c>
      <c r="U13" s="99">
        <f t="shared" ref="U13:U28" si="2">ROUND(ROUND(T13*$C$8,4)*($H$8),0)</f>
        <v>0</v>
      </c>
    </row>
    <row r="14" spans="1:21" x14ac:dyDescent="0.25">
      <c r="A14" s="453" t="s">
        <v>30</v>
      </c>
      <c r="B14" s="453"/>
      <c r="C14" s="165">
        <v>0</v>
      </c>
      <c r="D14" s="165">
        <v>0</v>
      </c>
      <c r="E14" s="125">
        <f t="shared" ref="E14:E28" si="3">IF(D$29=0,C14*2,C14+D14)</f>
        <v>0</v>
      </c>
      <c r="F14" s="532">
        <f>'0664'!F14:G14</f>
        <v>1.1259999999999999</v>
      </c>
      <c r="G14" s="532"/>
      <c r="H14" s="83">
        <f t="shared" ref="H14:H28" si="4">ROUND(E14*F14,4)</f>
        <v>0</v>
      </c>
      <c r="I14" s="104">
        <f t="shared" si="0"/>
        <v>0</v>
      </c>
      <c r="J14" s="68" t="str">
        <f>IF(ROUND(E14,2)=ROUND(SUM(E50:E52),2)," ","CHECK PK-3 LINES BELOW")</f>
        <v xml:space="preserve"> </v>
      </c>
      <c r="N14" s="479" t="s">
        <v>30</v>
      </c>
      <c r="O14" s="479"/>
      <c r="P14" s="513">
        <f t="shared" si="1"/>
        <v>0</v>
      </c>
      <c r="Q14" s="513"/>
      <c r="R14" s="517">
        <v>1</v>
      </c>
      <c r="S14" s="517"/>
      <c r="T14" s="98">
        <f t="shared" ref="T14:T28" si="5">ROUND(P14*R14,4)</f>
        <v>0</v>
      </c>
      <c r="U14" s="99">
        <f t="shared" si="2"/>
        <v>0</v>
      </c>
    </row>
    <row r="15" spans="1:21" x14ac:dyDescent="0.25">
      <c r="A15" s="453" t="s">
        <v>31</v>
      </c>
      <c r="B15" s="453"/>
      <c r="C15" s="165">
        <v>0</v>
      </c>
      <c r="D15" s="165">
        <v>0</v>
      </c>
      <c r="E15" s="125">
        <f t="shared" si="3"/>
        <v>0</v>
      </c>
      <c r="F15" s="532">
        <f>'0664'!F15:G15</f>
        <v>1</v>
      </c>
      <c r="G15" s="532"/>
      <c r="H15" s="83">
        <f t="shared" si="4"/>
        <v>0</v>
      </c>
      <c r="I15" s="104">
        <f t="shared" si="0"/>
        <v>0</v>
      </c>
      <c r="N15" s="479" t="s">
        <v>31</v>
      </c>
      <c r="O15" s="479"/>
      <c r="P15" s="513">
        <f t="shared" si="1"/>
        <v>0</v>
      </c>
      <c r="Q15" s="513"/>
      <c r="R15" s="517">
        <v>1</v>
      </c>
      <c r="S15" s="517"/>
      <c r="T15" s="98">
        <f t="shared" si="5"/>
        <v>0</v>
      </c>
      <c r="U15" s="99">
        <f t="shared" si="2"/>
        <v>0</v>
      </c>
    </row>
    <row r="16" spans="1:21" x14ac:dyDescent="0.25">
      <c r="A16" s="453" t="s">
        <v>32</v>
      </c>
      <c r="B16" s="453"/>
      <c r="C16" s="165">
        <v>0</v>
      </c>
      <c r="D16" s="165">
        <v>0</v>
      </c>
      <c r="E16" s="125">
        <f t="shared" si="3"/>
        <v>0</v>
      </c>
      <c r="F16" s="532">
        <f>'0664'!F16:G16</f>
        <v>1</v>
      </c>
      <c r="G16" s="532"/>
      <c r="H16" s="83">
        <f t="shared" si="4"/>
        <v>0</v>
      </c>
      <c r="I16" s="104">
        <f t="shared" si="0"/>
        <v>0</v>
      </c>
      <c r="J16" s="68" t="str">
        <f>IF(ROUND(E16,2)=ROUND(SUM(E53:E55),2)," ","CHECK 4-8 LINES BELOW")</f>
        <v xml:space="preserve"> </v>
      </c>
      <c r="N16" s="479" t="s">
        <v>32</v>
      </c>
      <c r="O16" s="479"/>
      <c r="P16" s="513">
        <f t="shared" si="1"/>
        <v>0</v>
      </c>
      <c r="Q16" s="513"/>
      <c r="R16" s="517">
        <v>1</v>
      </c>
      <c r="S16" s="517"/>
      <c r="T16" s="98">
        <f t="shared" si="5"/>
        <v>0</v>
      </c>
      <c r="U16" s="99">
        <f t="shared" si="2"/>
        <v>0</v>
      </c>
    </row>
    <row r="17" spans="1:21" x14ac:dyDescent="0.25">
      <c r="A17" s="453" t="s">
        <v>33</v>
      </c>
      <c r="B17" s="453"/>
      <c r="C17" s="165">
        <v>0</v>
      </c>
      <c r="D17" s="165">
        <v>0</v>
      </c>
      <c r="E17" s="125">
        <f t="shared" si="3"/>
        <v>0</v>
      </c>
      <c r="F17" s="532">
        <f>'0664'!F17:G17</f>
        <v>0.999</v>
      </c>
      <c r="G17" s="532"/>
      <c r="H17" s="83">
        <f t="shared" si="4"/>
        <v>0</v>
      </c>
      <c r="I17" s="104">
        <f t="shared" si="0"/>
        <v>0</v>
      </c>
      <c r="N17" s="479" t="s">
        <v>33</v>
      </c>
      <c r="O17" s="479"/>
      <c r="P17" s="513">
        <f t="shared" si="1"/>
        <v>0</v>
      </c>
      <c r="Q17" s="513"/>
      <c r="R17" s="517">
        <v>1</v>
      </c>
      <c r="S17" s="517"/>
      <c r="T17" s="98">
        <f t="shared" si="5"/>
        <v>0</v>
      </c>
      <c r="U17" s="99">
        <f t="shared" si="2"/>
        <v>0</v>
      </c>
    </row>
    <row r="18" spans="1:21" x14ac:dyDescent="0.25">
      <c r="A18" s="453" t="s">
        <v>34</v>
      </c>
      <c r="B18" s="453"/>
      <c r="C18" s="165">
        <v>0</v>
      </c>
      <c r="D18" s="165">
        <v>0</v>
      </c>
      <c r="E18" s="125">
        <f t="shared" si="3"/>
        <v>0</v>
      </c>
      <c r="F18" s="532">
        <f>'0664'!F18:G18</f>
        <v>0.999</v>
      </c>
      <c r="G18" s="532"/>
      <c r="H18" s="83">
        <f t="shared" si="4"/>
        <v>0</v>
      </c>
      <c r="I18" s="104">
        <f t="shared" si="0"/>
        <v>0</v>
      </c>
      <c r="J18" s="68" t="str">
        <f>IF(ROUND(E18,2)=ROUND(SUM(E56:E58),2)," ","CHECK 4-8 LINES BELOW")</f>
        <v xml:space="preserve"> </v>
      </c>
      <c r="N18" s="479" t="s">
        <v>34</v>
      </c>
      <c r="O18" s="479"/>
      <c r="P18" s="513">
        <f t="shared" si="1"/>
        <v>0</v>
      </c>
      <c r="Q18" s="513"/>
      <c r="R18" s="517">
        <v>1</v>
      </c>
      <c r="S18" s="517"/>
      <c r="T18" s="98">
        <f t="shared" si="5"/>
        <v>0</v>
      </c>
      <c r="U18" s="101">
        <f t="shared" si="2"/>
        <v>0</v>
      </c>
    </row>
    <row r="19" spans="1:21" x14ac:dyDescent="0.25">
      <c r="A19" s="453" t="s">
        <v>108</v>
      </c>
      <c r="B19" s="453"/>
      <c r="C19" s="165">
        <v>22.5</v>
      </c>
      <c r="D19" s="165">
        <v>23.52</v>
      </c>
      <c r="E19" s="125">
        <f t="shared" si="3"/>
        <v>46.019999999999996</v>
      </c>
      <c r="F19" s="532">
        <f>'0664'!F19:G19</f>
        <v>3.6739999999999999</v>
      </c>
      <c r="G19" s="532"/>
      <c r="H19" s="83">
        <f t="shared" si="4"/>
        <v>169.07749999999999</v>
      </c>
      <c r="I19" s="104">
        <f t="shared" si="0"/>
        <v>809598.55</v>
      </c>
      <c r="N19" s="479" t="s">
        <v>108</v>
      </c>
      <c r="O19" s="479"/>
      <c r="P19" s="513">
        <f t="shared" si="1"/>
        <v>46.019999999999996</v>
      </c>
      <c r="Q19" s="513"/>
      <c r="R19" s="517">
        <v>1</v>
      </c>
      <c r="S19" s="517"/>
      <c r="T19" s="98">
        <f t="shared" si="5"/>
        <v>46.02</v>
      </c>
      <c r="U19" s="99">
        <f t="shared" si="2"/>
        <v>220359</v>
      </c>
    </row>
    <row r="20" spans="1:21" x14ac:dyDescent="0.25">
      <c r="A20" s="453" t="s">
        <v>109</v>
      </c>
      <c r="B20" s="453"/>
      <c r="C20" s="165">
        <v>25.5</v>
      </c>
      <c r="D20" s="165">
        <v>25.5</v>
      </c>
      <c r="E20" s="125">
        <f t="shared" si="3"/>
        <v>51</v>
      </c>
      <c r="F20" s="532">
        <f>'0664'!F20:G20</f>
        <v>3.6739999999999999</v>
      </c>
      <c r="G20" s="532"/>
      <c r="H20" s="83">
        <f t="shared" si="4"/>
        <v>187.374</v>
      </c>
      <c r="I20" s="104">
        <f t="shared" si="0"/>
        <v>897208.19</v>
      </c>
      <c r="N20" s="479" t="s">
        <v>109</v>
      </c>
      <c r="O20" s="479"/>
      <c r="P20" s="513">
        <f t="shared" si="1"/>
        <v>51</v>
      </c>
      <c r="Q20" s="513"/>
      <c r="R20" s="517">
        <v>1</v>
      </c>
      <c r="S20" s="517"/>
      <c r="T20" s="98">
        <f t="shared" si="5"/>
        <v>51</v>
      </c>
      <c r="U20" s="99">
        <f t="shared" si="2"/>
        <v>244205</v>
      </c>
    </row>
    <row r="21" spans="1:21" x14ac:dyDescent="0.25">
      <c r="A21" s="453" t="s">
        <v>110</v>
      </c>
      <c r="B21" s="453"/>
      <c r="C21" s="165">
        <v>0</v>
      </c>
      <c r="D21" s="165">
        <v>0</v>
      </c>
      <c r="E21" s="125">
        <f t="shared" si="3"/>
        <v>0</v>
      </c>
      <c r="F21" s="532">
        <f>'0664'!F21:G21</f>
        <v>3.6739999999999999</v>
      </c>
      <c r="G21" s="532"/>
      <c r="H21" s="83">
        <f t="shared" si="4"/>
        <v>0</v>
      </c>
      <c r="I21" s="104">
        <f t="shared" si="0"/>
        <v>0</v>
      </c>
      <c r="N21" s="479" t="s">
        <v>110</v>
      </c>
      <c r="O21" s="479"/>
      <c r="P21" s="513">
        <f t="shared" si="1"/>
        <v>0</v>
      </c>
      <c r="Q21" s="513"/>
      <c r="R21" s="517">
        <v>1</v>
      </c>
      <c r="S21" s="517"/>
      <c r="T21" s="98">
        <f t="shared" si="5"/>
        <v>0</v>
      </c>
      <c r="U21" s="99">
        <f t="shared" si="2"/>
        <v>0</v>
      </c>
    </row>
    <row r="22" spans="1:21" x14ac:dyDescent="0.25">
      <c r="A22" s="453" t="s">
        <v>111</v>
      </c>
      <c r="B22" s="453"/>
      <c r="C22" s="165">
        <v>9</v>
      </c>
      <c r="D22" s="165">
        <v>8</v>
      </c>
      <c r="E22" s="125">
        <f t="shared" si="3"/>
        <v>17</v>
      </c>
      <c r="F22" s="532">
        <f>'0664'!F22:G22</f>
        <v>5.4009999999999998</v>
      </c>
      <c r="G22" s="532"/>
      <c r="H22" s="83">
        <f t="shared" si="4"/>
        <v>91.816999999999993</v>
      </c>
      <c r="I22" s="104">
        <f t="shared" si="0"/>
        <v>439649.92</v>
      </c>
      <c r="N22" s="479" t="s">
        <v>111</v>
      </c>
      <c r="O22" s="479"/>
      <c r="P22" s="513">
        <f t="shared" si="1"/>
        <v>17</v>
      </c>
      <c r="Q22" s="513"/>
      <c r="R22" s="517">
        <v>1</v>
      </c>
      <c r="S22" s="517"/>
      <c r="T22" s="98">
        <f t="shared" si="5"/>
        <v>17</v>
      </c>
      <c r="U22" s="99">
        <f t="shared" si="2"/>
        <v>81402</v>
      </c>
    </row>
    <row r="23" spans="1:21" x14ac:dyDescent="0.25">
      <c r="A23" s="453" t="s">
        <v>112</v>
      </c>
      <c r="B23" s="453"/>
      <c r="C23" s="165">
        <v>16.5</v>
      </c>
      <c r="D23" s="165">
        <v>16.5</v>
      </c>
      <c r="E23" s="125">
        <f t="shared" si="3"/>
        <v>33</v>
      </c>
      <c r="F23" s="532">
        <f>'0664'!F23:G23</f>
        <v>5.4009999999999998</v>
      </c>
      <c r="G23" s="532"/>
      <c r="H23" s="83">
        <f t="shared" si="4"/>
        <v>178.233</v>
      </c>
      <c r="I23" s="104">
        <f t="shared" si="0"/>
        <v>853438.09</v>
      </c>
      <c r="N23" s="479" t="s">
        <v>112</v>
      </c>
      <c r="O23" s="479"/>
      <c r="P23" s="513">
        <f t="shared" si="1"/>
        <v>33</v>
      </c>
      <c r="Q23" s="513"/>
      <c r="R23" s="517">
        <v>1</v>
      </c>
      <c r="S23" s="517"/>
      <c r="T23" s="98">
        <f t="shared" si="5"/>
        <v>33</v>
      </c>
      <c r="U23" s="99">
        <f t="shared" si="2"/>
        <v>158015</v>
      </c>
    </row>
    <row r="24" spans="1:21" x14ac:dyDescent="0.25">
      <c r="A24" s="453" t="s">
        <v>113</v>
      </c>
      <c r="B24" s="453"/>
      <c r="C24" s="165">
        <v>0</v>
      </c>
      <c r="D24" s="165">
        <v>0</v>
      </c>
      <c r="E24" s="125">
        <f t="shared" si="3"/>
        <v>0</v>
      </c>
      <c r="F24" s="532">
        <f>'0664'!F24:G24</f>
        <v>5.4009999999999998</v>
      </c>
      <c r="G24" s="532"/>
      <c r="H24" s="83">
        <f t="shared" si="4"/>
        <v>0</v>
      </c>
      <c r="I24" s="104">
        <f t="shared" si="0"/>
        <v>0</v>
      </c>
      <c r="N24" s="479" t="s">
        <v>113</v>
      </c>
      <c r="O24" s="479"/>
      <c r="P24" s="513">
        <f t="shared" si="1"/>
        <v>0</v>
      </c>
      <c r="Q24" s="513"/>
      <c r="R24" s="517">
        <v>1</v>
      </c>
      <c r="S24" s="517"/>
      <c r="T24" s="98">
        <f t="shared" si="5"/>
        <v>0</v>
      </c>
      <c r="U24" s="99">
        <f t="shared" si="2"/>
        <v>0</v>
      </c>
    </row>
    <row r="25" spans="1:21" x14ac:dyDescent="0.25">
      <c r="A25" s="453" t="s">
        <v>114</v>
      </c>
      <c r="B25" s="453"/>
      <c r="C25" s="165">
        <v>0</v>
      </c>
      <c r="D25" s="165">
        <v>0</v>
      </c>
      <c r="E25" s="125">
        <f t="shared" si="3"/>
        <v>0</v>
      </c>
      <c r="F25" s="532">
        <f>'0664'!F25:G25</f>
        <v>1.206</v>
      </c>
      <c r="G25" s="532"/>
      <c r="H25" s="83">
        <f t="shared" si="4"/>
        <v>0</v>
      </c>
      <c r="I25" s="104">
        <f t="shared" si="0"/>
        <v>0</v>
      </c>
      <c r="N25" s="479" t="s">
        <v>114</v>
      </c>
      <c r="O25" s="479"/>
      <c r="P25" s="513">
        <f t="shared" si="1"/>
        <v>0</v>
      </c>
      <c r="Q25" s="513"/>
      <c r="R25" s="517">
        <v>1</v>
      </c>
      <c r="S25" s="517"/>
      <c r="T25" s="98">
        <f t="shared" si="5"/>
        <v>0</v>
      </c>
      <c r="U25" s="99">
        <f t="shared" si="2"/>
        <v>0</v>
      </c>
    </row>
    <row r="26" spans="1:21" x14ac:dyDescent="0.25">
      <c r="A26" s="453" t="s">
        <v>115</v>
      </c>
      <c r="B26" s="453"/>
      <c r="C26" s="165">
        <v>0</v>
      </c>
      <c r="D26" s="165">
        <v>0</v>
      </c>
      <c r="E26" s="125">
        <f t="shared" si="3"/>
        <v>0</v>
      </c>
      <c r="F26" s="532">
        <f>'0664'!F26:G26</f>
        <v>1.206</v>
      </c>
      <c r="G26" s="532"/>
      <c r="H26" s="83">
        <f t="shared" si="4"/>
        <v>0</v>
      </c>
      <c r="I26" s="104">
        <f t="shared" si="0"/>
        <v>0</v>
      </c>
      <c r="N26" s="479" t="s">
        <v>115</v>
      </c>
      <c r="O26" s="479"/>
      <c r="P26" s="513">
        <f t="shared" si="1"/>
        <v>0</v>
      </c>
      <c r="Q26" s="513"/>
      <c r="R26" s="517">
        <v>1</v>
      </c>
      <c r="S26" s="517"/>
      <c r="T26" s="98">
        <f t="shared" si="5"/>
        <v>0</v>
      </c>
      <c r="U26" s="99">
        <f t="shared" si="2"/>
        <v>0</v>
      </c>
    </row>
    <row r="27" spans="1:21" x14ac:dyDescent="0.25">
      <c r="A27" s="453" t="s">
        <v>116</v>
      </c>
      <c r="B27" s="453"/>
      <c r="C27" s="165">
        <v>0</v>
      </c>
      <c r="D27" s="165">
        <v>0</v>
      </c>
      <c r="E27" s="125">
        <f t="shared" si="3"/>
        <v>0</v>
      </c>
      <c r="F27" s="532">
        <f>'0664'!F27:G27</f>
        <v>1.206</v>
      </c>
      <c r="G27" s="532"/>
      <c r="H27" s="83">
        <f t="shared" si="4"/>
        <v>0</v>
      </c>
      <c r="I27" s="104">
        <f t="shared" si="0"/>
        <v>0</v>
      </c>
      <c r="N27" s="479" t="s">
        <v>116</v>
      </c>
      <c r="O27" s="479"/>
      <c r="P27" s="513">
        <f t="shared" si="1"/>
        <v>0</v>
      </c>
      <c r="Q27" s="513"/>
      <c r="R27" s="517">
        <v>1</v>
      </c>
      <c r="S27" s="517"/>
      <c r="T27" s="98">
        <f t="shared" si="5"/>
        <v>0</v>
      </c>
      <c r="U27" s="99">
        <f t="shared" si="2"/>
        <v>0</v>
      </c>
    </row>
    <row r="28" spans="1:21" x14ac:dyDescent="0.25">
      <c r="A28" s="453" t="s">
        <v>117</v>
      </c>
      <c r="B28" s="453"/>
      <c r="C28" s="116">
        <v>0</v>
      </c>
      <c r="D28" s="116">
        <v>0</v>
      </c>
      <c r="E28" s="177">
        <f t="shared" si="3"/>
        <v>0</v>
      </c>
      <c r="F28" s="532">
        <f>'0664'!F28:G28</f>
        <v>0.999</v>
      </c>
      <c r="G28" s="532"/>
      <c r="H28" s="96">
        <f t="shared" si="4"/>
        <v>0</v>
      </c>
      <c r="I28" s="97">
        <f t="shared" si="0"/>
        <v>0</v>
      </c>
      <c r="N28" s="482" t="s">
        <v>117</v>
      </c>
      <c r="O28" s="482"/>
      <c r="P28" s="513">
        <f t="shared" si="1"/>
        <v>0</v>
      </c>
      <c r="Q28" s="513"/>
      <c r="R28" s="514">
        <v>1</v>
      </c>
      <c r="S28" s="514"/>
      <c r="T28" s="98">
        <f t="shared" si="5"/>
        <v>0</v>
      </c>
      <c r="U28" s="99">
        <f t="shared" si="2"/>
        <v>0</v>
      </c>
    </row>
    <row r="29" spans="1:21" x14ac:dyDescent="0.25">
      <c r="A29" s="461" t="s">
        <v>5</v>
      </c>
      <c r="B29" s="461"/>
      <c r="C29" s="97">
        <f>SUM(C13:C28)</f>
        <v>73.5</v>
      </c>
      <c r="D29" s="97">
        <f>SUM(D13:D28)</f>
        <v>73.52</v>
      </c>
      <c r="E29" s="97">
        <f>SUM(E13:E28)</f>
        <v>147.01999999999998</v>
      </c>
      <c r="F29" s="457"/>
      <c r="G29" s="457"/>
      <c r="H29" s="102">
        <f>SUM(H13:H28)</f>
        <v>626.50150000000008</v>
      </c>
      <c r="I29" s="97">
        <f>SUM(I13:I28)</f>
        <v>2999894.75</v>
      </c>
      <c r="N29" s="515" t="s">
        <v>5</v>
      </c>
      <c r="O29" s="515"/>
      <c r="P29" s="516">
        <f>SUM(P13:P28)</f>
        <v>147.01999999999998</v>
      </c>
      <c r="Q29" s="516"/>
      <c r="R29" s="508"/>
      <c r="S29" s="508"/>
      <c r="T29" s="103">
        <f>SUM(T13:T28)</f>
        <v>147.02000000000001</v>
      </c>
      <c r="U29" s="99">
        <f>SUM(U13:U28)</f>
        <v>703981</v>
      </c>
    </row>
    <row r="30" spans="1:21" x14ac:dyDescent="0.25">
      <c r="A30" s="27"/>
      <c r="B30" s="27"/>
      <c r="C30" s="104"/>
      <c r="D30" s="104"/>
      <c r="E30" s="104"/>
      <c r="F30" s="28"/>
      <c r="G30" s="28"/>
      <c r="H30" s="83"/>
      <c r="I30" s="104"/>
      <c r="N30" s="29"/>
      <c r="O30" s="29"/>
      <c r="P30" s="30"/>
      <c r="Q30" s="30"/>
      <c r="R30" s="31"/>
      <c r="S30" s="31"/>
      <c r="T30" s="105"/>
      <c r="U30" s="106"/>
    </row>
    <row r="31" spans="1:21" x14ac:dyDescent="0.25">
      <c r="A31" s="168" t="s">
        <v>97</v>
      </c>
      <c r="B31" s="27"/>
      <c r="C31" s="104"/>
      <c r="D31" s="104"/>
      <c r="E31" s="104"/>
      <c r="F31" s="28"/>
      <c r="G31" s="28"/>
      <c r="H31" s="83"/>
      <c r="I31" s="104"/>
      <c r="N31" s="29"/>
      <c r="O31" s="29"/>
      <c r="P31" s="30"/>
      <c r="Q31" s="30"/>
      <c r="R31" s="31"/>
      <c r="S31" s="31"/>
      <c r="T31" s="105"/>
      <c r="U31" s="106"/>
    </row>
    <row r="32" spans="1:21" hidden="1" x14ac:dyDescent="0.25">
      <c r="A32" s="168"/>
      <c r="B32" s="27"/>
      <c r="C32" s="104"/>
      <c r="D32" s="104"/>
      <c r="E32" s="104"/>
      <c r="F32" s="28"/>
      <c r="G32" s="28"/>
      <c r="H32" s="83"/>
      <c r="I32" s="104"/>
      <c r="N32" s="29"/>
      <c r="O32" s="29"/>
      <c r="P32" s="30"/>
      <c r="Q32" s="30"/>
      <c r="R32" s="31"/>
      <c r="S32" s="31"/>
      <c r="T32" s="105"/>
      <c r="U32" s="106"/>
    </row>
    <row r="33" spans="1:21" hidden="1" x14ac:dyDescent="0.25">
      <c r="A33" s="168"/>
      <c r="B33" s="27"/>
      <c r="C33" s="104"/>
      <c r="D33" s="104"/>
      <c r="E33" s="104"/>
      <c r="F33" s="541" t="s">
        <v>282</v>
      </c>
      <c r="G33" s="541"/>
      <c r="H33" s="541"/>
      <c r="I33" s="104"/>
      <c r="N33" s="29"/>
      <c r="O33" s="29"/>
      <c r="P33" s="30"/>
      <c r="Q33" s="30"/>
      <c r="R33" s="31"/>
      <c r="S33" s="31"/>
      <c r="T33" s="105"/>
      <c r="U33" s="106"/>
    </row>
    <row r="34" spans="1:21" hidden="1" x14ac:dyDescent="0.25">
      <c r="A34" s="3"/>
      <c r="B34" s="72"/>
      <c r="C34" s="72"/>
      <c r="D34" s="72"/>
      <c r="E34" s="72"/>
      <c r="F34" s="541"/>
      <c r="G34" s="541"/>
      <c r="H34" s="541"/>
      <c r="I34" s="25" t="s">
        <v>74</v>
      </c>
      <c r="N34" s="485" t="s">
        <v>35</v>
      </c>
      <c r="O34" s="485"/>
      <c r="P34" s="485"/>
      <c r="Q34" s="485"/>
      <c r="R34" s="485"/>
      <c r="S34" s="485"/>
      <c r="T34" s="485"/>
      <c r="U34" s="26" t="s">
        <v>74</v>
      </c>
    </row>
    <row r="35" spans="1:21" hidden="1" x14ac:dyDescent="0.25">
      <c r="A35" s="27"/>
      <c r="B35" s="27"/>
      <c r="C35" s="91" t="s">
        <v>124</v>
      </c>
      <c r="D35" s="91" t="s">
        <v>125</v>
      </c>
      <c r="E35" s="92" t="s">
        <v>8</v>
      </c>
      <c r="F35" s="541"/>
      <c r="G35" s="541"/>
      <c r="H35" s="541"/>
      <c r="I35" s="25" t="s">
        <v>36</v>
      </c>
      <c r="N35" s="29"/>
      <c r="O35" s="29"/>
      <c r="P35" s="30"/>
      <c r="Q35" s="30"/>
      <c r="R35" s="31"/>
      <c r="S35" s="31"/>
      <c r="T35" s="105"/>
      <c r="U35" s="26" t="s">
        <v>36</v>
      </c>
    </row>
    <row r="36" spans="1:21" hidden="1" x14ac:dyDescent="0.25">
      <c r="A36" s="447" t="s">
        <v>63</v>
      </c>
      <c r="B36" s="447"/>
      <c r="C36" s="93" t="s">
        <v>2</v>
      </c>
      <c r="D36" s="93" t="s">
        <v>2</v>
      </c>
      <c r="E36" s="93" t="s">
        <v>2</v>
      </c>
      <c r="F36" s="542"/>
      <c r="G36" s="542"/>
      <c r="H36" s="542"/>
      <c r="I36" s="32" t="s">
        <v>75</v>
      </c>
      <c r="N36" s="510" t="s">
        <v>63</v>
      </c>
      <c r="O36" s="510"/>
      <c r="P36" s="511" t="s">
        <v>24</v>
      </c>
      <c r="Q36" s="511"/>
      <c r="R36" s="511"/>
      <c r="S36" s="511"/>
      <c r="T36" s="511"/>
      <c r="U36" s="20" t="s">
        <v>75</v>
      </c>
    </row>
    <row r="37" spans="1:21" hidden="1" x14ac:dyDescent="0.25">
      <c r="A37" s="451" t="s">
        <v>56</v>
      </c>
      <c r="B37" s="451"/>
      <c r="C37" s="169">
        <v>0</v>
      </c>
      <c r="D37" s="169">
        <v>0</v>
      </c>
      <c r="E37" s="210">
        <f t="shared" ref="E37:E42" si="6">IF(D$43=0,C37*2,C37+D37)</f>
        <v>0</v>
      </c>
      <c r="F37" s="170"/>
      <c r="G37" s="170"/>
      <c r="H37" s="170"/>
      <c r="I37" s="119">
        <f t="shared" ref="I37:I42" si="7">ROUND(ROUND(E37*$C$8,4)*($H$8),2)</f>
        <v>0</v>
      </c>
      <c r="N37" s="512" t="s">
        <v>56</v>
      </c>
      <c r="O37" s="512"/>
      <c r="P37" s="483">
        <f t="shared" ref="P37:P42" si="8">IF($H$120=1,E37,0)</f>
        <v>0</v>
      </c>
      <c r="Q37" s="483"/>
      <c r="R37" s="483"/>
      <c r="S37" s="483"/>
      <c r="T37" s="483"/>
      <c r="U37" s="101">
        <f t="shared" ref="U37:U42" si="9">ROUND(ROUND(P37*$C$8,4)*($H$8),0)</f>
        <v>0</v>
      </c>
    </row>
    <row r="38" spans="1:21" hidden="1" x14ac:dyDescent="0.25">
      <c r="A38" s="453" t="s">
        <v>57</v>
      </c>
      <c r="B38" s="453"/>
      <c r="C38" s="172">
        <v>0</v>
      </c>
      <c r="D38" s="172">
        <v>0</v>
      </c>
      <c r="E38" s="125">
        <f t="shared" si="6"/>
        <v>0</v>
      </c>
      <c r="F38" s="173"/>
      <c r="G38" s="173"/>
      <c r="H38" s="173"/>
      <c r="I38" s="104">
        <f t="shared" si="7"/>
        <v>0</v>
      </c>
      <c r="N38" s="479" t="s">
        <v>57</v>
      </c>
      <c r="O38" s="479"/>
      <c r="P38" s="483">
        <f t="shared" si="8"/>
        <v>0</v>
      </c>
      <c r="Q38" s="483"/>
      <c r="R38" s="483"/>
      <c r="S38" s="483"/>
      <c r="T38" s="483"/>
      <c r="U38" s="101">
        <f t="shared" si="9"/>
        <v>0</v>
      </c>
    </row>
    <row r="39" spans="1:21" hidden="1" x14ac:dyDescent="0.25">
      <c r="A39" s="458" t="s">
        <v>58</v>
      </c>
      <c r="B39" s="458"/>
      <c r="C39" s="172">
        <v>0</v>
      </c>
      <c r="D39" s="172">
        <v>0</v>
      </c>
      <c r="E39" s="125">
        <f t="shared" si="6"/>
        <v>0</v>
      </c>
      <c r="F39" s="173"/>
      <c r="G39" s="173"/>
      <c r="H39" s="173"/>
      <c r="I39" s="104">
        <f t="shared" si="7"/>
        <v>0</v>
      </c>
      <c r="N39" s="509" t="s">
        <v>58</v>
      </c>
      <c r="O39" s="509"/>
      <c r="P39" s="483">
        <f t="shared" si="8"/>
        <v>0</v>
      </c>
      <c r="Q39" s="483"/>
      <c r="R39" s="483"/>
      <c r="S39" s="483"/>
      <c r="T39" s="483"/>
      <c r="U39" s="101">
        <f t="shared" si="9"/>
        <v>0</v>
      </c>
    </row>
    <row r="40" spans="1:21" hidden="1" x14ac:dyDescent="0.25">
      <c r="A40" s="453" t="s">
        <v>59</v>
      </c>
      <c r="B40" s="453"/>
      <c r="C40" s="172">
        <v>0</v>
      </c>
      <c r="D40" s="172">
        <v>0</v>
      </c>
      <c r="E40" s="125">
        <f t="shared" si="6"/>
        <v>0</v>
      </c>
      <c r="F40" s="173"/>
      <c r="G40" s="173"/>
      <c r="H40" s="173"/>
      <c r="I40" s="104">
        <f t="shared" si="7"/>
        <v>0</v>
      </c>
      <c r="N40" s="479" t="s">
        <v>59</v>
      </c>
      <c r="O40" s="479"/>
      <c r="P40" s="483">
        <f t="shared" si="8"/>
        <v>0</v>
      </c>
      <c r="Q40" s="483"/>
      <c r="R40" s="483"/>
      <c r="S40" s="483"/>
      <c r="T40" s="483"/>
      <c r="U40" s="101">
        <f t="shared" si="9"/>
        <v>0</v>
      </c>
    </row>
    <row r="41" spans="1:21" hidden="1" x14ac:dyDescent="0.25">
      <c r="A41" s="453" t="s">
        <v>60</v>
      </c>
      <c r="B41" s="453"/>
      <c r="C41" s="172">
        <v>0</v>
      </c>
      <c r="D41" s="172">
        <v>0</v>
      </c>
      <c r="E41" s="125">
        <f t="shared" si="6"/>
        <v>0</v>
      </c>
      <c r="F41" s="173"/>
      <c r="G41" s="173"/>
      <c r="H41" s="173"/>
      <c r="I41" s="104">
        <f t="shared" si="7"/>
        <v>0</v>
      </c>
      <c r="N41" s="479" t="s">
        <v>60</v>
      </c>
      <c r="O41" s="479"/>
      <c r="P41" s="483">
        <f t="shared" si="8"/>
        <v>0</v>
      </c>
      <c r="Q41" s="483"/>
      <c r="R41" s="483"/>
      <c r="S41" s="483"/>
      <c r="T41" s="483"/>
      <c r="U41" s="101">
        <f t="shared" si="9"/>
        <v>0</v>
      </c>
    </row>
    <row r="42" spans="1:21" hidden="1" x14ac:dyDescent="0.25">
      <c r="A42" s="453" t="s">
        <v>52</v>
      </c>
      <c r="B42" s="453"/>
      <c r="C42" s="171">
        <v>0</v>
      </c>
      <c r="D42" s="171">
        <v>0</v>
      </c>
      <c r="E42" s="177">
        <f t="shared" si="6"/>
        <v>0</v>
      </c>
      <c r="F42" s="173"/>
      <c r="G42" s="173"/>
      <c r="H42" s="173"/>
      <c r="I42" s="97">
        <f t="shared" si="7"/>
        <v>0</v>
      </c>
      <c r="N42" s="482" t="s">
        <v>52</v>
      </c>
      <c r="O42" s="482"/>
      <c r="P42" s="483">
        <f t="shared" si="8"/>
        <v>0</v>
      </c>
      <c r="Q42" s="483"/>
      <c r="R42" s="483"/>
      <c r="S42" s="483"/>
      <c r="T42" s="483"/>
      <c r="U42" s="101">
        <f t="shared" si="9"/>
        <v>0</v>
      </c>
    </row>
    <row r="43" spans="1:21" hidden="1" x14ac:dyDescent="0.25">
      <c r="A43" s="3"/>
      <c r="B43" s="55" t="s">
        <v>126</v>
      </c>
      <c r="C43" s="100">
        <f>SUM(C37:C42)</f>
        <v>0</v>
      </c>
      <c r="D43" s="100">
        <f>SUM(D37:D42)</f>
        <v>0</v>
      </c>
      <c r="E43" s="100">
        <f>SUM(E37:E42)</f>
        <v>0</v>
      </c>
      <c r="F43" s="33"/>
      <c r="G43" s="109"/>
      <c r="H43" s="110" t="s">
        <v>128</v>
      </c>
      <c r="I43" s="100">
        <f>SUM(I37:I42)</f>
        <v>0</v>
      </c>
      <c r="N43" s="480" t="s">
        <v>54</v>
      </c>
      <c r="O43" s="480"/>
      <c r="P43" s="480"/>
      <c r="Q43" s="480"/>
      <c r="R43" s="34">
        <f>SUM(P37:R42)</f>
        <v>0</v>
      </c>
      <c r="S43" s="508" t="s">
        <v>64</v>
      </c>
      <c r="T43" s="508"/>
      <c r="U43" s="106">
        <f>SUM(U37:U42)</f>
        <v>0</v>
      </c>
    </row>
    <row r="44" spans="1:21" ht="16.5" hidden="1" thickBot="1" x14ac:dyDescent="0.3">
      <c r="A44" s="3"/>
      <c r="B44" s="55"/>
      <c r="C44" s="104"/>
      <c r="D44" s="104"/>
      <c r="E44" s="119"/>
      <c r="F44" s="33"/>
      <c r="G44" s="109"/>
      <c r="H44" s="110"/>
      <c r="I44" s="104"/>
      <c r="N44" s="29"/>
      <c r="O44" s="29"/>
      <c r="P44" s="29"/>
      <c r="Q44" s="29"/>
      <c r="R44" s="34"/>
      <c r="S44" s="31"/>
      <c r="T44" s="31"/>
      <c r="U44" s="106"/>
    </row>
    <row r="45" spans="1:21" ht="16.5" hidden="1" thickBot="1" x14ac:dyDescent="0.3">
      <c r="A45" s="3"/>
      <c r="B45" s="55" t="s">
        <v>127</v>
      </c>
      <c r="E45" s="174">
        <f>H29+E43</f>
        <v>626.50150000000008</v>
      </c>
      <c r="F45" s="35"/>
      <c r="G45" s="109"/>
      <c r="H45" s="110" t="s">
        <v>129</v>
      </c>
      <c r="I45" s="97">
        <f>SUM(I43,I29)</f>
        <v>2999894.75</v>
      </c>
      <c r="N45" s="480" t="s">
        <v>55</v>
      </c>
      <c r="O45" s="480"/>
      <c r="P45" s="480"/>
      <c r="Q45" s="480"/>
      <c r="R45" s="36">
        <f>R43+T29</f>
        <v>147.02000000000001</v>
      </c>
      <c r="S45" s="508" t="s">
        <v>53</v>
      </c>
      <c r="T45" s="508"/>
      <c r="U45" s="111">
        <f>SUM(U43,U29)</f>
        <v>703981</v>
      </c>
    </row>
    <row r="46" spans="1:21" hidden="1" x14ac:dyDescent="0.25">
      <c r="A46" s="27"/>
      <c r="B46" s="27"/>
      <c r="C46" s="27"/>
      <c r="D46" s="27"/>
      <c r="E46" s="27"/>
      <c r="F46" s="35"/>
      <c r="G46" s="28"/>
      <c r="H46" s="28"/>
      <c r="I46" s="104"/>
      <c r="N46" s="29"/>
      <c r="O46" s="29"/>
      <c r="P46" s="29"/>
      <c r="Q46" s="29"/>
      <c r="R46" s="36"/>
      <c r="S46" s="31"/>
      <c r="T46" s="31"/>
      <c r="U46" s="106"/>
    </row>
    <row r="47" spans="1:21" x14ac:dyDescent="0.25">
      <c r="A47" s="27"/>
      <c r="B47" s="55" t="s">
        <v>370</v>
      </c>
      <c r="C47" s="41" t="s">
        <v>370</v>
      </c>
      <c r="D47" s="91" t="s">
        <v>370</v>
      </c>
      <c r="E47" s="27"/>
      <c r="F47" s="35"/>
      <c r="G47" s="28"/>
      <c r="H47" s="28"/>
      <c r="I47" s="104"/>
      <c r="N47" s="29"/>
      <c r="O47" s="29"/>
      <c r="P47" s="29"/>
      <c r="Q47" s="29"/>
      <c r="R47" s="36"/>
      <c r="S47" s="31"/>
      <c r="T47" s="31"/>
      <c r="U47" s="106"/>
    </row>
    <row r="48" spans="1:21" x14ac:dyDescent="0.25">
      <c r="A48" s="27"/>
      <c r="B48" s="27"/>
      <c r="C48" s="91" t="s">
        <v>463</v>
      </c>
      <c r="D48" s="371" t="s">
        <v>464</v>
      </c>
      <c r="E48" s="92" t="s">
        <v>8</v>
      </c>
      <c r="F48" s="49" t="s">
        <v>130</v>
      </c>
      <c r="G48" s="112" t="s">
        <v>132</v>
      </c>
      <c r="H48" s="113" t="s">
        <v>133</v>
      </c>
      <c r="I48" s="104"/>
      <c r="N48" s="29"/>
      <c r="O48" s="29"/>
      <c r="P48" s="29"/>
      <c r="Q48" s="29"/>
      <c r="R48" s="36"/>
      <c r="S48" s="31"/>
      <c r="T48" s="31"/>
      <c r="U48" s="106"/>
    </row>
    <row r="49" spans="1:21" x14ac:dyDescent="0.25">
      <c r="A49" s="37" t="s">
        <v>87</v>
      </c>
      <c r="B49" s="37"/>
      <c r="C49" s="362" t="s">
        <v>2</v>
      </c>
      <c r="D49" s="362" t="s">
        <v>2</v>
      </c>
      <c r="E49" s="362" t="s">
        <v>2</v>
      </c>
      <c r="F49" s="95" t="s">
        <v>131</v>
      </c>
      <c r="G49" s="62" t="s">
        <v>131</v>
      </c>
      <c r="H49" s="114" t="s">
        <v>134</v>
      </c>
      <c r="I49" s="37"/>
      <c r="N49" s="482" t="s">
        <v>87</v>
      </c>
      <c r="O49" s="482"/>
      <c r="P49" s="503" t="s">
        <v>2</v>
      </c>
      <c r="Q49" s="503"/>
      <c r="R49" s="38" t="s">
        <v>25</v>
      </c>
      <c r="S49" s="63" t="s">
        <v>26</v>
      </c>
      <c r="T49" s="115" t="s">
        <v>27</v>
      </c>
      <c r="U49" s="38"/>
    </row>
    <row r="50" spans="1:21" x14ac:dyDescent="0.25">
      <c r="A50" s="459" t="s">
        <v>98</v>
      </c>
      <c r="B50" s="459"/>
      <c r="C50" s="165">
        <v>0</v>
      </c>
      <c r="D50" s="165">
        <v>0</v>
      </c>
      <c r="E50" s="125">
        <f>IF(D$59=0,C50*2,C50+D50)</f>
        <v>0</v>
      </c>
      <c r="F50" s="39" t="s">
        <v>21</v>
      </c>
      <c r="G50" s="39">
        <v>251</v>
      </c>
      <c r="H50" s="321">
        <f>'0664'!H50</f>
        <v>1047</v>
      </c>
      <c r="I50" s="104">
        <f>ROUND(E50*H50,2)</f>
        <v>0</v>
      </c>
      <c r="N50" s="504" t="s">
        <v>28</v>
      </c>
      <c r="O50" s="504"/>
      <c r="P50" s="505"/>
      <c r="Q50" s="505"/>
      <c r="R50" s="40" t="s">
        <v>21</v>
      </c>
      <c r="S50" s="40">
        <v>251</v>
      </c>
      <c r="T50" s="117">
        <f>H50</f>
        <v>1047</v>
      </c>
      <c r="U50" s="118">
        <f>ROUND(P50*T50,0)</f>
        <v>0</v>
      </c>
    </row>
    <row r="51" spans="1:21" x14ac:dyDescent="0.25">
      <c r="A51" s="460"/>
      <c r="B51" s="460"/>
      <c r="C51" s="165">
        <v>0</v>
      </c>
      <c r="D51" s="165">
        <v>0</v>
      </c>
      <c r="E51" s="125">
        <f t="shared" ref="E51:E58" si="10">IF(D$59=0,C51*2,C51+D51)</f>
        <v>0</v>
      </c>
      <c r="F51" s="39" t="s">
        <v>21</v>
      </c>
      <c r="G51" s="39">
        <v>252</v>
      </c>
      <c r="H51" s="321">
        <f>'0664'!H51</f>
        <v>3380</v>
      </c>
      <c r="I51" s="104">
        <f t="shared" ref="I51:I58" si="11">ROUND(E51*H51,2)</f>
        <v>0</v>
      </c>
      <c r="N51" s="504"/>
      <c r="O51" s="504"/>
      <c r="P51" s="506"/>
      <c r="Q51" s="506"/>
      <c r="R51" s="40" t="s">
        <v>21</v>
      </c>
      <c r="S51" s="40">
        <v>252</v>
      </c>
      <c r="T51" s="117">
        <f t="shared" ref="T51:T58" si="12">H51</f>
        <v>3380</v>
      </c>
      <c r="U51" s="118">
        <f t="shared" ref="U51:U58" si="13">ROUND(P51*T51,0)</f>
        <v>0</v>
      </c>
    </row>
    <row r="52" spans="1:21" x14ac:dyDescent="0.25">
      <c r="A52" s="460"/>
      <c r="B52" s="460"/>
      <c r="C52" s="165">
        <v>0</v>
      </c>
      <c r="D52" s="165">
        <v>0</v>
      </c>
      <c r="E52" s="125">
        <f t="shared" si="10"/>
        <v>0</v>
      </c>
      <c r="F52" s="39" t="s">
        <v>21</v>
      </c>
      <c r="G52" s="39">
        <v>253</v>
      </c>
      <c r="H52" s="321">
        <f>'0664'!H52</f>
        <v>6896</v>
      </c>
      <c r="I52" s="104">
        <f t="shared" si="11"/>
        <v>0</v>
      </c>
      <c r="N52" s="504"/>
      <c r="O52" s="504"/>
      <c r="P52" s="506"/>
      <c r="Q52" s="506"/>
      <c r="R52" s="40" t="s">
        <v>21</v>
      </c>
      <c r="S52" s="40">
        <v>253</v>
      </c>
      <c r="T52" s="117">
        <f t="shared" si="12"/>
        <v>6896</v>
      </c>
      <c r="U52" s="118">
        <f t="shared" si="13"/>
        <v>0</v>
      </c>
    </row>
    <row r="53" spans="1:21" x14ac:dyDescent="0.25">
      <c r="A53" s="460"/>
      <c r="B53" s="460"/>
      <c r="C53" s="165">
        <v>0</v>
      </c>
      <c r="D53" s="165">
        <v>0</v>
      </c>
      <c r="E53" s="125">
        <f t="shared" si="10"/>
        <v>0</v>
      </c>
      <c r="F53" s="41" t="s">
        <v>14</v>
      </c>
      <c r="G53" s="39">
        <v>251</v>
      </c>
      <c r="H53" s="321">
        <f>'0664'!H53</f>
        <v>1173</v>
      </c>
      <c r="I53" s="104">
        <f t="shared" si="11"/>
        <v>0</v>
      </c>
      <c r="N53" s="504"/>
      <c r="O53" s="504"/>
      <c r="P53" s="506"/>
      <c r="Q53" s="506"/>
      <c r="R53" s="42" t="s">
        <v>14</v>
      </c>
      <c r="S53" s="40">
        <v>251</v>
      </c>
      <c r="T53" s="117">
        <f t="shared" si="12"/>
        <v>1173</v>
      </c>
      <c r="U53" s="118">
        <f t="shared" si="13"/>
        <v>0</v>
      </c>
    </row>
    <row r="54" spans="1:21" x14ac:dyDescent="0.25">
      <c r="A54" s="460"/>
      <c r="B54" s="460"/>
      <c r="C54" s="165">
        <v>0</v>
      </c>
      <c r="D54" s="165">
        <v>0</v>
      </c>
      <c r="E54" s="125">
        <f t="shared" si="10"/>
        <v>0</v>
      </c>
      <c r="F54" s="41" t="s">
        <v>14</v>
      </c>
      <c r="G54" s="39">
        <v>252</v>
      </c>
      <c r="H54" s="321">
        <f>'0664'!H54</f>
        <v>3506</v>
      </c>
      <c r="I54" s="104">
        <f t="shared" si="11"/>
        <v>0</v>
      </c>
      <c r="N54" s="504"/>
      <c r="O54" s="504"/>
      <c r="P54" s="506"/>
      <c r="Q54" s="506"/>
      <c r="R54" s="42" t="s">
        <v>14</v>
      </c>
      <c r="S54" s="40">
        <v>252</v>
      </c>
      <c r="T54" s="117">
        <f t="shared" si="12"/>
        <v>3506</v>
      </c>
      <c r="U54" s="118">
        <f t="shared" si="13"/>
        <v>0</v>
      </c>
    </row>
    <row r="55" spans="1:21" x14ac:dyDescent="0.25">
      <c r="A55" s="460"/>
      <c r="B55" s="460"/>
      <c r="C55" s="165">
        <v>0</v>
      </c>
      <c r="D55" s="165">
        <v>0</v>
      </c>
      <c r="E55" s="125">
        <f t="shared" si="10"/>
        <v>0</v>
      </c>
      <c r="F55" s="41" t="s">
        <v>14</v>
      </c>
      <c r="G55" s="39">
        <v>253</v>
      </c>
      <c r="H55" s="321">
        <f>'0664'!H55</f>
        <v>7023</v>
      </c>
      <c r="I55" s="104">
        <f t="shared" si="11"/>
        <v>0</v>
      </c>
      <c r="N55" s="504"/>
      <c r="O55" s="504"/>
      <c r="P55" s="506"/>
      <c r="Q55" s="506"/>
      <c r="R55" s="42" t="s">
        <v>14</v>
      </c>
      <c r="S55" s="40">
        <v>253</v>
      </c>
      <c r="T55" s="117">
        <f t="shared" si="12"/>
        <v>7023</v>
      </c>
      <c r="U55" s="118">
        <f t="shared" si="13"/>
        <v>0</v>
      </c>
    </row>
    <row r="56" spans="1:21" x14ac:dyDescent="0.25">
      <c r="A56" s="460"/>
      <c r="B56" s="460"/>
      <c r="C56" s="165">
        <v>0</v>
      </c>
      <c r="D56" s="165">
        <v>0</v>
      </c>
      <c r="E56" s="125">
        <f t="shared" si="10"/>
        <v>0</v>
      </c>
      <c r="F56" s="41" t="s">
        <v>15</v>
      </c>
      <c r="G56" s="39">
        <v>251</v>
      </c>
      <c r="H56" s="321">
        <f>'0664'!H56</f>
        <v>835</v>
      </c>
      <c r="I56" s="104">
        <f t="shared" si="11"/>
        <v>0</v>
      </c>
      <c r="N56" s="504"/>
      <c r="O56" s="504"/>
      <c r="P56" s="506"/>
      <c r="Q56" s="506"/>
      <c r="R56" s="42" t="s">
        <v>15</v>
      </c>
      <c r="S56" s="40">
        <v>251</v>
      </c>
      <c r="T56" s="117">
        <f t="shared" si="12"/>
        <v>835</v>
      </c>
      <c r="U56" s="118">
        <f t="shared" si="13"/>
        <v>0</v>
      </c>
    </row>
    <row r="57" spans="1:21" x14ac:dyDescent="0.25">
      <c r="A57" s="460"/>
      <c r="B57" s="460"/>
      <c r="C57" s="165">
        <v>0</v>
      </c>
      <c r="D57" s="165">
        <v>0</v>
      </c>
      <c r="E57" s="125">
        <f t="shared" si="10"/>
        <v>0</v>
      </c>
      <c r="F57" s="41" t="s">
        <v>15</v>
      </c>
      <c r="G57" s="39">
        <v>252</v>
      </c>
      <c r="H57" s="321">
        <f>'0664'!H57</f>
        <v>3168</v>
      </c>
      <c r="I57" s="104">
        <f t="shared" si="11"/>
        <v>0</v>
      </c>
      <c r="N57" s="504"/>
      <c r="O57" s="504"/>
      <c r="P57" s="506"/>
      <c r="Q57" s="506"/>
      <c r="R57" s="42" t="s">
        <v>15</v>
      </c>
      <c r="S57" s="40">
        <v>252</v>
      </c>
      <c r="T57" s="117">
        <f t="shared" si="12"/>
        <v>3168</v>
      </c>
      <c r="U57" s="118">
        <f t="shared" si="13"/>
        <v>0</v>
      </c>
    </row>
    <row r="58" spans="1:21" ht="16.5" thickBot="1" x14ac:dyDescent="0.3">
      <c r="A58" s="460"/>
      <c r="B58" s="460"/>
      <c r="C58" s="165">
        <v>0</v>
      </c>
      <c r="D58" s="165">
        <v>0</v>
      </c>
      <c r="E58" s="125">
        <f t="shared" si="10"/>
        <v>0</v>
      </c>
      <c r="F58" s="41" t="s">
        <v>15</v>
      </c>
      <c r="G58" s="39">
        <v>253</v>
      </c>
      <c r="H58" s="321">
        <f>'0664'!H58</f>
        <v>6685</v>
      </c>
      <c r="I58" s="104">
        <f t="shared" si="11"/>
        <v>0</v>
      </c>
      <c r="N58" s="504"/>
      <c r="O58" s="504"/>
      <c r="P58" s="507"/>
      <c r="Q58" s="507"/>
      <c r="R58" s="42" t="s">
        <v>15</v>
      </c>
      <c r="S58" s="40">
        <v>253</v>
      </c>
      <c r="T58" s="117">
        <f t="shared" si="12"/>
        <v>6685</v>
      </c>
      <c r="U58" s="120">
        <f t="shared" si="13"/>
        <v>0</v>
      </c>
    </row>
    <row r="59" spans="1:21" ht="16.5" thickBot="1" x14ac:dyDescent="0.3">
      <c r="A59" s="461" t="s">
        <v>16</v>
      </c>
      <c r="B59" s="461"/>
      <c r="C59" s="100">
        <f>SUM(C50:C58)</f>
        <v>0</v>
      </c>
      <c r="D59" s="100">
        <f>SUM(D50:D58)</f>
        <v>0</v>
      </c>
      <c r="E59" s="100">
        <f>SUM(E50:E58)</f>
        <v>0</v>
      </c>
      <c r="F59" s="461" t="s">
        <v>77</v>
      </c>
      <c r="G59" s="461"/>
      <c r="H59" s="461"/>
      <c r="I59" s="100">
        <f>SUM(I50:I58)</f>
        <v>0</v>
      </c>
      <c r="N59" s="480" t="s">
        <v>16</v>
      </c>
      <c r="O59" s="480"/>
      <c r="P59" s="502">
        <f>SUM(P50:P58)</f>
        <v>0</v>
      </c>
      <c r="Q59" s="502"/>
      <c r="R59" s="480" t="s">
        <v>77</v>
      </c>
      <c r="S59" s="480"/>
      <c r="T59" s="480"/>
      <c r="U59" s="111">
        <f>SUM(U50:U58)</f>
        <v>0</v>
      </c>
    </row>
    <row r="60" spans="1:21" x14ac:dyDescent="0.25">
      <c r="A60" s="462"/>
      <c r="B60" s="462"/>
      <c r="C60" s="462"/>
      <c r="D60" s="462"/>
      <c r="E60" s="462"/>
      <c r="F60" s="462"/>
      <c r="G60" s="462"/>
      <c r="H60" s="462"/>
      <c r="I60" s="462"/>
      <c r="N60" s="484"/>
      <c r="O60" s="484"/>
      <c r="P60" s="484"/>
      <c r="Q60" s="484"/>
      <c r="R60" s="484"/>
      <c r="S60" s="484"/>
      <c r="T60" s="484"/>
      <c r="U60" s="484"/>
    </row>
    <row r="61" spans="1:21" x14ac:dyDescent="0.25">
      <c r="A61" s="463" t="s">
        <v>136</v>
      </c>
      <c r="B61" s="453"/>
      <c r="C61" s="453"/>
      <c r="D61" s="453"/>
      <c r="E61" s="453"/>
      <c r="F61" s="453"/>
      <c r="G61" s="453"/>
      <c r="H61" s="453"/>
      <c r="I61" s="453"/>
      <c r="N61" s="479" t="s">
        <v>88</v>
      </c>
      <c r="O61" s="479"/>
      <c r="P61" s="479"/>
      <c r="Q61" s="479"/>
      <c r="R61" s="479"/>
      <c r="S61" s="479"/>
      <c r="T61" s="479"/>
      <c r="U61" s="479"/>
    </row>
    <row r="62" spans="1:21" x14ac:dyDescent="0.25">
      <c r="A62" s="463" t="s">
        <v>138</v>
      </c>
      <c r="B62" s="453"/>
      <c r="C62" s="121">
        <f>E29</f>
        <v>147.01999999999998</v>
      </c>
      <c r="D62" s="464" t="s">
        <v>135</v>
      </c>
      <c r="E62" s="464"/>
      <c r="F62" s="464"/>
      <c r="G62" s="464"/>
      <c r="H62" s="335">
        <f>'0664'!H62</f>
        <v>193340.76</v>
      </c>
      <c r="I62" s="122"/>
      <c r="N62" s="478" t="s">
        <v>312</v>
      </c>
      <c r="O62" s="479"/>
      <c r="P62" s="43">
        <f>P29</f>
        <v>147.01999999999998</v>
      </c>
      <c r="Q62" s="498" t="s">
        <v>78</v>
      </c>
      <c r="R62" s="498"/>
      <c r="S62" s="498"/>
      <c r="T62" s="497">
        <f>H62</f>
        <v>193340.76</v>
      </c>
      <c r="U62" s="497"/>
    </row>
    <row r="63" spans="1:21" x14ac:dyDescent="0.25">
      <c r="B63" s="72"/>
      <c r="G63" s="44" t="s">
        <v>13</v>
      </c>
      <c r="H63" s="123">
        <f>ROUND(C62/H62,6)</f>
        <v>7.6000000000000004E-4</v>
      </c>
      <c r="I63" s="124"/>
      <c r="N63" s="479" t="s">
        <v>19</v>
      </c>
      <c r="O63" s="479"/>
      <c r="P63" s="479"/>
      <c r="Q63" s="479"/>
      <c r="R63" s="479"/>
      <c r="S63" s="479"/>
      <c r="T63" s="501">
        <f>ROUND(P62/T62,6)</f>
        <v>7.6000000000000004E-4</v>
      </c>
      <c r="U63" s="501"/>
    </row>
    <row r="64" spans="1:21" x14ac:dyDescent="0.25">
      <c r="A64" s="463" t="s">
        <v>137</v>
      </c>
      <c r="B64" s="453"/>
      <c r="C64" s="453"/>
      <c r="D64" s="453"/>
      <c r="E64" s="453"/>
      <c r="F64" s="453"/>
      <c r="G64" s="453"/>
      <c r="H64" s="453"/>
      <c r="I64" s="453"/>
      <c r="N64" s="479" t="s">
        <v>89</v>
      </c>
      <c r="O64" s="479"/>
      <c r="P64" s="479"/>
      <c r="Q64" s="479"/>
      <c r="R64" s="479"/>
      <c r="S64" s="479"/>
      <c r="T64" s="479"/>
      <c r="U64" s="479"/>
    </row>
    <row r="65" spans="1:21" x14ac:dyDescent="0.25">
      <c r="A65" s="463" t="s">
        <v>139</v>
      </c>
      <c r="B65" s="453"/>
      <c r="C65" s="121">
        <f>E45</f>
        <v>626.50150000000008</v>
      </c>
      <c r="D65" s="464" t="s">
        <v>140</v>
      </c>
      <c r="E65" s="464"/>
      <c r="F65" s="464"/>
      <c r="G65" s="464"/>
      <c r="H65" s="336">
        <f>'0664'!H65</f>
        <v>216845.88</v>
      </c>
      <c r="I65" s="125"/>
      <c r="N65" s="479" t="s">
        <v>80</v>
      </c>
      <c r="O65" s="479"/>
      <c r="P65" s="43">
        <f>R45</f>
        <v>147.02000000000001</v>
      </c>
      <c r="Q65" s="498" t="s">
        <v>79</v>
      </c>
      <c r="R65" s="498"/>
      <c r="S65" s="498"/>
      <c r="T65" s="497">
        <f>H65</f>
        <v>216845.88</v>
      </c>
      <c r="U65" s="497"/>
    </row>
    <row r="66" spans="1:21" s="37" customFormat="1" x14ac:dyDescent="0.25">
      <c r="A66" s="126"/>
      <c r="G66" s="45" t="s">
        <v>13</v>
      </c>
      <c r="H66" s="127">
        <f>ROUND(C65/H65,6)</f>
        <v>2.8890000000000001E-3</v>
      </c>
      <c r="I66" s="127"/>
      <c r="N66" s="482" t="s">
        <v>20</v>
      </c>
      <c r="O66" s="482"/>
      <c r="P66" s="482"/>
      <c r="Q66" s="482"/>
      <c r="R66" s="482"/>
      <c r="S66" s="482"/>
      <c r="T66" s="500">
        <f>ROUND(P65/T65,6)</f>
        <v>6.78E-4</v>
      </c>
      <c r="U66" s="500"/>
    </row>
    <row r="67" spans="1:21" x14ac:dyDescent="0.25">
      <c r="G67" s="44"/>
      <c r="H67" s="123"/>
      <c r="I67" s="123"/>
      <c r="N67" s="48"/>
      <c r="O67" s="48"/>
      <c r="P67" s="48"/>
      <c r="Q67" s="48"/>
      <c r="R67" s="128"/>
      <c r="S67" s="48"/>
      <c r="T67" s="129"/>
      <c r="U67" s="130"/>
    </row>
    <row r="68" spans="1:21" x14ac:dyDescent="0.25">
      <c r="A68" s="453" t="s">
        <v>85</v>
      </c>
      <c r="B68" s="453"/>
      <c r="C68" s="453"/>
      <c r="D68" s="72"/>
      <c r="E68" s="46" t="s">
        <v>3</v>
      </c>
      <c r="F68" s="337">
        <f>'0664'!F68</f>
        <v>42465042</v>
      </c>
      <c r="G68" s="39" t="s">
        <v>6</v>
      </c>
      <c r="H68" s="131">
        <f>H63</f>
        <v>7.6000000000000004E-4</v>
      </c>
      <c r="I68" s="104">
        <f>ROUND(F68*H68,2)</f>
        <v>32273.43</v>
      </c>
      <c r="N68" s="479" t="s">
        <v>85</v>
      </c>
      <c r="O68" s="479"/>
      <c r="P68" s="479"/>
      <c r="Q68" s="47"/>
      <c r="R68" s="132">
        <f>F68</f>
        <v>42465042</v>
      </c>
      <c r="S68" s="40" t="s">
        <v>6</v>
      </c>
      <c r="T68" s="133">
        <f>T63</f>
        <v>7.6000000000000004E-4</v>
      </c>
      <c r="U68" s="99">
        <f>ROUND(R68*T68,0)</f>
        <v>32273</v>
      </c>
    </row>
    <row r="69" spans="1:21" x14ac:dyDescent="0.25">
      <c r="A69" s="458" t="s">
        <v>96</v>
      </c>
      <c r="B69" s="453"/>
      <c r="C69" s="453"/>
      <c r="D69" s="72"/>
      <c r="E69" s="46"/>
      <c r="F69" s="136"/>
      <c r="G69" s="39"/>
      <c r="H69" s="131"/>
      <c r="I69" s="104"/>
      <c r="N69" s="479" t="s">
        <v>84</v>
      </c>
      <c r="O69" s="479"/>
      <c r="P69" s="479"/>
      <c r="Q69" s="54"/>
      <c r="R69" s="54"/>
      <c r="S69" s="54"/>
      <c r="T69" s="54"/>
      <c r="U69" s="54"/>
    </row>
    <row r="70" spans="1:21" x14ac:dyDescent="0.25">
      <c r="A70" s="465" t="s">
        <v>141</v>
      </c>
      <c r="B70" s="453"/>
      <c r="C70" s="453"/>
      <c r="D70" s="72"/>
      <c r="E70" s="46" t="s">
        <v>3</v>
      </c>
      <c r="F70" s="337">
        <f>'0664'!F70</f>
        <v>0</v>
      </c>
      <c r="G70" s="39" t="s">
        <v>6</v>
      </c>
      <c r="H70" s="131">
        <f>H63</f>
        <v>7.6000000000000004E-4</v>
      </c>
      <c r="I70" s="104">
        <f>ROUND(F70*H70,2)</f>
        <v>0</v>
      </c>
      <c r="N70" s="48"/>
      <c r="O70" s="48"/>
      <c r="P70" s="48"/>
      <c r="Q70" s="47"/>
      <c r="R70" s="132">
        <f>F70</f>
        <v>0</v>
      </c>
      <c r="S70" s="40" t="s">
        <v>6</v>
      </c>
      <c r="T70" s="133">
        <f>T63</f>
        <v>7.6000000000000004E-4</v>
      </c>
      <c r="U70" s="99">
        <f>ROUND(R70*T70,0)</f>
        <v>0</v>
      </c>
    </row>
    <row r="71" spans="1:21" x14ac:dyDescent="0.25">
      <c r="A71" s="463" t="s">
        <v>433</v>
      </c>
      <c r="B71" s="453"/>
      <c r="C71" s="453"/>
      <c r="D71" s="72"/>
      <c r="E71" s="46" t="s">
        <v>3</v>
      </c>
      <c r="F71" s="337">
        <f>'0664'!F71</f>
        <v>13414654</v>
      </c>
      <c r="G71" s="39" t="s">
        <v>6</v>
      </c>
      <c r="H71" s="131">
        <f>H63</f>
        <v>7.6000000000000004E-4</v>
      </c>
      <c r="I71" s="104">
        <f>ROUND(F71*H71,2)</f>
        <v>10195.14</v>
      </c>
      <c r="N71" s="479" t="s">
        <v>83</v>
      </c>
      <c r="O71" s="479"/>
      <c r="P71" s="479"/>
      <c r="Q71" s="47"/>
      <c r="R71" s="132">
        <f>F71</f>
        <v>13414654</v>
      </c>
      <c r="S71" s="40" t="s">
        <v>6</v>
      </c>
      <c r="T71" s="133">
        <f>T63</f>
        <v>7.6000000000000004E-4</v>
      </c>
      <c r="U71" s="99">
        <f>ROUND(R71*T71,0)</f>
        <v>10195</v>
      </c>
    </row>
    <row r="72" spans="1:21" x14ac:dyDescent="0.25">
      <c r="A72" s="463" t="s">
        <v>434</v>
      </c>
      <c r="B72" s="453"/>
      <c r="C72" s="453"/>
      <c r="D72" s="72"/>
      <c r="E72" s="46" t="s">
        <v>3</v>
      </c>
      <c r="F72" s="337">
        <f>'0664'!F72</f>
        <v>14708421</v>
      </c>
      <c r="G72" s="39" t="s">
        <v>6</v>
      </c>
      <c r="H72" s="131">
        <f>H63</f>
        <v>7.6000000000000004E-4</v>
      </c>
      <c r="I72" s="104">
        <f>ROUND(F72*H72,2)</f>
        <v>11178.4</v>
      </c>
      <c r="N72" s="479" t="s">
        <v>82</v>
      </c>
      <c r="O72" s="479"/>
      <c r="P72" s="479"/>
      <c r="Q72" s="47"/>
      <c r="R72" s="134">
        <f>F72</f>
        <v>14708421</v>
      </c>
      <c r="S72" s="40" t="s">
        <v>6</v>
      </c>
      <c r="T72" s="133">
        <f>T63</f>
        <v>7.6000000000000004E-4</v>
      </c>
      <c r="U72" s="99">
        <f>ROUND(R72*T72,0)</f>
        <v>11178</v>
      </c>
    </row>
    <row r="73" spans="1:21" x14ac:dyDescent="0.25">
      <c r="A73" s="263" t="s">
        <v>99</v>
      </c>
      <c r="D73" s="72"/>
      <c r="E73" s="41" t="s">
        <v>353</v>
      </c>
      <c r="F73" s="466"/>
      <c r="G73" s="466"/>
      <c r="H73" s="466"/>
      <c r="I73" s="104">
        <v>0</v>
      </c>
      <c r="N73" s="499" t="s">
        <v>118</v>
      </c>
      <c r="O73" s="499"/>
      <c r="P73" s="499"/>
      <c r="Q73" s="499"/>
      <c r="R73" s="499"/>
      <c r="S73" s="499"/>
      <c r="T73" s="499"/>
      <c r="U73" s="99">
        <f>IF($H$120=1,I73,0)</f>
        <v>0</v>
      </c>
    </row>
    <row r="74" spans="1:21" x14ac:dyDescent="0.25">
      <c r="A74" s="264" t="s">
        <v>142</v>
      </c>
      <c r="I74" s="104"/>
      <c r="N74" s="499" t="s">
        <v>43</v>
      </c>
      <c r="O74" s="499"/>
      <c r="P74" s="499"/>
      <c r="Q74" s="499"/>
      <c r="R74" s="499"/>
      <c r="S74" s="499"/>
      <c r="T74" s="499"/>
      <c r="U74" s="99">
        <f>IF($H$120=1,I74,0)</f>
        <v>0</v>
      </c>
    </row>
    <row r="75" spans="1:21" x14ac:dyDescent="0.25">
      <c r="A75" s="324" t="s">
        <v>101</v>
      </c>
      <c r="B75" s="72"/>
      <c r="C75" s="72"/>
      <c r="D75" s="72"/>
      <c r="E75" s="72"/>
      <c r="F75" s="72"/>
      <c r="G75" s="72"/>
      <c r="H75" s="72"/>
      <c r="I75" s="135"/>
      <c r="N75" s="382" t="s">
        <v>44</v>
      </c>
      <c r="O75" s="48"/>
      <c r="P75" s="48"/>
      <c r="Q75" s="48"/>
      <c r="R75" s="48"/>
      <c r="S75" s="48"/>
      <c r="T75" s="48"/>
      <c r="U75" s="106"/>
    </row>
    <row r="76" spans="1:21" x14ac:dyDescent="0.25">
      <c r="A76" s="463" t="s">
        <v>435</v>
      </c>
      <c r="B76" s="453"/>
      <c r="C76" s="453"/>
      <c r="D76" s="72"/>
      <c r="E76" s="46" t="s">
        <v>3</v>
      </c>
      <c r="F76" s="337">
        <f>'0664'!F76</f>
        <v>8720092</v>
      </c>
      <c r="G76" s="39" t="s">
        <v>6</v>
      </c>
      <c r="H76" s="131">
        <f>H63</f>
        <v>7.6000000000000004E-4</v>
      </c>
      <c r="I76" s="104">
        <f t="shared" ref="I76:I85" si="14">ROUND(F76*H76,2)</f>
        <v>6627.27</v>
      </c>
      <c r="N76" s="478" t="s">
        <v>366</v>
      </c>
      <c r="O76" s="479"/>
      <c r="P76" s="479"/>
      <c r="Q76" s="47"/>
      <c r="R76" s="134">
        <f t="shared" ref="R76:R85" si="15">F76</f>
        <v>8720092</v>
      </c>
      <c r="S76" s="40" t="s">
        <v>6</v>
      </c>
      <c r="T76" s="133">
        <f>T63</f>
        <v>7.6000000000000004E-4</v>
      </c>
      <c r="U76" s="99">
        <f t="shared" ref="U76:U85" si="16">ROUND(R76*T76,0)</f>
        <v>6627</v>
      </c>
    </row>
    <row r="77" spans="1:21" x14ac:dyDescent="0.25">
      <c r="A77" s="463" t="s">
        <v>436</v>
      </c>
      <c r="B77" s="453"/>
      <c r="C77" s="453"/>
      <c r="D77" s="72"/>
      <c r="E77" s="46" t="s">
        <v>3</v>
      </c>
      <c r="F77" s="337">
        <f>'0664'!F77</f>
        <v>0</v>
      </c>
      <c r="G77" s="39" t="s">
        <v>6</v>
      </c>
      <c r="H77" s="131">
        <f>H63</f>
        <v>7.6000000000000004E-4</v>
      </c>
      <c r="I77" s="104">
        <f t="shared" si="14"/>
        <v>0</v>
      </c>
      <c r="N77" s="479" t="s">
        <v>367</v>
      </c>
      <c r="O77" s="479"/>
      <c r="P77" s="479"/>
      <c r="Q77" s="47"/>
      <c r="R77" s="134">
        <f t="shared" si="15"/>
        <v>0</v>
      </c>
      <c r="S77" s="40" t="s">
        <v>6</v>
      </c>
      <c r="T77" s="133">
        <f>T63</f>
        <v>7.6000000000000004E-4</v>
      </c>
      <c r="U77" s="99">
        <f t="shared" si="16"/>
        <v>0</v>
      </c>
    </row>
    <row r="78" spans="1:21" x14ac:dyDescent="0.25">
      <c r="A78" s="463" t="s">
        <v>437</v>
      </c>
      <c r="B78" s="453"/>
      <c r="C78" s="453"/>
      <c r="D78" s="72"/>
      <c r="E78" s="46" t="s">
        <v>4</v>
      </c>
      <c r="F78" s="337">
        <f>'0664'!F78</f>
        <v>0</v>
      </c>
      <c r="G78" s="39" t="s">
        <v>6</v>
      </c>
      <c r="H78" s="131">
        <f>H66</f>
        <v>2.8890000000000001E-3</v>
      </c>
      <c r="I78" s="104">
        <f t="shared" si="14"/>
        <v>0</v>
      </c>
      <c r="N78" s="478" t="s">
        <v>392</v>
      </c>
      <c r="O78" s="479"/>
      <c r="P78" s="479"/>
      <c r="Q78" s="47"/>
      <c r="R78" s="134">
        <f t="shared" si="15"/>
        <v>0</v>
      </c>
      <c r="S78" s="40" t="s">
        <v>6</v>
      </c>
      <c r="T78" s="133">
        <f>T66</f>
        <v>6.78E-4</v>
      </c>
      <c r="U78" s="99">
        <f t="shared" si="16"/>
        <v>0</v>
      </c>
    </row>
    <row r="79" spans="1:21" x14ac:dyDescent="0.25">
      <c r="A79" s="463" t="s">
        <v>438</v>
      </c>
      <c r="B79" s="453"/>
      <c r="C79" s="453"/>
      <c r="D79" s="72"/>
      <c r="E79" s="46" t="s">
        <v>4</v>
      </c>
      <c r="F79" s="337">
        <f>'0664'!F79</f>
        <v>11278687</v>
      </c>
      <c r="G79" s="39" t="s">
        <v>6</v>
      </c>
      <c r="H79" s="131">
        <f>H66</f>
        <v>2.8890000000000001E-3</v>
      </c>
      <c r="I79" s="104">
        <f t="shared" si="14"/>
        <v>32584.13</v>
      </c>
      <c r="N79" s="478" t="s">
        <v>393</v>
      </c>
      <c r="O79" s="479"/>
      <c r="P79" s="479"/>
      <c r="Q79" s="47"/>
      <c r="R79" s="134">
        <f t="shared" si="15"/>
        <v>11278687</v>
      </c>
      <c r="S79" s="40" t="s">
        <v>6</v>
      </c>
      <c r="T79" s="133">
        <f>T66</f>
        <v>6.78E-4</v>
      </c>
      <c r="U79" s="99">
        <f t="shared" si="16"/>
        <v>7647</v>
      </c>
    </row>
    <row r="80" spans="1:21" x14ac:dyDescent="0.25">
      <c r="A80" s="463" t="s">
        <v>439</v>
      </c>
      <c r="B80" s="453"/>
      <c r="C80" s="453"/>
      <c r="D80" s="72"/>
      <c r="E80" s="46" t="s">
        <v>4</v>
      </c>
      <c r="F80" s="337">
        <f>'0664'!F80</f>
        <v>206284749</v>
      </c>
      <c r="G80" s="39" t="s">
        <v>6</v>
      </c>
      <c r="H80" s="131">
        <f>H66</f>
        <v>2.8890000000000001E-3</v>
      </c>
      <c r="I80" s="104">
        <f t="shared" si="14"/>
        <v>595956.64</v>
      </c>
      <c r="N80" s="478" t="s">
        <v>397</v>
      </c>
      <c r="O80" s="479"/>
      <c r="P80" s="479"/>
      <c r="Q80" s="47"/>
      <c r="R80" s="134">
        <f t="shared" si="15"/>
        <v>206284749</v>
      </c>
      <c r="S80" s="40" t="s">
        <v>6</v>
      </c>
      <c r="T80" s="133">
        <f>T66</f>
        <v>6.78E-4</v>
      </c>
      <c r="U80" s="99">
        <f t="shared" si="16"/>
        <v>139861</v>
      </c>
    </row>
    <row r="81" spans="1:21" x14ac:dyDescent="0.25">
      <c r="A81" s="84" t="s">
        <v>440</v>
      </c>
      <c r="B81" s="72"/>
      <c r="C81" s="72"/>
      <c r="D81" s="72"/>
      <c r="E81" s="46"/>
      <c r="F81" s="337"/>
      <c r="G81" s="39"/>
      <c r="H81" s="131"/>
      <c r="I81" s="104"/>
      <c r="N81" s="419" t="s">
        <v>440</v>
      </c>
      <c r="O81" s="48"/>
      <c r="P81" s="48"/>
      <c r="Q81" s="47"/>
      <c r="R81" s="423"/>
      <c r="S81" s="40"/>
      <c r="T81" s="133"/>
      <c r="U81" s="120"/>
    </row>
    <row r="82" spans="1:21" x14ac:dyDescent="0.25">
      <c r="A82" s="264" t="s">
        <v>441</v>
      </c>
      <c r="B82" s="72"/>
      <c r="C82" s="72"/>
      <c r="D82" s="72"/>
      <c r="E82" s="46" t="s">
        <v>442</v>
      </c>
      <c r="F82" s="337">
        <f>'0664'!F82</f>
        <v>0</v>
      </c>
      <c r="G82" s="39" t="s">
        <v>6</v>
      </c>
      <c r="H82" s="131">
        <f>H66</f>
        <v>2.8890000000000001E-3</v>
      </c>
      <c r="I82" s="104">
        <v>108870.37</v>
      </c>
      <c r="N82" s="422" t="s">
        <v>441</v>
      </c>
      <c r="O82" s="48"/>
      <c r="P82" s="48"/>
      <c r="Q82" s="47"/>
      <c r="R82" s="134">
        <f t="shared" si="15"/>
        <v>0</v>
      </c>
      <c r="S82" s="40"/>
      <c r="T82" s="133"/>
      <c r="U82" s="99">
        <f t="shared" si="16"/>
        <v>0</v>
      </c>
    </row>
    <row r="83" spans="1:21" x14ac:dyDescent="0.25">
      <c r="A83" s="264" t="s">
        <v>443</v>
      </c>
      <c r="B83" s="72"/>
      <c r="C83" s="72"/>
      <c r="D83" s="72"/>
      <c r="E83" s="46" t="s">
        <v>442</v>
      </c>
      <c r="F83" s="337">
        <f>'0664'!F83</f>
        <v>0</v>
      </c>
      <c r="G83" s="39" t="s">
        <v>6</v>
      </c>
      <c r="H83" s="131">
        <f>H66</f>
        <v>2.8890000000000001E-3</v>
      </c>
      <c r="I83" s="104">
        <v>49486.53</v>
      </c>
      <c r="N83" s="422" t="s">
        <v>443</v>
      </c>
      <c r="O83" s="48"/>
      <c r="P83" s="48"/>
      <c r="Q83" s="47"/>
      <c r="R83" s="134">
        <f t="shared" si="15"/>
        <v>0</v>
      </c>
      <c r="S83" s="40"/>
      <c r="T83" s="133"/>
      <c r="U83" s="99">
        <f t="shared" si="16"/>
        <v>0</v>
      </c>
    </row>
    <row r="84" spans="1:21" x14ac:dyDescent="0.25">
      <c r="A84" s="420" t="s">
        <v>444</v>
      </c>
      <c r="B84" s="72"/>
      <c r="C84" s="72"/>
      <c r="D84" s="72"/>
      <c r="E84" s="46"/>
      <c r="F84" s="337"/>
      <c r="G84" s="39"/>
      <c r="H84" s="131"/>
      <c r="I84" s="104">
        <f>I82+I83</f>
        <v>158356.9</v>
      </c>
      <c r="N84" s="421" t="s">
        <v>444</v>
      </c>
      <c r="O84" s="48"/>
      <c r="P84" s="48"/>
      <c r="Q84" s="47"/>
      <c r="R84" s="423"/>
      <c r="S84" s="40"/>
      <c r="T84" s="133"/>
      <c r="U84" s="99">
        <f>U82+U83</f>
        <v>0</v>
      </c>
    </row>
    <row r="85" spans="1:21" x14ac:dyDescent="0.25">
      <c r="A85" s="463" t="s">
        <v>398</v>
      </c>
      <c r="B85" s="453"/>
      <c r="C85" s="453"/>
      <c r="D85" s="72"/>
      <c r="E85" s="46" t="s">
        <v>4</v>
      </c>
      <c r="F85" s="337">
        <f>'0664'!F85</f>
        <v>0</v>
      </c>
      <c r="G85" s="39" t="s">
        <v>6</v>
      </c>
      <c r="H85" s="131">
        <f>H66</f>
        <v>2.8890000000000001E-3</v>
      </c>
      <c r="I85" s="104">
        <f t="shared" si="14"/>
        <v>0</v>
      </c>
      <c r="N85" s="478" t="s">
        <v>398</v>
      </c>
      <c r="O85" s="479"/>
      <c r="P85" s="479"/>
      <c r="Q85" s="47"/>
      <c r="R85" s="132">
        <f t="shared" si="15"/>
        <v>0</v>
      </c>
      <c r="S85" s="40" t="s">
        <v>6</v>
      </c>
      <c r="T85" s="133">
        <f>T66</f>
        <v>6.78E-4</v>
      </c>
      <c r="U85" s="99">
        <f t="shared" si="16"/>
        <v>0</v>
      </c>
    </row>
    <row r="86" spans="1:21" x14ac:dyDescent="0.25">
      <c r="B86" s="72"/>
      <c r="C86" s="72"/>
      <c r="D86" s="72"/>
      <c r="E86" s="46"/>
      <c r="F86" s="136"/>
      <c r="G86" s="39"/>
      <c r="H86" s="131"/>
      <c r="I86" s="104"/>
      <c r="N86" s="48"/>
      <c r="O86" s="48"/>
      <c r="P86" s="48"/>
      <c r="Q86" s="47"/>
      <c r="R86" s="137"/>
      <c r="S86" s="40"/>
      <c r="T86" s="133"/>
      <c r="U86" s="106"/>
    </row>
    <row r="87" spans="1:21" x14ac:dyDescent="0.25">
      <c r="A87" s="463" t="s">
        <v>445</v>
      </c>
      <c r="B87" s="453"/>
      <c r="C87" s="453"/>
      <c r="D87" s="453"/>
      <c r="E87" s="453"/>
      <c r="F87" s="453"/>
      <c r="G87" s="453"/>
      <c r="H87" s="453"/>
      <c r="I87" s="453"/>
      <c r="N87" s="478" t="s">
        <v>429</v>
      </c>
      <c r="O87" s="479"/>
      <c r="P87" s="479"/>
      <c r="Q87" s="479"/>
      <c r="R87" s="479"/>
      <c r="S87" s="479"/>
      <c r="T87" s="479"/>
      <c r="U87" s="479"/>
    </row>
    <row r="88" spans="1:21" x14ac:dyDescent="0.25">
      <c r="B88" s="72"/>
      <c r="C88" s="466" t="s">
        <v>73</v>
      </c>
      <c r="D88" s="466"/>
      <c r="E88" s="72"/>
      <c r="F88" s="41" t="s">
        <v>37</v>
      </c>
      <c r="G88" s="72"/>
      <c r="H88" s="72"/>
      <c r="I88" s="72"/>
      <c r="N88" s="48"/>
      <c r="O88" s="48"/>
      <c r="P88" s="48"/>
      <c r="Q88" s="48"/>
      <c r="R88" s="48"/>
      <c r="S88" s="48"/>
      <c r="T88" s="48"/>
      <c r="U88" s="48"/>
    </row>
    <row r="89" spans="1:21" x14ac:dyDescent="0.25">
      <c r="A89" s="3"/>
      <c r="B89" s="138"/>
      <c r="C89" s="462" t="s">
        <v>144</v>
      </c>
      <c r="D89" s="462"/>
      <c r="E89" s="139" t="s">
        <v>150</v>
      </c>
      <c r="F89" s="140" t="s">
        <v>149</v>
      </c>
      <c r="G89" s="141"/>
      <c r="H89" s="141"/>
      <c r="I89" s="141"/>
      <c r="N89" s="495" t="s">
        <v>46</v>
      </c>
      <c r="O89" s="495"/>
      <c r="P89" s="496" t="s">
        <v>119</v>
      </c>
      <c r="Q89" s="496"/>
      <c r="R89" s="497" t="s">
        <v>40</v>
      </c>
      <c r="S89" s="497"/>
      <c r="T89" s="497"/>
      <c r="U89" s="497"/>
    </row>
    <row r="90" spans="1:21" x14ac:dyDescent="0.25">
      <c r="A90" s="27"/>
      <c r="B90" s="55" t="s">
        <v>148</v>
      </c>
      <c r="C90" s="467">
        <f>H13+H14+H19+H22+H25</f>
        <v>260.89449999999999</v>
      </c>
      <c r="D90" s="467"/>
      <c r="E90" s="49">
        <f>H8</f>
        <v>1.0438000000000001</v>
      </c>
      <c r="F90" s="338">
        <f>'0664'!F90</f>
        <v>957.94</v>
      </c>
      <c r="G90" s="41" t="s">
        <v>13</v>
      </c>
      <c r="H90" s="104">
        <f>ROUND(C90*E90*F90,2)</f>
        <v>260867.83</v>
      </c>
      <c r="I90" s="107"/>
      <c r="N90" s="29" t="s">
        <v>22</v>
      </c>
      <c r="O90" s="50">
        <f>T13+T14+T19+T22+T25</f>
        <v>63.02</v>
      </c>
      <c r="P90" s="490">
        <f>T8</f>
        <v>1.0438000000000001</v>
      </c>
      <c r="Q90" s="490"/>
      <c r="R90" s="51">
        <f>F90</f>
        <v>957.94</v>
      </c>
      <c r="S90" s="42" t="s">
        <v>13</v>
      </c>
      <c r="T90" s="134">
        <f>ROUND(O90*P90*R90,0)</f>
        <v>63014</v>
      </c>
      <c r="U90" s="105"/>
    </row>
    <row r="91" spans="1:21" x14ac:dyDescent="0.25">
      <c r="A91" s="52"/>
      <c r="B91" s="52" t="s">
        <v>147</v>
      </c>
      <c r="C91" s="467">
        <f>H15+H16+H20+H23+H26</f>
        <v>365.60699999999997</v>
      </c>
      <c r="D91" s="467"/>
      <c r="E91" s="49">
        <f>H8</f>
        <v>1.0438000000000001</v>
      </c>
      <c r="F91" s="338">
        <f>'0664'!F91</f>
        <v>914.63</v>
      </c>
      <c r="G91" s="41" t="s">
        <v>13</v>
      </c>
      <c r="H91" s="104">
        <f>ROUND(C91*E91*F91,2)</f>
        <v>349041.64</v>
      </c>
      <c r="N91" s="53" t="s">
        <v>14</v>
      </c>
      <c r="O91" s="50">
        <f>T15+T16+T20+T23+T26</f>
        <v>84</v>
      </c>
      <c r="P91" s="490">
        <f>T8</f>
        <v>1.0438000000000001</v>
      </c>
      <c r="Q91" s="490"/>
      <c r="R91" s="51">
        <f>F91</f>
        <v>914.63</v>
      </c>
      <c r="S91" s="42" t="s">
        <v>13</v>
      </c>
      <c r="T91" s="134">
        <f>ROUND(O91*P91*R91,0)</f>
        <v>80194</v>
      </c>
      <c r="U91" s="54"/>
    </row>
    <row r="92" spans="1:21" ht="16.5" thickBot="1" x14ac:dyDescent="0.3">
      <c r="A92" s="55"/>
      <c r="B92" s="55" t="s">
        <v>146</v>
      </c>
      <c r="C92" s="467">
        <f>H17+H18+H21+H24+H27+H28</f>
        <v>0</v>
      </c>
      <c r="D92" s="467"/>
      <c r="E92" s="49">
        <f>H8</f>
        <v>1.0438000000000001</v>
      </c>
      <c r="F92" s="338">
        <f>'0664'!F92</f>
        <v>916.84</v>
      </c>
      <c r="G92" s="41" t="s">
        <v>13</v>
      </c>
      <c r="H92" s="97">
        <f>ROUND(C92*E92*F92,2)</f>
        <v>0</v>
      </c>
      <c r="N92" s="56" t="s">
        <v>15</v>
      </c>
      <c r="O92" s="57">
        <f>T17+T18+T21+T24+T27+T28</f>
        <v>0</v>
      </c>
      <c r="P92" s="490">
        <f>T8</f>
        <v>1.0438000000000001</v>
      </c>
      <c r="Q92" s="490"/>
      <c r="R92" s="51">
        <f>F92</f>
        <v>916.84</v>
      </c>
      <c r="S92" s="42" t="s">
        <v>13</v>
      </c>
      <c r="T92" s="134">
        <f>ROUND(O92*P92*R92,0)</f>
        <v>0</v>
      </c>
      <c r="U92" s="54"/>
    </row>
    <row r="93" spans="1:21" ht="16.5" thickBot="1" x14ac:dyDescent="0.3">
      <c r="A93" s="58"/>
      <c r="B93" s="142" t="s">
        <v>145</v>
      </c>
      <c r="C93" s="469">
        <f>SUM(C90:C92)</f>
        <v>626.50149999999996</v>
      </c>
      <c r="D93" s="469"/>
      <c r="E93" s="143"/>
      <c r="F93" s="143"/>
      <c r="G93" s="143"/>
      <c r="H93" s="144" t="s">
        <v>143</v>
      </c>
      <c r="I93" s="104">
        <f>IF(A1=75,0,H92+H91+H90)</f>
        <v>609909.47</v>
      </c>
      <c r="N93" s="59" t="s">
        <v>120</v>
      </c>
      <c r="O93" s="60">
        <f>SUM(O90:O92)</f>
        <v>147.02000000000001</v>
      </c>
      <c r="P93" s="491" t="s">
        <v>18</v>
      </c>
      <c r="Q93" s="492"/>
      <c r="R93" s="492"/>
      <c r="S93" s="492"/>
      <c r="T93" s="492"/>
      <c r="U93" s="99">
        <f>IF(N1=75,0,T92+T91+T90)</f>
        <v>143208</v>
      </c>
    </row>
    <row r="94" spans="1:21" ht="16.5" thickTop="1" x14ac:dyDescent="0.25">
      <c r="A94" s="540" t="s">
        <v>90</v>
      </c>
      <c r="B94" s="540"/>
      <c r="C94" s="540"/>
      <c r="D94" s="540"/>
      <c r="E94" s="540"/>
      <c r="F94" s="540"/>
      <c r="G94" s="540"/>
      <c r="H94" s="540"/>
      <c r="I94" s="540"/>
      <c r="N94" s="493" t="s">
        <v>90</v>
      </c>
      <c r="O94" s="493"/>
      <c r="P94" s="493"/>
      <c r="Q94" s="493"/>
      <c r="R94" s="493"/>
      <c r="S94" s="493"/>
      <c r="T94" s="493"/>
      <c r="U94" s="493"/>
    </row>
    <row r="95" spans="1:21" x14ac:dyDescent="0.25">
      <c r="A95" s="145"/>
      <c r="B95" s="145"/>
      <c r="C95" s="145"/>
      <c r="D95" s="145"/>
      <c r="E95" s="145"/>
      <c r="F95" s="145"/>
      <c r="G95" s="145"/>
      <c r="H95" s="145"/>
      <c r="I95" s="145"/>
      <c r="N95" s="146"/>
      <c r="O95" s="146"/>
      <c r="P95" s="146"/>
      <c r="Q95" s="146"/>
      <c r="R95" s="146"/>
      <c r="S95" s="146"/>
      <c r="T95" s="146"/>
      <c r="U95" s="146"/>
    </row>
    <row r="96" spans="1:21" x14ac:dyDescent="0.25">
      <c r="A96" s="84" t="s">
        <v>446</v>
      </c>
      <c r="C96" s="46"/>
      <c r="D96" s="72"/>
      <c r="E96" s="46" t="s">
        <v>100</v>
      </c>
      <c r="F96" s="471"/>
      <c r="G96" s="471"/>
      <c r="H96" s="471"/>
      <c r="I96" s="471"/>
      <c r="N96" s="478" t="s">
        <v>426</v>
      </c>
      <c r="O96" s="479"/>
      <c r="P96" s="479"/>
      <c r="Q96" s="494"/>
      <c r="R96" s="494"/>
      <c r="S96" s="494"/>
      <c r="T96" s="494"/>
      <c r="U96" s="106"/>
    </row>
    <row r="97" spans="1:21" x14ac:dyDescent="0.25">
      <c r="B97" s="72"/>
      <c r="C97" s="91" t="s">
        <v>409</v>
      </c>
      <c r="D97" s="371" t="s">
        <v>410</v>
      </c>
      <c r="E97" s="92" t="s">
        <v>151</v>
      </c>
      <c r="F97" s="46"/>
      <c r="G97" s="46"/>
      <c r="H97" s="46"/>
      <c r="I97" s="46"/>
      <c r="N97" s="48"/>
      <c r="O97" s="48"/>
      <c r="P97" s="48"/>
      <c r="Q97" s="147"/>
      <c r="R97" s="147"/>
      <c r="S97" s="147"/>
      <c r="T97" s="147"/>
      <c r="U97" s="106"/>
    </row>
    <row r="98" spans="1:21" x14ac:dyDescent="0.25">
      <c r="B98" s="72"/>
      <c r="C98" s="362" t="s">
        <v>2</v>
      </c>
      <c r="D98" s="362" t="s">
        <v>2</v>
      </c>
      <c r="E98" s="362" t="s">
        <v>2</v>
      </c>
      <c r="F98" s="46"/>
      <c r="G98" s="46"/>
      <c r="H98" s="46"/>
      <c r="I98" s="46"/>
      <c r="N98" s="48"/>
      <c r="O98" s="48"/>
      <c r="P98" s="48"/>
      <c r="Q98" s="147"/>
      <c r="R98" s="147"/>
      <c r="S98" s="147"/>
      <c r="T98" s="147"/>
      <c r="U98" s="106"/>
    </row>
    <row r="99" spans="1:21" x14ac:dyDescent="0.25">
      <c r="A99" s="536" t="s">
        <v>470</v>
      </c>
      <c r="B99" s="461"/>
      <c r="C99" s="165">
        <v>0</v>
      </c>
      <c r="D99" s="165">
        <v>0</v>
      </c>
      <c r="E99" s="125">
        <f>C99</f>
        <v>0</v>
      </c>
      <c r="F99" s="148" t="s">
        <v>39</v>
      </c>
      <c r="G99" s="339">
        <f>'0664'!G99</f>
        <v>558</v>
      </c>
      <c r="I99" s="104">
        <f>ROUND(G99*E99,2)</f>
        <v>0</v>
      </c>
      <c r="N99" s="488" t="s">
        <v>65</v>
      </c>
      <c r="O99" s="488"/>
      <c r="P99" s="489">
        <f>IF(H120=1,E99,0)</f>
        <v>0</v>
      </c>
      <c r="Q99" s="489"/>
      <c r="R99" s="489"/>
      <c r="S99" s="86" t="s">
        <v>39</v>
      </c>
      <c r="T99" s="61">
        <f>G99</f>
        <v>558</v>
      </c>
      <c r="U99" s="99">
        <f>ROUND(T99*P99,0)</f>
        <v>0</v>
      </c>
    </row>
    <row r="100" spans="1:21" x14ac:dyDescent="0.25">
      <c r="A100" s="536" t="s">
        <v>471</v>
      </c>
      <c r="B100" s="461"/>
      <c r="C100" s="165">
        <v>0</v>
      </c>
      <c r="D100" s="165">
        <v>0</v>
      </c>
      <c r="E100" s="125">
        <f>C100</f>
        <v>0</v>
      </c>
      <c r="F100" s="148" t="s">
        <v>39</v>
      </c>
      <c r="G100" s="339">
        <f>'0664'!G100</f>
        <v>1707</v>
      </c>
      <c r="I100" s="104">
        <f>ROUND(G100*E100,2)</f>
        <v>0</v>
      </c>
      <c r="N100" s="488" t="s">
        <v>81</v>
      </c>
      <c r="O100" s="488"/>
      <c r="P100" s="483"/>
      <c r="Q100" s="483"/>
      <c r="R100" s="483"/>
      <c r="S100" s="86" t="s">
        <v>39</v>
      </c>
      <c r="T100" s="61">
        <f>G100</f>
        <v>1707</v>
      </c>
      <c r="U100" s="99">
        <f>ROUND(T100*P100,0)</f>
        <v>0</v>
      </c>
    </row>
    <row r="101" spans="1:21" x14ac:dyDescent="0.25">
      <c r="A101" s="149"/>
      <c r="B101" s="149"/>
      <c r="C101" s="68"/>
      <c r="D101" s="68"/>
      <c r="E101" s="68"/>
      <c r="F101" s="68"/>
      <c r="G101" s="150"/>
      <c r="H101" s="151"/>
      <c r="I101" s="104"/>
      <c r="N101" s="152"/>
      <c r="O101" s="152"/>
      <c r="P101" s="153"/>
      <c r="Q101" s="153"/>
      <c r="R101" s="153"/>
      <c r="S101" s="86"/>
      <c r="T101" s="61"/>
      <c r="U101" s="106"/>
    </row>
    <row r="102" spans="1:21" x14ac:dyDescent="0.25">
      <c r="A102" s="149"/>
      <c r="B102" s="149"/>
      <c r="C102" s="68"/>
      <c r="D102" s="68"/>
      <c r="E102" s="68"/>
      <c r="F102" s="68"/>
      <c r="G102" s="150"/>
      <c r="H102" s="151"/>
      <c r="I102" s="104"/>
      <c r="N102" s="152"/>
      <c r="O102" s="152"/>
      <c r="P102" s="153"/>
      <c r="Q102" s="153"/>
      <c r="R102" s="153"/>
      <c r="S102" s="86"/>
      <c r="T102" s="61"/>
      <c r="U102" s="106"/>
    </row>
    <row r="103" spans="1:21" hidden="1" x14ac:dyDescent="0.25">
      <c r="A103" s="463" t="s">
        <v>447</v>
      </c>
      <c r="B103" s="453"/>
      <c r="C103" s="453"/>
      <c r="D103" s="72"/>
      <c r="E103" s="41" t="s">
        <v>41</v>
      </c>
      <c r="F103" s="466"/>
      <c r="G103" s="466"/>
      <c r="H103" s="466"/>
      <c r="I103" s="466"/>
      <c r="N103" s="478" t="s">
        <v>362</v>
      </c>
      <c r="O103" s="479"/>
      <c r="P103" s="479"/>
      <c r="Q103" s="479"/>
      <c r="R103" s="479"/>
      <c r="S103" s="479"/>
      <c r="T103" s="479"/>
      <c r="U103" s="479"/>
    </row>
    <row r="104" spans="1:21" hidden="1" x14ac:dyDescent="0.25">
      <c r="B104" s="72"/>
      <c r="C104" s="462" t="s">
        <v>91</v>
      </c>
      <c r="D104" s="462"/>
      <c r="E104" s="462"/>
      <c r="F104" s="39"/>
      <c r="G104" s="39"/>
      <c r="H104" s="41" t="s">
        <v>152</v>
      </c>
      <c r="I104" s="39"/>
      <c r="N104" s="48"/>
      <c r="O104" s="48"/>
      <c r="P104" s="48"/>
      <c r="Q104" s="48"/>
      <c r="R104" s="48"/>
      <c r="S104" s="48"/>
      <c r="T104" s="48"/>
      <c r="U104" s="48"/>
    </row>
    <row r="105" spans="1:21" hidden="1" x14ac:dyDescent="0.25">
      <c r="B105" s="72"/>
      <c r="C105" s="91" t="s">
        <v>371</v>
      </c>
      <c r="D105" s="91" t="s">
        <v>351</v>
      </c>
      <c r="E105" s="159" t="s">
        <v>8</v>
      </c>
      <c r="F105" s="464" t="s">
        <v>153</v>
      </c>
      <c r="G105" s="466"/>
      <c r="H105" s="39" t="s">
        <v>38</v>
      </c>
      <c r="I105" s="39"/>
      <c r="N105" s="48"/>
      <c r="O105" s="48"/>
      <c r="P105" s="48"/>
      <c r="Q105" s="48"/>
      <c r="R105" s="48"/>
      <c r="S105" s="48"/>
      <c r="T105" s="48"/>
      <c r="U105" s="48"/>
    </row>
    <row r="106" spans="1:21" hidden="1" x14ac:dyDescent="0.25">
      <c r="A106" s="462" t="s">
        <v>94</v>
      </c>
      <c r="B106" s="462"/>
      <c r="C106" s="93" t="s">
        <v>2</v>
      </c>
      <c r="D106" s="93" t="s">
        <v>2</v>
      </c>
      <c r="E106" s="62" t="s">
        <v>2</v>
      </c>
      <c r="F106" s="462" t="s">
        <v>37</v>
      </c>
      <c r="G106" s="462"/>
      <c r="H106" s="62" t="s">
        <v>37</v>
      </c>
      <c r="I106" s="62" t="s">
        <v>8</v>
      </c>
      <c r="N106" s="484" t="s">
        <v>66</v>
      </c>
      <c r="O106" s="484"/>
      <c r="P106" s="489" t="s">
        <v>91</v>
      </c>
      <c r="Q106" s="489"/>
      <c r="R106" s="484" t="s">
        <v>67</v>
      </c>
      <c r="S106" s="484"/>
      <c r="T106" s="63" t="s">
        <v>68</v>
      </c>
      <c r="U106" s="63" t="s">
        <v>8</v>
      </c>
    </row>
    <row r="107" spans="1:21" hidden="1" x14ac:dyDescent="0.25">
      <c r="A107" s="473" t="s">
        <v>69</v>
      </c>
      <c r="B107" s="473"/>
      <c r="C107" s="163">
        <v>0</v>
      </c>
      <c r="D107" s="163">
        <v>0</v>
      </c>
      <c r="E107" s="210">
        <f>IF(D$59=0,C107*2,C107+D107)</f>
        <v>0</v>
      </c>
      <c r="F107" s="474">
        <v>0</v>
      </c>
      <c r="G107" s="474"/>
      <c r="H107" s="250">
        <f>IF(C107=0,0,125)</f>
        <v>0</v>
      </c>
      <c r="I107" s="104">
        <f>ROUND((H107+F107)*E107,2)</f>
        <v>0</v>
      </c>
      <c r="N107" s="479" t="s">
        <v>69</v>
      </c>
      <c r="O107" s="479"/>
      <c r="P107" s="483">
        <f>IF(H$120=1,C107,0)</f>
        <v>0</v>
      </c>
      <c r="Q107" s="483"/>
      <c r="R107" s="486">
        <f>F107</f>
        <v>0</v>
      </c>
      <c r="S107" s="486"/>
      <c r="T107" s="65">
        <f>H107</f>
        <v>0</v>
      </c>
      <c r="U107" s="99">
        <f>ROUND((T107+R107)*P107,0)</f>
        <v>0</v>
      </c>
    </row>
    <row r="108" spans="1:21" hidden="1" x14ac:dyDescent="0.25">
      <c r="A108" s="456" t="s">
        <v>70</v>
      </c>
      <c r="B108" s="456"/>
      <c r="C108" s="165">
        <v>0</v>
      </c>
      <c r="D108" s="165">
        <v>0</v>
      </c>
      <c r="E108" s="125">
        <f>IF(D$59=0,C108*2,C108+D108)</f>
        <v>0</v>
      </c>
      <c r="F108" s="468">
        <f>ROUND(F107/2,2)</f>
        <v>0</v>
      </c>
      <c r="G108" s="468"/>
      <c r="H108" s="250">
        <f>IF(C108=0,0,62.5)</f>
        <v>0</v>
      </c>
      <c r="I108" s="104">
        <f>ROUND((H108+F108)*E108,2)</f>
        <v>0</v>
      </c>
      <c r="N108" s="479" t="s">
        <v>70</v>
      </c>
      <c r="O108" s="479"/>
      <c r="P108" s="483">
        <f>IF(H$120=1,C108,0)</f>
        <v>0</v>
      </c>
      <c r="Q108" s="483"/>
      <c r="R108" s="487">
        <f>ROUND(R107/2,2)</f>
        <v>0</v>
      </c>
      <c r="S108" s="487"/>
      <c r="T108" s="65">
        <f>H108</f>
        <v>0</v>
      </c>
      <c r="U108" s="99">
        <f>ROUND((T108+R108)*P108,0)</f>
        <v>0</v>
      </c>
    </row>
    <row r="109" spans="1:21" ht="16.5" hidden="1" thickBot="1" x14ac:dyDescent="0.3">
      <c r="A109" s="456" t="s">
        <v>71</v>
      </c>
      <c r="B109" s="456"/>
      <c r="C109" s="165">
        <v>0</v>
      </c>
      <c r="D109" s="165">
        <v>0</v>
      </c>
      <c r="E109" s="125">
        <f>IF(D$59=0,C109*2,C109+D109)</f>
        <v>0</v>
      </c>
      <c r="F109" s="475"/>
      <c r="G109" s="475"/>
      <c r="H109" s="251">
        <f>IF(H107&gt;0,436,0)</f>
        <v>0</v>
      </c>
      <c r="I109" s="104">
        <f>ROUND(H109*E109,2)</f>
        <v>0</v>
      </c>
      <c r="N109" s="482" t="s">
        <v>71</v>
      </c>
      <c r="O109" s="482"/>
      <c r="P109" s="483">
        <f>IF(H$120=1,C109,0)</f>
        <v>0</v>
      </c>
      <c r="Q109" s="483"/>
      <c r="R109" s="484"/>
      <c r="S109" s="484"/>
      <c r="T109" s="67">
        <f>H109</f>
        <v>0</v>
      </c>
      <c r="U109" s="106">
        <f>ROUND(T109*P109,0)</f>
        <v>0</v>
      </c>
    </row>
    <row r="110" spans="1:21" ht="16.5" hidden="1" thickBot="1" x14ac:dyDescent="0.3">
      <c r="A110" s="466" t="s">
        <v>8</v>
      </c>
      <c r="B110" s="466"/>
      <c r="C110" s="68"/>
      <c r="D110" s="68"/>
      <c r="E110" s="68"/>
      <c r="F110" s="68"/>
      <c r="G110" s="68"/>
      <c r="H110" s="68"/>
      <c r="I110" s="100">
        <f>SUM(I107:I109)</f>
        <v>0</v>
      </c>
      <c r="N110" s="485" t="s">
        <v>8</v>
      </c>
      <c r="O110" s="485"/>
      <c r="P110" s="69"/>
      <c r="Q110" s="69"/>
      <c r="R110" s="69"/>
      <c r="S110" s="69"/>
      <c r="T110" s="69"/>
      <c r="U110" s="70">
        <f>SUM(U107:U109)</f>
        <v>0</v>
      </c>
    </row>
    <row r="111" spans="1:21" hidden="1" x14ac:dyDescent="0.25">
      <c r="A111" s="39"/>
      <c r="B111" s="39"/>
      <c r="C111" s="68"/>
      <c r="D111" s="68"/>
      <c r="E111" s="68"/>
      <c r="F111" s="68"/>
      <c r="G111" s="68"/>
      <c r="H111" s="68"/>
      <c r="I111" s="104"/>
      <c r="N111" s="40"/>
      <c r="O111" s="40"/>
      <c r="P111" s="69"/>
      <c r="Q111" s="69"/>
      <c r="R111" s="69"/>
      <c r="S111" s="69"/>
      <c r="T111" s="69"/>
      <c r="U111" s="160"/>
    </row>
    <row r="112" spans="1:21" x14ac:dyDescent="0.25">
      <c r="A112" s="463" t="s">
        <v>448</v>
      </c>
      <c r="B112" s="453"/>
      <c r="C112" s="453"/>
      <c r="D112" s="72"/>
      <c r="E112" s="71" t="s">
        <v>354</v>
      </c>
      <c r="F112" s="472"/>
      <c r="G112" s="472"/>
      <c r="H112" s="472"/>
      <c r="I112" s="125">
        <v>0</v>
      </c>
      <c r="N112" s="478" t="s">
        <v>427</v>
      </c>
      <c r="O112" s="479"/>
      <c r="P112" s="479"/>
      <c r="Q112" s="341"/>
      <c r="R112" s="341"/>
      <c r="S112" s="341"/>
      <c r="T112" s="341"/>
      <c r="U112" s="99">
        <f>IF($H$120=1,I112,0)</f>
        <v>0</v>
      </c>
    </row>
    <row r="113" spans="1:21" x14ac:dyDescent="0.25">
      <c r="A113" s="463" t="s">
        <v>449</v>
      </c>
      <c r="B113" s="453"/>
      <c r="C113" s="453"/>
      <c r="D113" s="72"/>
      <c r="E113" s="71" t="s">
        <v>45</v>
      </c>
      <c r="F113" s="472"/>
      <c r="G113" s="472"/>
      <c r="H113" s="472"/>
      <c r="I113" s="177">
        <v>0</v>
      </c>
      <c r="N113" s="478" t="s">
        <v>428</v>
      </c>
      <c r="O113" s="479"/>
      <c r="P113" s="479"/>
      <c r="Q113" s="341"/>
      <c r="R113" s="341"/>
      <c r="S113" s="341"/>
      <c r="T113" s="341"/>
      <c r="U113" s="99">
        <f>IF($H$120=1,I113,0)</f>
        <v>0</v>
      </c>
    </row>
    <row r="114" spans="1:21" ht="16.5" thickBot="1" x14ac:dyDescent="0.3">
      <c r="B114" s="72"/>
      <c r="C114" s="72"/>
      <c r="D114" s="72"/>
      <c r="E114" s="71"/>
      <c r="F114" s="71"/>
      <c r="G114" s="71"/>
      <c r="H114" s="71"/>
      <c r="I114" s="125"/>
      <c r="N114" s="480" t="s">
        <v>42</v>
      </c>
      <c r="O114" s="480"/>
      <c r="P114" s="480"/>
      <c r="Q114" s="480"/>
      <c r="R114" s="480"/>
      <c r="S114" s="480"/>
      <c r="T114" s="480"/>
      <c r="U114" s="154">
        <f>SUM(U112,U110,U100,U99,U93,U77,U76,U74,U73,U72,U71,U70,U68,U59,U45,U78,U79,U80,U85,U113)</f>
        <v>1054970</v>
      </c>
    </row>
    <row r="115" spans="1:21" ht="16.5" thickTop="1" x14ac:dyDescent="0.25">
      <c r="A115" s="461" t="s">
        <v>8</v>
      </c>
      <c r="B115" s="461"/>
      <c r="C115" s="461"/>
      <c r="D115" s="461"/>
      <c r="E115" s="461"/>
      <c r="F115" s="461"/>
      <c r="G115" s="461"/>
      <c r="H115" s="461"/>
      <c r="I115" s="97">
        <f>SUM(I113,I112,I110,I100,I99,I93,I85,I84,I80,I79,I78,I77,I76,I74,I73,I72,I71,I70,I68,I59,I45)</f>
        <v>4456976.13</v>
      </c>
      <c r="N115" s="29"/>
      <c r="O115" s="29"/>
      <c r="P115" s="29"/>
      <c r="Q115" s="29"/>
      <c r="R115" s="29"/>
      <c r="S115" s="29"/>
      <c r="T115" s="29"/>
      <c r="U115" s="160"/>
    </row>
    <row r="116" spans="1:21" x14ac:dyDescent="0.25">
      <c r="A116" s="27"/>
      <c r="B116" s="27"/>
      <c r="C116" s="27"/>
      <c r="D116" s="27"/>
      <c r="E116" s="27"/>
      <c r="F116" s="27"/>
      <c r="G116" s="27"/>
      <c r="H116" s="27"/>
      <c r="I116" s="104"/>
      <c r="N116" s="29"/>
      <c r="O116" s="29"/>
      <c r="P116" s="29"/>
      <c r="Q116" s="29"/>
      <c r="R116" s="29"/>
      <c r="S116" s="29"/>
      <c r="T116" s="29"/>
      <c r="U116" s="160"/>
    </row>
    <row r="117" spans="1:21" x14ac:dyDescent="0.25">
      <c r="A117" s="432" t="s">
        <v>467</v>
      </c>
      <c r="B117" s="27"/>
      <c r="C117" s="27"/>
      <c r="D117" s="27"/>
      <c r="E117" s="27"/>
      <c r="F117" s="27"/>
      <c r="G117" s="27"/>
      <c r="H117" s="27"/>
      <c r="I117" s="104">
        <f>I115-I84</f>
        <v>4298619.2299999995</v>
      </c>
      <c r="N117" s="29"/>
      <c r="O117" s="29"/>
      <c r="P117" s="29"/>
      <c r="Q117" s="29"/>
      <c r="R117" s="29"/>
      <c r="S117" s="29"/>
      <c r="T117" s="29"/>
      <c r="U117" s="160"/>
    </row>
    <row r="118" spans="1:21" x14ac:dyDescent="0.25">
      <c r="A118" s="27"/>
      <c r="B118" s="27"/>
      <c r="C118" s="27"/>
      <c r="D118" s="27"/>
      <c r="E118" s="27"/>
      <c r="F118" s="27"/>
      <c r="G118" s="27"/>
      <c r="H118" s="27"/>
      <c r="I118" s="104"/>
      <c r="N118" s="29"/>
      <c r="O118" s="29"/>
      <c r="P118" s="29"/>
      <c r="Q118" s="29"/>
      <c r="R118" s="29"/>
      <c r="S118" s="29"/>
      <c r="T118" s="29"/>
      <c r="U118" s="160"/>
    </row>
    <row r="119" spans="1:21" x14ac:dyDescent="0.25">
      <c r="A119" s="463" t="s">
        <v>468</v>
      </c>
      <c r="B119" s="453"/>
      <c r="C119" s="453"/>
      <c r="D119" s="453"/>
      <c r="E119" s="453"/>
      <c r="F119" s="453"/>
      <c r="G119" s="453"/>
      <c r="H119" s="84" t="s">
        <v>394</v>
      </c>
      <c r="I119" s="156"/>
      <c r="N119" s="481"/>
      <c r="O119" s="481"/>
      <c r="P119" s="481"/>
      <c r="Q119" s="481"/>
      <c r="R119" s="481"/>
      <c r="S119" s="481"/>
      <c r="T119" s="481"/>
      <c r="U119" s="481"/>
    </row>
    <row r="120" spans="1:21" x14ac:dyDescent="0.25">
      <c r="A120" s="453" t="s">
        <v>95</v>
      </c>
      <c r="B120" s="453"/>
      <c r="C120" s="453"/>
      <c r="D120" s="453"/>
      <c r="E120" s="453"/>
      <c r="F120" s="453"/>
      <c r="G120" s="453"/>
      <c r="H120" s="73">
        <f>IF(E29=0,"",IF((E14+E16+SUM(E18:E24))/E29&gt;0.75,1,""))</f>
        <v>1</v>
      </c>
      <c r="I120" s="125">
        <f>U114</f>
        <v>1054970</v>
      </c>
      <c r="N120" s="476" t="s">
        <v>7</v>
      </c>
      <c r="O120" s="476"/>
      <c r="P120" s="476"/>
      <c r="Q120" s="476"/>
      <c r="R120" s="476"/>
      <c r="S120" s="476"/>
      <c r="T120" s="476"/>
      <c r="U120" s="476"/>
    </row>
    <row r="121" spans="1:21" x14ac:dyDescent="0.25">
      <c r="B121" s="72"/>
      <c r="C121" s="72"/>
      <c r="D121" s="72"/>
      <c r="E121" s="72"/>
      <c r="F121" s="72"/>
      <c r="G121" s="72"/>
      <c r="H121" s="68"/>
      <c r="I121" s="104"/>
      <c r="N121" s="74" t="s">
        <v>106</v>
      </c>
      <c r="O121" s="74"/>
      <c r="P121" s="74"/>
      <c r="Q121" s="74"/>
      <c r="R121" s="74"/>
      <c r="S121" s="74"/>
      <c r="T121" s="74"/>
      <c r="U121" s="74"/>
    </row>
    <row r="122" spans="1:21" x14ac:dyDescent="0.25">
      <c r="A122" s="3" t="s">
        <v>102</v>
      </c>
      <c r="B122" s="72"/>
      <c r="C122" s="72"/>
      <c r="D122" s="72"/>
      <c r="E122" s="72"/>
      <c r="F122" s="72"/>
      <c r="G122" s="286"/>
      <c r="H122" s="161">
        <f>IF(H120=1,I120,I117)</f>
        <v>1054970</v>
      </c>
      <c r="I122" s="97">
        <f>ROUND(IF(E29=0,0,IF(E29&gt;250,-(((250/E29)*H122)*IF(G122="H",0.02,0.05)),IF(G122="H",-0.02*H122,-0.05*H122))),2)</f>
        <v>-52748.5</v>
      </c>
      <c r="N122" s="75" t="s">
        <v>107</v>
      </c>
      <c r="O122" s="74"/>
      <c r="P122" s="74"/>
      <c r="Q122" s="74"/>
      <c r="R122" s="74"/>
      <c r="S122" s="74"/>
      <c r="T122" s="74"/>
      <c r="U122" s="74"/>
    </row>
    <row r="123" spans="1:21" x14ac:dyDescent="0.25">
      <c r="B123" s="72"/>
      <c r="C123" s="72"/>
      <c r="D123" s="72"/>
      <c r="E123" s="72"/>
      <c r="F123" s="72"/>
      <c r="G123" s="72"/>
      <c r="H123" s="68"/>
      <c r="I123" s="104"/>
      <c r="N123" s="76"/>
      <c r="O123" s="76"/>
      <c r="P123" s="76"/>
      <c r="Q123" s="76"/>
      <c r="R123" s="76"/>
      <c r="S123" s="76"/>
      <c r="T123" s="76"/>
      <c r="U123" s="76"/>
    </row>
    <row r="124" spans="1:21" x14ac:dyDescent="0.25">
      <c r="A124" s="345" t="s">
        <v>103</v>
      </c>
      <c r="B124" s="346"/>
      <c r="C124" s="346"/>
      <c r="D124" s="346"/>
      <c r="E124" s="346"/>
      <c r="F124" s="346"/>
      <c r="G124" s="346"/>
      <c r="H124" s="347"/>
      <c r="I124" s="348">
        <f>I115+I122</f>
        <v>4404227.63</v>
      </c>
      <c r="N124" s="76"/>
      <c r="O124" s="76"/>
      <c r="P124" s="76"/>
      <c r="Q124" s="76"/>
      <c r="R124" s="76"/>
      <c r="S124" s="76"/>
      <c r="T124" s="76"/>
      <c r="U124" s="76"/>
    </row>
    <row r="125" spans="1:21" x14ac:dyDescent="0.25">
      <c r="B125" s="72"/>
      <c r="C125" s="72"/>
      <c r="D125" s="72"/>
      <c r="E125" s="72"/>
      <c r="F125" s="72"/>
      <c r="G125" s="72"/>
      <c r="H125" s="68"/>
      <c r="I125" s="104"/>
      <c r="N125" s="76"/>
      <c r="O125" s="76"/>
      <c r="P125" s="76"/>
      <c r="Q125" s="76"/>
      <c r="R125" s="76"/>
      <c r="S125" s="76"/>
      <c r="T125" s="76"/>
      <c r="U125" s="76"/>
    </row>
    <row r="126" spans="1:21" x14ac:dyDescent="0.25">
      <c r="A126" s="3" t="s">
        <v>104</v>
      </c>
      <c r="B126" s="72"/>
      <c r="C126" s="162"/>
      <c r="D126" s="72"/>
      <c r="F126" s="72"/>
      <c r="G126" s="72"/>
      <c r="H126" s="68"/>
      <c r="I126" s="302">
        <v>-3287915.29</v>
      </c>
      <c r="N126" s="76"/>
      <c r="O126" s="76"/>
      <c r="P126" s="76"/>
      <c r="Q126" s="76"/>
      <c r="R126" s="76"/>
      <c r="S126" s="76"/>
      <c r="T126" s="76"/>
      <c r="U126" s="76"/>
    </row>
    <row r="127" spans="1:21" x14ac:dyDescent="0.25">
      <c r="B127" s="72"/>
      <c r="C127" s="72"/>
      <c r="D127" s="72"/>
      <c r="E127" s="72"/>
      <c r="F127" s="72"/>
      <c r="G127" s="72"/>
      <c r="H127" s="68"/>
      <c r="I127" s="104"/>
      <c r="N127" s="76"/>
      <c r="O127" s="76"/>
      <c r="P127" s="76"/>
      <c r="Q127" s="76"/>
      <c r="R127" s="76"/>
      <c r="S127" s="76"/>
      <c r="T127" s="76"/>
      <c r="U127" s="76"/>
    </row>
    <row r="128" spans="1:21" x14ac:dyDescent="0.25">
      <c r="A128" s="84" t="s">
        <v>297</v>
      </c>
      <c r="B128" s="72"/>
      <c r="C128" s="72"/>
      <c r="D128" s="72"/>
      <c r="E128" s="72"/>
      <c r="F128" s="72"/>
      <c r="G128" s="72"/>
      <c r="H128" s="68"/>
      <c r="I128" s="104">
        <f>I124+I126</f>
        <v>1116312.3399999999</v>
      </c>
      <c r="N128" s="76"/>
      <c r="O128" s="76"/>
      <c r="P128" s="76"/>
      <c r="Q128" s="76"/>
      <c r="R128" s="76"/>
      <c r="S128" s="76"/>
      <c r="T128" s="76"/>
      <c r="U128" s="76"/>
    </row>
    <row r="129" spans="1:21" x14ac:dyDescent="0.25">
      <c r="A129" s="84"/>
      <c r="B129" s="72"/>
      <c r="C129" s="72"/>
      <c r="D129" s="72"/>
      <c r="E129" s="72"/>
      <c r="F129" s="72"/>
      <c r="G129" s="72"/>
      <c r="H129" s="68"/>
      <c r="I129" s="104"/>
      <c r="N129" s="76"/>
      <c r="O129" s="76"/>
      <c r="P129" s="76"/>
      <c r="Q129" s="76"/>
      <c r="R129" s="76"/>
      <c r="S129" s="76"/>
      <c r="T129" s="76"/>
      <c r="U129" s="76"/>
    </row>
    <row r="130" spans="1:21" x14ac:dyDescent="0.25">
      <c r="A130" s="84" t="s">
        <v>298</v>
      </c>
      <c r="B130" s="72"/>
      <c r="C130" s="72"/>
      <c r="D130" s="72"/>
      <c r="E130" s="72"/>
      <c r="F130" s="72"/>
      <c r="G130" s="72"/>
      <c r="H130" s="68"/>
      <c r="I130" s="303">
        <f>'0664'!I130</f>
        <v>3</v>
      </c>
      <c r="N130" s="76"/>
      <c r="O130" s="76"/>
      <c r="P130" s="76"/>
      <c r="Q130" s="76"/>
      <c r="R130" s="76"/>
      <c r="S130" s="76"/>
      <c r="T130" s="76"/>
      <c r="U130" s="76"/>
    </row>
    <row r="131" spans="1:21" x14ac:dyDescent="0.25">
      <c r="B131" s="72"/>
      <c r="C131" s="72"/>
      <c r="D131" s="72"/>
      <c r="E131" s="72"/>
      <c r="F131" s="72"/>
      <c r="G131" s="72"/>
      <c r="H131" s="68"/>
      <c r="I131" s="104"/>
      <c r="N131" s="76"/>
      <c r="O131" s="76"/>
      <c r="P131" s="76"/>
      <c r="Q131" s="76"/>
      <c r="R131" s="76"/>
      <c r="S131" s="76"/>
      <c r="T131" s="76"/>
      <c r="U131" s="76"/>
    </row>
    <row r="132" spans="1:21" ht="16.5" thickBot="1" x14ac:dyDescent="0.3">
      <c r="A132" s="3" t="s">
        <v>105</v>
      </c>
      <c r="B132" s="72"/>
      <c r="C132" s="72"/>
      <c r="D132" s="72"/>
      <c r="E132" s="72"/>
      <c r="F132" s="72"/>
      <c r="G132" s="72"/>
      <c r="H132" s="68"/>
      <c r="I132" s="178">
        <f>ROUND(I128/I130,2)</f>
        <v>372104.11</v>
      </c>
      <c r="N132" s="76"/>
      <c r="O132" s="76"/>
      <c r="P132" s="76"/>
      <c r="Q132" s="76"/>
      <c r="R132" s="76"/>
      <c r="S132" s="76"/>
      <c r="T132" s="76"/>
      <c r="U132" s="76"/>
    </row>
    <row r="133" spans="1:21" ht="16.5" thickTop="1" x14ac:dyDescent="0.25">
      <c r="B133" s="72"/>
      <c r="C133" s="72"/>
      <c r="D133" s="72"/>
      <c r="E133" s="72"/>
      <c r="F133" s="72"/>
      <c r="G133" s="72"/>
      <c r="H133" s="68"/>
      <c r="I133" s="104"/>
      <c r="N133" s="76"/>
      <c r="O133" s="76"/>
      <c r="P133" s="76"/>
      <c r="Q133" s="76"/>
      <c r="R133" s="76"/>
      <c r="S133" s="76"/>
      <c r="T133" s="76"/>
      <c r="U133" s="76"/>
    </row>
    <row r="134" spans="1:21" ht="16.5" thickBot="1" x14ac:dyDescent="0.3">
      <c r="A134" s="3" t="s">
        <v>121</v>
      </c>
      <c r="B134" s="72"/>
      <c r="C134" s="72"/>
      <c r="D134" s="72"/>
      <c r="E134" s="72"/>
      <c r="F134" s="72"/>
      <c r="G134" s="72"/>
      <c r="H134" s="68"/>
      <c r="I134" s="155">
        <f>ROUND(IF(G122="H",(H122*0.02)+I122,(H122*0.05)+I122),2)</f>
        <v>0</v>
      </c>
      <c r="N134" s="76"/>
      <c r="O134" s="76"/>
      <c r="P134" s="76"/>
      <c r="Q134" s="76"/>
      <c r="R134" s="76"/>
      <c r="S134" s="76"/>
      <c r="T134" s="76"/>
      <c r="U134" s="76"/>
    </row>
    <row r="135" spans="1:21" ht="16.5" thickTop="1" x14ac:dyDescent="0.25">
      <c r="B135" s="72"/>
      <c r="C135" s="72"/>
      <c r="D135" s="72"/>
      <c r="E135" s="72"/>
      <c r="F135" s="72"/>
      <c r="G135" s="72"/>
      <c r="H135" s="68"/>
      <c r="I135" s="156"/>
      <c r="N135" s="76"/>
      <c r="O135" s="76"/>
      <c r="P135" s="76"/>
      <c r="Q135" s="76"/>
      <c r="R135" s="76"/>
      <c r="S135" s="76"/>
      <c r="T135" s="76"/>
      <c r="U135" s="76"/>
    </row>
    <row r="136" spans="1:21" x14ac:dyDescent="0.25">
      <c r="B136" s="72"/>
      <c r="C136" s="72"/>
      <c r="D136" s="72"/>
      <c r="E136" s="72"/>
      <c r="F136" s="72"/>
      <c r="G136" s="72"/>
      <c r="H136" s="68"/>
      <c r="I136" s="104"/>
      <c r="N136" s="76"/>
      <c r="O136" s="76"/>
      <c r="P136" s="76"/>
      <c r="Q136" s="76"/>
      <c r="R136" s="76"/>
      <c r="S136" s="76"/>
      <c r="T136" s="76"/>
      <c r="U136" s="76"/>
    </row>
    <row r="137" spans="1:21" x14ac:dyDescent="0.25">
      <c r="B137" s="72"/>
      <c r="C137" s="72"/>
      <c r="D137" s="72"/>
      <c r="E137" s="72"/>
      <c r="F137" s="72"/>
      <c r="G137" s="72"/>
      <c r="H137" s="68"/>
      <c r="I137" s="156"/>
      <c r="N137" s="76"/>
      <c r="O137" s="76"/>
      <c r="P137" s="76"/>
      <c r="Q137" s="76"/>
      <c r="R137" s="76"/>
      <c r="S137" s="76"/>
      <c r="T137" s="76"/>
      <c r="U137" s="76"/>
    </row>
    <row r="138" spans="1:21" x14ac:dyDescent="0.25">
      <c r="A138" s="281" t="s">
        <v>7</v>
      </c>
      <c r="B138" s="281"/>
      <c r="C138" s="281"/>
      <c r="D138" s="281"/>
      <c r="E138" s="281"/>
      <c r="F138" s="281"/>
      <c r="G138" s="281"/>
      <c r="H138" s="281"/>
      <c r="I138" s="281"/>
      <c r="J138" s="156"/>
      <c r="N138" s="76"/>
      <c r="O138" s="76"/>
      <c r="P138" s="76"/>
      <c r="Q138" s="76"/>
      <c r="R138" s="76"/>
      <c r="S138" s="76"/>
      <c r="T138" s="76"/>
      <c r="U138" s="76"/>
    </row>
    <row r="139" spans="1:21" ht="15.75" customHeight="1" x14ac:dyDescent="0.25">
      <c r="A139" s="384" t="str">
        <f>'0664'!A139</f>
        <v>(a) Additional FTE includes FTE earned through Advanced Placement, International Baccalaureate, Advanced International Certificate of Education, Industry Certified Career</v>
      </c>
      <c r="B139" s="385"/>
      <c r="C139" s="385"/>
      <c r="D139" s="385"/>
      <c r="E139" s="385"/>
      <c r="F139" s="385"/>
      <c r="G139" s="385"/>
      <c r="H139" s="385"/>
      <c r="I139" s="385"/>
      <c r="J139" s="80"/>
      <c r="K139" s="79"/>
      <c r="L139" s="79"/>
      <c r="M139" s="79"/>
      <c r="N139" s="477"/>
      <c r="O139" s="477"/>
      <c r="P139" s="477"/>
      <c r="Q139" s="477"/>
      <c r="R139" s="477"/>
      <c r="S139" s="477"/>
      <c r="T139" s="477"/>
      <c r="U139" s="477"/>
    </row>
    <row r="140" spans="1:21" ht="15.75" customHeight="1" x14ac:dyDescent="0.25">
      <c r="A140" s="390" t="str">
        <f>'0664'!A140</f>
        <v xml:space="preserve">Education (CAPE), Early High School Graduation and the small district ESE Supplement, pursuant to s. 1011.62(1)(l-p), F.S. </v>
      </c>
      <c r="B140" s="385"/>
      <c r="C140" s="385"/>
      <c r="D140" s="385"/>
      <c r="E140" s="385"/>
      <c r="F140" s="385"/>
      <c r="G140" s="385"/>
      <c r="H140" s="385"/>
      <c r="I140" s="385"/>
      <c r="J140" s="80"/>
      <c r="K140" s="79"/>
      <c r="L140" s="79"/>
      <c r="M140" s="79"/>
      <c r="N140" s="76"/>
      <c r="O140" s="76"/>
      <c r="P140" s="76"/>
      <c r="Q140" s="76"/>
      <c r="R140" s="76"/>
      <c r="S140" s="76"/>
      <c r="T140" s="76"/>
      <c r="U140" s="76"/>
    </row>
    <row r="141" spans="1:21" x14ac:dyDescent="0.25">
      <c r="A141" s="384" t="str">
        <f>'0664'!A141</f>
        <v>(b) District allocations multiplied by percentage from item 3A.</v>
      </c>
      <c r="B141" s="386"/>
      <c r="C141" s="386"/>
      <c r="D141" s="386"/>
      <c r="E141" s="386"/>
      <c r="F141" s="386"/>
      <c r="G141" s="386"/>
      <c r="H141" s="386"/>
      <c r="I141" s="386"/>
      <c r="J141" s="79"/>
      <c r="K141" s="79"/>
      <c r="L141" s="79"/>
      <c r="M141" s="79"/>
      <c r="N141" s="81"/>
      <c r="O141" s="82"/>
      <c r="P141" s="82"/>
      <c r="Q141" s="82"/>
      <c r="R141" s="82"/>
      <c r="S141" s="82"/>
      <c r="T141" s="82"/>
      <c r="U141" s="82"/>
    </row>
    <row r="142" spans="1:21" s="79" customFormat="1" x14ac:dyDescent="0.2">
      <c r="A142" s="384" t="str">
        <f>'0664'!A142</f>
        <v>(c) District allocations multiplied by percentage from item 3B.</v>
      </c>
      <c r="B142" s="386"/>
      <c r="C142" s="386"/>
      <c r="D142" s="386"/>
      <c r="E142" s="386"/>
      <c r="F142" s="386"/>
      <c r="G142" s="386"/>
      <c r="H142" s="386"/>
      <c r="I142" s="386"/>
      <c r="N142" s="81"/>
    </row>
    <row r="143" spans="1:21" s="79" customFormat="1" ht="15.75" customHeight="1" x14ac:dyDescent="0.2">
      <c r="A143" s="384" t="str">
        <f>'0664'!A143</f>
        <v>(d) The Digital Classroom Allocation is provided pursuant to s. 1011.62(12), F.S.</v>
      </c>
      <c r="B143" s="386"/>
      <c r="C143" s="386"/>
      <c r="D143" s="386"/>
      <c r="E143" s="386"/>
      <c r="F143" s="386"/>
      <c r="G143" s="386"/>
      <c r="H143" s="386"/>
      <c r="I143" s="386"/>
      <c r="N143" s="81"/>
    </row>
    <row r="144" spans="1:21" s="79" customFormat="1" ht="15.75" customHeight="1" x14ac:dyDescent="0.2">
      <c r="A144" s="384" t="str">
        <f>'0664'!A144</f>
        <v>(e) School districts are required to pay for instructional materials used for the instruction of public high school students who are earning credit toward high school</v>
      </c>
      <c r="B144" s="386"/>
      <c r="C144" s="386"/>
      <c r="D144" s="386"/>
      <c r="E144" s="386"/>
      <c r="F144" s="386"/>
      <c r="G144" s="386"/>
      <c r="H144" s="386"/>
      <c r="I144" s="386"/>
      <c r="N144" s="81"/>
    </row>
    <row r="145" spans="1:14" s="79" customFormat="1" ht="15.75" customHeight="1" x14ac:dyDescent="0.2">
      <c r="A145" s="390" t="str">
        <f>'0664'!A145</f>
        <v xml:space="preserve">graduation under the dual enrollment program as provided in s. 1011.62(l)(i), F.S.  </v>
      </c>
      <c r="B145" s="386"/>
      <c r="C145" s="386"/>
      <c r="D145" s="386"/>
      <c r="E145" s="386"/>
      <c r="F145" s="386"/>
      <c r="G145" s="386"/>
      <c r="H145" s="386"/>
      <c r="I145" s="386"/>
      <c r="N145" s="81"/>
    </row>
    <row r="146" spans="1:14" s="79" customFormat="1" x14ac:dyDescent="0.2">
      <c r="A146" s="384" t="str">
        <f>'0664'!A146</f>
        <v>(f) This allocation will be frozen as of the 2021-22 FEFP Second Calculation and will not be recalculated throughout the year. Charter school allocations should be</v>
      </c>
      <c r="B146" s="386"/>
      <c r="C146" s="386"/>
      <c r="D146" s="386"/>
      <c r="E146" s="386"/>
      <c r="F146" s="386"/>
      <c r="G146" s="386"/>
      <c r="H146" s="386"/>
      <c r="I146" s="386"/>
      <c r="N146" s="81"/>
    </row>
    <row r="147" spans="1:14" s="79" customFormat="1" x14ac:dyDescent="0.2">
      <c r="A147" s="390" t="str">
        <f>'0664'!A147</f>
        <v xml:space="preserve">distributed on weighted FTE (or base funding as is done in the FEFP) and should not be recalculated with fluctuations in student enrollment later in the year. </v>
      </c>
      <c r="B147" s="386"/>
      <c r="C147" s="386"/>
      <c r="D147" s="386"/>
      <c r="E147" s="386"/>
      <c r="F147" s="386"/>
      <c r="G147" s="386"/>
      <c r="H147" s="386"/>
      <c r="I147" s="386"/>
      <c r="N147" s="81"/>
    </row>
    <row r="148" spans="1:14" s="79" customFormat="1" x14ac:dyDescent="0.2">
      <c r="A148" s="384" t="str">
        <f>'0664'!A148</f>
        <v>(g) Numbers entered here will be multiplied by the district level transportation funding per rider. "All Adjusted Fundable Riders" should include both basic and ESE Riders.</v>
      </c>
      <c r="B148" s="386"/>
      <c r="C148" s="386"/>
      <c r="D148" s="386"/>
      <c r="E148" s="386"/>
      <c r="F148" s="386"/>
      <c r="G148" s="386"/>
      <c r="H148" s="386"/>
      <c r="I148" s="386"/>
      <c r="N148" s="81"/>
    </row>
    <row r="149" spans="1:14" s="79" customFormat="1" x14ac:dyDescent="0.2">
      <c r="A149" s="390" t="str">
        <f>'0664'!A149</f>
        <v>"All Adjusted ESE Riders" should include only ESE Riders.</v>
      </c>
      <c r="B149" s="386"/>
      <c r="C149" s="386"/>
      <c r="D149" s="386"/>
      <c r="E149" s="386"/>
      <c r="F149" s="386"/>
      <c r="G149" s="386"/>
      <c r="H149" s="386"/>
      <c r="I149" s="386"/>
      <c r="N149" s="81"/>
    </row>
    <row r="150" spans="1:14" s="79" customFormat="1" x14ac:dyDescent="0.2">
      <c r="A150" s="384" t="str">
        <f>'0664'!A150</f>
        <v xml:space="preserve">(h) The Federally Connected Student Supplement provides additional funding for students on federal lands that receive Section 8003 impact aide pursuant to s. 1011.62(13), F.S. </v>
      </c>
      <c r="B150" s="386"/>
      <c r="C150" s="386"/>
      <c r="D150" s="386"/>
      <c r="E150" s="386"/>
      <c r="F150" s="386"/>
      <c r="G150" s="386"/>
      <c r="H150" s="386"/>
      <c r="I150" s="386"/>
      <c r="N150" s="81"/>
    </row>
    <row r="151" spans="1:14" s="79" customFormat="1" x14ac:dyDescent="0.2">
      <c r="A151" s="384" t="str">
        <f>'0664'!A151</f>
        <v>(i) Teacher Classroom Supply Assistance Program allocation pursuant to s. 1012.71, F.S., for certified teachers employed by a public school district or public charter school</v>
      </c>
      <c r="B151" s="386"/>
      <c r="C151" s="386"/>
      <c r="D151" s="386"/>
      <c r="E151" s="386"/>
      <c r="F151" s="386"/>
      <c r="G151" s="386"/>
      <c r="H151" s="386"/>
      <c r="I151" s="386"/>
      <c r="N151" s="81"/>
    </row>
    <row r="152" spans="1:14" s="79" customFormat="1" x14ac:dyDescent="0.2">
      <c r="A152" s="390" t="str">
        <f>'0664'!A152</f>
        <v xml:space="preserve">before September 1 of each year whose full-time or job-share responsibility is the classroom instruction of students in prekindergarten through grade 12, including </v>
      </c>
      <c r="B152" s="386"/>
      <c r="C152" s="386"/>
      <c r="D152" s="386"/>
      <c r="E152" s="386"/>
      <c r="F152" s="386"/>
      <c r="G152" s="386"/>
      <c r="H152" s="386"/>
      <c r="I152" s="386"/>
      <c r="N152" s="81"/>
    </row>
    <row r="153" spans="1:14" s="79" customFormat="1" ht="15.75" customHeight="1" x14ac:dyDescent="0.2">
      <c r="A153" s="390" t="str">
        <f>'0664'!A153</f>
        <v>full-time media specialists and certified school counselors serving students in prekindergarten through grade 12, who are funded through the FEFP.</v>
      </c>
      <c r="B153" s="386"/>
      <c r="C153" s="386"/>
      <c r="D153" s="386"/>
      <c r="E153" s="386"/>
      <c r="F153" s="386"/>
      <c r="G153" s="386"/>
      <c r="H153" s="386"/>
      <c r="I153" s="386"/>
      <c r="N153" s="81"/>
    </row>
    <row r="154" spans="1:14" s="79" customFormat="1" ht="15.75" customHeight="1" x14ac:dyDescent="0.2">
      <c r="A154" s="384" t="str">
        <f>'0664'!A154</f>
        <v xml:space="preserve">(j) Funding based on student eligibility and meals provided, if participating in the National School Lunch Program. </v>
      </c>
      <c r="B154" s="386"/>
      <c r="C154" s="386"/>
      <c r="D154" s="386"/>
      <c r="E154" s="386"/>
      <c r="F154" s="386"/>
      <c r="G154" s="386"/>
      <c r="H154" s="386"/>
      <c r="I154" s="386"/>
      <c r="N154" s="81"/>
    </row>
    <row r="155" spans="1:14" s="79" customFormat="1" ht="15.75" customHeight="1" x14ac:dyDescent="0.2">
      <c r="A155" s="384" t="str">
        <f>'0664'!A155</f>
        <v>(k) Consistent with s. 1002.33(20)(a), F.S., for charter schools with a population of 75% or more ESE students, the administrative fee shall be calculated based on</v>
      </c>
      <c r="B155" s="386"/>
      <c r="C155" s="386"/>
      <c r="D155" s="386"/>
      <c r="E155" s="386"/>
      <c r="F155" s="386"/>
      <c r="G155" s="386"/>
      <c r="H155" s="386"/>
      <c r="I155" s="386"/>
      <c r="N155" s="81"/>
    </row>
    <row r="156" spans="1:14" s="79" customFormat="1" ht="15.75" customHeight="1" x14ac:dyDescent="0.2">
      <c r="A156" s="390" t="str">
        <f>'0664'!A156</f>
        <v xml:space="preserve">unweighted full-time equivalent students. </v>
      </c>
      <c r="B156" s="386"/>
      <c r="C156" s="386"/>
      <c r="D156" s="386"/>
      <c r="E156" s="386"/>
      <c r="F156" s="386"/>
      <c r="G156" s="386"/>
      <c r="H156" s="386"/>
      <c r="I156" s="386"/>
      <c r="N156" s="81"/>
    </row>
    <row r="157" spans="1:14" s="79" customFormat="1" ht="15.75" customHeight="1" x14ac:dyDescent="0.2">
      <c r="A157" s="384"/>
      <c r="B157" s="386"/>
      <c r="C157" s="386"/>
      <c r="D157" s="386"/>
      <c r="E157" s="386"/>
      <c r="F157" s="386"/>
      <c r="G157" s="386"/>
      <c r="H157" s="386"/>
      <c r="I157" s="386"/>
      <c r="N157" s="81"/>
    </row>
    <row r="158" spans="1:14" s="79" customFormat="1" ht="15.75" customHeight="1" x14ac:dyDescent="0.25">
      <c r="A158" s="397" t="str">
        <f>'0664'!A158</f>
        <v>Administrative fees:</v>
      </c>
      <c r="B158" s="386"/>
      <c r="C158" s="386"/>
      <c r="D158" s="386"/>
      <c r="E158" s="386"/>
      <c r="F158" s="386"/>
      <c r="G158" s="386"/>
      <c r="H158" s="386"/>
      <c r="I158" s="386"/>
      <c r="J158" s="3"/>
      <c r="K158" s="3"/>
      <c r="L158" s="3"/>
      <c r="M158" s="3"/>
      <c r="N158" s="81"/>
    </row>
    <row r="159" spans="1:14" s="79" customFormat="1" ht="15.75" customHeight="1" x14ac:dyDescent="0.25">
      <c r="A159" s="401" t="str">
        <f>'0664'!A159</f>
        <v xml:space="preserve">Administrative fees charged by the school district pursuant to s. 1002.33(20)(a), F.S., shall be calculated based upon 5% of available funds from the FEFP and categorical </v>
      </c>
      <c r="B159" s="389"/>
      <c r="C159" s="389"/>
      <c r="D159" s="389"/>
      <c r="E159" s="389"/>
      <c r="F159" s="389"/>
      <c r="G159" s="389"/>
      <c r="H159" s="389"/>
      <c r="I159" s="389"/>
      <c r="J159" s="3"/>
      <c r="K159" s="3"/>
      <c r="L159" s="3"/>
      <c r="M159" s="3"/>
      <c r="N159" s="81"/>
    </row>
    <row r="160" spans="1:14" s="79" customFormat="1" ht="15.75" customHeight="1" x14ac:dyDescent="0.25">
      <c r="A160" s="402" t="str">
        <f>'0664'!A160</f>
        <v>funding for which charter students may be eligible.  To calculate the administrative fee to be withheld for schools with more than 250 students, divide the school</v>
      </c>
      <c r="B160" s="396"/>
      <c r="C160" s="396"/>
      <c r="D160" s="396"/>
      <c r="E160" s="396"/>
      <c r="F160" s="396"/>
      <c r="G160" s="396"/>
      <c r="H160" s="396"/>
      <c r="I160" s="396"/>
      <c r="J160" s="3"/>
      <c r="K160" s="3"/>
      <c r="L160" s="3"/>
      <c r="M160" s="3"/>
      <c r="N160" s="81"/>
    </row>
    <row r="161" spans="1:21" s="79" customFormat="1" ht="15.75" customHeight="1" x14ac:dyDescent="0.25">
      <c r="A161" s="402" t="str">
        <f>'0664'!A161</f>
        <v xml:space="preserve">population into 250. Multiply that fraction times the funds available, then times 5%.  </v>
      </c>
      <c r="B161" s="396"/>
      <c r="C161" s="396"/>
      <c r="D161" s="396"/>
      <c r="E161" s="396"/>
      <c r="F161" s="396"/>
      <c r="G161" s="396"/>
      <c r="H161" s="396"/>
      <c r="I161" s="396"/>
      <c r="J161" s="3"/>
      <c r="K161" s="3"/>
      <c r="L161" s="3"/>
      <c r="M161" s="3"/>
      <c r="N161" s="81"/>
    </row>
    <row r="162" spans="1:21" s="79" customFormat="1" ht="15.75" customHeight="1" x14ac:dyDescent="0.25">
      <c r="A162" s="401"/>
      <c r="B162" s="396"/>
      <c r="C162" s="396"/>
      <c r="D162" s="396"/>
      <c r="E162" s="396"/>
      <c r="F162" s="396"/>
      <c r="G162" s="396"/>
      <c r="H162" s="396"/>
      <c r="I162" s="396"/>
      <c r="N162" s="77"/>
      <c r="O162" s="3"/>
      <c r="P162" s="3"/>
      <c r="Q162" s="3"/>
      <c r="R162" s="3"/>
      <c r="S162" s="3"/>
      <c r="T162" s="3"/>
      <c r="U162" s="3"/>
    </row>
    <row r="163" spans="1:21" ht="15.75" customHeight="1" x14ac:dyDescent="0.25">
      <c r="A163" s="401" t="str">
        <f>'0664'!A163</f>
        <v xml:space="preserve">For high performing charter schools, administrative fees charged by the school district shall be calculated based upon 2% of available funds from the FEFP and categorical </v>
      </c>
      <c r="B163" s="389"/>
      <c r="C163" s="389"/>
      <c r="D163" s="389"/>
      <c r="E163" s="389"/>
      <c r="F163" s="389"/>
      <c r="G163" s="389"/>
      <c r="H163" s="389"/>
      <c r="I163" s="389"/>
      <c r="J163" s="79"/>
      <c r="K163" s="79"/>
      <c r="L163" s="79"/>
      <c r="M163" s="79"/>
      <c r="N163" s="81"/>
      <c r="O163" s="79"/>
      <c r="P163" s="79"/>
      <c r="Q163" s="79"/>
      <c r="R163" s="79"/>
      <c r="S163" s="79"/>
      <c r="T163" s="79"/>
      <c r="U163" s="79"/>
    </row>
    <row r="164" spans="1:21" ht="15.75" customHeight="1" x14ac:dyDescent="0.25">
      <c r="A164" s="402" t="str">
        <f>'0664'!A164</f>
        <v>funding for which charter students may be eligible.  To calculate the administrative fee to be withheld for schools with more than 250 students, divide the school</v>
      </c>
      <c r="B164" s="389"/>
      <c r="C164" s="389"/>
      <c r="D164" s="389"/>
      <c r="E164" s="389"/>
      <c r="F164" s="389"/>
      <c r="G164" s="389"/>
      <c r="H164" s="389"/>
      <c r="I164" s="389"/>
      <c r="J164" s="79"/>
      <c r="K164" s="79"/>
      <c r="L164" s="79"/>
      <c r="M164" s="79"/>
      <c r="N164" s="81"/>
      <c r="O164" s="79"/>
      <c r="P164" s="79"/>
      <c r="Q164" s="79"/>
      <c r="R164" s="79"/>
      <c r="S164" s="79"/>
      <c r="T164" s="79"/>
      <c r="U164" s="79"/>
    </row>
    <row r="165" spans="1:21" s="79" customFormat="1" ht="15.75" customHeight="1" x14ac:dyDescent="0.2">
      <c r="A165" s="402" t="str">
        <f>'0664'!A165</f>
        <v xml:space="preserve">population into 250. Multiply that fraction times the funds available, then times 2%.  </v>
      </c>
      <c r="B165" s="389"/>
      <c r="C165" s="389"/>
      <c r="D165" s="389"/>
      <c r="E165" s="389"/>
      <c r="F165" s="389"/>
      <c r="G165" s="389"/>
      <c r="H165" s="389"/>
      <c r="I165" s="389"/>
      <c r="N165" s="81"/>
    </row>
    <row r="166" spans="1:21" x14ac:dyDescent="0.25">
      <c r="A166" s="384"/>
      <c r="B166" s="389"/>
      <c r="C166" s="389"/>
      <c r="D166" s="389"/>
      <c r="E166" s="389"/>
      <c r="F166" s="389"/>
      <c r="G166" s="389"/>
      <c r="H166" s="389"/>
      <c r="I166" s="389"/>
      <c r="N166" s="77"/>
    </row>
    <row r="167" spans="1:21" x14ac:dyDescent="0.25">
      <c r="A167" s="397" t="str">
        <f>'0664'!A167</f>
        <v>Other:</v>
      </c>
      <c r="B167" s="395"/>
      <c r="C167" s="395"/>
      <c r="D167" s="395"/>
      <c r="E167" s="395"/>
      <c r="F167" s="395"/>
      <c r="G167" s="395"/>
      <c r="H167" s="395"/>
      <c r="I167" s="395"/>
      <c r="N167" s="77"/>
    </row>
    <row r="168" spans="1:21" x14ac:dyDescent="0.25">
      <c r="A168" s="401" t="str">
        <f>'0664'!A168</f>
        <v>FEFP and categorical funding are recalculated during the year to reflect the revised number of full-time equivalent students reported during the survey periods designated</v>
      </c>
      <c r="B168" s="389"/>
      <c r="C168" s="389"/>
      <c r="D168" s="389"/>
      <c r="E168" s="389"/>
      <c r="F168" s="389"/>
      <c r="G168" s="389"/>
      <c r="H168" s="389"/>
      <c r="I168" s="389"/>
      <c r="N168" s="77"/>
    </row>
    <row r="169" spans="1:21" x14ac:dyDescent="0.25">
      <c r="A169" s="402" t="str">
        <f>'0664'!A169</f>
        <v>by the Commissioner of Education.</v>
      </c>
      <c r="B169" s="396"/>
      <c r="C169" s="396"/>
      <c r="D169" s="396"/>
      <c r="E169" s="396"/>
      <c r="F169" s="396"/>
      <c r="G169" s="396"/>
      <c r="H169" s="396"/>
      <c r="I169" s="396"/>
      <c r="N169" s="77"/>
    </row>
    <row r="170" spans="1:21" x14ac:dyDescent="0.25">
      <c r="A170" s="401" t="str">
        <f>'0664'!A170</f>
        <v>Revenues flow to districts from state sources and from county tax collectors on various distribution schedules.</v>
      </c>
      <c r="B170" s="389"/>
      <c r="C170" s="389"/>
      <c r="D170" s="389"/>
      <c r="E170" s="389"/>
      <c r="F170" s="389"/>
      <c r="G170" s="389"/>
      <c r="H170" s="389"/>
      <c r="I170" s="389"/>
      <c r="N170" s="77"/>
    </row>
    <row r="171" spans="1:21" x14ac:dyDescent="0.25">
      <c r="A171" s="328"/>
      <c r="B171" s="328"/>
      <c r="C171" s="328"/>
      <c r="D171" s="328"/>
      <c r="E171" s="328"/>
      <c r="F171" s="328"/>
      <c r="G171" s="328"/>
      <c r="H171" s="328"/>
      <c r="I171" s="328"/>
      <c r="N171" s="77"/>
    </row>
    <row r="172" spans="1:21" x14ac:dyDescent="0.25">
      <c r="A172" s="77"/>
      <c r="N172" s="77"/>
    </row>
    <row r="173" spans="1:21" x14ac:dyDescent="0.25">
      <c r="A173" s="77"/>
      <c r="N173" s="77"/>
    </row>
    <row r="174" spans="1:21" x14ac:dyDescent="0.25">
      <c r="A174" s="77"/>
      <c r="N174" s="77"/>
    </row>
    <row r="175" spans="1:21" x14ac:dyDescent="0.25">
      <c r="A175" s="77"/>
      <c r="B175" s="157"/>
      <c r="C175" s="157"/>
      <c r="D175" s="157"/>
      <c r="E175" s="157"/>
      <c r="F175" s="157"/>
      <c r="G175" s="157"/>
      <c r="H175" s="157"/>
      <c r="I175" s="157"/>
      <c r="N175" s="77"/>
    </row>
    <row r="176" spans="1:21" x14ac:dyDescent="0.25">
      <c r="A176" s="77"/>
      <c r="N176" s="77"/>
    </row>
    <row r="177" spans="1:14" x14ac:dyDescent="0.25">
      <c r="A177" s="77"/>
      <c r="N177" s="77"/>
    </row>
    <row r="178" spans="1:14" x14ac:dyDescent="0.25">
      <c r="A178" s="77"/>
      <c r="N178" s="77"/>
    </row>
    <row r="179" spans="1:14" x14ac:dyDescent="0.25">
      <c r="A179" s="77"/>
      <c r="N179" s="77"/>
    </row>
    <row r="180" spans="1:14" x14ac:dyDescent="0.25">
      <c r="A180" s="77"/>
      <c r="N180" s="77"/>
    </row>
    <row r="181" spans="1:14" x14ac:dyDescent="0.25">
      <c r="A181" s="77"/>
      <c r="N181" s="77"/>
    </row>
    <row r="182" spans="1:14" x14ac:dyDescent="0.25">
      <c r="A182" s="77"/>
      <c r="N182" s="77"/>
    </row>
    <row r="183" spans="1:14" x14ac:dyDescent="0.25">
      <c r="A183" s="77"/>
      <c r="N183" s="77"/>
    </row>
    <row r="184" spans="1:14" x14ac:dyDescent="0.25">
      <c r="A184" s="77"/>
      <c r="N184" s="77"/>
    </row>
    <row r="185" spans="1:14" x14ac:dyDescent="0.25">
      <c r="A185" s="77"/>
      <c r="N185" s="77"/>
    </row>
    <row r="186" spans="1:14" x14ac:dyDescent="0.25">
      <c r="A186" s="77"/>
      <c r="N186" s="77"/>
    </row>
    <row r="187" spans="1:14" x14ac:dyDescent="0.25">
      <c r="A187" s="77"/>
      <c r="N187" s="77"/>
    </row>
    <row r="188" spans="1:14" x14ac:dyDescent="0.25">
      <c r="A188" s="77"/>
    </row>
    <row r="189" spans="1:14" x14ac:dyDescent="0.25">
      <c r="A189" s="77"/>
    </row>
    <row r="190" spans="1:14" x14ac:dyDescent="0.25">
      <c r="A190" s="77"/>
    </row>
    <row r="191" spans="1:14" x14ac:dyDescent="0.25">
      <c r="A191" s="77"/>
    </row>
    <row r="192" spans="1:14" x14ac:dyDescent="0.25">
      <c r="A192" s="77"/>
    </row>
    <row r="193" spans="1:1" x14ac:dyDescent="0.25">
      <c r="A193" s="77"/>
    </row>
    <row r="194" spans="1:1" x14ac:dyDescent="0.25">
      <c r="A194" s="77"/>
    </row>
    <row r="195" spans="1:1" x14ac:dyDescent="0.25">
      <c r="A195" s="77"/>
    </row>
    <row r="196" spans="1:1" x14ac:dyDescent="0.25">
      <c r="A196" s="77"/>
    </row>
    <row r="197" spans="1:1" x14ac:dyDescent="0.25">
      <c r="A197" s="77"/>
    </row>
    <row r="198" spans="1:1" x14ac:dyDescent="0.25">
      <c r="A198" s="77"/>
    </row>
    <row r="199" spans="1:1" x14ac:dyDescent="0.25">
      <c r="A199" s="77"/>
    </row>
    <row r="200" spans="1:1" x14ac:dyDescent="0.25">
      <c r="A200" s="77"/>
    </row>
    <row r="201" spans="1:1" x14ac:dyDescent="0.25">
      <c r="A201" s="77"/>
    </row>
    <row r="202" spans="1:1" x14ac:dyDescent="0.25">
      <c r="A202" s="77"/>
    </row>
    <row r="203" spans="1:1" x14ac:dyDescent="0.25">
      <c r="A203" s="77"/>
    </row>
    <row r="204" spans="1:1" x14ac:dyDescent="0.25">
      <c r="A204" s="77"/>
    </row>
    <row r="205" spans="1:1" x14ac:dyDescent="0.25">
      <c r="A205" s="77"/>
    </row>
    <row r="206" spans="1:1" x14ac:dyDescent="0.25">
      <c r="A206" s="77"/>
    </row>
  </sheetData>
  <mergeCells count="266">
    <mergeCell ref="N110:O110"/>
    <mergeCell ref="A110:B110"/>
    <mergeCell ref="R107:S107"/>
    <mergeCell ref="A108:B108"/>
    <mergeCell ref="F108:G108"/>
    <mergeCell ref="N108:O108"/>
    <mergeCell ref="P108:Q108"/>
    <mergeCell ref="N139:U139"/>
    <mergeCell ref="N119:U119"/>
    <mergeCell ref="N113:P113"/>
    <mergeCell ref="A113:C113"/>
    <mergeCell ref="F113:H113"/>
    <mergeCell ref="N114:T114"/>
    <mergeCell ref="A115:H115"/>
    <mergeCell ref="A119:G119"/>
    <mergeCell ref="A120:G120"/>
    <mergeCell ref="A112:C112"/>
    <mergeCell ref="F112:H112"/>
    <mergeCell ref="N112:P112"/>
    <mergeCell ref="N120:U120"/>
    <mergeCell ref="A109:B109"/>
    <mergeCell ref="F109:G109"/>
    <mergeCell ref="N109:O109"/>
    <mergeCell ref="P109:Q109"/>
    <mergeCell ref="R109:S109"/>
    <mergeCell ref="R106:S106"/>
    <mergeCell ref="A99:B99"/>
    <mergeCell ref="N99:O99"/>
    <mergeCell ref="P99:R99"/>
    <mergeCell ref="A100:B100"/>
    <mergeCell ref="N100:O100"/>
    <mergeCell ref="P100:R100"/>
    <mergeCell ref="R108:S108"/>
    <mergeCell ref="A103:C103"/>
    <mergeCell ref="F103:I103"/>
    <mergeCell ref="N103:U103"/>
    <mergeCell ref="C104:E104"/>
    <mergeCell ref="F105:G105"/>
    <mergeCell ref="A106:B106"/>
    <mergeCell ref="F106:G106"/>
    <mergeCell ref="N106:O106"/>
    <mergeCell ref="P106:Q106"/>
    <mergeCell ref="A107:B107"/>
    <mergeCell ref="F107:G107"/>
    <mergeCell ref="N107:O107"/>
    <mergeCell ref="P107:Q107"/>
    <mergeCell ref="C91:D91"/>
    <mergeCell ref="P91:Q91"/>
    <mergeCell ref="C92:D92"/>
    <mergeCell ref="P92:Q92"/>
    <mergeCell ref="C93:D93"/>
    <mergeCell ref="P93:T93"/>
    <mergeCell ref="A94:I94"/>
    <mergeCell ref="N94:U94"/>
    <mergeCell ref="F96:I96"/>
    <mergeCell ref="N96:P96"/>
    <mergeCell ref="Q96:T96"/>
    <mergeCell ref="A87:I87"/>
    <mergeCell ref="N87:U87"/>
    <mergeCell ref="C88:D88"/>
    <mergeCell ref="C89:D89"/>
    <mergeCell ref="N89:O89"/>
    <mergeCell ref="P89:Q89"/>
    <mergeCell ref="R89:U89"/>
    <mergeCell ref="C90:D90"/>
    <mergeCell ref="P90:Q90"/>
    <mergeCell ref="A80:C80"/>
    <mergeCell ref="N80:P80"/>
    <mergeCell ref="A85:C85"/>
    <mergeCell ref="N85:P85"/>
    <mergeCell ref="F73:H73"/>
    <mergeCell ref="N73:T73"/>
    <mergeCell ref="N74:T74"/>
    <mergeCell ref="A78:C78"/>
    <mergeCell ref="N78:P78"/>
    <mergeCell ref="A79:C79"/>
    <mergeCell ref="A69:C69"/>
    <mergeCell ref="N69:P69"/>
    <mergeCell ref="N79:P79"/>
    <mergeCell ref="A76:C76"/>
    <mergeCell ref="N76:P76"/>
    <mergeCell ref="A77:C77"/>
    <mergeCell ref="A70:C70"/>
    <mergeCell ref="A71:C71"/>
    <mergeCell ref="N71:P71"/>
    <mergeCell ref="A72:C72"/>
    <mergeCell ref="N77:P77"/>
    <mergeCell ref="N72:P72"/>
    <mergeCell ref="A65:B65"/>
    <mergeCell ref="D65:G65"/>
    <mergeCell ref="N65:O65"/>
    <mergeCell ref="Q65:S65"/>
    <mergeCell ref="T65:U65"/>
    <mergeCell ref="N66:S66"/>
    <mergeCell ref="T66:U66"/>
    <mergeCell ref="A68:C68"/>
    <mergeCell ref="N68:P68"/>
    <mergeCell ref="A62:B62"/>
    <mergeCell ref="D62:G62"/>
    <mergeCell ref="N62:O62"/>
    <mergeCell ref="Q62:S62"/>
    <mergeCell ref="T62:U62"/>
    <mergeCell ref="N63:S63"/>
    <mergeCell ref="T63:U63"/>
    <mergeCell ref="A64:I64"/>
    <mergeCell ref="N64:U64"/>
    <mergeCell ref="A59:B59"/>
    <mergeCell ref="F59:H59"/>
    <mergeCell ref="N59:O59"/>
    <mergeCell ref="P59:Q59"/>
    <mergeCell ref="R59:T59"/>
    <mergeCell ref="A60:I60"/>
    <mergeCell ref="N60:U60"/>
    <mergeCell ref="A61:I61"/>
    <mergeCell ref="N61:U61"/>
    <mergeCell ref="A50:B58"/>
    <mergeCell ref="N50:O58"/>
    <mergeCell ref="P50:Q50"/>
    <mergeCell ref="P51:Q51"/>
    <mergeCell ref="P52:Q52"/>
    <mergeCell ref="P53:Q53"/>
    <mergeCell ref="P54:Q54"/>
    <mergeCell ref="P55:Q55"/>
    <mergeCell ref="P56:Q56"/>
    <mergeCell ref="P57:Q57"/>
    <mergeCell ref="P58:Q58"/>
    <mergeCell ref="A42:B42"/>
    <mergeCell ref="N42:O42"/>
    <mergeCell ref="P42:T42"/>
    <mergeCell ref="N43:Q43"/>
    <mergeCell ref="S43:T43"/>
    <mergeCell ref="N45:Q45"/>
    <mergeCell ref="S45:T45"/>
    <mergeCell ref="N49:O49"/>
    <mergeCell ref="P49:Q49"/>
    <mergeCell ref="A39:B39"/>
    <mergeCell ref="N39:O39"/>
    <mergeCell ref="P39:T39"/>
    <mergeCell ref="A40:B40"/>
    <mergeCell ref="N40:O40"/>
    <mergeCell ref="P40:T40"/>
    <mergeCell ref="A41:B41"/>
    <mergeCell ref="N41:O41"/>
    <mergeCell ref="P41:T41"/>
    <mergeCell ref="N34:T34"/>
    <mergeCell ref="A36:B36"/>
    <mergeCell ref="N36:O36"/>
    <mergeCell ref="P36:T36"/>
    <mergeCell ref="A37:B37"/>
    <mergeCell ref="N37:O37"/>
    <mergeCell ref="P37:T37"/>
    <mergeCell ref="F33:H36"/>
    <mergeCell ref="A38:B38"/>
    <mergeCell ref="N38:O38"/>
    <mergeCell ref="P38:T38"/>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A20:B20"/>
    <mergeCell ref="F20:G20"/>
    <mergeCell ref="N20:O20"/>
    <mergeCell ref="P20:Q20"/>
    <mergeCell ref="R20:S20"/>
    <mergeCell ref="A19:B19"/>
    <mergeCell ref="A21:B21"/>
    <mergeCell ref="F21:G21"/>
    <mergeCell ref="N21:O21"/>
    <mergeCell ref="P21:Q21"/>
    <mergeCell ref="R21:S21"/>
    <mergeCell ref="A18:B18"/>
    <mergeCell ref="F18:G18"/>
    <mergeCell ref="N18:O18"/>
    <mergeCell ref="P18:Q18"/>
    <mergeCell ref="R18:S18"/>
    <mergeCell ref="A17:B17"/>
    <mergeCell ref="F17:G17"/>
    <mergeCell ref="F19:G19"/>
    <mergeCell ref="N19:O19"/>
    <mergeCell ref="P19:Q19"/>
    <mergeCell ref="R19:S19"/>
    <mergeCell ref="A16:B16"/>
    <mergeCell ref="F16:G16"/>
    <mergeCell ref="N16:O16"/>
    <mergeCell ref="P16:Q16"/>
    <mergeCell ref="R16:S16"/>
    <mergeCell ref="A15:B15"/>
    <mergeCell ref="F15:G15"/>
    <mergeCell ref="N17:O17"/>
    <mergeCell ref="P17:Q17"/>
    <mergeCell ref="R17:S17"/>
    <mergeCell ref="A14:B14"/>
    <mergeCell ref="F14:G14"/>
    <mergeCell ref="N14:O14"/>
    <mergeCell ref="P14:Q14"/>
    <mergeCell ref="R14:S14"/>
    <mergeCell ref="A13:B13"/>
    <mergeCell ref="F13:G13"/>
    <mergeCell ref="N15:O15"/>
    <mergeCell ref="P15:Q15"/>
    <mergeCell ref="R15:S15"/>
    <mergeCell ref="A12:B12"/>
    <mergeCell ref="F12:G12"/>
    <mergeCell ref="N12:O12"/>
    <mergeCell ref="P12:Q12"/>
    <mergeCell ref="R12:S12"/>
    <mergeCell ref="A11:B11"/>
    <mergeCell ref="F11:G11"/>
    <mergeCell ref="N13:O13"/>
    <mergeCell ref="P13:Q13"/>
    <mergeCell ref="R13:S13"/>
    <mergeCell ref="N8:O8"/>
    <mergeCell ref="P8:Q8"/>
    <mergeCell ref="R8:S8"/>
    <mergeCell ref="T8:U8"/>
    <mergeCell ref="F10:G10"/>
    <mergeCell ref="R10:S10"/>
    <mergeCell ref="A7:I7"/>
    <mergeCell ref="N11:O11"/>
    <mergeCell ref="P11:Q11"/>
    <mergeCell ref="R11:S11"/>
    <mergeCell ref="B1:I1"/>
    <mergeCell ref="O1:U1"/>
    <mergeCell ref="N2:U2"/>
    <mergeCell ref="N3:U3"/>
    <mergeCell ref="A4:B4"/>
    <mergeCell ref="C4:E4"/>
    <mergeCell ref="N4:O4"/>
    <mergeCell ref="P4:Q4"/>
    <mergeCell ref="N7:U7"/>
  </mergeCells>
  <pageMargins left="0.1" right="0.1" top="0.5" bottom="0.5" header="0" footer="0.1"/>
  <pageSetup scale="70" fitToHeight="3" orientation="portrait" r:id="rId1"/>
  <headerFooter alignWithMargins="0">
    <oddFooter>&amp;R&amp;P of &amp;N</oddFooter>
  </headerFooter>
  <rowBreaks count="1" manualBreakCount="1">
    <brk id="138" max="16383" man="1"/>
  </rowBreaks>
  <colBreaks count="1" manualBreakCount="1">
    <brk id="9" max="1048575" man="1"/>
  </col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52</vt:i4>
      </vt:variant>
      <vt:variant>
        <vt:lpstr>Named Ranges</vt:lpstr>
      </vt:variant>
      <vt:variant>
        <vt:i4>15</vt:i4>
      </vt:variant>
    </vt:vector>
  </HeadingPairs>
  <TitlesOfParts>
    <vt:vector size="67" baseType="lpstr">
      <vt:lpstr>Net Payment</vt:lpstr>
      <vt:lpstr>Charter Schools</vt:lpstr>
      <vt:lpstr>Consolidated</vt:lpstr>
      <vt:lpstr>0664</vt:lpstr>
      <vt:lpstr>1461</vt:lpstr>
      <vt:lpstr>1571</vt:lpstr>
      <vt:lpstr>2521</vt:lpstr>
      <vt:lpstr>2531</vt:lpstr>
      <vt:lpstr>2791</vt:lpstr>
      <vt:lpstr>2801</vt:lpstr>
      <vt:lpstr>2911</vt:lpstr>
      <vt:lpstr>2941</vt:lpstr>
      <vt:lpstr>3083</vt:lpstr>
      <vt:lpstr>3345</vt:lpstr>
      <vt:lpstr>3381</vt:lpstr>
      <vt:lpstr>3382</vt:lpstr>
      <vt:lpstr>3391</vt:lpstr>
      <vt:lpstr>3394</vt:lpstr>
      <vt:lpstr>3395</vt:lpstr>
      <vt:lpstr>3396</vt:lpstr>
      <vt:lpstr>3398</vt:lpstr>
      <vt:lpstr>3400</vt:lpstr>
      <vt:lpstr>3401</vt:lpstr>
      <vt:lpstr>3413</vt:lpstr>
      <vt:lpstr>3421</vt:lpstr>
      <vt:lpstr>3431</vt:lpstr>
      <vt:lpstr>3441</vt:lpstr>
      <vt:lpstr>3924</vt:lpstr>
      <vt:lpstr>3941</vt:lpstr>
      <vt:lpstr>3961</vt:lpstr>
      <vt:lpstr>3971</vt:lpstr>
      <vt:lpstr>4001</vt:lpstr>
      <vt:lpstr>4002</vt:lpstr>
      <vt:lpstr>4012</vt:lpstr>
      <vt:lpstr>4013</vt:lpstr>
      <vt:lpstr>4020</vt:lpstr>
      <vt:lpstr>4030</vt:lpstr>
      <vt:lpstr>4031</vt:lpstr>
      <vt:lpstr>4041</vt:lpstr>
      <vt:lpstr>4050</vt:lpstr>
      <vt:lpstr>4051</vt:lpstr>
      <vt:lpstr>4061</vt:lpstr>
      <vt:lpstr>4080</vt:lpstr>
      <vt:lpstr>4081</vt:lpstr>
      <vt:lpstr>4090</vt:lpstr>
      <vt:lpstr>4091</vt:lpstr>
      <vt:lpstr>4100</vt:lpstr>
      <vt:lpstr>4102</vt:lpstr>
      <vt:lpstr>4103</vt:lpstr>
      <vt:lpstr>4111</vt:lpstr>
      <vt:lpstr>4131</vt:lpstr>
      <vt:lpstr>Virtual</vt:lpstr>
      <vt:lpstr>'0664'!Print_Area</vt:lpstr>
      <vt:lpstr>'2531'!Print_Area</vt:lpstr>
      <vt:lpstr>'2941'!Print_Area</vt:lpstr>
      <vt:lpstr>'4090'!Print_Area</vt:lpstr>
      <vt:lpstr>'4091'!Print_Area</vt:lpstr>
      <vt:lpstr>'4100'!Print_Area</vt:lpstr>
      <vt:lpstr>'4102'!Print_Area</vt:lpstr>
      <vt:lpstr>'4103'!Print_Area</vt:lpstr>
      <vt:lpstr>'4111'!Print_Area</vt:lpstr>
      <vt:lpstr>Consolidated!Print_Area</vt:lpstr>
      <vt:lpstr>'Net Payment'!Print_Area</vt:lpstr>
      <vt:lpstr>Virtual!Print_Area</vt:lpstr>
      <vt:lpstr>'0664'!Print_Titles</vt:lpstr>
      <vt:lpstr>Consolidated!Print_Titles</vt:lpstr>
      <vt:lpstr>'Net Payment'!Print_Titles</vt:lpstr>
    </vt:vector>
  </TitlesOfParts>
  <Company>DEPARTMENT OF EDUCATION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LeeDavis</dc:creator>
  <cp:lastModifiedBy>Richard Oglenski</cp:lastModifiedBy>
  <cp:lastPrinted>2023-04-05T12:44:09Z</cp:lastPrinted>
  <dcterms:created xsi:type="dcterms:W3CDTF">1998-02-12T20:21:54Z</dcterms:created>
  <dcterms:modified xsi:type="dcterms:W3CDTF">2023-04-06T11:39:21Z</dcterms:modified>
</cp:coreProperties>
</file>