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3 - FEFP Funding\!Payments 2022-23\2023-Final PMT\"/>
    </mc:Choice>
  </mc:AlternateContent>
  <xr:revisionPtr revIDLastSave="0" documentId="13_ncr:1_{55B3DCC5-D6F9-4383-B520-67FB998A36C9}" xr6:coauthVersionLast="47" xr6:coauthVersionMax="47" xr10:uidLastSave="{00000000-0000-0000-0000-000000000000}"/>
  <bookViews>
    <workbookView xWindow="28680" yWindow="-120" windowWidth="29040" windowHeight="15840" tabRatio="759" firstSheet="21" activeTab="50" xr2:uid="{00000000-000D-0000-FFFF-FFFF00000000}"/>
  </bookViews>
  <sheets>
    <sheet name="Net Payment" sheetId="64" r:id="rId1"/>
    <sheet name="Charter Schools" sheetId="65" r:id="rId2"/>
    <sheet name="Consolidated" sheetId="60" r:id="rId3"/>
    <sheet name="0664" sheetId="7" r:id="rId4"/>
    <sheet name="1461" sheetId="15"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Payment'!$A$4:$G$450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'0664'!$A$6:$I$133</definedName>
    <definedName name="_xlnm.Print_Area" localSheetId="7">'2531'!$A$1:$I$136</definedName>
    <definedName name="_xlnm.Print_Area" localSheetId="11">'2941'!$A$1:$I$137</definedName>
    <definedName name="_xlnm.Print_Area" localSheetId="44">'4090'!$A$1:$I$136</definedName>
    <definedName name="_xlnm.Print_Area" localSheetId="45">'4091'!$A$1:$I$136</definedName>
    <definedName name="_xlnm.Print_Area" localSheetId="46">'4100'!$A$1:$I$136</definedName>
    <definedName name="_xlnm.Print_Area" localSheetId="47">'4102'!$A$1:$I$136</definedName>
    <definedName name="_xlnm.Print_Area" localSheetId="48">'4103'!$A$1:$I$136</definedName>
    <definedName name="_xlnm.Print_Area" localSheetId="49">'4111'!$A$1:$I$136</definedName>
    <definedName name="_xlnm.Print_Area" localSheetId="2">Consolidated!$A$1:$I$134</definedName>
    <definedName name="_xlnm.Print_Area" localSheetId="0">'Net Payment'!$A$5:$G$502</definedName>
    <definedName name="_xlnm.Print_Area" localSheetId="51">Virtual!$B$2:$G$38</definedName>
    <definedName name="_xlnm.Print_Titles" localSheetId="3">'0664'!$2:$5</definedName>
    <definedName name="_xlnm.Print_Titles" localSheetId="2">Consolidated!$2:$5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6" i="75" l="1"/>
  <c r="I126" i="30" l="1"/>
  <c r="I126" i="78"/>
  <c r="I126" i="77"/>
  <c r="I126" i="68"/>
  <c r="I126" i="71"/>
  <c r="I126" i="70"/>
  <c r="I126" i="69"/>
  <c r="I126" i="67"/>
  <c r="I126" i="66"/>
  <c r="I126" i="58"/>
  <c r="I126" i="57"/>
  <c r="I126" i="56"/>
  <c r="I126" i="55"/>
  <c r="I126" i="76"/>
  <c r="I126" i="52"/>
  <c r="I126" i="51"/>
  <c r="I126" i="50"/>
  <c r="I126" i="48"/>
  <c r="I126" i="47"/>
  <c r="I126" i="45"/>
  <c r="I126" i="44"/>
  <c r="I126" i="43"/>
  <c r="I126" i="42"/>
  <c r="I126" i="40"/>
  <c r="I126" i="39"/>
  <c r="I126" i="38"/>
  <c r="I126" i="37"/>
  <c r="I126" i="36"/>
  <c r="I126" i="23"/>
  <c r="I126" i="35"/>
  <c r="I126" i="34"/>
  <c r="I126" i="33"/>
  <c r="I126" i="32"/>
  <c r="I126" i="31"/>
  <c r="I126" i="28"/>
  <c r="I126" i="27"/>
  <c r="I126" i="26"/>
  <c r="I126" i="22"/>
  <c r="I126" i="24"/>
  <c r="I126" i="25"/>
  <c r="D29" i="21"/>
  <c r="I126" i="21"/>
  <c r="I126" i="20"/>
  <c r="I126" i="18"/>
  <c r="I126" i="17"/>
  <c r="I126" i="16"/>
  <c r="I126" i="15"/>
  <c r="I126" i="7"/>
  <c r="E100" i="7" l="1"/>
  <c r="E99" i="7"/>
  <c r="E100" i="16" l="1"/>
  <c r="E100" i="17"/>
  <c r="E100" i="18"/>
  <c r="E100" i="20"/>
  <c r="E100" i="21"/>
  <c r="E100" i="25"/>
  <c r="E100" i="24"/>
  <c r="E100" i="22"/>
  <c r="E100" i="26"/>
  <c r="E100" i="27"/>
  <c r="E100" i="28"/>
  <c r="E100" i="31"/>
  <c r="E100" i="32"/>
  <c r="E100" i="33"/>
  <c r="E100" i="34"/>
  <c r="E100" i="35"/>
  <c r="E100" i="23"/>
  <c r="E100" i="36"/>
  <c r="E100" i="37"/>
  <c r="E100" i="38"/>
  <c r="E100" i="39"/>
  <c r="E100" i="40"/>
  <c r="E100" i="42"/>
  <c r="E100" i="43"/>
  <c r="E100" i="44"/>
  <c r="E100" i="45"/>
  <c r="E100" i="47"/>
  <c r="E100" i="48"/>
  <c r="E100" i="50"/>
  <c r="E100" i="51"/>
  <c r="E100" i="52"/>
  <c r="E100" i="75"/>
  <c r="E100" i="76"/>
  <c r="E100" i="55"/>
  <c r="E100" i="56"/>
  <c r="E100" i="57"/>
  <c r="E100" i="58"/>
  <c r="E100" i="66"/>
  <c r="E100" i="67"/>
  <c r="E100" i="69"/>
  <c r="E100" i="70"/>
  <c r="E100" i="71"/>
  <c r="E100" i="68"/>
  <c r="E100" i="77"/>
  <c r="E100" i="78"/>
  <c r="E100" i="30"/>
  <c r="E100" i="15"/>
  <c r="E99" i="16"/>
  <c r="E99" i="17"/>
  <c r="E99" i="18"/>
  <c r="E99" i="20"/>
  <c r="E99" i="21"/>
  <c r="E99" i="25"/>
  <c r="E99" i="24"/>
  <c r="E99" i="22"/>
  <c r="E99" i="26"/>
  <c r="E99" i="27"/>
  <c r="E99" i="28"/>
  <c r="E99" i="31"/>
  <c r="E99" i="32"/>
  <c r="E99" i="33"/>
  <c r="E99" i="34"/>
  <c r="E99" i="35"/>
  <c r="E99" i="23"/>
  <c r="E99" i="36"/>
  <c r="E99" i="37"/>
  <c r="E99" i="38"/>
  <c r="E99" i="39"/>
  <c r="E99" i="40"/>
  <c r="E99" i="42"/>
  <c r="E99" i="43"/>
  <c r="E99" i="44"/>
  <c r="E99" i="45"/>
  <c r="E99" i="47"/>
  <c r="E99" i="48"/>
  <c r="E99" i="50"/>
  <c r="E99" i="51"/>
  <c r="E99" i="52"/>
  <c r="E99" i="75"/>
  <c r="E99" i="76"/>
  <c r="E99" i="55"/>
  <c r="E99" i="56"/>
  <c r="E99" i="57"/>
  <c r="E99" i="58"/>
  <c r="E99" i="66"/>
  <c r="E99" i="67"/>
  <c r="E99" i="69"/>
  <c r="E99" i="70"/>
  <c r="E99" i="71"/>
  <c r="E99" i="68"/>
  <c r="E99" i="77"/>
  <c r="E99" i="78"/>
  <c r="E99" i="30"/>
  <c r="E99" i="15"/>
  <c r="H50" i="32" l="1"/>
  <c r="H51" i="32"/>
  <c r="H52" i="32"/>
  <c r="H53" i="32"/>
  <c r="H54" i="32"/>
  <c r="H55" i="32"/>
  <c r="H56" i="32"/>
  <c r="H57" i="32"/>
  <c r="H58" i="32"/>
  <c r="C59" i="32"/>
  <c r="D59" i="32"/>
  <c r="E50" i="32" s="1"/>
  <c r="H62" i="32"/>
  <c r="H65" i="32"/>
  <c r="E53" i="32" l="1"/>
  <c r="I53" i="32" s="1"/>
  <c r="E52" i="32"/>
  <c r="I52" i="32" s="1"/>
  <c r="E57" i="32"/>
  <c r="I57" i="32" s="1"/>
  <c r="E56" i="32"/>
  <c r="I56" i="32" s="1"/>
  <c r="I50" i="32"/>
  <c r="E55" i="32"/>
  <c r="I55" i="32" s="1"/>
  <c r="E51" i="32"/>
  <c r="I51" i="32" s="1"/>
  <c r="E58" i="32"/>
  <c r="I58" i="32" s="1"/>
  <c r="E54" i="32"/>
  <c r="I54" i="32" s="1"/>
  <c r="I9" i="16"/>
  <c r="I9" i="17"/>
  <c r="I9" i="18"/>
  <c r="I9" i="20"/>
  <c r="I9" i="21"/>
  <c r="I9" i="25"/>
  <c r="I9" i="24"/>
  <c r="I9" i="22"/>
  <c r="I9" i="26"/>
  <c r="I9" i="27"/>
  <c r="I9" i="28"/>
  <c r="I9" i="31"/>
  <c r="I9" i="32"/>
  <c r="I9" i="33"/>
  <c r="I9" i="34"/>
  <c r="I9" i="35"/>
  <c r="I9" i="23"/>
  <c r="I9" i="36"/>
  <c r="I9" i="37"/>
  <c r="I9" i="38"/>
  <c r="I9" i="39"/>
  <c r="I9" i="40"/>
  <c r="I9" i="42"/>
  <c r="I9" i="43"/>
  <c r="I9" i="44"/>
  <c r="I9" i="45"/>
  <c r="I9" i="47"/>
  <c r="I9" i="48"/>
  <c r="I9" i="50"/>
  <c r="I9" i="51"/>
  <c r="I9" i="52"/>
  <c r="I9" i="75"/>
  <c r="I9" i="76"/>
  <c r="I9" i="55"/>
  <c r="I9" i="56"/>
  <c r="I9" i="57"/>
  <c r="I9" i="58"/>
  <c r="I9" i="66"/>
  <c r="I9" i="67"/>
  <c r="I9" i="69"/>
  <c r="I9" i="70"/>
  <c r="I9" i="71"/>
  <c r="I9" i="68"/>
  <c r="I9" i="77"/>
  <c r="I9" i="78"/>
  <c r="I9" i="30"/>
  <c r="I9" i="15"/>
  <c r="E59" i="32" l="1"/>
  <c r="I59" i="32"/>
  <c r="E3" i="62" l="1"/>
  <c r="E14" i="62"/>
  <c r="E18" i="62" s="1"/>
  <c r="E24" i="62"/>
  <c r="N1" i="30"/>
  <c r="A3" i="30"/>
  <c r="N3" i="30" s="1"/>
  <c r="F4" i="30"/>
  <c r="P4" i="30"/>
  <c r="A7" i="30"/>
  <c r="C8" i="30"/>
  <c r="H8" i="30"/>
  <c r="F13" i="30"/>
  <c r="F14" i="30"/>
  <c r="F15" i="30"/>
  <c r="F16" i="30"/>
  <c r="F17" i="30"/>
  <c r="F18" i="30"/>
  <c r="F19" i="30"/>
  <c r="F20" i="30"/>
  <c r="F21" i="30"/>
  <c r="F22" i="30"/>
  <c r="F23" i="30"/>
  <c r="F24" i="30"/>
  <c r="F25" i="30"/>
  <c r="F26" i="30"/>
  <c r="F27" i="30"/>
  <c r="F28" i="30"/>
  <c r="C29" i="30"/>
  <c r="D29" i="30"/>
  <c r="E18" i="30" s="1"/>
  <c r="C43" i="30"/>
  <c r="D43" i="30"/>
  <c r="E37" i="30" s="1"/>
  <c r="H50" i="30"/>
  <c r="T50" i="30" s="1"/>
  <c r="U50" i="30" s="1"/>
  <c r="H51" i="30"/>
  <c r="T51" i="30" s="1"/>
  <c r="U51" i="30" s="1"/>
  <c r="H52" i="30"/>
  <c r="T52" i="30" s="1"/>
  <c r="U52" i="30" s="1"/>
  <c r="H53" i="30"/>
  <c r="T53" i="30" s="1"/>
  <c r="U53" i="30" s="1"/>
  <c r="H54" i="30"/>
  <c r="T54" i="30" s="1"/>
  <c r="U54" i="30" s="1"/>
  <c r="H55" i="30"/>
  <c r="T55" i="30" s="1"/>
  <c r="U55" i="30" s="1"/>
  <c r="H56" i="30"/>
  <c r="T56" i="30" s="1"/>
  <c r="U56" i="30" s="1"/>
  <c r="H57" i="30"/>
  <c r="T57" i="30" s="1"/>
  <c r="U57" i="30" s="1"/>
  <c r="H58" i="30"/>
  <c r="T58" i="30" s="1"/>
  <c r="U58" i="30" s="1"/>
  <c r="C59" i="30"/>
  <c r="D59" i="30"/>
  <c r="P59" i="30"/>
  <c r="H62" i="30"/>
  <c r="T62" i="30" s="1"/>
  <c r="H65" i="30"/>
  <c r="T65" i="30" s="1"/>
  <c r="F68" i="30"/>
  <c r="F70" i="30"/>
  <c r="R70" i="30" s="1"/>
  <c r="F71" i="30"/>
  <c r="F72" i="30"/>
  <c r="R72" i="30" s="1"/>
  <c r="F76" i="30"/>
  <c r="R76" i="30" s="1"/>
  <c r="F77" i="30"/>
  <c r="R77" i="30" s="1"/>
  <c r="F78" i="30"/>
  <c r="R78" i="30" s="1"/>
  <c r="F79" i="30"/>
  <c r="R79" i="30" s="1"/>
  <c r="F80" i="30"/>
  <c r="R80" i="30" s="1"/>
  <c r="F82" i="30"/>
  <c r="R82" i="30" s="1"/>
  <c r="U82" i="30" s="1"/>
  <c r="F83" i="30"/>
  <c r="R83" i="30" s="1"/>
  <c r="U83" i="30" s="1"/>
  <c r="I84" i="30"/>
  <c r="F85" i="30"/>
  <c r="R85" i="30" s="1"/>
  <c r="F90" i="30"/>
  <c r="R90" i="30" s="1"/>
  <c r="F91" i="30"/>
  <c r="R91" i="30" s="1"/>
  <c r="F92" i="30"/>
  <c r="R92" i="30" s="1"/>
  <c r="G99" i="30"/>
  <c r="I99" i="30" s="1"/>
  <c r="G100" i="30"/>
  <c r="T100" i="30" s="1"/>
  <c r="U100" i="30" s="1"/>
  <c r="H107" i="30"/>
  <c r="H109" i="30" s="1"/>
  <c r="T109" i="30" s="1"/>
  <c r="R107" i="30"/>
  <c r="R108" i="30" s="1"/>
  <c r="F108" i="30"/>
  <c r="H108" i="30"/>
  <c r="I130" i="30"/>
  <c r="A139" i="30"/>
  <c r="A140" i="30"/>
  <c r="A141" i="30"/>
  <c r="A142" i="30"/>
  <c r="A143" i="30"/>
  <c r="A144" i="30"/>
  <c r="A145" i="30"/>
  <c r="A146" i="30"/>
  <c r="A147" i="30"/>
  <c r="A148" i="30"/>
  <c r="A149" i="30"/>
  <c r="A150" i="30"/>
  <c r="A151" i="30"/>
  <c r="A152" i="30"/>
  <c r="A153" i="30"/>
  <c r="A154" i="30"/>
  <c r="A155" i="30"/>
  <c r="A156" i="30"/>
  <c r="A158" i="30"/>
  <c r="A159" i="30"/>
  <c r="A160" i="30"/>
  <c r="A161" i="30"/>
  <c r="A163" i="30"/>
  <c r="A164" i="30"/>
  <c r="A165" i="30"/>
  <c r="A167" i="30"/>
  <c r="A168" i="30"/>
  <c r="A169" i="30"/>
  <c r="A170" i="30"/>
  <c r="N1" i="78"/>
  <c r="A3" i="78"/>
  <c r="N3" i="78" s="1"/>
  <c r="F4" i="78"/>
  <c r="P4" i="78"/>
  <c r="A7" i="78"/>
  <c r="C8" i="78"/>
  <c r="H8" i="78"/>
  <c r="T8" i="78" s="1"/>
  <c r="P91" i="78" s="1"/>
  <c r="F13" i="78"/>
  <c r="F14" i="78"/>
  <c r="F15" i="78"/>
  <c r="F16" i="78"/>
  <c r="F17" i="78"/>
  <c r="F18" i="78"/>
  <c r="F19" i="78"/>
  <c r="F20" i="78"/>
  <c r="F21" i="78"/>
  <c r="F22" i="78"/>
  <c r="F23" i="78"/>
  <c r="F24" i="78"/>
  <c r="F25" i="78"/>
  <c r="F26" i="78"/>
  <c r="E27" i="78"/>
  <c r="F27" i="78"/>
  <c r="F28" i="78"/>
  <c r="C29" i="78"/>
  <c r="D29" i="78"/>
  <c r="E23" i="78" s="1"/>
  <c r="C43" i="78"/>
  <c r="D43" i="78"/>
  <c r="H50" i="78"/>
  <c r="T50" i="78" s="1"/>
  <c r="U50" i="78" s="1"/>
  <c r="H51" i="78"/>
  <c r="T51" i="78" s="1"/>
  <c r="U51" i="78" s="1"/>
  <c r="H52" i="78"/>
  <c r="T52" i="78" s="1"/>
  <c r="U52" i="78" s="1"/>
  <c r="H53" i="78"/>
  <c r="T53" i="78" s="1"/>
  <c r="U53" i="78" s="1"/>
  <c r="H54" i="78"/>
  <c r="T54" i="78" s="1"/>
  <c r="U54" i="78" s="1"/>
  <c r="H55" i="78"/>
  <c r="T55" i="78" s="1"/>
  <c r="U55" i="78" s="1"/>
  <c r="H56" i="78"/>
  <c r="T56" i="78" s="1"/>
  <c r="U56" i="78" s="1"/>
  <c r="H57" i="78"/>
  <c r="T57" i="78" s="1"/>
  <c r="U57" i="78" s="1"/>
  <c r="H58" i="78"/>
  <c r="T58" i="78" s="1"/>
  <c r="U58" i="78" s="1"/>
  <c r="C59" i="78"/>
  <c r="D59" i="78"/>
  <c r="E58" i="78" s="1"/>
  <c r="P59" i="78"/>
  <c r="H62" i="78"/>
  <c r="T62" i="78" s="1"/>
  <c r="H65" i="78"/>
  <c r="T65" i="78" s="1"/>
  <c r="F68" i="78"/>
  <c r="F70" i="78"/>
  <c r="F71" i="78"/>
  <c r="F72" i="78"/>
  <c r="F76" i="78"/>
  <c r="F77" i="78"/>
  <c r="R77" i="78" s="1"/>
  <c r="F78" i="78"/>
  <c r="F79" i="78"/>
  <c r="R79" i="78" s="1"/>
  <c r="F80" i="78"/>
  <c r="F82" i="78"/>
  <c r="R82" i="78" s="1"/>
  <c r="U82" i="78" s="1"/>
  <c r="F83" i="78"/>
  <c r="R83" i="78" s="1"/>
  <c r="U83" i="78" s="1"/>
  <c r="I84" i="78"/>
  <c r="F85" i="78"/>
  <c r="F90" i="78"/>
  <c r="R90" i="78" s="1"/>
  <c r="F91" i="78"/>
  <c r="R91" i="78" s="1"/>
  <c r="F92" i="78"/>
  <c r="R92" i="78" s="1"/>
  <c r="G99" i="78"/>
  <c r="T99" i="78" s="1"/>
  <c r="G100" i="78"/>
  <c r="I100" i="78" s="1"/>
  <c r="H107" i="78"/>
  <c r="R107" i="78"/>
  <c r="R108" i="78" s="1"/>
  <c r="F108" i="78"/>
  <c r="H108" i="78"/>
  <c r="I130" i="78"/>
  <c r="A139" i="78"/>
  <c r="A140" i="78"/>
  <c r="A141" i="78"/>
  <c r="A142" i="78"/>
  <c r="A143" i="78"/>
  <c r="A144" i="78"/>
  <c r="A145" i="78"/>
  <c r="A146" i="78"/>
  <c r="A147" i="78"/>
  <c r="A148" i="78"/>
  <c r="A149" i="78"/>
  <c r="A150" i="78"/>
  <c r="A151" i="78"/>
  <c r="A152" i="78"/>
  <c r="A153" i="78"/>
  <c r="A154" i="78"/>
  <c r="A155" i="78"/>
  <c r="A156" i="78"/>
  <c r="A158" i="78"/>
  <c r="A159" i="78"/>
  <c r="A160" i="78"/>
  <c r="A161" i="78"/>
  <c r="A163" i="78"/>
  <c r="A164" i="78"/>
  <c r="A165" i="78"/>
  <c r="A167" i="78"/>
  <c r="A168" i="78"/>
  <c r="A169" i="78"/>
  <c r="A170" i="78"/>
  <c r="N1" i="77"/>
  <c r="A3" i="77"/>
  <c r="N3" i="77" s="1"/>
  <c r="F4" i="77"/>
  <c r="P4" i="77"/>
  <c r="A7" i="77"/>
  <c r="C8" i="77"/>
  <c r="H8" i="77"/>
  <c r="T8" i="77" s="1"/>
  <c r="F13" i="77"/>
  <c r="F14" i="77"/>
  <c r="F15" i="77"/>
  <c r="F16" i="77"/>
  <c r="F17" i="77"/>
  <c r="F18" i="77"/>
  <c r="F19" i="77"/>
  <c r="F20" i="77"/>
  <c r="F21" i="77"/>
  <c r="F22" i="77"/>
  <c r="F23" i="77"/>
  <c r="F24" i="77"/>
  <c r="F25" i="77"/>
  <c r="F26" i="77"/>
  <c r="F27" i="77"/>
  <c r="F28" i="77"/>
  <c r="C29" i="77"/>
  <c r="D29" i="77"/>
  <c r="C43" i="77"/>
  <c r="D43" i="77"/>
  <c r="E39" i="77" s="1"/>
  <c r="H50" i="77"/>
  <c r="T50" i="77" s="1"/>
  <c r="U50" i="77" s="1"/>
  <c r="H51" i="77"/>
  <c r="T51" i="77" s="1"/>
  <c r="U51" i="77" s="1"/>
  <c r="H52" i="77"/>
  <c r="T52" i="77" s="1"/>
  <c r="U52" i="77" s="1"/>
  <c r="H53" i="77"/>
  <c r="T53" i="77" s="1"/>
  <c r="U53" i="77" s="1"/>
  <c r="H54" i="77"/>
  <c r="T54" i="77" s="1"/>
  <c r="U54" i="77" s="1"/>
  <c r="H55" i="77"/>
  <c r="T55" i="77" s="1"/>
  <c r="U55" i="77" s="1"/>
  <c r="H56" i="77"/>
  <c r="T56" i="77" s="1"/>
  <c r="U56" i="77" s="1"/>
  <c r="H57" i="77"/>
  <c r="T57" i="77" s="1"/>
  <c r="U57" i="77" s="1"/>
  <c r="H58" i="77"/>
  <c r="T58" i="77" s="1"/>
  <c r="U58" i="77" s="1"/>
  <c r="C59" i="77"/>
  <c r="D59" i="77"/>
  <c r="E109" i="77" s="1"/>
  <c r="P59" i="77"/>
  <c r="H62" i="77"/>
  <c r="T62" i="77" s="1"/>
  <c r="H65" i="77"/>
  <c r="T65" i="77" s="1"/>
  <c r="F68" i="77"/>
  <c r="R68" i="77" s="1"/>
  <c r="F70" i="77"/>
  <c r="F71" i="77"/>
  <c r="R71" i="77" s="1"/>
  <c r="F72" i="77"/>
  <c r="F76" i="77"/>
  <c r="R76" i="77" s="1"/>
  <c r="F77" i="77"/>
  <c r="F78" i="77"/>
  <c r="R78" i="77" s="1"/>
  <c r="F79" i="77"/>
  <c r="F80" i="77"/>
  <c r="R80" i="77" s="1"/>
  <c r="F82" i="77"/>
  <c r="R82" i="77" s="1"/>
  <c r="U82" i="77" s="1"/>
  <c r="F83" i="77"/>
  <c r="R83" i="77" s="1"/>
  <c r="U83" i="77" s="1"/>
  <c r="I84" i="77"/>
  <c r="F85" i="77"/>
  <c r="F90" i="77"/>
  <c r="R90" i="77" s="1"/>
  <c r="F91" i="77"/>
  <c r="R91" i="77" s="1"/>
  <c r="F92" i="77"/>
  <c r="R92" i="77" s="1"/>
  <c r="G99" i="77"/>
  <c r="T99" i="77" s="1"/>
  <c r="G100" i="77"/>
  <c r="I100" i="77" s="1"/>
  <c r="H107" i="77"/>
  <c r="R107" i="77"/>
  <c r="R108" i="77" s="1"/>
  <c r="F108" i="77"/>
  <c r="H108" i="77"/>
  <c r="T108" i="77" s="1"/>
  <c r="I130" i="77"/>
  <c r="A139" i="77"/>
  <c r="A140" i="77"/>
  <c r="A141" i="77"/>
  <c r="A142" i="77"/>
  <c r="A143" i="77"/>
  <c r="A144" i="77"/>
  <c r="A145" i="77"/>
  <c r="A146" i="77"/>
  <c r="A147" i="77"/>
  <c r="A148" i="77"/>
  <c r="A149" i="77"/>
  <c r="A150" i="77"/>
  <c r="A151" i="77"/>
  <c r="A152" i="77"/>
  <c r="A153" i="77"/>
  <c r="A154" i="77"/>
  <c r="A155" i="77"/>
  <c r="A156" i="77"/>
  <c r="A158" i="77"/>
  <c r="A159" i="77"/>
  <c r="A160" i="77"/>
  <c r="A161" i="77"/>
  <c r="A163" i="77"/>
  <c r="A164" i="77"/>
  <c r="A165" i="77"/>
  <c r="A167" i="77"/>
  <c r="A168" i="77"/>
  <c r="A169" i="77"/>
  <c r="A170" i="77"/>
  <c r="N1" i="68"/>
  <c r="A3" i="68"/>
  <c r="N3" i="68" s="1"/>
  <c r="F4" i="68"/>
  <c r="P4" i="68"/>
  <c r="A7" i="68"/>
  <c r="C8" i="68"/>
  <c r="H8" i="68"/>
  <c r="E90" i="68" s="1"/>
  <c r="F13" i="68"/>
  <c r="F14" i="68"/>
  <c r="F15" i="68"/>
  <c r="F16" i="68"/>
  <c r="F17" i="68"/>
  <c r="F18" i="68"/>
  <c r="F19" i="68"/>
  <c r="F20" i="68"/>
  <c r="F21" i="68"/>
  <c r="F22" i="68"/>
  <c r="F23" i="68"/>
  <c r="F24" i="68"/>
  <c r="F25" i="68"/>
  <c r="F26" i="68"/>
  <c r="F27" i="68"/>
  <c r="F28" i="68"/>
  <c r="C29" i="68"/>
  <c r="D29" i="68"/>
  <c r="E23" i="68" s="1"/>
  <c r="C43" i="68"/>
  <c r="D43" i="68"/>
  <c r="E37" i="68" s="1"/>
  <c r="H50" i="68"/>
  <c r="T50" i="68" s="1"/>
  <c r="U50" i="68" s="1"/>
  <c r="H51" i="68"/>
  <c r="T51" i="68" s="1"/>
  <c r="U51" i="68" s="1"/>
  <c r="H52" i="68"/>
  <c r="T52" i="68" s="1"/>
  <c r="U52" i="68" s="1"/>
  <c r="H53" i="68"/>
  <c r="T53" i="68" s="1"/>
  <c r="U53" i="68" s="1"/>
  <c r="H54" i="68"/>
  <c r="T54" i="68" s="1"/>
  <c r="U54" i="68" s="1"/>
  <c r="H55" i="68"/>
  <c r="T55" i="68" s="1"/>
  <c r="U55" i="68" s="1"/>
  <c r="H56" i="68"/>
  <c r="T56" i="68" s="1"/>
  <c r="U56" i="68" s="1"/>
  <c r="H57" i="68"/>
  <c r="T57" i="68" s="1"/>
  <c r="U57" i="68" s="1"/>
  <c r="H58" i="68"/>
  <c r="T58" i="68" s="1"/>
  <c r="U58" i="68" s="1"/>
  <c r="C59" i="68"/>
  <c r="D59" i="68"/>
  <c r="P59" i="68"/>
  <c r="H62" i="68"/>
  <c r="T62" i="68" s="1"/>
  <c r="H65" i="68"/>
  <c r="T65" i="68" s="1"/>
  <c r="F68" i="68"/>
  <c r="R68" i="68" s="1"/>
  <c r="F70" i="68"/>
  <c r="R70" i="68" s="1"/>
  <c r="F71" i="68"/>
  <c r="R71" i="68" s="1"/>
  <c r="F72" i="68"/>
  <c r="R72" i="68" s="1"/>
  <c r="F76" i="68"/>
  <c r="R76" i="68" s="1"/>
  <c r="F77" i="68"/>
  <c r="R77" i="68" s="1"/>
  <c r="F78" i="68"/>
  <c r="R78" i="68" s="1"/>
  <c r="F79" i="68"/>
  <c r="R79" i="68" s="1"/>
  <c r="F80" i="68"/>
  <c r="R80" i="68" s="1"/>
  <c r="F82" i="68"/>
  <c r="R82" i="68" s="1"/>
  <c r="U82" i="68" s="1"/>
  <c r="F83" i="68"/>
  <c r="R83" i="68" s="1"/>
  <c r="U83" i="68" s="1"/>
  <c r="I84" i="68"/>
  <c r="F85" i="68"/>
  <c r="R85" i="68" s="1"/>
  <c r="F90" i="68"/>
  <c r="R90" i="68" s="1"/>
  <c r="F91" i="68"/>
  <c r="R91" i="68" s="1"/>
  <c r="F92" i="68"/>
  <c r="R92" i="68" s="1"/>
  <c r="G99" i="68"/>
  <c r="G100" i="68"/>
  <c r="H107" i="68"/>
  <c r="T107" i="68" s="1"/>
  <c r="R107" i="68"/>
  <c r="R108" i="68" s="1"/>
  <c r="F108" i="68"/>
  <c r="H108" i="68"/>
  <c r="T108" i="68" s="1"/>
  <c r="I130" i="68"/>
  <c r="A139" i="68"/>
  <c r="A140" i="68"/>
  <c r="A141" i="68"/>
  <c r="A142" i="68"/>
  <c r="A143" i="68"/>
  <c r="A144" i="68"/>
  <c r="A145" i="68"/>
  <c r="A146" i="68"/>
  <c r="A147" i="68"/>
  <c r="A148" i="68"/>
  <c r="A149" i="68"/>
  <c r="A150" i="68"/>
  <c r="A151" i="68"/>
  <c r="A152" i="68"/>
  <c r="A153" i="68"/>
  <c r="A154" i="68"/>
  <c r="A155" i="68"/>
  <c r="A156" i="68"/>
  <c r="A158" i="68"/>
  <c r="A159" i="68"/>
  <c r="A160" i="68"/>
  <c r="A161" i="68"/>
  <c r="A163" i="68"/>
  <c r="A164" i="68"/>
  <c r="A165" i="68"/>
  <c r="A167" i="68"/>
  <c r="A168" i="68"/>
  <c r="A169" i="68"/>
  <c r="A170" i="68"/>
  <c r="N1" i="71"/>
  <c r="A3" i="71"/>
  <c r="N3" i="71" s="1"/>
  <c r="F4" i="71"/>
  <c r="P4" i="71"/>
  <c r="A7" i="71"/>
  <c r="C8" i="71"/>
  <c r="H8" i="71"/>
  <c r="F13" i="71"/>
  <c r="F14" i="71"/>
  <c r="F15" i="71"/>
  <c r="F16" i="71"/>
  <c r="F17" i="71"/>
  <c r="F18" i="71"/>
  <c r="F19" i="71"/>
  <c r="F20" i="71"/>
  <c r="F21" i="71"/>
  <c r="F22" i="71"/>
  <c r="F23" i="71"/>
  <c r="F24" i="71"/>
  <c r="F25" i="71"/>
  <c r="F26" i="71"/>
  <c r="F27" i="71"/>
  <c r="F28" i="71"/>
  <c r="C29" i="71"/>
  <c r="D29" i="71"/>
  <c r="E21" i="71" s="1"/>
  <c r="C43" i="71"/>
  <c r="D43" i="71"/>
  <c r="H50" i="71"/>
  <c r="T50" i="71" s="1"/>
  <c r="U50" i="71" s="1"/>
  <c r="H51" i="71"/>
  <c r="T51" i="71" s="1"/>
  <c r="U51" i="71" s="1"/>
  <c r="H52" i="71"/>
  <c r="T52" i="71" s="1"/>
  <c r="U52" i="71" s="1"/>
  <c r="H53" i="71"/>
  <c r="T53" i="71" s="1"/>
  <c r="U53" i="71" s="1"/>
  <c r="H54" i="71"/>
  <c r="T54" i="71" s="1"/>
  <c r="U54" i="71" s="1"/>
  <c r="H55" i="71"/>
  <c r="T55" i="71" s="1"/>
  <c r="U55" i="71" s="1"/>
  <c r="H56" i="71"/>
  <c r="T56" i="71" s="1"/>
  <c r="U56" i="71" s="1"/>
  <c r="H57" i="71"/>
  <c r="H58" i="71"/>
  <c r="T58" i="71" s="1"/>
  <c r="U58" i="71" s="1"/>
  <c r="C59" i="71"/>
  <c r="D59" i="71"/>
  <c r="E50" i="71" s="1"/>
  <c r="P59" i="71"/>
  <c r="H62" i="71"/>
  <c r="T62" i="71" s="1"/>
  <c r="H65" i="71"/>
  <c r="T65" i="71" s="1"/>
  <c r="F68" i="71"/>
  <c r="R68" i="71" s="1"/>
  <c r="F70" i="71"/>
  <c r="R70" i="71" s="1"/>
  <c r="F71" i="71"/>
  <c r="R71" i="71" s="1"/>
  <c r="F72" i="71"/>
  <c r="R72" i="71" s="1"/>
  <c r="F76" i="71"/>
  <c r="F77" i="71"/>
  <c r="R77" i="71" s="1"/>
  <c r="F78" i="71"/>
  <c r="F79" i="71"/>
  <c r="R79" i="71" s="1"/>
  <c r="F80" i="71"/>
  <c r="F82" i="71"/>
  <c r="R82" i="71" s="1"/>
  <c r="U82" i="71" s="1"/>
  <c r="F83" i="71"/>
  <c r="R83" i="71" s="1"/>
  <c r="U83" i="71" s="1"/>
  <c r="I84" i="71"/>
  <c r="F85" i="71"/>
  <c r="R85" i="71" s="1"/>
  <c r="F90" i="71"/>
  <c r="R90" i="71" s="1"/>
  <c r="F91" i="71"/>
  <c r="R91" i="71" s="1"/>
  <c r="F92" i="71"/>
  <c r="R92" i="71" s="1"/>
  <c r="G99" i="71"/>
  <c r="I99" i="71" s="1"/>
  <c r="G100" i="71"/>
  <c r="T100" i="71" s="1"/>
  <c r="U100" i="71" s="1"/>
  <c r="H107" i="71"/>
  <c r="T107" i="71" s="1"/>
  <c r="R107" i="71"/>
  <c r="R108" i="71" s="1"/>
  <c r="F108" i="71"/>
  <c r="H108" i="71"/>
  <c r="T108" i="71" s="1"/>
  <c r="H109" i="71"/>
  <c r="T109" i="71" s="1"/>
  <c r="I130" i="71"/>
  <c r="A139" i="71"/>
  <c r="A140" i="71"/>
  <c r="A141" i="71"/>
  <c r="A142" i="71"/>
  <c r="A143" i="71"/>
  <c r="A144" i="71"/>
  <c r="A145" i="71"/>
  <c r="A146" i="71"/>
  <c r="A147" i="71"/>
  <c r="A148" i="71"/>
  <c r="A149" i="71"/>
  <c r="A150" i="71"/>
  <c r="A151" i="71"/>
  <c r="A152" i="71"/>
  <c r="A153" i="71"/>
  <c r="A154" i="71"/>
  <c r="A155" i="71"/>
  <c r="A156" i="71"/>
  <c r="A158" i="71"/>
  <c r="A159" i="71"/>
  <c r="A160" i="71"/>
  <c r="A161" i="71"/>
  <c r="A163" i="71"/>
  <c r="A164" i="71"/>
  <c r="A165" i="71"/>
  <c r="A167" i="71"/>
  <c r="A168" i="71"/>
  <c r="A169" i="71"/>
  <c r="A170" i="71"/>
  <c r="N1" i="70"/>
  <c r="A3" i="70"/>
  <c r="N3" i="70" s="1"/>
  <c r="F4" i="70"/>
  <c r="P4" i="70"/>
  <c r="A7" i="70"/>
  <c r="C8" i="70"/>
  <c r="H8" i="70"/>
  <c r="T8" i="70" s="1"/>
  <c r="F13" i="70"/>
  <c r="F14" i="70"/>
  <c r="F15" i="70"/>
  <c r="F16" i="70"/>
  <c r="F17" i="70"/>
  <c r="F18" i="70"/>
  <c r="F19" i="70"/>
  <c r="F20" i="70"/>
  <c r="F21" i="70"/>
  <c r="F22" i="70"/>
  <c r="F23" i="70"/>
  <c r="F24" i="70"/>
  <c r="F25" i="70"/>
  <c r="F26" i="70"/>
  <c r="F27" i="70"/>
  <c r="F28" i="70"/>
  <c r="C29" i="70"/>
  <c r="D29" i="70"/>
  <c r="E27" i="70" s="1"/>
  <c r="C43" i="70"/>
  <c r="D43" i="70"/>
  <c r="H50" i="70"/>
  <c r="T50" i="70" s="1"/>
  <c r="U50" i="70" s="1"/>
  <c r="H51" i="70"/>
  <c r="T51" i="70" s="1"/>
  <c r="U51" i="70" s="1"/>
  <c r="H52" i="70"/>
  <c r="T52" i="70" s="1"/>
  <c r="U52" i="70" s="1"/>
  <c r="H53" i="70"/>
  <c r="T53" i="70" s="1"/>
  <c r="U53" i="70" s="1"/>
  <c r="H54" i="70"/>
  <c r="T54" i="70" s="1"/>
  <c r="U54" i="70" s="1"/>
  <c r="H55" i="70"/>
  <c r="T55" i="70" s="1"/>
  <c r="U55" i="70" s="1"/>
  <c r="H56" i="70"/>
  <c r="T56" i="70" s="1"/>
  <c r="U56" i="70" s="1"/>
  <c r="H57" i="70"/>
  <c r="H58" i="70"/>
  <c r="T58" i="70" s="1"/>
  <c r="U58" i="70" s="1"/>
  <c r="C59" i="70"/>
  <c r="D59" i="70"/>
  <c r="E52" i="70" s="1"/>
  <c r="P59" i="70"/>
  <c r="H62" i="70"/>
  <c r="T62" i="70" s="1"/>
  <c r="H65" i="70"/>
  <c r="T65" i="70" s="1"/>
  <c r="F68" i="70"/>
  <c r="R68" i="70" s="1"/>
  <c r="F70" i="70"/>
  <c r="R70" i="70" s="1"/>
  <c r="F71" i="70"/>
  <c r="R71" i="70" s="1"/>
  <c r="F72" i="70"/>
  <c r="R72" i="70" s="1"/>
  <c r="F76" i="70"/>
  <c r="R76" i="70" s="1"/>
  <c r="F77" i="70"/>
  <c r="R77" i="70" s="1"/>
  <c r="F78" i="70"/>
  <c r="R78" i="70" s="1"/>
  <c r="F79" i="70"/>
  <c r="R79" i="70" s="1"/>
  <c r="F80" i="70"/>
  <c r="R80" i="70" s="1"/>
  <c r="F82" i="70"/>
  <c r="R82" i="70" s="1"/>
  <c r="U82" i="70" s="1"/>
  <c r="F83" i="70"/>
  <c r="R83" i="70" s="1"/>
  <c r="U83" i="70" s="1"/>
  <c r="I84" i="70"/>
  <c r="F85" i="70"/>
  <c r="R85" i="70" s="1"/>
  <c r="F90" i="70"/>
  <c r="R90" i="70" s="1"/>
  <c r="F91" i="70"/>
  <c r="R91" i="70" s="1"/>
  <c r="F92" i="70"/>
  <c r="R92" i="70" s="1"/>
  <c r="G99" i="70"/>
  <c r="T99" i="70" s="1"/>
  <c r="G100" i="70"/>
  <c r="I100" i="70" s="1"/>
  <c r="H107" i="70"/>
  <c r="R107" i="70"/>
  <c r="R108" i="70" s="1"/>
  <c r="F108" i="70"/>
  <c r="H108" i="70"/>
  <c r="T108" i="70" s="1"/>
  <c r="I130" i="70"/>
  <c r="A139" i="70"/>
  <c r="A140" i="70"/>
  <c r="A141" i="70"/>
  <c r="A142" i="70"/>
  <c r="A143" i="70"/>
  <c r="A144" i="70"/>
  <c r="A145" i="70"/>
  <c r="A146" i="70"/>
  <c r="A147" i="70"/>
  <c r="A148" i="70"/>
  <c r="A149" i="70"/>
  <c r="A150" i="70"/>
  <c r="A151" i="70"/>
  <c r="A152" i="70"/>
  <c r="A153" i="70"/>
  <c r="A154" i="70"/>
  <c r="A155" i="70"/>
  <c r="A156" i="70"/>
  <c r="A158" i="70"/>
  <c r="A159" i="70"/>
  <c r="A160" i="70"/>
  <c r="A161" i="70"/>
  <c r="A163" i="70"/>
  <c r="A164" i="70"/>
  <c r="A165" i="70"/>
  <c r="A167" i="70"/>
  <c r="A168" i="70"/>
  <c r="A169" i="70"/>
  <c r="A170" i="70"/>
  <c r="N1" i="69"/>
  <c r="A3" i="69"/>
  <c r="N3" i="69" s="1"/>
  <c r="F4" i="69"/>
  <c r="P4" i="69"/>
  <c r="A7" i="69"/>
  <c r="C8" i="69"/>
  <c r="H8" i="69"/>
  <c r="F13" i="69"/>
  <c r="F14" i="69"/>
  <c r="F15" i="69"/>
  <c r="F16" i="69"/>
  <c r="F17" i="69"/>
  <c r="F18" i="69"/>
  <c r="F19" i="69"/>
  <c r="F20" i="69"/>
  <c r="F21" i="69"/>
  <c r="F22" i="69"/>
  <c r="F23" i="69"/>
  <c r="F24" i="69"/>
  <c r="F25" i="69"/>
  <c r="F26" i="69"/>
  <c r="F27" i="69"/>
  <c r="F28" i="69"/>
  <c r="C29" i="69"/>
  <c r="D29" i="69"/>
  <c r="E23" i="69" s="1"/>
  <c r="C43" i="69"/>
  <c r="D43" i="69"/>
  <c r="H50" i="69"/>
  <c r="T50" i="69" s="1"/>
  <c r="U50" i="69" s="1"/>
  <c r="H51" i="69"/>
  <c r="T51" i="69" s="1"/>
  <c r="U51" i="69" s="1"/>
  <c r="H52" i="69"/>
  <c r="T52" i="69" s="1"/>
  <c r="U52" i="69" s="1"/>
  <c r="H53" i="69"/>
  <c r="H54" i="69"/>
  <c r="T54" i="69" s="1"/>
  <c r="U54" i="69" s="1"/>
  <c r="H55" i="69"/>
  <c r="T55" i="69" s="1"/>
  <c r="U55" i="69" s="1"/>
  <c r="H56" i="69"/>
  <c r="T56" i="69" s="1"/>
  <c r="U56" i="69" s="1"/>
  <c r="H57" i="69"/>
  <c r="H58" i="69"/>
  <c r="T58" i="69" s="1"/>
  <c r="U58" i="69" s="1"/>
  <c r="C59" i="69"/>
  <c r="D59" i="69"/>
  <c r="P59" i="69"/>
  <c r="H62" i="69"/>
  <c r="T62" i="69" s="1"/>
  <c r="H65" i="69"/>
  <c r="T65" i="69" s="1"/>
  <c r="F68" i="69"/>
  <c r="R68" i="69" s="1"/>
  <c r="F70" i="69"/>
  <c r="R70" i="69" s="1"/>
  <c r="F71" i="69"/>
  <c r="R71" i="69" s="1"/>
  <c r="F72" i="69"/>
  <c r="R72" i="69" s="1"/>
  <c r="F76" i="69"/>
  <c r="F77" i="69"/>
  <c r="R77" i="69" s="1"/>
  <c r="F78" i="69"/>
  <c r="F79" i="69"/>
  <c r="R79" i="69" s="1"/>
  <c r="F80" i="69"/>
  <c r="F82" i="69"/>
  <c r="R82" i="69" s="1"/>
  <c r="U82" i="69" s="1"/>
  <c r="F83" i="69"/>
  <c r="R83" i="69" s="1"/>
  <c r="U83" i="69" s="1"/>
  <c r="I84" i="69"/>
  <c r="F85" i="69"/>
  <c r="R85" i="69" s="1"/>
  <c r="F90" i="69"/>
  <c r="R90" i="69" s="1"/>
  <c r="F91" i="69"/>
  <c r="R91" i="69" s="1"/>
  <c r="F92" i="69"/>
  <c r="R92" i="69" s="1"/>
  <c r="G99" i="69"/>
  <c r="I99" i="69" s="1"/>
  <c r="G100" i="69"/>
  <c r="T100" i="69" s="1"/>
  <c r="U100" i="69" s="1"/>
  <c r="H107" i="69"/>
  <c r="H109" i="69" s="1"/>
  <c r="T109" i="69" s="1"/>
  <c r="R107" i="69"/>
  <c r="R108" i="69" s="1"/>
  <c r="F108" i="69"/>
  <c r="H108" i="69"/>
  <c r="T108" i="69" s="1"/>
  <c r="I130" i="69"/>
  <c r="A139" i="69"/>
  <c r="A140" i="69"/>
  <c r="A141" i="69"/>
  <c r="A142" i="69"/>
  <c r="A143" i="69"/>
  <c r="A144" i="69"/>
  <c r="A145" i="69"/>
  <c r="A146" i="69"/>
  <c r="A147" i="69"/>
  <c r="A148" i="69"/>
  <c r="A149" i="69"/>
  <c r="A150" i="69"/>
  <c r="A151" i="69"/>
  <c r="A152" i="69"/>
  <c r="A153" i="69"/>
  <c r="A154" i="69"/>
  <c r="A155" i="69"/>
  <c r="A156" i="69"/>
  <c r="A158" i="69"/>
  <c r="A159" i="69"/>
  <c r="A160" i="69"/>
  <c r="A161" i="69"/>
  <c r="A163" i="69"/>
  <c r="A164" i="69"/>
  <c r="A165" i="69"/>
  <c r="A167" i="69"/>
  <c r="A168" i="69"/>
  <c r="A169" i="69"/>
  <c r="A170" i="69"/>
  <c r="N1" i="67"/>
  <c r="A3" i="67"/>
  <c r="N3" i="67" s="1"/>
  <c r="F4" i="67"/>
  <c r="P4" i="67"/>
  <c r="A7" i="67"/>
  <c r="C8" i="67"/>
  <c r="H8" i="67"/>
  <c r="E90" i="67" s="1"/>
  <c r="F13" i="67"/>
  <c r="F14" i="67"/>
  <c r="F15" i="67"/>
  <c r="F16" i="67"/>
  <c r="F17" i="67"/>
  <c r="F18" i="67"/>
  <c r="F19" i="67"/>
  <c r="F20" i="67"/>
  <c r="F21" i="67"/>
  <c r="F22" i="67"/>
  <c r="F23" i="67"/>
  <c r="F24" i="67"/>
  <c r="F25" i="67"/>
  <c r="F26" i="67"/>
  <c r="F27" i="67"/>
  <c r="F28" i="67"/>
  <c r="C29" i="67"/>
  <c r="D29" i="67"/>
  <c r="C43" i="67"/>
  <c r="D43" i="67"/>
  <c r="E38" i="67" s="1"/>
  <c r="H50" i="67"/>
  <c r="T50" i="67" s="1"/>
  <c r="U50" i="67" s="1"/>
  <c r="H51" i="67"/>
  <c r="T51" i="67" s="1"/>
  <c r="U51" i="67" s="1"/>
  <c r="H52" i="67"/>
  <c r="T52" i="67" s="1"/>
  <c r="U52" i="67" s="1"/>
  <c r="H53" i="67"/>
  <c r="H54" i="67"/>
  <c r="T54" i="67" s="1"/>
  <c r="U54" i="67" s="1"/>
  <c r="H55" i="67"/>
  <c r="T55" i="67" s="1"/>
  <c r="U55" i="67" s="1"/>
  <c r="H56" i="67"/>
  <c r="H57" i="67"/>
  <c r="T57" i="67" s="1"/>
  <c r="U57" i="67" s="1"/>
  <c r="H58" i="67"/>
  <c r="C59" i="67"/>
  <c r="D59" i="67"/>
  <c r="E51" i="67" s="1"/>
  <c r="P59" i="67"/>
  <c r="H62" i="67"/>
  <c r="T62" i="67" s="1"/>
  <c r="H65" i="67"/>
  <c r="T65" i="67" s="1"/>
  <c r="F68" i="67"/>
  <c r="R68" i="67" s="1"/>
  <c r="F70" i="67"/>
  <c r="R70" i="67" s="1"/>
  <c r="F71" i="67"/>
  <c r="R71" i="67" s="1"/>
  <c r="F72" i="67"/>
  <c r="F76" i="67"/>
  <c r="R76" i="67" s="1"/>
  <c r="F77" i="67"/>
  <c r="R77" i="67" s="1"/>
  <c r="F78" i="67"/>
  <c r="R78" i="67" s="1"/>
  <c r="F79" i="67"/>
  <c r="R79" i="67" s="1"/>
  <c r="F80" i="67"/>
  <c r="R80" i="67" s="1"/>
  <c r="F82" i="67"/>
  <c r="R82" i="67" s="1"/>
  <c r="U82" i="67" s="1"/>
  <c r="F83" i="67"/>
  <c r="R83" i="67" s="1"/>
  <c r="U83" i="67" s="1"/>
  <c r="I84" i="67"/>
  <c r="F85" i="67"/>
  <c r="R85" i="67" s="1"/>
  <c r="F90" i="67"/>
  <c r="R90" i="67" s="1"/>
  <c r="F91" i="67"/>
  <c r="R91" i="67" s="1"/>
  <c r="F92" i="67"/>
  <c r="R92" i="67" s="1"/>
  <c r="G99" i="67"/>
  <c r="T99" i="67" s="1"/>
  <c r="G100" i="67"/>
  <c r="T100" i="67" s="1"/>
  <c r="U100" i="67" s="1"/>
  <c r="H107" i="67"/>
  <c r="H109" i="67" s="1"/>
  <c r="T109" i="67" s="1"/>
  <c r="R107" i="67"/>
  <c r="R108" i="67" s="1"/>
  <c r="F108" i="67"/>
  <c r="H108" i="67"/>
  <c r="T108" i="67" s="1"/>
  <c r="I130" i="67"/>
  <c r="A139" i="67"/>
  <c r="A140" i="67"/>
  <c r="A141" i="67"/>
  <c r="A142" i="67"/>
  <c r="A143" i="67"/>
  <c r="A144" i="67"/>
  <c r="A145" i="67"/>
  <c r="A146" i="67"/>
  <c r="A147" i="67"/>
  <c r="A148" i="67"/>
  <c r="A149" i="67"/>
  <c r="A150" i="67"/>
  <c r="A151" i="67"/>
  <c r="A152" i="67"/>
  <c r="A153" i="67"/>
  <c r="A154" i="67"/>
  <c r="A155" i="67"/>
  <c r="A156" i="67"/>
  <c r="A158" i="67"/>
  <c r="A159" i="67"/>
  <c r="A160" i="67"/>
  <c r="A161" i="67"/>
  <c r="A163" i="67"/>
  <c r="A164" i="67"/>
  <c r="A165" i="67"/>
  <c r="A167" i="67"/>
  <c r="A168" i="67"/>
  <c r="A169" i="67"/>
  <c r="A170" i="67"/>
  <c r="N1" i="66"/>
  <c r="A3" i="66"/>
  <c r="N3" i="66" s="1"/>
  <c r="F4" i="66"/>
  <c r="P4" i="66"/>
  <c r="A7" i="66"/>
  <c r="C8" i="66"/>
  <c r="H8" i="66"/>
  <c r="E91" i="66" s="1"/>
  <c r="F13" i="66"/>
  <c r="F14" i="66"/>
  <c r="F15" i="66"/>
  <c r="F16" i="66"/>
  <c r="F17" i="66"/>
  <c r="F18" i="66"/>
  <c r="F19" i="66"/>
  <c r="F20" i="66"/>
  <c r="F21" i="66"/>
  <c r="F22" i="66"/>
  <c r="F23" i="66"/>
  <c r="F24" i="66"/>
  <c r="F25" i="66"/>
  <c r="F26" i="66"/>
  <c r="F27" i="66"/>
  <c r="F28" i="66"/>
  <c r="C29" i="66"/>
  <c r="D29" i="66"/>
  <c r="E17" i="66" s="1"/>
  <c r="C43" i="66"/>
  <c r="D43" i="66"/>
  <c r="E38" i="66" s="1"/>
  <c r="H50" i="66"/>
  <c r="T50" i="66" s="1"/>
  <c r="U50" i="66" s="1"/>
  <c r="H51" i="66"/>
  <c r="H52" i="66"/>
  <c r="T52" i="66" s="1"/>
  <c r="U52" i="66" s="1"/>
  <c r="H53" i="66"/>
  <c r="T53" i="66" s="1"/>
  <c r="U53" i="66" s="1"/>
  <c r="H54" i="66"/>
  <c r="T54" i="66" s="1"/>
  <c r="U54" i="66" s="1"/>
  <c r="H55" i="66"/>
  <c r="T55" i="66" s="1"/>
  <c r="U55" i="66" s="1"/>
  <c r="H56" i="66"/>
  <c r="T56" i="66" s="1"/>
  <c r="U56" i="66" s="1"/>
  <c r="H57" i="66"/>
  <c r="T57" i="66" s="1"/>
  <c r="U57" i="66" s="1"/>
  <c r="H58" i="66"/>
  <c r="T58" i="66" s="1"/>
  <c r="U58" i="66" s="1"/>
  <c r="C59" i="66"/>
  <c r="D59" i="66"/>
  <c r="E50" i="66" s="1"/>
  <c r="P59" i="66"/>
  <c r="H62" i="66"/>
  <c r="T62" i="66" s="1"/>
  <c r="H65" i="66"/>
  <c r="T65" i="66" s="1"/>
  <c r="F68" i="66"/>
  <c r="R68" i="66" s="1"/>
  <c r="F70" i="66"/>
  <c r="R70" i="66" s="1"/>
  <c r="F71" i="66"/>
  <c r="R71" i="66" s="1"/>
  <c r="F72" i="66"/>
  <c r="R72" i="66" s="1"/>
  <c r="F76" i="66"/>
  <c r="R76" i="66" s="1"/>
  <c r="F77" i="66"/>
  <c r="R77" i="66" s="1"/>
  <c r="F78" i="66"/>
  <c r="R78" i="66" s="1"/>
  <c r="F79" i="66"/>
  <c r="R79" i="66" s="1"/>
  <c r="F80" i="66"/>
  <c r="R80" i="66" s="1"/>
  <c r="F82" i="66"/>
  <c r="R82" i="66" s="1"/>
  <c r="U82" i="66" s="1"/>
  <c r="F83" i="66"/>
  <c r="R83" i="66" s="1"/>
  <c r="U83" i="66" s="1"/>
  <c r="I84" i="66"/>
  <c r="F85" i="66"/>
  <c r="R85" i="66" s="1"/>
  <c r="F90" i="66"/>
  <c r="R90" i="66" s="1"/>
  <c r="F91" i="66"/>
  <c r="R91" i="66" s="1"/>
  <c r="F92" i="66"/>
  <c r="R92" i="66" s="1"/>
  <c r="G99" i="66"/>
  <c r="T99" i="66" s="1"/>
  <c r="G100" i="66"/>
  <c r="T100" i="66" s="1"/>
  <c r="U100" i="66" s="1"/>
  <c r="H107" i="66"/>
  <c r="R107" i="66"/>
  <c r="R108" i="66" s="1"/>
  <c r="F108" i="66"/>
  <c r="H108" i="66"/>
  <c r="T108" i="66" s="1"/>
  <c r="I130" i="66"/>
  <c r="A139" i="66"/>
  <c r="A140" i="66"/>
  <c r="A141" i="66"/>
  <c r="A142" i="66"/>
  <c r="A143" i="66"/>
  <c r="A144" i="66"/>
  <c r="A145" i="66"/>
  <c r="A146" i="66"/>
  <c r="A147" i="66"/>
  <c r="A148" i="66"/>
  <c r="A149" i="66"/>
  <c r="A150" i="66"/>
  <c r="A151" i="66"/>
  <c r="A152" i="66"/>
  <c r="A153" i="66"/>
  <c r="A154" i="66"/>
  <c r="A155" i="66"/>
  <c r="A156" i="66"/>
  <c r="A158" i="66"/>
  <c r="A159" i="66"/>
  <c r="A160" i="66"/>
  <c r="A161" i="66"/>
  <c r="A163" i="66"/>
  <c r="A164" i="66"/>
  <c r="A165" i="66"/>
  <c r="A167" i="66"/>
  <c r="A168" i="66"/>
  <c r="A169" i="66"/>
  <c r="A170" i="66"/>
  <c r="N1" i="58"/>
  <c r="A3" i="58"/>
  <c r="N3" i="58" s="1"/>
  <c r="F4" i="58"/>
  <c r="P4" i="58"/>
  <c r="A7" i="58"/>
  <c r="C8" i="58"/>
  <c r="H8" i="58"/>
  <c r="T8" i="58" s="1"/>
  <c r="F13" i="58"/>
  <c r="F14" i="58"/>
  <c r="F15" i="58"/>
  <c r="F16" i="58"/>
  <c r="F17" i="58"/>
  <c r="F18" i="58"/>
  <c r="F19" i="58"/>
  <c r="F20" i="58"/>
  <c r="F21" i="58"/>
  <c r="F22" i="58"/>
  <c r="F23" i="58"/>
  <c r="F24" i="58"/>
  <c r="F25" i="58"/>
  <c r="F26" i="58"/>
  <c r="F27" i="58"/>
  <c r="F28" i="58"/>
  <c r="C29" i="58"/>
  <c r="D29" i="58"/>
  <c r="E24" i="58" s="1"/>
  <c r="C43" i="58"/>
  <c r="D43" i="58"/>
  <c r="H50" i="58"/>
  <c r="T50" i="58" s="1"/>
  <c r="U50" i="58" s="1"/>
  <c r="H51" i="58"/>
  <c r="T51" i="58" s="1"/>
  <c r="U51" i="58" s="1"/>
  <c r="H52" i="58"/>
  <c r="T52" i="58" s="1"/>
  <c r="U52" i="58" s="1"/>
  <c r="H53" i="58"/>
  <c r="T53" i="58" s="1"/>
  <c r="U53" i="58" s="1"/>
  <c r="H54" i="58"/>
  <c r="T54" i="58" s="1"/>
  <c r="U54" i="58" s="1"/>
  <c r="H55" i="58"/>
  <c r="T55" i="58" s="1"/>
  <c r="U55" i="58" s="1"/>
  <c r="H56" i="58"/>
  <c r="T56" i="58" s="1"/>
  <c r="U56" i="58" s="1"/>
  <c r="H57" i="58"/>
  <c r="T57" i="58" s="1"/>
  <c r="U57" i="58" s="1"/>
  <c r="H58" i="58"/>
  <c r="T58" i="58" s="1"/>
  <c r="U58" i="58" s="1"/>
  <c r="C59" i="58"/>
  <c r="D59" i="58"/>
  <c r="P59" i="58"/>
  <c r="H62" i="58"/>
  <c r="T62" i="58" s="1"/>
  <c r="H65" i="58"/>
  <c r="T65" i="58" s="1"/>
  <c r="F68" i="58"/>
  <c r="F70" i="58"/>
  <c r="R70" i="58" s="1"/>
  <c r="F71" i="58"/>
  <c r="F72" i="58"/>
  <c r="R72" i="58" s="1"/>
  <c r="F76" i="58"/>
  <c r="R76" i="58" s="1"/>
  <c r="F77" i="58"/>
  <c r="R77" i="58" s="1"/>
  <c r="F78" i="58"/>
  <c r="R78" i="58" s="1"/>
  <c r="F79" i="58"/>
  <c r="R79" i="58" s="1"/>
  <c r="F80" i="58"/>
  <c r="R80" i="58" s="1"/>
  <c r="F82" i="58"/>
  <c r="R82" i="58" s="1"/>
  <c r="U82" i="58" s="1"/>
  <c r="F83" i="58"/>
  <c r="R83" i="58" s="1"/>
  <c r="U83" i="58" s="1"/>
  <c r="I84" i="58"/>
  <c r="F85" i="58"/>
  <c r="R85" i="58" s="1"/>
  <c r="F90" i="58"/>
  <c r="R90" i="58" s="1"/>
  <c r="F91" i="58"/>
  <c r="R91" i="58" s="1"/>
  <c r="F92" i="58"/>
  <c r="R92" i="58" s="1"/>
  <c r="G99" i="58"/>
  <c r="I99" i="58" s="1"/>
  <c r="G100" i="58"/>
  <c r="T100" i="58" s="1"/>
  <c r="U100" i="58" s="1"/>
  <c r="H107" i="58"/>
  <c r="T107" i="58" s="1"/>
  <c r="R107" i="58"/>
  <c r="R108" i="58" s="1"/>
  <c r="F108" i="58"/>
  <c r="H108" i="58"/>
  <c r="T108" i="58" s="1"/>
  <c r="I130" i="58"/>
  <c r="A139" i="58"/>
  <c r="A140" i="58"/>
  <c r="A141" i="58"/>
  <c r="A142" i="58"/>
  <c r="A143" i="58"/>
  <c r="A144" i="58"/>
  <c r="A145" i="58"/>
  <c r="A146" i="58"/>
  <c r="A147" i="58"/>
  <c r="A148" i="58"/>
  <c r="A149" i="58"/>
  <c r="A150" i="58"/>
  <c r="A151" i="58"/>
  <c r="A152" i="58"/>
  <c r="A153" i="58"/>
  <c r="A154" i="58"/>
  <c r="A155" i="58"/>
  <c r="A156" i="58"/>
  <c r="A158" i="58"/>
  <c r="A159" i="58"/>
  <c r="A160" i="58"/>
  <c r="A161" i="58"/>
  <c r="A163" i="58"/>
  <c r="A164" i="58"/>
  <c r="A165" i="58"/>
  <c r="A167" i="58"/>
  <c r="A168" i="58"/>
  <c r="A169" i="58"/>
  <c r="A170" i="58"/>
  <c r="N1" i="57"/>
  <c r="A3" i="57"/>
  <c r="N3" i="57" s="1"/>
  <c r="F4" i="57"/>
  <c r="P4" i="57"/>
  <c r="A7" i="57"/>
  <c r="C8" i="57"/>
  <c r="H8" i="57"/>
  <c r="E91" i="57" s="1"/>
  <c r="F13" i="57"/>
  <c r="F14" i="57"/>
  <c r="F15" i="57"/>
  <c r="F16" i="57"/>
  <c r="F17" i="57"/>
  <c r="F18" i="57"/>
  <c r="F19" i="57"/>
  <c r="F20" i="57"/>
  <c r="F21" i="57"/>
  <c r="F22" i="57"/>
  <c r="F23" i="57"/>
  <c r="F24" i="57"/>
  <c r="F25" i="57"/>
  <c r="F26" i="57"/>
  <c r="F27" i="57"/>
  <c r="F28" i="57"/>
  <c r="C29" i="57"/>
  <c r="D29" i="57"/>
  <c r="C43" i="57"/>
  <c r="D43" i="57"/>
  <c r="E39" i="57" s="1"/>
  <c r="H50" i="57"/>
  <c r="T50" i="57" s="1"/>
  <c r="U50" i="57" s="1"/>
  <c r="H51" i="57"/>
  <c r="T51" i="57" s="1"/>
  <c r="U51" i="57" s="1"/>
  <c r="H52" i="57"/>
  <c r="T52" i="57" s="1"/>
  <c r="U52" i="57" s="1"/>
  <c r="H53" i="57"/>
  <c r="T53" i="57" s="1"/>
  <c r="U53" i="57" s="1"/>
  <c r="H54" i="57"/>
  <c r="T54" i="57" s="1"/>
  <c r="U54" i="57" s="1"/>
  <c r="H55" i="57"/>
  <c r="T55" i="57" s="1"/>
  <c r="U55" i="57" s="1"/>
  <c r="H56" i="57"/>
  <c r="T56" i="57" s="1"/>
  <c r="U56" i="57" s="1"/>
  <c r="H57" i="57"/>
  <c r="T57" i="57" s="1"/>
  <c r="U57" i="57" s="1"/>
  <c r="H58" i="57"/>
  <c r="T58" i="57" s="1"/>
  <c r="U58" i="57" s="1"/>
  <c r="C59" i="57"/>
  <c r="D59" i="57"/>
  <c r="E54" i="57" s="1"/>
  <c r="P59" i="57"/>
  <c r="H62" i="57"/>
  <c r="T62" i="57" s="1"/>
  <c r="H65" i="57"/>
  <c r="T65" i="57" s="1"/>
  <c r="F68" i="57"/>
  <c r="R68" i="57" s="1"/>
  <c r="F70" i="57"/>
  <c r="R70" i="57" s="1"/>
  <c r="F71" i="57"/>
  <c r="R71" i="57" s="1"/>
  <c r="F72" i="57"/>
  <c r="F76" i="57"/>
  <c r="R76" i="57" s="1"/>
  <c r="F77" i="57"/>
  <c r="R77" i="57" s="1"/>
  <c r="F78" i="57"/>
  <c r="R78" i="57" s="1"/>
  <c r="F79" i="57"/>
  <c r="R79" i="57" s="1"/>
  <c r="F80" i="57"/>
  <c r="R80" i="57" s="1"/>
  <c r="F82" i="57"/>
  <c r="R82" i="57" s="1"/>
  <c r="U82" i="57" s="1"/>
  <c r="F83" i="57"/>
  <c r="R83" i="57" s="1"/>
  <c r="U83" i="57" s="1"/>
  <c r="I84" i="57"/>
  <c r="F85" i="57"/>
  <c r="R85" i="57" s="1"/>
  <c r="F90" i="57"/>
  <c r="R90" i="57" s="1"/>
  <c r="F91" i="57"/>
  <c r="R91" i="57" s="1"/>
  <c r="F92" i="57"/>
  <c r="R92" i="57" s="1"/>
  <c r="G99" i="57"/>
  <c r="T99" i="57" s="1"/>
  <c r="G100" i="57"/>
  <c r="H107" i="57"/>
  <c r="R107" i="57"/>
  <c r="R108" i="57" s="1"/>
  <c r="F108" i="57"/>
  <c r="H108" i="57"/>
  <c r="T108" i="57" s="1"/>
  <c r="I130" i="57"/>
  <c r="A139" i="57"/>
  <c r="A140" i="57"/>
  <c r="A141" i="57"/>
  <c r="A142" i="57"/>
  <c r="A143" i="57"/>
  <c r="A144" i="57"/>
  <c r="A145" i="57"/>
  <c r="A146" i="57"/>
  <c r="A147" i="57"/>
  <c r="A148" i="57"/>
  <c r="A149" i="57"/>
  <c r="A150" i="57"/>
  <c r="A151" i="57"/>
  <c r="A152" i="57"/>
  <c r="A153" i="57"/>
  <c r="A154" i="57"/>
  <c r="A155" i="57"/>
  <c r="A156" i="57"/>
  <c r="A158" i="57"/>
  <c r="A159" i="57"/>
  <c r="A160" i="57"/>
  <c r="A161" i="57"/>
  <c r="A163" i="57"/>
  <c r="A164" i="57"/>
  <c r="A165" i="57"/>
  <c r="A167" i="57"/>
  <c r="A168" i="57"/>
  <c r="A169" i="57"/>
  <c r="A170" i="57"/>
  <c r="N1" i="56"/>
  <c r="A3" i="56"/>
  <c r="N3" i="56" s="1"/>
  <c r="F4" i="56"/>
  <c r="P4" i="56"/>
  <c r="A7" i="56"/>
  <c r="C8" i="56"/>
  <c r="H8" i="56"/>
  <c r="T8" i="56" s="1"/>
  <c r="F13" i="56"/>
  <c r="F14" i="56"/>
  <c r="F15" i="56"/>
  <c r="F16" i="56"/>
  <c r="F17" i="56"/>
  <c r="F18" i="56"/>
  <c r="F19" i="56"/>
  <c r="F20" i="56"/>
  <c r="F21" i="56"/>
  <c r="F22" i="56"/>
  <c r="F23" i="56"/>
  <c r="F24" i="56"/>
  <c r="F25" i="56"/>
  <c r="F26" i="56"/>
  <c r="F27" i="56"/>
  <c r="F28" i="56"/>
  <c r="C29" i="56"/>
  <c r="D29" i="56"/>
  <c r="E17" i="56" s="1"/>
  <c r="C43" i="56"/>
  <c r="D43" i="56"/>
  <c r="H50" i="56"/>
  <c r="T50" i="56" s="1"/>
  <c r="U50" i="56" s="1"/>
  <c r="H51" i="56"/>
  <c r="T51" i="56" s="1"/>
  <c r="U51" i="56" s="1"/>
  <c r="H52" i="56"/>
  <c r="T52" i="56" s="1"/>
  <c r="U52" i="56" s="1"/>
  <c r="H53" i="56"/>
  <c r="T53" i="56" s="1"/>
  <c r="U53" i="56" s="1"/>
  <c r="H54" i="56"/>
  <c r="T54" i="56" s="1"/>
  <c r="U54" i="56" s="1"/>
  <c r="H55" i="56"/>
  <c r="T55" i="56" s="1"/>
  <c r="U55" i="56" s="1"/>
  <c r="H56" i="56"/>
  <c r="T56" i="56" s="1"/>
  <c r="U56" i="56" s="1"/>
  <c r="H57" i="56"/>
  <c r="T57" i="56" s="1"/>
  <c r="U57" i="56" s="1"/>
  <c r="H58" i="56"/>
  <c r="T58" i="56" s="1"/>
  <c r="U58" i="56" s="1"/>
  <c r="C59" i="56"/>
  <c r="D59" i="56"/>
  <c r="P59" i="56"/>
  <c r="H62" i="56"/>
  <c r="T62" i="56" s="1"/>
  <c r="H65" i="56"/>
  <c r="T65" i="56" s="1"/>
  <c r="F68" i="56"/>
  <c r="R68" i="56" s="1"/>
  <c r="F70" i="56"/>
  <c r="R70" i="56" s="1"/>
  <c r="F71" i="56"/>
  <c r="R71" i="56" s="1"/>
  <c r="F72" i="56"/>
  <c r="R72" i="56" s="1"/>
  <c r="F76" i="56"/>
  <c r="F77" i="56"/>
  <c r="R77" i="56" s="1"/>
  <c r="F78" i="56"/>
  <c r="F79" i="56"/>
  <c r="F80" i="56"/>
  <c r="F82" i="56"/>
  <c r="R82" i="56" s="1"/>
  <c r="U82" i="56" s="1"/>
  <c r="F83" i="56"/>
  <c r="R83" i="56" s="1"/>
  <c r="U83" i="56" s="1"/>
  <c r="I84" i="56"/>
  <c r="F85" i="56"/>
  <c r="R85" i="56" s="1"/>
  <c r="F90" i="56"/>
  <c r="R90" i="56" s="1"/>
  <c r="F91" i="56"/>
  <c r="R91" i="56" s="1"/>
  <c r="F92" i="56"/>
  <c r="R92" i="56" s="1"/>
  <c r="G99" i="56"/>
  <c r="I99" i="56" s="1"/>
  <c r="G100" i="56"/>
  <c r="T100" i="56" s="1"/>
  <c r="U100" i="56" s="1"/>
  <c r="H107" i="56"/>
  <c r="T107" i="56" s="1"/>
  <c r="R107" i="56"/>
  <c r="R108" i="56" s="1"/>
  <c r="F108" i="56"/>
  <c r="H108" i="56"/>
  <c r="I130" i="56"/>
  <c r="A139" i="56"/>
  <c r="A140" i="56"/>
  <c r="A141" i="56"/>
  <c r="A142" i="56"/>
  <c r="A143" i="56"/>
  <c r="A144" i="56"/>
  <c r="A145" i="56"/>
  <c r="A146" i="56"/>
  <c r="A147" i="56"/>
  <c r="A148" i="56"/>
  <c r="A149" i="56"/>
  <c r="A150" i="56"/>
  <c r="A151" i="56"/>
  <c r="A152" i="56"/>
  <c r="A153" i="56"/>
  <c r="A154" i="56"/>
  <c r="A155" i="56"/>
  <c r="A156" i="56"/>
  <c r="A158" i="56"/>
  <c r="A159" i="56"/>
  <c r="A160" i="56"/>
  <c r="A161" i="56"/>
  <c r="A163" i="56"/>
  <c r="A164" i="56"/>
  <c r="A165" i="56"/>
  <c r="A167" i="56"/>
  <c r="A168" i="56"/>
  <c r="A169" i="56"/>
  <c r="A170" i="56"/>
  <c r="N1" i="55"/>
  <c r="A3" i="55"/>
  <c r="N3" i="55" s="1"/>
  <c r="F4" i="55"/>
  <c r="P4" i="55"/>
  <c r="A7" i="55"/>
  <c r="C8" i="55"/>
  <c r="H8" i="55"/>
  <c r="F13" i="55"/>
  <c r="F14" i="55"/>
  <c r="F15" i="55"/>
  <c r="F16" i="55"/>
  <c r="F17" i="55"/>
  <c r="F18" i="55"/>
  <c r="F19" i="55"/>
  <c r="F20" i="55"/>
  <c r="F21" i="55"/>
  <c r="F22" i="55"/>
  <c r="F23" i="55"/>
  <c r="F24" i="55"/>
  <c r="F25" i="55"/>
  <c r="F26" i="55"/>
  <c r="F27" i="55"/>
  <c r="F28" i="55"/>
  <c r="C29" i="55"/>
  <c r="D29" i="55"/>
  <c r="E18" i="55" s="1"/>
  <c r="C43" i="55"/>
  <c r="D43" i="55"/>
  <c r="E37" i="55" s="1"/>
  <c r="H50" i="55"/>
  <c r="T50" i="55" s="1"/>
  <c r="U50" i="55" s="1"/>
  <c r="H51" i="55"/>
  <c r="T51" i="55" s="1"/>
  <c r="U51" i="55" s="1"/>
  <c r="H52" i="55"/>
  <c r="T52" i="55" s="1"/>
  <c r="U52" i="55" s="1"/>
  <c r="H53" i="55"/>
  <c r="T53" i="55" s="1"/>
  <c r="U53" i="55" s="1"/>
  <c r="H54" i="55"/>
  <c r="T54" i="55" s="1"/>
  <c r="U54" i="55" s="1"/>
  <c r="H55" i="55"/>
  <c r="T55" i="55" s="1"/>
  <c r="U55" i="55" s="1"/>
  <c r="H56" i="55"/>
  <c r="H57" i="55"/>
  <c r="T57" i="55" s="1"/>
  <c r="U57" i="55" s="1"/>
  <c r="H58" i="55"/>
  <c r="T58" i="55" s="1"/>
  <c r="U58" i="55" s="1"/>
  <c r="C59" i="55"/>
  <c r="D59" i="55"/>
  <c r="E107" i="55" s="1"/>
  <c r="P59" i="55"/>
  <c r="H62" i="55"/>
  <c r="T62" i="55" s="1"/>
  <c r="H65" i="55"/>
  <c r="T65" i="55" s="1"/>
  <c r="F68" i="55"/>
  <c r="F70" i="55"/>
  <c r="R70" i="55" s="1"/>
  <c r="F71" i="55"/>
  <c r="F72" i="55"/>
  <c r="R72" i="55" s="1"/>
  <c r="F76" i="55"/>
  <c r="R76" i="55" s="1"/>
  <c r="F77" i="55"/>
  <c r="F78" i="55"/>
  <c r="R78" i="55" s="1"/>
  <c r="F79" i="55"/>
  <c r="F80" i="55"/>
  <c r="R80" i="55" s="1"/>
  <c r="F82" i="55"/>
  <c r="R82" i="55" s="1"/>
  <c r="U82" i="55" s="1"/>
  <c r="F83" i="55"/>
  <c r="R83" i="55" s="1"/>
  <c r="U83" i="55" s="1"/>
  <c r="I84" i="55"/>
  <c r="F85" i="55"/>
  <c r="R85" i="55" s="1"/>
  <c r="F90" i="55"/>
  <c r="R90" i="55" s="1"/>
  <c r="F91" i="55"/>
  <c r="R91" i="55" s="1"/>
  <c r="F92" i="55"/>
  <c r="R92" i="55" s="1"/>
  <c r="G99" i="55"/>
  <c r="T99" i="55" s="1"/>
  <c r="G100" i="55"/>
  <c r="T100" i="55" s="1"/>
  <c r="U100" i="55" s="1"/>
  <c r="H107" i="55"/>
  <c r="T107" i="55" s="1"/>
  <c r="R107" i="55"/>
  <c r="R108" i="55" s="1"/>
  <c r="F108" i="55"/>
  <c r="H108" i="55"/>
  <c r="T108" i="55" s="1"/>
  <c r="I130" i="55"/>
  <c r="A139" i="55"/>
  <c r="A140" i="55"/>
  <c r="A141" i="55"/>
  <c r="A142" i="55"/>
  <c r="A143" i="55"/>
  <c r="A144" i="55"/>
  <c r="A145" i="55"/>
  <c r="A146" i="55"/>
  <c r="A147" i="55"/>
  <c r="A148" i="55"/>
  <c r="A149" i="55"/>
  <c r="A150" i="55"/>
  <c r="A151" i="55"/>
  <c r="A152" i="55"/>
  <c r="A153" i="55"/>
  <c r="A154" i="55"/>
  <c r="A155" i="55"/>
  <c r="A156" i="55"/>
  <c r="A158" i="55"/>
  <c r="A159" i="55"/>
  <c r="A160" i="55"/>
  <c r="A161" i="55"/>
  <c r="A163" i="55"/>
  <c r="A164" i="55"/>
  <c r="A165" i="55"/>
  <c r="A167" i="55"/>
  <c r="A168" i="55"/>
  <c r="A169" i="55"/>
  <c r="A170" i="55"/>
  <c r="N1" i="76"/>
  <c r="A3" i="76"/>
  <c r="N3" i="76" s="1"/>
  <c r="F4" i="76"/>
  <c r="P4" i="76"/>
  <c r="A7" i="76"/>
  <c r="C8" i="76"/>
  <c r="H8" i="76"/>
  <c r="F13" i="76"/>
  <c r="F14" i="76"/>
  <c r="F15" i="76"/>
  <c r="F16" i="76"/>
  <c r="F17" i="76"/>
  <c r="F18" i="76"/>
  <c r="F19" i="76"/>
  <c r="F20" i="76"/>
  <c r="F21" i="76"/>
  <c r="F22" i="76"/>
  <c r="F23" i="76"/>
  <c r="F24" i="76"/>
  <c r="F25" i="76"/>
  <c r="F26" i="76"/>
  <c r="F27" i="76"/>
  <c r="F28" i="76"/>
  <c r="C29" i="76"/>
  <c r="D29" i="76"/>
  <c r="E21" i="76" s="1"/>
  <c r="C43" i="76"/>
  <c r="D43" i="76"/>
  <c r="E40" i="76" s="1"/>
  <c r="H50" i="76"/>
  <c r="T50" i="76" s="1"/>
  <c r="U50" i="76" s="1"/>
  <c r="H51" i="76"/>
  <c r="T51" i="76" s="1"/>
  <c r="U51" i="76" s="1"/>
  <c r="H52" i="76"/>
  <c r="T52" i="76" s="1"/>
  <c r="U52" i="76" s="1"/>
  <c r="H53" i="76"/>
  <c r="T53" i="76" s="1"/>
  <c r="U53" i="76" s="1"/>
  <c r="H54" i="76"/>
  <c r="T54" i="76" s="1"/>
  <c r="U54" i="76" s="1"/>
  <c r="H55" i="76"/>
  <c r="T55" i="76" s="1"/>
  <c r="U55" i="76" s="1"/>
  <c r="H56" i="76"/>
  <c r="T56" i="76" s="1"/>
  <c r="U56" i="76" s="1"/>
  <c r="H57" i="76"/>
  <c r="T57" i="76" s="1"/>
  <c r="U57" i="76" s="1"/>
  <c r="H58" i="76"/>
  <c r="T58" i="76" s="1"/>
  <c r="U58" i="76" s="1"/>
  <c r="C59" i="76"/>
  <c r="D59" i="76"/>
  <c r="E50" i="76" s="1"/>
  <c r="P59" i="76"/>
  <c r="H62" i="76"/>
  <c r="T62" i="76" s="1"/>
  <c r="H65" i="76"/>
  <c r="T65" i="76" s="1"/>
  <c r="F68" i="76"/>
  <c r="R68" i="76" s="1"/>
  <c r="F70" i="76"/>
  <c r="R70" i="76" s="1"/>
  <c r="F71" i="76"/>
  <c r="R71" i="76" s="1"/>
  <c r="F72" i="76"/>
  <c r="R72" i="76"/>
  <c r="F76" i="76"/>
  <c r="F77" i="76"/>
  <c r="R77" i="76" s="1"/>
  <c r="F78" i="76"/>
  <c r="F79" i="76"/>
  <c r="R79" i="76" s="1"/>
  <c r="F80" i="76"/>
  <c r="F82" i="76"/>
  <c r="R82" i="76" s="1"/>
  <c r="U82" i="76" s="1"/>
  <c r="F83" i="76"/>
  <c r="R83" i="76" s="1"/>
  <c r="U83" i="76" s="1"/>
  <c r="I84" i="76"/>
  <c r="F85" i="76"/>
  <c r="R85" i="76" s="1"/>
  <c r="F90" i="76"/>
  <c r="R90" i="76" s="1"/>
  <c r="F91" i="76"/>
  <c r="R91" i="76" s="1"/>
  <c r="F92" i="76"/>
  <c r="R92" i="76" s="1"/>
  <c r="G99" i="76"/>
  <c r="I99" i="76" s="1"/>
  <c r="G100" i="76"/>
  <c r="H107" i="76"/>
  <c r="T107" i="76" s="1"/>
  <c r="R107" i="76"/>
  <c r="R108" i="76" s="1"/>
  <c r="F108" i="76"/>
  <c r="H108" i="76"/>
  <c r="T108" i="76" s="1"/>
  <c r="I130" i="76"/>
  <c r="A139" i="76"/>
  <c r="A140" i="76"/>
  <c r="A141" i="76"/>
  <c r="A142" i="76"/>
  <c r="A143" i="76"/>
  <c r="A144" i="76"/>
  <c r="A145" i="76"/>
  <c r="A146" i="76"/>
  <c r="A147" i="76"/>
  <c r="A148" i="76"/>
  <c r="A149" i="76"/>
  <c r="A150" i="76"/>
  <c r="A151" i="76"/>
  <c r="A152" i="76"/>
  <c r="A153" i="76"/>
  <c r="A154" i="76"/>
  <c r="A155" i="76"/>
  <c r="A156" i="76"/>
  <c r="A158" i="76"/>
  <c r="A159" i="76"/>
  <c r="A160" i="76"/>
  <c r="A161" i="76"/>
  <c r="A163" i="76"/>
  <c r="A164" i="76"/>
  <c r="A165" i="76"/>
  <c r="A167" i="76"/>
  <c r="A168" i="76"/>
  <c r="A169" i="76"/>
  <c r="A170" i="76"/>
  <c r="N1" i="75"/>
  <c r="A3" i="75"/>
  <c r="N3" i="75" s="1"/>
  <c r="F4" i="75"/>
  <c r="P4" i="75"/>
  <c r="A7" i="75"/>
  <c r="C8" i="75"/>
  <c r="H8" i="75"/>
  <c r="F13" i="75"/>
  <c r="F14" i="75"/>
  <c r="F15" i="75"/>
  <c r="F16" i="75"/>
  <c r="F17" i="75"/>
  <c r="F18" i="75"/>
  <c r="F19" i="75"/>
  <c r="F20" i="75"/>
  <c r="F21" i="75"/>
  <c r="F22" i="75"/>
  <c r="F23" i="75"/>
  <c r="F24" i="75"/>
  <c r="F25" i="75"/>
  <c r="F26" i="75"/>
  <c r="F27" i="75"/>
  <c r="F28" i="75"/>
  <c r="C29" i="75"/>
  <c r="D29" i="75"/>
  <c r="E21" i="75" s="1"/>
  <c r="C43" i="75"/>
  <c r="D43" i="75"/>
  <c r="H50" i="75"/>
  <c r="H51" i="75"/>
  <c r="T51" i="75" s="1"/>
  <c r="U51" i="75" s="1"/>
  <c r="H52" i="75"/>
  <c r="T52" i="75" s="1"/>
  <c r="U52" i="75" s="1"/>
  <c r="H53" i="75"/>
  <c r="T53" i="75" s="1"/>
  <c r="U53" i="75" s="1"/>
  <c r="H54" i="75"/>
  <c r="T54" i="75" s="1"/>
  <c r="U54" i="75" s="1"/>
  <c r="H55" i="75"/>
  <c r="T55" i="75" s="1"/>
  <c r="U55" i="75" s="1"/>
  <c r="H56" i="75"/>
  <c r="H57" i="75"/>
  <c r="H58" i="75"/>
  <c r="T58" i="75" s="1"/>
  <c r="U58" i="75" s="1"/>
  <c r="C59" i="75"/>
  <c r="D59" i="75"/>
  <c r="P59" i="75"/>
  <c r="H62" i="75"/>
  <c r="T62" i="75" s="1"/>
  <c r="H65" i="75"/>
  <c r="T65" i="75" s="1"/>
  <c r="F68" i="75"/>
  <c r="F70" i="75"/>
  <c r="R70" i="75" s="1"/>
  <c r="F71" i="75"/>
  <c r="F72" i="75"/>
  <c r="R72" i="75" s="1"/>
  <c r="F76" i="75"/>
  <c r="R76" i="75" s="1"/>
  <c r="F77" i="75"/>
  <c r="R77" i="75" s="1"/>
  <c r="F78" i="75"/>
  <c r="R78" i="75" s="1"/>
  <c r="F79" i="75"/>
  <c r="R79" i="75" s="1"/>
  <c r="F80" i="75"/>
  <c r="R80" i="75" s="1"/>
  <c r="F82" i="75"/>
  <c r="R82" i="75" s="1"/>
  <c r="U82" i="75" s="1"/>
  <c r="F83" i="75"/>
  <c r="R83" i="75" s="1"/>
  <c r="U83" i="75" s="1"/>
  <c r="I84" i="75"/>
  <c r="F85" i="75"/>
  <c r="R85" i="75" s="1"/>
  <c r="F90" i="75"/>
  <c r="R90" i="75" s="1"/>
  <c r="F91" i="75"/>
  <c r="R91" i="75" s="1"/>
  <c r="F92" i="75"/>
  <c r="R92" i="75" s="1"/>
  <c r="G99" i="75"/>
  <c r="I99" i="75" s="1"/>
  <c r="G100" i="75"/>
  <c r="T100" i="75" s="1"/>
  <c r="U100" i="75" s="1"/>
  <c r="H107" i="75"/>
  <c r="T107" i="75" s="1"/>
  <c r="R107" i="75"/>
  <c r="R108" i="75" s="1"/>
  <c r="F108" i="75"/>
  <c r="H108" i="75"/>
  <c r="I130" i="75"/>
  <c r="A139" i="75"/>
  <c r="A140" i="75"/>
  <c r="A141" i="75"/>
  <c r="A142" i="75"/>
  <c r="A143" i="75"/>
  <c r="A144" i="75"/>
  <c r="A145" i="75"/>
  <c r="A146" i="75"/>
  <c r="A147" i="75"/>
  <c r="A148" i="75"/>
  <c r="A149" i="75"/>
  <c r="A150" i="75"/>
  <c r="A151" i="75"/>
  <c r="A152" i="75"/>
  <c r="A153" i="75"/>
  <c r="A154" i="75"/>
  <c r="A155" i="75"/>
  <c r="A156" i="75"/>
  <c r="A158" i="75"/>
  <c r="A159" i="75"/>
  <c r="A160" i="75"/>
  <c r="A161" i="75"/>
  <c r="A163" i="75"/>
  <c r="A164" i="75"/>
  <c r="A165" i="75"/>
  <c r="A167" i="75"/>
  <c r="A168" i="75"/>
  <c r="A169" i="75"/>
  <c r="A170" i="75"/>
  <c r="N1" i="52"/>
  <c r="A3" i="52"/>
  <c r="N3" i="52" s="1"/>
  <c r="F4" i="52"/>
  <c r="P4" i="52"/>
  <c r="A7" i="52"/>
  <c r="C8" i="52"/>
  <c r="H8" i="52"/>
  <c r="T8" i="52" s="1"/>
  <c r="F13" i="52"/>
  <c r="F14" i="52"/>
  <c r="F15" i="52"/>
  <c r="F16" i="52"/>
  <c r="F17" i="52"/>
  <c r="F18" i="52"/>
  <c r="F19" i="52"/>
  <c r="F20" i="52"/>
  <c r="F21" i="52"/>
  <c r="F22" i="52"/>
  <c r="F23" i="52"/>
  <c r="F24" i="52"/>
  <c r="F25" i="52"/>
  <c r="F26" i="52"/>
  <c r="F27" i="52"/>
  <c r="F28" i="52"/>
  <c r="C29" i="52"/>
  <c r="D29" i="52"/>
  <c r="E24" i="52" s="1"/>
  <c r="C43" i="52"/>
  <c r="D43" i="52"/>
  <c r="E41" i="52" s="1"/>
  <c r="H50" i="52"/>
  <c r="T50" i="52" s="1"/>
  <c r="U50" i="52" s="1"/>
  <c r="H51" i="52"/>
  <c r="T51" i="52" s="1"/>
  <c r="U51" i="52" s="1"/>
  <c r="H52" i="52"/>
  <c r="T52" i="52" s="1"/>
  <c r="U52" i="52" s="1"/>
  <c r="H53" i="52"/>
  <c r="H54" i="52"/>
  <c r="T54" i="52" s="1"/>
  <c r="U54" i="52" s="1"/>
  <c r="H55" i="52"/>
  <c r="H56" i="52"/>
  <c r="T56" i="52" s="1"/>
  <c r="U56" i="52" s="1"/>
  <c r="H57" i="52"/>
  <c r="T57" i="52" s="1"/>
  <c r="U57" i="52" s="1"/>
  <c r="H58" i="52"/>
  <c r="T58" i="52" s="1"/>
  <c r="U58" i="52" s="1"/>
  <c r="C59" i="52"/>
  <c r="D59" i="52"/>
  <c r="E53" i="52" s="1"/>
  <c r="P59" i="52"/>
  <c r="H62" i="52"/>
  <c r="T62" i="52" s="1"/>
  <c r="H65" i="52"/>
  <c r="T65" i="52" s="1"/>
  <c r="F68" i="52"/>
  <c r="R68" i="52" s="1"/>
  <c r="F70" i="52"/>
  <c r="R70" i="52" s="1"/>
  <c r="F71" i="52"/>
  <c r="R71" i="52" s="1"/>
  <c r="F72" i="52"/>
  <c r="R72" i="52" s="1"/>
  <c r="F76" i="52"/>
  <c r="F77" i="52"/>
  <c r="F78" i="52"/>
  <c r="F79" i="52"/>
  <c r="F80" i="52"/>
  <c r="F82" i="52"/>
  <c r="R82" i="52" s="1"/>
  <c r="U82" i="52" s="1"/>
  <c r="F83" i="52"/>
  <c r="R83" i="52" s="1"/>
  <c r="U83" i="52" s="1"/>
  <c r="I84" i="52"/>
  <c r="F85" i="52"/>
  <c r="R85" i="52" s="1"/>
  <c r="F90" i="52"/>
  <c r="R90" i="52" s="1"/>
  <c r="F91" i="52"/>
  <c r="R91" i="52" s="1"/>
  <c r="F92" i="52"/>
  <c r="R92" i="52" s="1"/>
  <c r="G99" i="52"/>
  <c r="I99" i="52" s="1"/>
  <c r="G100" i="52"/>
  <c r="I100" i="52" s="1"/>
  <c r="H107" i="52"/>
  <c r="H109" i="52" s="1"/>
  <c r="T109" i="52" s="1"/>
  <c r="R107" i="52"/>
  <c r="R108" i="52" s="1"/>
  <c r="F108" i="52"/>
  <c r="H108" i="52"/>
  <c r="T108" i="52" s="1"/>
  <c r="I130" i="52"/>
  <c r="A139" i="52"/>
  <c r="A140" i="52"/>
  <c r="A141" i="52"/>
  <c r="A142" i="52"/>
  <c r="A143" i="52"/>
  <c r="A144" i="52"/>
  <c r="A145" i="52"/>
  <c r="A146" i="52"/>
  <c r="A147" i="52"/>
  <c r="A148" i="52"/>
  <c r="A149" i="52"/>
  <c r="A150" i="52"/>
  <c r="A151" i="52"/>
  <c r="A152" i="52"/>
  <c r="A153" i="52"/>
  <c r="A154" i="52"/>
  <c r="A155" i="52"/>
  <c r="A156" i="52"/>
  <c r="A158" i="52"/>
  <c r="A159" i="52"/>
  <c r="A160" i="52"/>
  <c r="A161" i="52"/>
  <c r="A163" i="52"/>
  <c r="A164" i="52"/>
  <c r="A165" i="52"/>
  <c r="A167" i="52"/>
  <c r="A168" i="52"/>
  <c r="A169" i="52"/>
  <c r="A170" i="52"/>
  <c r="N1" i="51"/>
  <c r="A3" i="51"/>
  <c r="N3" i="51" s="1"/>
  <c r="F4" i="51"/>
  <c r="P4" i="51"/>
  <c r="A7" i="51"/>
  <c r="C8" i="51"/>
  <c r="H8" i="51"/>
  <c r="T8" i="51" s="1"/>
  <c r="P90" i="51" s="1"/>
  <c r="F13" i="51"/>
  <c r="F14" i="51"/>
  <c r="F15" i="51"/>
  <c r="F16" i="51"/>
  <c r="F17" i="51"/>
  <c r="F18" i="51"/>
  <c r="F19" i="51"/>
  <c r="F20" i="51"/>
  <c r="F21" i="51"/>
  <c r="F22" i="51"/>
  <c r="F23" i="51"/>
  <c r="F24" i="51"/>
  <c r="F25" i="51"/>
  <c r="F26" i="51"/>
  <c r="F27" i="51"/>
  <c r="F28" i="51"/>
  <c r="C29" i="51"/>
  <c r="D29" i="51"/>
  <c r="E16" i="51" s="1"/>
  <c r="C43" i="51"/>
  <c r="D43" i="51"/>
  <c r="E39" i="51" s="1"/>
  <c r="H50" i="51"/>
  <c r="T50" i="51" s="1"/>
  <c r="U50" i="51" s="1"/>
  <c r="H51" i="51"/>
  <c r="T51" i="51" s="1"/>
  <c r="U51" i="51" s="1"/>
  <c r="H52" i="51"/>
  <c r="T52" i="51" s="1"/>
  <c r="U52" i="51" s="1"/>
  <c r="H53" i="51"/>
  <c r="T53" i="51" s="1"/>
  <c r="U53" i="51" s="1"/>
  <c r="H54" i="51"/>
  <c r="T54" i="51" s="1"/>
  <c r="U54" i="51" s="1"/>
  <c r="H55" i="51"/>
  <c r="T55" i="51" s="1"/>
  <c r="U55" i="51" s="1"/>
  <c r="H56" i="51"/>
  <c r="T56" i="51" s="1"/>
  <c r="U56" i="51" s="1"/>
  <c r="H57" i="51"/>
  <c r="T57" i="51" s="1"/>
  <c r="U57" i="51" s="1"/>
  <c r="H58" i="51"/>
  <c r="T58" i="51" s="1"/>
  <c r="U58" i="51" s="1"/>
  <c r="C59" i="51"/>
  <c r="D59" i="51"/>
  <c r="E58" i="51" s="1"/>
  <c r="P59" i="51"/>
  <c r="H62" i="51"/>
  <c r="T62" i="51" s="1"/>
  <c r="H65" i="51"/>
  <c r="T65" i="51" s="1"/>
  <c r="F68" i="51"/>
  <c r="R68" i="51" s="1"/>
  <c r="F70" i="51"/>
  <c r="R70" i="51" s="1"/>
  <c r="F71" i="51"/>
  <c r="R71" i="51" s="1"/>
  <c r="F72" i="51"/>
  <c r="F76" i="51"/>
  <c r="R76" i="51" s="1"/>
  <c r="F77" i="51"/>
  <c r="F78" i="51"/>
  <c r="R78" i="51" s="1"/>
  <c r="F79" i="51"/>
  <c r="F80" i="51"/>
  <c r="R80" i="51" s="1"/>
  <c r="F82" i="51"/>
  <c r="R82" i="51" s="1"/>
  <c r="U82" i="51" s="1"/>
  <c r="F83" i="51"/>
  <c r="R83" i="51" s="1"/>
  <c r="U83" i="51" s="1"/>
  <c r="I84" i="51"/>
  <c r="F85" i="51"/>
  <c r="F90" i="51"/>
  <c r="R90" i="51" s="1"/>
  <c r="F91" i="51"/>
  <c r="R91" i="51" s="1"/>
  <c r="F92" i="51"/>
  <c r="R92" i="51" s="1"/>
  <c r="G99" i="51"/>
  <c r="I99" i="51" s="1"/>
  <c r="G100" i="51"/>
  <c r="T100" i="51" s="1"/>
  <c r="U100" i="51" s="1"/>
  <c r="H107" i="51"/>
  <c r="T107" i="51" s="1"/>
  <c r="R107" i="51"/>
  <c r="R108" i="51" s="1"/>
  <c r="F108" i="51"/>
  <c r="H108" i="51"/>
  <c r="T108" i="51" s="1"/>
  <c r="I130" i="51"/>
  <c r="A139" i="51"/>
  <c r="A140" i="51"/>
  <c r="A141" i="51"/>
  <c r="A142" i="51"/>
  <c r="A143" i="51"/>
  <c r="A144" i="51"/>
  <c r="A145" i="51"/>
  <c r="A146" i="51"/>
  <c r="A147" i="51"/>
  <c r="A148" i="51"/>
  <c r="A149" i="51"/>
  <c r="A150" i="51"/>
  <c r="A151" i="51"/>
  <c r="A152" i="51"/>
  <c r="A153" i="51"/>
  <c r="A154" i="51"/>
  <c r="A155" i="51"/>
  <c r="A156" i="51"/>
  <c r="A158" i="51"/>
  <c r="A159" i="51"/>
  <c r="A160" i="51"/>
  <c r="A161" i="51"/>
  <c r="A163" i="51"/>
  <c r="A164" i="51"/>
  <c r="A165" i="51"/>
  <c r="A167" i="51"/>
  <c r="A168" i="51"/>
  <c r="A169" i="51"/>
  <c r="A170" i="51"/>
  <c r="N1" i="50"/>
  <c r="A3" i="50"/>
  <c r="N3" i="50" s="1"/>
  <c r="F4" i="50"/>
  <c r="P4" i="50"/>
  <c r="A7" i="50"/>
  <c r="C8" i="50"/>
  <c r="H8" i="50"/>
  <c r="E90" i="50" s="1"/>
  <c r="F13" i="50"/>
  <c r="F14" i="50"/>
  <c r="F15" i="50"/>
  <c r="F16" i="50"/>
  <c r="F17" i="50"/>
  <c r="F18" i="50"/>
  <c r="F19" i="50"/>
  <c r="F20" i="50"/>
  <c r="F21" i="50"/>
  <c r="F22" i="50"/>
  <c r="F23" i="50"/>
  <c r="F24" i="50"/>
  <c r="F25" i="50"/>
  <c r="F26" i="50"/>
  <c r="F27" i="50"/>
  <c r="F28" i="50"/>
  <c r="C29" i="50"/>
  <c r="D29" i="50"/>
  <c r="E24" i="50" s="1"/>
  <c r="C43" i="50"/>
  <c r="D43" i="50"/>
  <c r="E39" i="50" s="1"/>
  <c r="H50" i="50"/>
  <c r="T50" i="50" s="1"/>
  <c r="U50" i="50" s="1"/>
  <c r="H51" i="50"/>
  <c r="T51" i="50" s="1"/>
  <c r="U51" i="50" s="1"/>
  <c r="H52" i="50"/>
  <c r="T52" i="50"/>
  <c r="U52" i="50" s="1"/>
  <c r="H53" i="50"/>
  <c r="T53" i="50" s="1"/>
  <c r="U53" i="50" s="1"/>
  <c r="H54" i="50"/>
  <c r="T54" i="50" s="1"/>
  <c r="U54" i="50" s="1"/>
  <c r="H55" i="50"/>
  <c r="T55" i="50" s="1"/>
  <c r="U55" i="50" s="1"/>
  <c r="H56" i="50"/>
  <c r="T56" i="50" s="1"/>
  <c r="U56" i="50" s="1"/>
  <c r="H57" i="50"/>
  <c r="T57" i="50" s="1"/>
  <c r="U57" i="50" s="1"/>
  <c r="H58" i="50"/>
  <c r="T58" i="50" s="1"/>
  <c r="U58" i="50" s="1"/>
  <c r="C59" i="50"/>
  <c r="D59" i="50"/>
  <c r="E56" i="50" s="1"/>
  <c r="P59" i="50"/>
  <c r="H62" i="50"/>
  <c r="T62" i="50" s="1"/>
  <c r="H65" i="50"/>
  <c r="T65" i="50" s="1"/>
  <c r="F68" i="50"/>
  <c r="R68" i="50" s="1"/>
  <c r="F70" i="50"/>
  <c r="R70" i="50" s="1"/>
  <c r="F71" i="50"/>
  <c r="R71" i="50" s="1"/>
  <c r="F72" i="50"/>
  <c r="R72" i="50" s="1"/>
  <c r="F76" i="50"/>
  <c r="R76" i="50" s="1"/>
  <c r="F77" i="50"/>
  <c r="R77" i="50" s="1"/>
  <c r="F78" i="50"/>
  <c r="R78" i="50" s="1"/>
  <c r="F79" i="50"/>
  <c r="R79" i="50" s="1"/>
  <c r="F80" i="50"/>
  <c r="R80" i="50" s="1"/>
  <c r="F82" i="50"/>
  <c r="R82" i="50" s="1"/>
  <c r="U82" i="50" s="1"/>
  <c r="F83" i="50"/>
  <c r="R83" i="50" s="1"/>
  <c r="U83" i="50" s="1"/>
  <c r="I84" i="50"/>
  <c r="F85" i="50"/>
  <c r="R85" i="50" s="1"/>
  <c r="F90" i="50"/>
  <c r="R90" i="50" s="1"/>
  <c r="F91" i="50"/>
  <c r="R91" i="50" s="1"/>
  <c r="F92" i="50"/>
  <c r="R92" i="50" s="1"/>
  <c r="G99" i="50"/>
  <c r="T99" i="50" s="1"/>
  <c r="G100" i="50"/>
  <c r="I100" i="50" s="1"/>
  <c r="H107" i="50"/>
  <c r="R107" i="50"/>
  <c r="F108" i="50"/>
  <c r="H108" i="50"/>
  <c r="T108" i="50" s="1"/>
  <c r="R108" i="50"/>
  <c r="I130" i="50"/>
  <c r="A139" i="50"/>
  <c r="A140" i="50"/>
  <c r="A141" i="50"/>
  <c r="A142" i="50"/>
  <c r="A143" i="50"/>
  <c r="A144" i="50"/>
  <c r="A145" i="50"/>
  <c r="A146" i="50"/>
  <c r="A147" i="50"/>
  <c r="A148" i="50"/>
  <c r="A149" i="50"/>
  <c r="A150" i="50"/>
  <c r="A151" i="50"/>
  <c r="A152" i="50"/>
  <c r="A153" i="50"/>
  <c r="A154" i="50"/>
  <c r="A155" i="50"/>
  <c r="A156" i="50"/>
  <c r="A158" i="50"/>
  <c r="A159" i="50"/>
  <c r="A160" i="50"/>
  <c r="A161" i="50"/>
  <c r="A163" i="50"/>
  <c r="A164" i="50"/>
  <c r="A165" i="50"/>
  <c r="A167" i="50"/>
  <c r="A168" i="50"/>
  <c r="A169" i="50"/>
  <c r="A170" i="50"/>
  <c r="N1" i="48"/>
  <c r="A3" i="48"/>
  <c r="N3" i="48" s="1"/>
  <c r="F4" i="48"/>
  <c r="P4" i="48"/>
  <c r="A7" i="48"/>
  <c r="C8" i="48"/>
  <c r="H8" i="48"/>
  <c r="F13" i="48"/>
  <c r="F14" i="48"/>
  <c r="F15" i="48"/>
  <c r="F16" i="48"/>
  <c r="F17" i="48"/>
  <c r="F18" i="48"/>
  <c r="F19" i="48"/>
  <c r="F20" i="48"/>
  <c r="F21" i="48"/>
  <c r="F22" i="48"/>
  <c r="F23" i="48"/>
  <c r="F24" i="48"/>
  <c r="F25" i="48"/>
  <c r="F26" i="48"/>
  <c r="F27" i="48"/>
  <c r="F28" i="48"/>
  <c r="C29" i="48"/>
  <c r="D29" i="48"/>
  <c r="E22" i="48" s="1"/>
  <c r="C43" i="48"/>
  <c r="D43" i="48"/>
  <c r="H50" i="48"/>
  <c r="T50" i="48" s="1"/>
  <c r="U50" i="48" s="1"/>
  <c r="H51" i="48"/>
  <c r="T51" i="48" s="1"/>
  <c r="U51" i="48" s="1"/>
  <c r="H52" i="48"/>
  <c r="T52" i="48" s="1"/>
  <c r="U52" i="48" s="1"/>
  <c r="H53" i="48"/>
  <c r="T53" i="48" s="1"/>
  <c r="U53" i="48" s="1"/>
  <c r="H54" i="48"/>
  <c r="T54" i="48" s="1"/>
  <c r="U54" i="48" s="1"/>
  <c r="H55" i="48"/>
  <c r="T55" i="48" s="1"/>
  <c r="U55" i="48" s="1"/>
  <c r="H56" i="48"/>
  <c r="T56" i="48" s="1"/>
  <c r="U56" i="48" s="1"/>
  <c r="H57" i="48"/>
  <c r="T57" i="48" s="1"/>
  <c r="U57" i="48" s="1"/>
  <c r="H58" i="48"/>
  <c r="T58" i="48" s="1"/>
  <c r="U58" i="48" s="1"/>
  <c r="C59" i="48"/>
  <c r="D59" i="48"/>
  <c r="P59" i="48"/>
  <c r="H62" i="48"/>
  <c r="T62" i="48" s="1"/>
  <c r="H65" i="48"/>
  <c r="T65" i="48" s="1"/>
  <c r="F68" i="48"/>
  <c r="R68" i="48" s="1"/>
  <c r="F70" i="48"/>
  <c r="F71" i="48"/>
  <c r="R71" i="48" s="1"/>
  <c r="F72" i="48"/>
  <c r="F76" i="48"/>
  <c r="F77" i="48"/>
  <c r="R77" i="48" s="1"/>
  <c r="F78" i="48"/>
  <c r="F79" i="48"/>
  <c r="R79" i="48" s="1"/>
  <c r="F80" i="48"/>
  <c r="F82" i="48"/>
  <c r="R82" i="48" s="1"/>
  <c r="U82" i="48" s="1"/>
  <c r="F83" i="48"/>
  <c r="R83" i="48" s="1"/>
  <c r="U83" i="48" s="1"/>
  <c r="I84" i="48"/>
  <c r="F85" i="48"/>
  <c r="F90" i="48"/>
  <c r="R90" i="48" s="1"/>
  <c r="F91" i="48"/>
  <c r="R91" i="48" s="1"/>
  <c r="F92" i="48"/>
  <c r="R92" i="48" s="1"/>
  <c r="G99" i="48"/>
  <c r="T99" i="48" s="1"/>
  <c r="G100" i="48"/>
  <c r="I100" i="48" s="1"/>
  <c r="H107" i="48"/>
  <c r="R107" i="48"/>
  <c r="R108" i="48" s="1"/>
  <c r="F108" i="48"/>
  <c r="H108" i="48"/>
  <c r="I130" i="48"/>
  <c r="A139" i="48"/>
  <c r="A140" i="48"/>
  <c r="A141" i="48"/>
  <c r="A142" i="48"/>
  <c r="A143" i="48"/>
  <c r="A144" i="48"/>
  <c r="A145" i="48"/>
  <c r="A146" i="48"/>
  <c r="A147" i="48"/>
  <c r="A148" i="48"/>
  <c r="A149" i="48"/>
  <c r="A150" i="48"/>
  <c r="A151" i="48"/>
  <c r="A152" i="48"/>
  <c r="A153" i="48"/>
  <c r="A154" i="48"/>
  <c r="A155" i="48"/>
  <c r="A156" i="48"/>
  <c r="A158" i="48"/>
  <c r="A159" i="48"/>
  <c r="A160" i="48"/>
  <c r="A161" i="48"/>
  <c r="A163" i="48"/>
  <c r="A164" i="48"/>
  <c r="A165" i="48"/>
  <c r="A167" i="48"/>
  <c r="A168" i="48"/>
  <c r="A169" i="48"/>
  <c r="A170" i="48"/>
  <c r="N1" i="47"/>
  <c r="A3" i="47"/>
  <c r="N3" i="47" s="1"/>
  <c r="F4" i="47"/>
  <c r="P4" i="47"/>
  <c r="A7" i="47"/>
  <c r="C8" i="47"/>
  <c r="H8" i="47"/>
  <c r="F13" i="47"/>
  <c r="F14" i="47"/>
  <c r="F15" i="47"/>
  <c r="F16" i="47"/>
  <c r="F17" i="47"/>
  <c r="F18" i="47"/>
  <c r="F19" i="47"/>
  <c r="F20" i="47"/>
  <c r="F21" i="47"/>
  <c r="F22" i="47"/>
  <c r="F23" i="47"/>
  <c r="F24" i="47"/>
  <c r="F25" i="47"/>
  <c r="F26" i="47"/>
  <c r="F27" i="47"/>
  <c r="F28" i="47"/>
  <c r="C29" i="47"/>
  <c r="D29" i="47"/>
  <c r="E21" i="47" s="1"/>
  <c r="C43" i="47"/>
  <c r="D43" i="47"/>
  <c r="H50" i="47"/>
  <c r="T50" i="47" s="1"/>
  <c r="U50" i="47" s="1"/>
  <c r="H51" i="47"/>
  <c r="T51" i="47" s="1"/>
  <c r="U51" i="47" s="1"/>
  <c r="H52" i="47"/>
  <c r="T52" i="47" s="1"/>
  <c r="U52" i="47" s="1"/>
  <c r="H53" i="47"/>
  <c r="T53" i="47" s="1"/>
  <c r="U53" i="47" s="1"/>
  <c r="H54" i="47"/>
  <c r="T54" i="47" s="1"/>
  <c r="U54" i="47" s="1"/>
  <c r="H55" i="47"/>
  <c r="T55" i="47" s="1"/>
  <c r="U55" i="47" s="1"/>
  <c r="H56" i="47"/>
  <c r="H57" i="47"/>
  <c r="H58" i="47"/>
  <c r="T58" i="47" s="1"/>
  <c r="U58" i="47" s="1"/>
  <c r="C59" i="47"/>
  <c r="D59" i="47"/>
  <c r="E109" i="47" s="1"/>
  <c r="P59" i="47"/>
  <c r="H62" i="47"/>
  <c r="T62" i="47" s="1"/>
  <c r="H65" i="47"/>
  <c r="T65" i="47" s="1"/>
  <c r="F68" i="47"/>
  <c r="R68" i="47" s="1"/>
  <c r="F70" i="47"/>
  <c r="R70" i="47" s="1"/>
  <c r="F71" i="47"/>
  <c r="R71" i="47" s="1"/>
  <c r="F72" i="47"/>
  <c r="R72" i="47" s="1"/>
  <c r="F76" i="47"/>
  <c r="F77" i="47"/>
  <c r="R77" i="47" s="1"/>
  <c r="F78" i="47"/>
  <c r="F79" i="47"/>
  <c r="R79" i="47" s="1"/>
  <c r="F80" i="47"/>
  <c r="F82" i="47"/>
  <c r="R82" i="47" s="1"/>
  <c r="U82" i="47" s="1"/>
  <c r="F83" i="47"/>
  <c r="R83" i="47" s="1"/>
  <c r="U83" i="47" s="1"/>
  <c r="I84" i="47"/>
  <c r="F85" i="47"/>
  <c r="R85" i="47" s="1"/>
  <c r="F90" i="47"/>
  <c r="R90" i="47" s="1"/>
  <c r="F91" i="47"/>
  <c r="R91" i="47" s="1"/>
  <c r="F92" i="47"/>
  <c r="R92" i="47" s="1"/>
  <c r="G99" i="47"/>
  <c r="T99" i="47" s="1"/>
  <c r="G100" i="47"/>
  <c r="I100" i="47" s="1"/>
  <c r="H107" i="47"/>
  <c r="R107" i="47"/>
  <c r="R108" i="47" s="1"/>
  <c r="F108" i="47"/>
  <c r="H108" i="47"/>
  <c r="T108" i="47" s="1"/>
  <c r="I130" i="47"/>
  <c r="A139" i="47"/>
  <c r="A140" i="47"/>
  <c r="A141" i="47"/>
  <c r="A142" i="47"/>
  <c r="A143" i="47"/>
  <c r="A144" i="47"/>
  <c r="A145" i="47"/>
  <c r="A146" i="47"/>
  <c r="A147" i="47"/>
  <c r="A148" i="47"/>
  <c r="A149" i="47"/>
  <c r="A150" i="47"/>
  <c r="A151" i="47"/>
  <c r="A152" i="47"/>
  <c r="A153" i="47"/>
  <c r="A154" i="47"/>
  <c r="A155" i="47"/>
  <c r="A156" i="47"/>
  <c r="A158" i="47"/>
  <c r="A159" i="47"/>
  <c r="A160" i="47"/>
  <c r="A161" i="47"/>
  <c r="A163" i="47"/>
  <c r="A164" i="47"/>
  <c r="A165" i="47"/>
  <c r="A167" i="47"/>
  <c r="A168" i="47"/>
  <c r="A169" i="47"/>
  <c r="A170" i="47"/>
  <c r="N1" i="45"/>
  <c r="A3" i="45"/>
  <c r="N3" i="45" s="1"/>
  <c r="F4" i="45"/>
  <c r="P4" i="45"/>
  <c r="A7" i="45"/>
  <c r="C8" i="45"/>
  <c r="H8" i="45"/>
  <c r="T8" i="45" s="1"/>
  <c r="P90" i="45" s="1"/>
  <c r="F13" i="45"/>
  <c r="F14" i="45"/>
  <c r="F15" i="45"/>
  <c r="F16" i="45"/>
  <c r="F17" i="45"/>
  <c r="F18" i="45"/>
  <c r="F19" i="45"/>
  <c r="F20" i="45"/>
  <c r="F21" i="45"/>
  <c r="F22" i="45"/>
  <c r="F23" i="45"/>
  <c r="F24" i="45"/>
  <c r="F25" i="45"/>
  <c r="F26" i="45"/>
  <c r="F27" i="45"/>
  <c r="F28" i="45"/>
  <c r="C29" i="45"/>
  <c r="D29" i="45"/>
  <c r="E24" i="45" s="1"/>
  <c r="C43" i="45"/>
  <c r="D43" i="45"/>
  <c r="E39" i="45" s="1"/>
  <c r="H50" i="45"/>
  <c r="T50" i="45" s="1"/>
  <c r="U50" i="45" s="1"/>
  <c r="H51" i="45"/>
  <c r="H52" i="45"/>
  <c r="T52" i="45" s="1"/>
  <c r="U52" i="45" s="1"/>
  <c r="H53" i="45"/>
  <c r="H54" i="45"/>
  <c r="T54" i="45" s="1"/>
  <c r="U54" i="45" s="1"/>
  <c r="H55" i="45"/>
  <c r="T55" i="45" s="1"/>
  <c r="U55" i="45" s="1"/>
  <c r="H56" i="45"/>
  <c r="H57" i="45"/>
  <c r="T57" i="45" s="1"/>
  <c r="U57" i="45" s="1"/>
  <c r="H58" i="45"/>
  <c r="C59" i="45"/>
  <c r="D59" i="45"/>
  <c r="P59" i="45"/>
  <c r="H62" i="45"/>
  <c r="T62" i="45" s="1"/>
  <c r="H65" i="45"/>
  <c r="T65" i="45" s="1"/>
  <c r="F68" i="45"/>
  <c r="R68" i="45" s="1"/>
  <c r="F70" i="45"/>
  <c r="R70" i="45" s="1"/>
  <c r="F71" i="45"/>
  <c r="R71" i="45" s="1"/>
  <c r="F72" i="45"/>
  <c r="R72" i="45" s="1"/>
  <c r="F76" i="45"/>
  <c r="F77" i="45"/>
  <c r="F78" i="45"/>
  <c r="F79" i="45"/>
  <c r="F80" i="45"/>
  <c r="R80" i="45" s="1"/>
  <c r="F82" i="45"/>
  <c r="R82" i="45" s="1"/>
  <c r="U82" i="45" s="1"/>
  <c r="F83" i="45"/>
  <c r="R83" i="45" s="1"/>
  <c r="U83" i="45" s="1"/>
  <c r="I84" i="45"/>
  <c r="F85" i="45"/>
  <c r="R85" i="45" s="1"/>
  <c r="F90" i="45"/>
  <c r="R90" i="45" s="1"/>
  <c r="F91" i="45"/>
  <c r="R91" i="45" s="1"/>
  <c r="F92" i="45"/>
  <c r="R92" i="45" s="1"/>
  <c r="G99" i="45"/>
  <c r="G100" i="45"/>
  <c r="I100" i="45" s="1"/>
  <c r="H107" i="45"/>
  <c r="R107" i="45"/>
  <c r="R108" i="45" s="1"/>
  <c r="F108" i="45"/>
  <c r="H108" i="45"/>
  <c r="T108" i="45" s="1"/>
  <c r="I130" i="45"/>
  <c r="A139" i="45"/>
  <c r="A140" i="45"/>
  <c r="A141" i="45"/>
  <c r="A142" i="45"/>
  <c r="A143" i="45"/>
  <c r="A144" i="45"/>
  <c r="A145" i="45"/>
  <c r="A146" i="45"/>
  <c r="A147" i="45"/>
  <c r="A148" i="45"/>
  <c r="A149" i="45"/>
  <c r="A150" i="45"/>
  <c r="A151" i="45"/>
  <c r="A152" i="45"/>
  <c r="A153" i="45"/>
  <c r="A154" i="45"/>
  <c r="A155" i="45"/>
  <c r="A156" i="45"/>
  <c r="A158" i="45"/>
  <c r="A159" i="45"/>
  <c r="A160" i="45"/>
  <c r="A161" i="45"/>
  <c r="A163" i="45"/>
  <c r="A164" i="45"/>
  <c r="A165" i="45"/>
  <c r="A167" i="45"/>
  <c r="A168" i="45"/>
  <c r="A169" i="45"/>
  <c r="A170" i="45"/>
  <c r="N1" i="44"/>
  <c r="A3" i="44"/>
  <c r="N3" i="44" s="1"/>
  <c r="F4" i="44"/>
  <c r="P4" i="44"/>
  <c r="A7" i="44"/>
  <c r="C8" i="44"/>
  <c r="H8" i="44"/>
  <c r="F13" i="44"/>
  <c r="F14" i="44"/>
  <c r="F15" i="44"/>
  <c r="F16" i="44"/>
  <c r="F17" i="44"/>
  <c r="F18" i="44"/>
  <c r="F19" i="44"/>
  <c r="F20" i="44"/>
  <c r="F21" i="44"/>
  <c r="F22" i="44"/>
  <c r="F23" i="44"/>
  <c r="F24" i="44"/>
  <c r="F25" i="44"/>
  <c r="F26" i="44"/>
  <c r="F27" i="44"/>
  <c r="F28" i="44"/>
  <c r="C29" i="44"/>
  <c r="D29" i="44"/>
  <c r="E18" i="44" s="1"/>
  <c r="C43" i="44"/>
  <c r="D43" i="44"/>
  <c r="H50" i="44"/>
  <c r="T50" i="44" s="1"/>
  <c r="U50" i="44" s="1"/>
  <c r="H51" i="44"/>
  <c r="T51" i="44" s="1"/>
  <c r="U51" i="44" s="1"/>
  <c r="H52" i="44"/>
  <c r="T52" i="44" s="1"/>
  <c r="U52" i="44" s="1"/>
  <c r="H53" i="44"/>
  <c r="T53" i="44" s="1"/>
  <c r="U53" i="44" s="1"/>
  <c r="H54" i="44"/>
  <c r="T54" i="44" s="1"/>
  <c r="U54" i="44" s="1"/>
  <c r="H55" i="44"/>
  <c r="T55" i="44" s="1"/>
  <c r="U55" i="44" s="1"/>
  <c r="H56" i="44"/>
  <c r="T56" i="44" s="1"/>
  <c r="U56" i="44" s="1"/>
  <c r="H57" i="44"/>
  <c r="T57" i="44" s="1"/>
  <c r="U57" i="44" s="1"/>
  <c r="H58" i="44"/>
  <c r="T58" i="44" s="1"/>
  <c r="U58" i="44" s="1"/>
  <c r="C59" i="44"/>
  <c r="D59" i="44"/>
  <c r="E57" i="44" s="1"/>
  <c r="P59" i="44"/>
  <c r="H62" i="44"/>
  <c r="T62" i="44" s="1"/>
  <c r="H65" i="44"/>
  <c r="T65" i="44" s="1"/>
  <c r="F68" i="44"/>
  <c r="R68" i="44" s="1"/>
  <c r="F70" i="44"/>
  <c r="F71" i="44"/>
  <c r="R71" i="44" s="1"/>
  <c r="F72" i="44"/>
  <c r="R72" i="44" s="1"/>
  <c r="F76" i="44"/>
  <c r="R76" i="44" s="1"/>
  <c r="F77" i="44"/>
  <c r="R77" i="44" s="1"/>
  <c r="F78" i="44"/>
  <c r="R78" i="44" s="1"/>
  <c r="F79" i="44"/>
  <c r="R79" i="44" s="1"/>
  <c r="F80" i="44"/>
  <c r="R80" i="44" s="1"/>
  <c r="F82" i="44"/>
  <c r="R82" i="44" s="1"/>
  <c r="U82" i="44" s="1"/>
  <c r="F83" i="44"/>
  <c r="R83" i="44" s="1"/>
  <c r="U83" i="44" s="1"/>
  <c r="I84" i="44"/>
  <c r="F85" i="44"/>
  <c r="R85" i="44" s="1"/>
  <c r="F90" i="44"/>
  <c r="R90" i="44" s="1"/>
  <c r="F91" i="44"/>
  <c r="R91" i="44" s="1"/>
  <c r="F92" i="44"/>
  <c r="R92" i="44" s="1"/>
  <c r="G99" i="44"/>
  <c r="I99" i="44" s="1"/>
  <c r="G100" i="44"/>
  <c r="T100" i="44" s="1"/>
  <c r="U100" i="44" s="1"/>
  <c r="H107" i="44"/>
  <c r="H109" i="44" s="1"/>
  <c r="R107" i="44"/>
  <c r="R108" i="44" s="1"/>
  <c r="F108" i="44"/>
  <c r="H108" i="44"/>
  <c r="I130" i="44"/>
  <c r="A139" i="44"/>
  <c r="A140" i="44"/>
  <c r="A141" i="44"/>
  <c r="A142" i="44"/>
  <c r="A143" i="44"/>
  <c r="A144" i="44"/>
  <c r="A145" i="44"/>
  <c r="A146" i="44"/>
  <c r="A147" i="44"/>
  <c r="A148" i="44"/>
  <c r="A149" i="44"/>
  <c r="A150" i="44"/>
  <c r="A151" i="44"/>
  <c r="A152" i="44"/>
  <c r="A153" i="44"/>
  <c r="A154" i="44"/>
  <c r="A155" i="44"/>
  <c r="A156" i="44"/>
  <c r="A158" i="44"/>
  <c r="A159" i="44"/>
  <c r="A160" i="44"/>
  <c r="A161" i="44"/>
  <c r="A163" i="44"/>
  <c r="A164" i="44"/>
  <c r="A165" i="44"/>
  <c r="A167" i="44"/>
  <c r="A168" i="44"/>
  <c r="A169" i="44"/>
  <c r="A170" i="44"/>
  <c r="N1" i="43"/>
  <c r="A3" i="43"/>
  <c r="N3" i="43" s="1"/>
  <c r="F4" i="43"/>
  <c r="P4" i="43"/>
  <c r="A7" i="43"/>
  <c r="C8" i="43"/>
  <c r="H8" i="43"/>
  <c r="T8" i="43" s="1"/>
  <c r="F13" i="43"/>
  <c r="F14" i="43"/>
  <c r="F15" i="43"/>
  <c r="F16" i="43"/>
  <c r="F17" i="43"/>
  <c r="F18" i="43"/>
  <c r="F19" i="43"/>
  <c r="F20" i="43"/>
  <c r="F21" i="43"/>
  <c r="F22" i="43"/>
  <c r="F23" i="43"/>
  <c r="F24" i="43"/>
  <c r="F25" i="43"/>
  <c r="F26" i="43"/>
  <c r="F27" i="43"/>
  <c r="F28" i="43"/>
  <c r="C29" i="43"/>
  <c r="D29" i="43"/>
  <c r="E17" i="43" s="1"/>
  <c r="C43" i="43"/>
  <c r="D43" i="43"/>
  <c r="E42" i="43" s="1"/>
  <c r="H50" i="43"/>
  <c r="T50" i="43" s="1"/>
  <c r="U50" i="43" s="1"/>
  <c r="H51" i="43"/>
  <c r="T51" i="43" s="1"/>
  <c r="U51" i="43" s="1"/>
  <c r="H52" i="43"/>
  <c r="T52" i="43" s="1"/>
  <c r="U52" i="43" s="1"/>
  <c r="H53" i="43"/>
  <c r="T53" i="43" s="1"/>
  <c r="U53" i="43" s="1"/>
  <c r="H54" i="43"/>
  <c r="T54" i="43" s="1"/>
  <c r="U54" i="43" s="1"/>
  <c r="H55" i="43"/>
  <c r="T55" i="43" s="1"/>
  <c r="U55" i="43" s="1"/>
  <c r="H56" i="43"/>
  <c r="T56" i="43" s="1"/>
  <c r="U56" i="43" s="1"/>
  <c r="H57" i="43"/>
  <c r="T57" i="43" s="1"/>
  <c r="U57" i="43" s="1"/>
  <c r="H58" i="43"/>
  <c r="T58" i="43" s="1"/>
  <c r="U58" i="43" s="1"/>
  <c r="C59" i="43"/>
  <c r="D59" i="43"/>
  <c r="E50" i="43" s="1"/>
  <c r="P59" i="43"/>
  <c r="H62" i="43"/>
  <c r="T62" i="43" s="1"/>
  <c r="H65" i="43"/>
  <c r="T65" i="43" s="1"/>
  <c r="F68" i="43"/>
  <c r="R68" i="43" s="1"/>
  <c r="F70" i="43"/>
  <c r="R70" i="43" s="1"/>
  <c r="F71" i="43"/>
  <c r="R71" i="43" s="1"/>
  <c r="F72" i="43"/>
  <c r="R72" i="43" s="1"/>
  <c r="F76" i="43"/>
  <c r="R76" i="43" s="1"/>
  <c r="F77" i="43"/>
  <c r="R77" i="43" s="1"/>
  <c r="F78" i="43"/>
  <c r="R78" i="43" s="1"/>
  <c r="F79" i="43"/>
  <c r="R79" i="43" s="1"/>
  <c r="F80" i="43"/>
  <c r="R80" i="43" s="1"/>
  <c r="F82" i="43"/>
  <c r="R82" i="43" s="1"/>
  <c r="U82" i="43" s="1"/>
  <c r="F83" i="43"/>
  <c r="R83" i="43" s="1"/>
  <c r="U83" i="43" s="1"/>
  <c r="I84" i="43"/>
  <c r="F85" i="43"/>
  <c r="R85" i="43" s="1"/>
  <c r="F90" i="43"/>
  <c r="R90" i="43" s="1"/>
  <c r="F91" i="43"/>
  <c r="R91" i="43" s="1"/>
  <c r="F92" i="43"/>
  <c r="R92" i="43" s="1"/>
  <c r="G99" i="43"/>
  <c r="G100" i="43"/>
  <c r="I100" i="43" s="1"/>
  <c r="H107" i="43"/>
  <c r="H109" i="43" s="1"/>
  <c r="R107" i="43"/>
  <c r="R108" i="43" s="1"/>
  <c r="F108" i="43"/>
  <c r="H108" i="43"/>
  <c r="T108" i="43" s="1"/>
  <c r="I130" i="43"/>
  <c r="A139" i="43"/>
  <c r="A140" i="43"/>
  <c r="A141" i="43"/>
  <c r="A142" i="43"/>
  <c r="A143" i="43"/>
  <c r="A144" i="43"/>
  <c r="A145" i="43"/>
  <c r="A146" i="43"/>
  <c r="A147" i="43"/>
  <c r="A148" i="43"/>
  <c r="A149" i="43"/>
  <c r="A150" i="43"/>
  <c r="A151" i="43"/>
  <c r="A152" i="43"/>
  <c r="A153" i="43"/>
  <c r="A154" i="43"/>
  <c r="A155" i="43"/>
  <c r="A156" i="43"/>
  <c r="A158" i="43"/>
  <c r="A159" i="43"/>
  <c r="A160" i="43"/>
  <c r="A161" i="43"/>
  <c r="A163" i="43"/>
  <c r="A164" i="43"/>
  <c r="A165" i="43"/>
  <c r="A167" i="43"/>
  <c r="A168" i="43"/>
  <c r="A169" i="43"/>
  <c r="A170" i="43"/>
  <c r="N1" i="42"/>
  <c r="A3" i="42"/>
  <c r="N3" i="42" s="1"/>
  <c r="F4" i="42"/>
  <c r="P4" i="42"/>
  <c r="A7" i="42"/>
  <c r="C8" i="42"/>
  <c r="H8" i="42"/>
  <c r="E92" i="42" s="1"/>
  <c r="F13" i="42"/>
  <c r="F14" i="42"/>
  <c r="F15" i="42"/>
  <c r="F16" i="42"/>
  <c r="F17" i="42"/>
  <c r="F18" i="42"/>
  <c r="F19" i="42"/>
  <c r="F20" i="42"/>
  <c r="F21" i="42"/>
  <c r="F22" i="42"/>
  <c r="F23" i="42"/>
  <c r="F24" i="42"/>
  <c r="F25" i="42"/>
  <c r="F26" i="42"/>
  <c r="F27" i="42"/>
  <c r="F28" i="42"/>
  <c r="C29" i="42"/>
  <c r="D29" i="42"/>
  <c r="E21" i="42" s="1"/>
  <c r="C43" i="42"/>
  <c r="D43" i="42"/>
  <c r="E38" i="42" s="1"/>
  <c r="H50" i="42"/>
  <c r="T50" i="42" s="1"/>
  <c r="U50" i="42" s="1"/>
  <c r="H51" i="42"/>
  <c r="T51" i="42" s="1"/>
  <c r="U51" i="42" s="1"/>
  <c r="H52" i="42"/>
  <c r="T52" i="42" s="1"/>
  <c r="U52" i="42" s="1"/>
  <c r="H53" i="42"/>
  <c r="T53" i="42" s="1"/>
  <c r="U53" i="42" s="1"/>
  <c r="H54" i="42"/>
  <c r="T54" i="42" s="1"/>
  <c r="U54" i="42" s="1"/>
  <c r="H55" i="42"/>
  <c r="T55" i="42" s="1"/>
  <c r="U55" i="42" s="1"/>
  <c r="H56" i="42"/>
  <c r="T56" i="42" s="1"/>
  <c r="U56" i="42" s="1"/>
  <c r="H57" i="42"/>
  <c r="T57" i="42" s="1"/>
  <c r="U57" i="42" s="1"/>
  <c r="H58" i="42"/>
  <c r="T58" i="42" s="1"/>
  <c r="U58" i="42" s="1"/>
  <c r="C59" i="42"/>
  <c r="D59" i="42"/>
  <c r="E107" i="42" s="1"/>
  <c r="P59" i="42"/>
  <c r="H62" i="42"/>
  <c r="T62" i="42" s="1"/>
  <c r="H65" i="42"/>
  <c r="T65" i="42" s="1"/>
  <c r="F68" i="42"/>
  <c r="F70" i="42"/>
  <c r="R70" i="42" s="1"/>
  <c r="F71" i="42"/>
  <c r="F72" i="42"/>
  <c r="R72" i="42" s="1"/>
  <c r="F76" i="42"/>
  <c r="R76" i="42" s="1"/>
  <c r="F77" i="42"/>
  <c r="F78" i="42"/>
  <c r="R78" i="42" s="1"/>
  <c r="F79" i="42"/>
  <c r="F80" i="42"/>
  <c r="R80" i="42" s="1"/>
  <c r="F82" i="42"/>
  <c r="R82" i="42" s="1"/>
  <c r="U82" i="42" s="1"/>
  <c r="F83" i="42"/>
  <c r="R83" i="42" s="1"/>
  <c r="U83" i="42" s="1"/>
  <c r="I84" i="42"/>
  <c r="F85" i="42"/>
  <c r="R85" i="42" s="1"/>
  <c r="F90" i="42"/>
  <c r="R90" i="42" s="1"/>
  <c r="F91" i="42"/>
  <c r="R91" i="42" s="1"/>
  <c r="F92" i="42"/>
  <c r="R92" i="42" s="1"/>
  <c r="G99" i="42"/>
  <c r="I99" i="42" s="1"/>
  <c r="G100" i="42"/>
  <c r="I100" i="42" s="1"/>
  <c r="H107" i="42"/>
  <c r="H109" i="42" s="1"/>
  <c r="T109" i="42" s="1"/>
  <c r="R107" i="42"/>
  <c r="R108" i="42" s="1"/>
  <c r="F108" i="42"/>
  <c r="H108" i="42"/>
  <c r="T108" i="42" s="1"/>
  <c r="I130" i="42"/>
  <c r="A139" i="42"/>
  <c r="A140" i="42"/>
  <c r="A141" i="42"/>
  <c r="A142" i="42"/>
  <c r="A143" i="42"/>
  <c r="A144" i="42"/>
  <c r="A145" i="42"/>
  <c r="A146" i="42"/>
  <c r="A147" i="42"/>
  <c r="A148" i="42"/>
  <c r="A149" i="42"/>
  <c r="A150" i="42"/>
  <c r="A151" i="42"/>
  <c r="A152" i="42"/>
  <c r="A153" i="42"/>
  <c r="A154" i="42"/>
  <c r="A155" i="42"/>
  <c r="A156" i="42"/>
  <c r="A158" i="42"/>
  <c r="A159" i="42"/>
  <c r="A160" i="42"/>
  <c r="A161" i="42"/>
  <c r="A163" i="42"/>
  <c r="A164" i="42"/>
  <c r="A165" i="42"/>
  <c r="A167" i="42"/>
  <c r="A168" i="42"/>
  <c r="A169" i="42"/>
  <c r="A170" i="42"/>
  <c r="N1" i="40"/>
  <c r="A3" i="40"/>
  <c r="N3" i="40" s="1"/>
  <c r="F4" i="40"/>
  <c r="P4" i="40"/>
  <c r="A7" i="40"/>
  <c r="C8" i="40"/>
  <c r="H8" i="40"/>
  <c r="F13" i="40"/>
  <c r="F14" i="40"/>
  <c r="F15" i="40"/>
  <c r="F16" i="40"/>
  <c r="F17" i="40"/>
  <c r="F18" i="40"/>
  <c r="F19" i="40"/>
  <c r="F20" i="40"/>
  <c r="F21" i="40"/>
  <c r="F22" i="40"/>
  <c r="F23" i="40"/>
  <c r="F24" i="40"/>
  <c r="F25" i="40"/>
  <c r="F26" i="40"/>
  <c r="F27" i="40"/>
  <c r="F28" i="40"/>
  <c r="C29" i="40"/>
  <c r="D29" i="40"/>
  <c r="C43" i="40"/>
  <c r="D43" i="40"/>
  <c r="E37" i="40" s="1"/>
  <c r="H50" i="40"/>
  <c r="T50" i="40" s="1"/>
  <c r="U50" i="40" s="1"/>
  <c r="H51" i="40"/>
  <c r="T51" i="40" s="1"/>
  <c r="U51" i="40" s="1"/>
  <c r="H52" i="40"/>
  <c r="T52" i="40" s="1"/>
  <c r="U52" i="40" s="1"/>
  <c r="H53" i="40"/>
  <c r="T53" i="40" s="1"/>
  <c r="U53" i="40" s="1"/>
  <c r="H54" i="40"/>
  <c r="T54" i="40" s="1"/>
  <c r="U54" i="40" s="1"/>
  <c r="H55" i="40"/>
  <c r="T55" i="40" s="1"/>
  <c r="U55" i="40" s="1"/>
  <c r="H56" i="40"/>
  <c r="T56" i="40" s="1"/>
  <c r="U56" i="40" s="1"/>
  <c r="H57" i="40"/>
  <c r="T57" i="40" s="1"/>
  <c r="U57" i="40" s="1"/>
  <c r="H58" i="40"/>
  <c r="T58" i="40" s="1"/>
  <c r="U58" i="40" s="1"/>
  <c r="C59" i="40"/>
  <c r="D59" i="40"/>
  <c r="E50" i="40" s="1"/>
  <c r="P59" i="40"/>
  <c r="H62" i="40"/>
  <c r="T62" i="40" s="1"/>
  <c r="H65" i="40"/>
  <c r="T65" i="40" s="1"/>
  <c r="F68" i="40"/>
  <c r="R68" i="40" s="1"/>
  <c r="F70" i="40"/>
  <c r="R70" i="40" s="1"/>
  <c r="F71" i="40"/>
  <c r="R71" i="40" s="1"/>
  <c r="F72" i="40"/>
  <c r="R72" i="40" s="1"/>
  <c r="F76" i="40"/>
  <c r="R76" i="40" s="1"/>
  <c r="F77" i="40"/>
  <c r="F78" i="40"/>
  <c r="R78" i="40" s="1"/>
  <c r="F79" i="40"/>
  <c r="F80" i="40"/>
  <c r="R80" i="40" s="1"/>
  <c r="F82" i="40"/>
  <c r="R82" i="40" s="1"/>
  <c r="U82" i="40" s="1"/>
  <c r="F83" i="40"/>
  <c r="R83" i="40" s="1"/>
  <c r="U83" i="40" s="1"/>
  <c r="I84" i="40"/>
  <c r="F85" i="40"/>
  <c r="R85" i="40" s="1"/>
  <c r="F90" i="40"/>
  <c r="R90" i="40" s="1"/>
  <c r="F91" i="40"/>
  <c r="R91" i="40" s="1"/>
  <c r="F92" i="40"/>
  <c r="R92" i="40" s="1"/>
  <c r="G99" i="40"/>
  <c r="I99" i="40" s="1"/>
  <c r="G100" i="40"/>
  <c r="I100" i="40" s="1"/>
  <c r="H107" i="40"/>
  <c r="H109" i="40" s="1"/>
  <c r="T109" i="40" s="1"/>
  <c r="R107" i="40"/>
  <c r="R108" i="40" s="1"/>
  <c r="F108" i="40"/>
  <c r="H108" i="40"/>
  <c r="I130" i="40"/>
  <c r="A139" i="40"/>
  <c r="A140" i="40"/>
  <c r="A141" i="40"/>
  <c r="A142" i="40"/>
  <c r="A143" i="40"/>
  <c r="A144" i="40"/>
  <c r="A145" i="40"/>
  <c r="A146" i="40"/>
  <c r="A147" i="40"/>
  <c r="A148" i="40"/>
  <c r="A149" i="40"/>
  <c r="A150" i="40"/>
  <c r="A151" i="40"/>
  <c r="A152" i="40"/>
  <c r="A153" i="40"/>
  <c r="A154" i="40"/>
  <c r="A155" i="40"/>
  <c r="A156" i="40"/>
  <c r="A158" i="40"/>
  <c r="A159" i="40"/>
  <c r="A160" i="40"/>
  <c r="A161" i="40"/>
  <c r="A163" i="40"/>
  <c r="A164" i="40"/>
  <c r="A165" i="40"/>
  <c r="A167" i="40"/>
  <c r="A168" i="40"/>
  <c r="A169" i="40"/>
  <c r="A170" i="40"/>
  <c r="N1" i="39"/>
  <c r="A3" i="39"/>
  <c r="N3" i="39" s="1"/>
  <c r="F4" i="39"/>
  <c r="P4" i="39"/>
  <c r="A7" i="39"/>
  <c r="C8" i="39"/>
  <c r="H8" i="39"/>
  <c r="E90" i="39" s="1"/>
  <c r="F13" i="39"/>
  <c r="F14" i="39"/>
  <c r="F15" i="39"/>
  <c r="F16" i="39"/>
  <c r="F17" i="39"/>
  <c r="F18" i="39"/>
  <c r="F19" i="39"/>
  <c r="F20" i="39"/>
  <c r="F21" i="39"/>
  <c r="F22" i="39"/>
  <c r="F23" i="39"/>
  <c r="F24" i="39"/>
  <c r="F25" i="39"/>
  <c r="F26" i="39"/>
  <c r="F27" i="39"/>
  <c r="F28" i="39"/>
  <c r="C29" i="39"/>
  <c r="D29" i="39"/>
  <c r="E25" i="39" s="1"/>
  <c r="C43" i="39"/>
  <c r="D43" i="39"/>
  <c r="E38" i="39" s="1"/>
  <c r="H50" i="39"/>
  <c r="T50" i="39" s="1"/>
  <c r="U50" i="39" s="1"/>
  <c r="H51" i="39"/>
  <c r="T51" i="39" s="1"/>
  <c r="U51" i="39" s="1"/>
  <c r="H52" i="39"/>
  <c r="T52" i="39" s="1"/>
  <c r="U52" i="39" s="1"/>
  <c r="H53" i="39"/>
  <c r="T53" i="39" s="1"/>
  <c r="U53" i="39" s="1"/>
  <c r="H54" i="39"/>
  <c r="T54" i="39" s="1"/>
  <c r="U54" i="39" s="1"/>
  <c r="H55" i="39"/>
  <c r="T55" i="39" s="1"/>
  <c r="U55" i="39" s="1"/>
  <c r="H56" i="39"/>
  <c r="T56" i="39" s="1"/>
  <c r="U56" i="39" s="1"/>
  <c r="H57" i="39"/>
  <c r="H58" i="39"/>
  <c r="T58" i="39" s="1"/>
  <c r="U58" i="39" s="1"/>
  <c r="C59" i="39"/>
  <c r="D59" i="39"/>
  <c r="E58" i="39" s="1"/>
  <c r="P59" i="39"/>
  <c r="H62" i="39"/>
  <c r="T62" i="39" s="1"/>
  <c r="H65" i="39"/>
  <c r="T65" i="39" s="1"/>
  <c r="F68" i="39"/>
  <c r="F70" i="39"/>
  <c r="R70" i="39" s="1"/>
  <c r="F71" i="39"/>
  <c r="F72" i="39"/>
  <c r="R72" i="39" s="1"/>
  <c r="F76" i="39"/>
  <c r="R76" i="39" s="1"/>
  <c r="F77" i="39"/>
  <c r="R77" i="39" s="1"/>
  <c r="F78" i="39"/>
  <c r="R78" i="39" s="1"/>
  <c r="F79" i="39"/>
  <c r="R79" i="39" s="1"/>
  <c r="F80" i="39"/>
  <c r="R80" i="39" s="1"/>
  <c r="F82" i="39"/>
  <c r="R82" i="39" s="1"/>
  <c r="U82" i="39" s="1"/>
  <c r="F83" i="39"/>
  <c r="R83" i="39" s="1"/>
  <c r="U83" i="39" s="1"/>
  <c r="I84" i="39"/>
  <c r="F85" i="39"/>
  <c r="R85" i="39" s="1"/>
  <c r="F90" i="39"/>
  <c r="R90" i="39" s="1"/>
  <c r="F91" i="39"/>
  <c r="R91" i="39" s="1"/>
  <c r="F92" i="39"/>
  <c r="R92" i="39" s="1"/>
  <c r="G99" i="39"/>
  <c r="I99" i="39" s="1"/>
  <c r="G100" i="39"/>
  <c r="H107" i="39"/>
  <c r="T107" i="39" s="1"/>
  <c r="R107" i="39"/>
  <c r="R108" i="39" s="1"/>
  <c r="F108" i="39"/>
  <c r="H108" i="39"/>
  <c r="I130" i="39"/>
  <c r="A139" i="39"/>
  <c r="A140" i="39"/>
  <c r="A141" i="39"/>
  <c r="A142" i="39"/>
  <c r="A143" i="39"/>
  <c r="A144" i="39"/>
  <c r="A145" i="39"/>
  <c r="A146" i="39"/>
  <c r="A147" i="39"/>
  <c r="A148" i="39"/>
  <c r="A149" i="39"/>
  <c r="A150" i="39"/>
  <c r="A151" i="39"/>
  <c r="A152" i="39"/>
  <c r="A153" i="39"/>
  <c r="A154" i="39"/>
  <c r="A155" i="39"/>
  <c r="A156" i="39"/>
  <c r="A158" i="39"/>
  <c r="A159" i="39"/>
  <c r="A160" i="39"/>
  <c r="A161" i="39"/>
  <c r="A163" i="39"/>
  <c r="A164" i="39"/>
  <c r="A165" i="39"/>
  <c r="A167" i="39"/>
  <c r="A168" i="39"/>
  <c r="A169" i="39"/>
  <c r="A170" i="39"/>
  <c r="N1" i="38"/>
  <c r="A3" i="38"/>
  <c r="N3" i="38" s="1"/>
  <c r="F4" i="38"/>
  <c r="P4" i="38"/>
  <c r="A7" i="38"/>
  <c r="C8" i="38"/>
  <c r="H8" i="38"/>
  <c r="E90" i="38" s="1"/>
  <c r="F13" i="38"/>
  <c r="F14" i="38"/>
  <c r="F15" i="38"/>
  <c r="F16" i="38"/>
  <c r="F17" i="38"/>
  <c r="F18" i="38"/>
  <c r="F19" i="38"/>
  <c r="F20" i="38"/>
  <c r="F21" i="38"/>
  <c r="F22" i="38"/>
  <c r="F23" i="38"/>
  <c r="F24" i="38"/>
  <c r="F25" i="38"/>
  <c r="F26" i="38"/>
  <c r="F27" i="38"/>
  <c r="F28" i="38"/>
  <c r="C29" i="38"/>
  <c r="D29" i="38"/>
  <c r="E24" i="38" s="1"/>
  <c r="C43" i="38"/>
  <c r="D43" i="38"/>
  <c r="E39" i="38" s="1"/>
  <c r="H50" i="38"/>
  <c r="H51" i="38"/>
  <c r="T51" i="38" s="1"/>
  <c r="U51" i="38" s="1"/>
  <c r="H52" i="38"/>
  <c r="T52" i="38" s="1"/>
  <c r="U52" i="38" s="1"/>
  <c r="H53" i="38"/>
  <c r="T53" i="38" s="1"/>
  <c r="U53" i="38" s="1"/>
  <c r="H54" i="38"/>
  <c r="T54" i="38" s="1"/>
  <c r="U54" i="38" s="1"/>
  <c r="H55" i="38"/>
  <c r="T55" i="38" s="1"/>
  <c r="U55" i="38" s="1"/>
  <c r="H56" i="38"/>
  <c r="T56" i="38" s="1"/>
  <c r="U56" i="38" s="1"/>
  <c r="H57" i="38"/>
  <c r="T57" i="38" s="1"/>
  <c r="U57" i="38" s="1"/>
  <c r="H58" i="38"/>
  <c r="T58" i="38" s="1"/>
  <c r="U58" i="38" s="1"/>
  <c r="C59" i="38"/>
  <c r="D59" i="38"/>
  <c r="E58" i="38" s="1"/>
  <c r="P59" i="38"/>
  <c r="H62" i="38"/>
  <c r="T62" i="38" s="1"/>
  <c r="H65" i="38"/>
  <c r="T65" i="38" s="1"/>
  <c r="F68" i="38"/>
  <c r="R68" i="38" s="1"/>
  <c r="F70" i="38"/>
  <c r="R70" i="38" s="1"/>
  <c r="F71" i="38"/>
  <c r="R71" i="38" s="1"/>
  <c r="F72" i="38"/>
  <c r="R72" i="38" s="1"/>
  <c r="F76" i="38"/>
  <c r="R76" i="38" s="1"/>
  <c r="F77" i="38"/>
  <c r="R77" i="38" s="1"/>
  <c r="F78" i="38"/>
  <c r="R78" i="38" s="1"/>
  <c r="F79" i="38"/>
  <c r="R79" i="38" s="1"/>
  <c r="F80" i="38"/>
  <c r="R80" i="38" s="1"/>
  <c r="F82" i="38"/>
  <c r="R82" i="38" s="1"/>
  <c r="U82" i="38" s="1"/>
  <c r="F83" i="38"/>
  <c r="R83" i="38" s="1"/>
  <c r="U83" i="38" s="1"/>
  <c r="I84" i="38"/>
  <c r="F85" i="38"/>
  <c r="R85" i="38" s="1"/>
  <c r="F90" i="38"/>
  <c r="R90" i="38" s="1"/>
  <c r="F91" i="38"/>
  <c r="R91" i="38" s="1"/>
  <c r="F92" i="38"/>
  <c r="R92" i="38" s="1"/>
  <c r="G99" i="38"/>
  <c r="G100" i="38"/>
  <c r="I100" i="38" s="1"/>
  <c r="H107" i="38"/>
  <c r="R107" i="38"/>
  <c r="R108" i="38" s="1"/>
  <c r="E108" i="38"/>
  <c r="F108" i="38"/>
  <c r="H108" i="38"/>
  <c r="I130" i="38"/>
  <c r="A139" i="38"/>
  <c r="A140" i="38"/>
  <c r="A141" i="38"/>
  <c r="A142" i="38"/>
  <c r="A143" i="38"/>
  <c r="A144" i="38"/>
  <c r="A145" i="38"/>
  <c r="A146" i="38"/>
  <c r="A147" i="38"/>
  <c r="A148" i="38"/>
  <c r="A149" i="38"/>
  <c r="A150" i="38"/>
  <c r="A151" i="38"/>
  <c r="A152" i="38"/>
  <c r="A153" i="38"/>
  <c r="A154" i="38"/>
  <c r="A155" i="38"/>
  <c r="A156" i="38"/>
  <c r="A158" i="38"/>
  <c r="A159" i="38"/>
  <c r="A160" i="38"/>
  <c r="A161" i="38"/>
  <c r="A163" i="38"/>
  <c r="A164" i="38"/>
  <c r="A165" i="38"/>
  <c r="A167" i="38"/>
  <c r="A168" i="38"/>
  <c r="A169" i="38"/>
  <c r="A170" i="38"/>
  <c r="N1" i="37"/>
  <c r="A3" i="37"/>
  <c r="N3" i="37" s="1"/>
  <c r="F4" i="37"/>
  <c r="P4" i="37"/>
  <c r="A7" i="37"/>
  <c r="C8" i="37"/>
  <c r="H8" i="37"/>
  <c r="F13" i="37"/>
  <c r="F14" i="37"/>
  <c r="F15" i="37"/>
  <c r="F16" i="37"/>
  <c r="F17" i="37"/>
  <c r="F18" i="37"/>
  <c r="F19" i="37"/>
  <c r="F20" i="37"/>
  <c r="F21" i="37"/>
  <c r="F22" i="37"/>
  <c r="F23" i="37"/>
  <c r="F24" i="37"/>
  <c r="F25" i="37"/>
  <c r="F26" i="37"/>
  <c r="F27" i="37"/>
  <c r="F28" i="37"/>
  <c r="C29" i="37"/>
  <c r="D29" i="37"/>
  <c r="E21" i="37" s="1"/>
  <c r="C43" i="37"/>
  <c r="D43" i="37"/>
  <c r="H50" i="37"/>
  <c r="T50" i="37" s="1"/>
  <c r="U50" i="37" s="1"/>
  <c r="H51" i="37"/>
  <c r="T51" i="37" s="1"/>
  <c r="U51" i="37" s="1"/>
  <c r="H52" i="37"/>
  <c r="T52" i="37" s="1"/>
  <c r="U52" i="37" s="1"/>
  <c r="H53" i="37"/>
  <c r="T53" i="37" s="1"/>
  <c r="U53" i="37" s="1"/>
  <c r="H54" i="37"/>
  <c r="T54" i="37" s="1"/>
  <c r="U54" i="37" s="1"/>
  <c r="H55" i="37"/>
  <c r="T55" i="37" s="1"/>
  <c r="U55" i="37" s="1"/>
  <c r="H56" i="37"/>
  <c r="T56" i="37" s="1"/>
  <c r="U56" i="37" s="1"/>
  <c r="H57" i="37"/>
  <c r="T57" i="37" s="1"/>
  <c r="U57" i="37" s="1"/>
  <c r="H58" i="37"/>
  <c r="T58" i="37" s="1"/>
  <c r="U58" i="37" s="1"/>
  <c r="C59" i="37"/>
  <c r="D59" i="37"/>
  <c r="P59" i="37"/>
  <c r="H62" i="37"/>
  <c r="T62" i="37" s="1"/>
  <c r="H65" i="37"/>
  <c r="T65" i="37" s="1"/>
  <c r="F68" i="37"/>
  <c r="R68" i="37" s="1"/>
  <c r="F70" i="37"/>
  <c r="F71" i="37"/>
  <c r="R71" i="37" s="1"/>
  <c r="F72" i="37"/>
  <c r="F76" i="37"/>
  <c r="R76" i="37" s="1"/>
  <c r="F77" i="37"/>
  <c r="F78" i="37"/>
  <c r="R78" i="37" s="1"/>
  <c r="F79" i="37"/>
  <c r="F80" i="37"/>
  <c r="F82" i="37"/>
  <c r="R82" i="37" s="1"/>
  <c r="U82" i="37" s="1"/>
  <c r="F83" i="37"/>
  <c r="R83" i="37" s="1"/>
  <c r="U83" i="37" s="1"/>
  <c r="I84" i="37"/>
  <c r="F85" i="37"/>
  <c r="F90" i="37"/>
  <c r="R90" i="37" s="1"/>
  <c r="F91" i="37"/>
  <c r="R91" i="37" s="1"/>
  <c r="F92" i="37"/>
  <c r="R92" i="37" s="1"/>
  <c r="G99" i="37"/>
  <c r="G100" i="37"/>
  <c r="I100" i="37" s="1"/>
  <c r="H107" i="37"/>
  <c r="R107" i="37"/>
  <c r="R108" i="37" s="1"/>
  <c r="F108" i="37"/>
  <c r="H108" i="37"/>
  <c r="T108" i="37" s="1"/>
  <c r="I130" i="37"/>
  <c r="A139" i="37"/>
  <c r="A140" i="37"/>
  <c r="A141" i="37"/>
  <c r="A142" i="37"/>
  <c r="A143" i="37"/>
  <c r="A144" i="37"/>
  <c r="A145" i="37"/>
  <c r="A146" i="37"/>
  <c r="A147" i="37"/>
  <c r="A148" i="37"/>
  <c r="A149" i="37"/>
  <c r="A150" i="37"/>
  <c r="A151" i="37"/>
  <c r="A152" i="37"/>
  <c r="A153" i="37"/>
  <c r="A154" i="37"/>
  <c r="A155" i="37"/>
  <c r="A156" i="37"/>
  <c r="A158" i="37"/>
  <c r="A159" i="37"/>
  <c r="A160" i="37"/>
  <c r="A161" i="37"/>
  <c r="A163" i="37"/>
  <c r="A164" i="37"/>
  <c r="A165" i="37"/>
  <c r="A167" i="37"/>
  <c r="A168" i="37"/>
  <c r="A169" i="37"/>
  <c r="A170" i="37"/>
  <c r="N1" i="36"/>
  <c r="A3" i="36"/>
  <c r="N3" i="36" s="1"/>
  <c r="F4" i="36"/>
  <c r="P4" i="36"/>
  <c r="A7" i="36"/>
  <c r="C8" i="36"/>
  <c r="H8" i="36"/>
  <c r="F13" i="36"/>
  <c r="F14" i="36"/>
  <c r="F15" i="36"/>
  <c r="F16" i="36"/>
  <c r="F17" i="36"/>
  <c r="F18" i="36"/>
  <c r="F19" i="36"/>
  <c r="F20" i="36"/>
  <c r="F21" i="36"/>
  <c r="F22" i="36"/>
  <c r="F23" i="36"/>
  <c r="F24" i="36"/>
  <c r="F25" i="36"/>
  <c r="F26" i="36"/>
  <c r="F27" i="36"/>
  <c r="F28" i="36"/>
  <c r="C29" i="36"/>
  <c r="D29" i="36"/>
  <c r="C43" i="36"/>
  <c r="D43" i="36"/>
  <c r="H50" i="36"/>
  <c r="T50" i="36" s="1"/>
  <c r="U50" i="36" s="1"/>
  <c r="H51" i="36"/>
  <c r="T51" i="36" s="1"/>
  <c r="U51" i="36" s="1"/>
  <c r="H52" i="36"/>
  <c r="T52" i="36" s="1"/>
  <c r="U52" i="36" s="1"/>
  <c r="H53" i="36"/>
  <c r="T53" i="36" s="1"/>
  <c r="U53" i="36" s="1"/>
  <c r="H54" i="36"/>
  <c r="T54" i="36" s="1"/>
  <c r="U54" i="36" s="1"/>
  <c r="H55" i="36"/>
  <c r="T55" i="36" s="1"/>
  <c r="U55" i="36" s="1"/>
  <c r="H56" i="36"/>
  <c r="T56" i="36" s="1"/>
  <c r="U56" i="36" s="1"/>
  <c r="H57" i="36"/>
  <c r="T57" i="36" s="1"/>
  <c r="U57" i="36" s="1"/>
  <c r="H58" i="36"/>
  <c r="T58" i="36" s="1"/>
  <c r="U58" i="36" s="1"/>
  <c r="C59" i="36"/>
  <c r="D59" i="36"/>
  <c r="E50" i="36" s="1"/>
  <c r="P59" i="36"/>
  <c r="H62" i="36"/>
  <c r="T62" i="36" s="1"/>
  <c r="H65" i="36"/>
  <c r="T65" i="36" s="1"/>
  <c r="F68" i="36"/>
  <c r="R68" i="36" s="1"/>
  <c r="F70" i="36"/>
  <c r="R70" i="36" s="1"/>
  <c r="F71" i="36"/>
  <c r="R71" i="36" s="1"/>
  <c r="F72" i="36"/>
  <c r="R72" i="36" s="1"/>
  <c r="F76" i="36"/>
  <c r="R76" i="36" s="1"/>
  <c r="F77" i="36"/>
  <c r="F78" i="36"/>
  <c r="F79" i="36"/>
  <c r="R79" i="36" s="1"/>
  <c r="F80" i="36"/>
  <c r="F82" i="36"/>
  <c r="R82" i="36" s="1"/>
  <c r="U82" i="36" s="1"/>
  <c r="F83" i="36"/>
  <c r="R83" i="36" s="1"/>
  <c r="U83" i="36" s="1"/>
  <c r="I84" i="36"/>
  <c r="F85" i="36"/>
  <c r="R85" i="36" s="1"/>
  <c r="F90" i="36"/>
  <c r="R90" i="36" s="1"/>
  <c r="F91" i="36"/>
  <c r="R91" i="36" s="1"/>
  <c r="F92" i="36"/>
  <c r="R92" i="36" s="1"/>
  <c r="G99" i="36"/>
  <c r="T99" i="36" s="1"/>
  <c r="G100" i="36"/>
  <c r="H107" i="36"/>
  <c r="R107" i="36"/>
  <c r="R108" i="36" s="1"/>
  <c r="F108" i="36"/>
  <c r="H108" i="36"/>
  <c r="T108" i="36" s="1"/>
  <c r="I130" i="36"/>
  <c r="A139" i="36"/>
  <c r="A140" i="36"/>
  <c r="A141" i="36"/>
  <c r="A142" i="36"/>
  <c r="A143" i="36"/>
  <c r="A144" i="36"/>
  <c r="A145" i="36"/>
  <c r="A146" i="36"/>
  <c r="A147" i="36"/>
  <c r="A148" i="36"/>
  <c r="A149" i="36"/>
  <c r="A150" i="36"/>
  <c r="A151" i="36"/>
  <c r="A152" i="36"/>
  <c r="A153" i="36"/>
  <c r="A154" i="36"/>
  <c r="A155" i="36"/>
  <c r="A156" i="36"/>
  <c r="A158" i="36"/>
  <c r="A159" i="36"/>
  <c r="A160" i="36"/>
  <c r="A161" i="36"/>
  <c r="A163" i="36"/>
  <c r="A164" i="36"/>
  <c r="A165" i="36"/>
  <c r="A167" i="36"/>
  <c r="A168" i="36"/>
  <c r="A169" i="36"/>
  <c r="A170" i="36"/>
  <c r="N1" i="23"/>
  <c r="A3" i="23"/>
  <c r="N3" i="23" s="1"/>
  <c r="F4" i="23"/>
  <c r="P4" i="23"/>
  <c r="A7" i="23"/>
  <c r="C8" i="23"/>
  <c r="H8" i="23"/>
  <c r="E91" i="23" s="1"/>
  <c r="F13" i="23"/>
  <c r="F14" i="23"/>
  <c r="F15" i="23"/>
  <c r="F16" i="23"/>
  <c r="F17" i="23"/>
  <c r="F18" i="23"/>
  <c r="F19" i="23"/>
  <c r="F20" i="23"/>
  <c r="F21" i="23"/>
  <c r="F22" i="23"/>
  <c r="F23" i="23"/>
  <c r="F24" i="23"/>
  <c r="F25" i="23"/>
  <c r="F26" i="23"/>
  <c r="F27" i="23"/>
  <c r="F28" i="23"/>
  <c r="C29" i="23"/>
  <c r="D29" i="23"/>
  <c r="E16" i="23" s="1"/>
  <c r="C43" i="23"/>
  <c r="D43" i="23"/>
  <c r="E38" i="23" s="1"/>
  <c r="H50" i="23"/>
  <c r="T50" i="23" s="1"/>
  <c r="U50" i="23" s="1"/>
  <c r="H51" i="23"/>
  <c r="T51" i="23" s="1"/>
  <c r="U51" i="23" s="1"/>
  <c r="H52" i="23"/>
  <c r="T52" i="23" s="1"/>
  <c r="U52" i="23" s="1"/>
  <c r="H53" i="23"/>
  <c r="T53" i="23" s="1"/>
  <c r="U53" i="23" s="1"/>
  <c r="H54" i="23"/>
  <c r="T54" i="23" s="1"/>
  <c r="U54" i="23" s="1"/>
  <c r="H55" i="23"/>
  <c r="T55" i="23" s="1"/>
  <c r="U55" i="23" s="1"/>
  <c r="H56" i="23"/>
  <c r="T56" i="23" s="1"/>
  <c r="U56" i="23" s="1"/>
  <c r="H57" i="23"/>
  <c r="T57" i="23" s="1"/>
  <c r="U57" i="23" s="1"/>
  <c r="H58" i="23"/>
  <c r="T58" i="23" s="1"/>
  <c r="U58" i="23" s="1"/>
  <c r="C59" i="23"/>
  <c r="D59" i="23"/>
  <c r="E56" i="23" s="1"/>
  <c r="P59" i="23"/>
  <c r="H62" i="23"/>
  <c r="T62" i="23" s="1"/>
  <c r="H65" i="23"/>
  <c r="T65" i="23" s="1"/>
  <c r="F68" i="23"/>
  <c r="R68" i="23" s="1"/>
  <c r="F70" i="23"/>
  <c r="F71" i="23"/>
  <c r="R71" i="23" s="1"/>
  <c r="F72" i="23"/>
  <c r="F76" i="23"/>
  <c r="F77" i="23"/>
  <c r="R77" i="23" s="1"/>
  <c r="F78" i="23"/>
  <c r="F79" i="23"/>
  <c r="R79" i="23" s="1"/>
  <c r="F80" i="23"/>
  <c r="F82" i="23"/>
  <c r="R82" i="23" s="1"/>
  <c r="U82" i="23" s="1"/>
  <c r="F83" i="23"/>
  <c r="R83" i="23"/>
  <c r="U83" i="23" s="1"/>
  <c r="I84" i="23"/>
  <c r="F85" i="23"/>
  <c r="F90" i="23"/>
  <c r="R90" i="23" s="1"/>
  <c r="F91" i="23"/>
  <c r="R91" i="23" s="1"/>
  <c r="F92" i="23"/>
  <c r="R92" i="23" s="1"/>
  <c r="G99" i="23"/>
  <c r="T99" i="23" s="1"/>
  <c r="G100" i="23"/>
  <c r="I100" i="23" s="1"/>
  <c r="H107" i="23"/>
  <c r="T107" i="23" s="1"/>
  <c r="R107" i="23"/>
  <c r="R108" i="23" s="1"/>
  <c r="F108" i="23"/>
  <c r="H108" i="23"/>
  <c r="T108" i="23" s="1"/>
  <c r="I130" i="23"/>
  <c r="A139" i="23"/>
  <c r="A140" i="23"/>
  <c r="A141" i="23"/>
  <c r="A142" i="23"/>
  <c r="A143" i="23"/>
  <c r="A144" i="23"/>
  <c r="A145" i="23"/>
  <c r="A146" i="23"/>
  <c r="A147" i="23"/>
  <c r="A148" i="23"/>
  <c r="A149" i="23"/>
  <c r="A150" i="23"/>
  <c r="A151" i="23"/>
  <c r="A152" i="23"/>
  <c r="A153" i="23"/>
  <c r="A154" i="23"/>
  <c r="A155" i="23"/>
  <c r="A156" i="23"/>
  <c r="A158" i="23"/>
  <c r="A159" i="23"/>
  <c r="A160" i="23"/>
  <c r="A161" i="23"/>
  <c r="A163" i="23"/>
  <c r="A164" i="23"/>
  <c r="A165" i="23"/>
  <c r="A167" i="23"/>
  <c r="A168" i="23"/>
  <c r="A169" i="23"/>
  <c r="A170" i="23"/>
  <c r="N1" i="35"/>
  <c r="A3" i="35"/>
  <c r="N3" i="35" s="1"/>
  <c r="F4" i="35"/>
  <c r="P4" i="35"/>
  <c r="A7" i="35"/>
  <c r="C8" i="35"/>
  <c r="H8" i="35"/>
  <c r="T8" i="35" s="1"/>
  <c r="F13" i="35"/>
  <c r="F14" i="35"/>
  <c r="F15" i="35"/>
  <c r="F16" i="35"/>
  <c r="F17" i="35"/>
  <c r="F18" i="35"/>
  <c r="F19" i="35"/>
  <c r="F20" i="35"/>
  <c r="F21" i="35"/>
  <c r="F22" i="35"/>
  <c r="F23" i="35"/>
  <c r="F24" i="35"/>
  <c r="F25" i="35"/>
  <c r="F26" i="35"/>
  <c r="F27" i="35"/>
  <c r="F28" i="35"/>
  <c r="C29" i="35"/>
  <c r="D29" i="35"/>
  <c r="E18" i="35" s="1"/>
  <c r="C43" i="35"/>
  <c r="D43" i="35"/>
  <c r="E39" i="35" s="1"/>
  <c r="H50" i="35"/>
  <c r="T50" i="35" s="1"/>
  <c r="U50" i="35" s="1"/>
  <c r="H51" i="35"/>
  <c r="T51" i="35" s="1"/>
  <c r="U51" i="35" s="1"/>
  <c r="H52" i="35"/>
  <c r="T52" i="35" s="1"/>
  <c r="U52" i="35" s="1"/>
  <c r="H53" i="35"/>
  <c r="T53" i="35" s="1"/>
  <c r="U53" i="35" s="1"/>
  <c r="H54" i="35"/>
  <c r="T54" i="35" s="1"/>
  <c r="U54" i="35" s="1"/>
  <c r="H55" i="35"/>
  <c r="T55" i="35" s="1"/>
  <c r="U55" i="35" s="1"/>
  <c r="H56" i="35"/>
  <c r="T56" i="35" s="1"/>
  <c r="U56" i="35" s="1"/>
  <c r="H57" i="35"/>
  <c r="T57" i="35" s="1"/>
  <c r="U57" i="35" s="1"/>
  <c r="H58" i="35"/>
  <c r="T58" i="35" s="1"/>
  <c r="U58" i="35" s="1"/>
  <c r="C59" i="35"/>
  <c r="D59" i="35"/>
  <c r="E50" i="35" s="1"/>
  <c r="P59" i="35"/>
  <c r="H62" i="35"/>
  <c r="T62" i="35" s="1"/>
  <c r="H65" i="35"/>
  <c r="T65" i="35" s="1"/>
  <c r="F68" i="35"/>
  <c r="R68" i="35" s="1"/>
  <c r="F70" i="35"/>
  <c r="R70" i="35" s="1"/>
  <c r="F71" i="35"/>
  <c r="R71" i="35" s="1"/>
  <c r="F72" i="35"/>
  <c r="R72" i="35" s="1"/>
  <c r="F76" i="35"/>
  <c r="R76" i="35" s="1"/>
  <c r="F77" i="35"/>
  <c r="R77" i="35" s="1"/>
  <c r="F78" i="35"/>
  <c r="R78" i="35" s="1"/>
  <c r="F79" i="35"/>
  <c r="R79" i="35" s="1"/>
  <c r="F80" i="35"/>
  <c r="R80" i="35" s="1"/>
  <c r="F82" i="35"/>
  <c r="R82" i="35" s="1"/>
  <c r="U82" i="35" s="1"/>
  <c r="F83" i="35"/>
  <c r="R83" i="35" s="1"/>
  <c r="U83" i="35" s="1"/>
  <c r="I84" i="35"/>
  <c r="F85" i="35"/>
  <c r="R85" i="35" s="1"/>
  <c r="F90" i="35"/>
  <c r="R90" i="35" s="1"/>
  <c r="F91" i="35"/>
  <c r="R91" i="35" s="1"/>
  <c r="F92" i="35"/>
  <c r="R92" i="35" s="1"/>
  <c r="G99" i="35"/>
  <c r="G100" i="35"/>
  <c r="T100" i="35" s="1"/>
  <c r="U100" i="35" s="1"/>
  <c r="H107" i="35"/>
  <c r="R107" i="35"/>
  <c r="R108" i="35" s="1"/>
  <c r="F108" i="35"/>
  <c r="H108" i="35"/>
  <c r="T108" i="35" s="1"/>
  <c r="E109" i="35"/>
  <c r="I130" i="35"/>
  <c r="A139" i="35"/>
  <c r="A140" i="35"/>
  <c r="A141" i="35"/>
  <c r="A142" i="35"/>
  <c r="A143" i="35"/>
  <c r="A144" i="35"/>
  <c r="A145" i="35"/>
  <c r="A146" i="35"/>
  <c r="A147" i="35"/>
  <c r="A148" i="35"/>
  <c r="A149" i="35"/>
  <c r="A150" i="35"/>
  <c r="A151" i="35"/>
  <c r="A152" i="35"/>
  <c r="A153" i="35"/>
  <c r="A154" i="35"/>
  <c r="A155" i="35"/>
  <c r="A156" i="35"/>
  <c r="A158" i="35"/>
  <c r="A159" i="35"/>
  <c r="A160" i="35"/>
  <c r="A161" i="35"/>
  <c r="A163" i="35"/>
  <c r="A164" i="35"/>
  <c r="A165" i="35"/>
  <c r="A167" i="35"/>
  <c r="A168" i="35"/>
  <c r="A169" i="35"/>
  <c r="A170" i="35"/>
  <c r="N1" i="34"/>
  <c r="A3" i="34"/>
  <c r="N3" i="34" s="1"/>
  <c r="F4" i="34"/>
  <c r="P4" i="34"/>
  <c r="A7" i="34"/>
  <c r="C8" i="34"/>
  <c r="H8" i="34"/>
  <c r="E92" i="34" s="1"/>
  <c r="F13" i="34"/>
  <c r="F14" i="34"/>
  <c r="F15" i="34"/>
  <c r="F16" i="34"/>
  <c r="F17" i="34"/>
  <c r="F18" i="34"/>
  <c r="F19" i="34"/>
  <c r="F20" i="34"/>
  <c r="F21" i="34"/>
  <c r="F22" i="34"/>
  <c r="F23" i="34"/>
  <c r="F24" i="34"/>
  <c r="F25" i="34"/>
  <c r="F26" i="34"/>
  <c r="F27" i="34"/>
  <c r="F28" i="34"/>
  <c r="C29" i="34"/>
  <c r="D29" i="34"/>
  <c r="E13" i="34" s="1"/>
  <c r="C43" i="34"/>
  <c r="D43" i="34"/>
  <c r="H50" i="34"/>
  <c r="T50" i="34" s="1"/>
  <c r="U50" i="34" s="1"/>
  <c r="H51" i="34"/>
  <c r="T51" i="34" s="1"/>
  <c r="U51" i="34" s="1"/>
  <c r="H52" i="34"/>
  <c r="T52" i="34" s="1"/>
  <c r="U52" i="34" s="1"/>
  <c r="H53" i="34"/>
  <c r="T53" i="34" s="1"/>
  <c r="U53" i="34" s="1"/>
  <c r="H54" i="34"/>
  <c r="T54" i="34" s="1"/>
  <c r="U54" i="34" s="1"/>
  <c r="H55" i="34"/>
  <c r="T55" i="34" s="1"/>
  <c r="U55" i="34" s="1"/>
  <c r="H56" i="34"/>
  <c r="T56" i="34" s="1"/>
  <c r="U56" i="34" s="1"/>
  <c r="H57" i="34"/>
  <c r="T57" i="34" s="1"/>
  <c r="U57" i="34" s="1"/>
  <c r="H58" i="34"/>
  <c r="T58" i="34" s="1"/>
  <c r="U58" i="34" s="1"/>
  <c r="C59" i="34"/>
  <c r="D59" i="34"/>
  <c r="E58" i="34" s="1"/>
  <c r="P59" i="34"/>
  <c r="H62" i="34"/>
  <c r="T62" i="34" s="1"/>
  <c r="H65" i="34"/>
  <c r="T65" i="34" s="1"/>
  <c r="F68" i="34"/>
  <c r="F70" i="34"/>
  <c r="R70" i="34" s="1"/>
  <c r="F71" i="34"/>
  <c r="F72" i="34"/>
  <c r="R72" i="34" s="1"/>
  <c r="F76" i="34"/>
  <c r="R76" i="34" s="1"/>
  <c r="F77" i="34"/>
  <c r="F78" i="34"/>
  <c r="R78" i="34" s="1"/>
  <c r="F79" i="34"/>
  <c r="F80" i="34"/>
  <c r="R80" i="34" s="1"/>
  <c r="F82" i="34"/>
  <c r="R82" i="34" s="1"/>
  <c r="U82" i="34" s="1"/>
  <c r="F83" i="34"/>
  <c r="F85" i="34"/>
  <c r="F90" i="34"/>
  <c r="R90" i="34" s="1"/>
  <c r="F91" i="34"/>
  <c r="R91" i="34" s="1"/>
  <c r="F92" i="34"/>
  <c r="R92" i="34" s="1"/>
  <c r="G99" i="34"/>
  <c r="G100" i="34"/>
  <c r="T100" i="34" s="1"/>
  <c r="U100" i="34" s="1"/>
  <c r="H107" i="34"/>
  <c r="R107" i="34"/>
  <c r="R108" i="34" s="1"/>
  <c r="F108" i="34"/>
  <c r="H108" i="34"/>
  <c r="T108" i="34" s="1"/>
  <c r="I130" i="34"/>
  <c r="A139" i="34"/>
  <c r="A140" i="34"/>
  <c r="A141" i="34"/>
  <c r="A142" i="34"/>
  <c r="A143" i="34"/>
  <c r="A144" i="34"/>
  <c r="A145" i="34"/>
  <c r="A146" i="34"/>
  <c r="A147" i="34"/>
  <c r="A148" i="34"/>
  <c r="A149" i="34"/>
  <c r="A150" i="34"/>
  <c r="A151" i="34"/>
  <c r="A152" i="34"/>
  <c r="A153" i="34"/>
  <c r="A154" i="34"/>
  <c r="A155" i="34"/>
  <c r="A156" i="34"/>
  <c r="A158" i="34"/>
  <c r="A159" i="34"/>
  <c r="A160" i="34"/>
  <c r="A161" i="34"/>
  <c r="A163" i="34"/>
  <c r="A164" i="34"/>
  <c r="A165" i="34"/>
  <c r="A167" i="34"/>
  <c r="A168" i="34"/>
  <c r="A169" i="34"/>
  <c r="A170" i="34"/>
  <c r="N1" i="33"/>
  <c r="A3" i="33"/>
  <c r="N3" i="33" s="1"/>
  <c r="F4" i="33"/>
  <c r="P4" i="33"/>
  <c r="A7" i="33"/>
  <c r="C8" i="33"/>
  <c r="H8" i="33"/>
  <c r="E90" i="33" s="1"/>
  <c r="F13" i="33"/>
  <c r="F14" i="33"/>
  <c r="F15" i="33"/>
  <c r="F16" i="33"/>
  <c r="F17" i="33"/>
  <c r="F18" i="33"/>
  <c r="F19" i="33"/>
  <c r="F20" i="33"/>
  <c r="F21" i="33"/>
  <c r="F22" i="33"/>
  <c r="F23" i="33"/>
  <c r="F24" i="33"/>
  <c r="F25" i="33"/>
  <c r="F26" i="33"/>
  <c r="F27" i="33"/>
  <c r="F28" i="33"/>
  <c r="C29" i="33"/>
  <c r="D29" i="33"/>
  <c r="E18" i="33" s="1"/>
  <c r="C43" i="33"/>
  <c r="D43" i="33"/>
  <c r="E42" i="33" s="1"/>
  <c r="H50" i="33"/>
  <c r="T50" i="33" s="1"/>
  <c r="U50" i="33" s="1"/>
  <c r="H51" i="33"/>
  <c r="T51" i="33" s="1"/>
  <c r="U51" i="33" s="1"/>
  <c r="H52" i="33"/>
  <c r="T52" i="33" s="1"/>
  <c r="U52" i="33" s="1"/>
  <c r="H53" i="33"/>
  <c r="T53" i="33" s="1"/>
  <c r="U53" i="33" s="1"/>
  <c r="H54" i="33"/>
  <c r="T54" i="33" s="1"/>
  <c r="U54" i="33" s="1"/>
  <c r="H55" i="33"/>
  <c r="T55" i="33" s="1"/>
  <c r="U55" i="33" s="1"/>
  <c r="H56" i="33"/>
  <c r="T56" i="33" s="1"/>
  <c r="U56" i="33" s="1"/>
  <c r="H57" i="33"/>
  <c r="H58" i="33"/>
  <c r="T58" i="33" s="1"/>
  <c r="U58" i="33" s="1"/>
  <c r="C59" i="33"/>
  <c r="D59" i="33"/>
  <c r="E52" i="33" s="1"/>
  <c r="P59" i="33"/>
  <c r="H62" i="33"/>
  <c r="T62" i="33" s="1"/>
  <c r="H65" i="33"/>
  <c r="T65" i="33" s="1"/>
  <c r="F68" i="33"/>
  <c r="R68" i="33" s="1"/>
  <c r="F70" i="33"/>
  <c r="R70" i="33" s="1"/>
  <c r="F71" i="33"/>
  <c r="R71" i="33" s="1"/>
  <c r="F72" i="33"/>
  <c r="R72" i="33" s="1"/>
  <c r="F76" i="33"/>
  <c r="F77" i="33"/>
  <c r="R77" i="33" s="1"/>
  <c r="F78" i="33"/>
  <c r="F79" i="33"/>
  <c r="R79" i="33" s="1"/>
  <c r="F80" i="33"/>
  <c r="F82" i="33"/>
  <c r="R82" i="33" s="1"/>
  <c r="U82" i="33" s="1"/>
  <c r="F83" i="33"/>
  <c r="R83" i="33" s="1"/>
  <c r="U83" i="33" s="1"/>
  <c r="I84" i="33"/>
  <c r="F85" i="33"/>
  <c r="R85" i="33" s="1"/>
  <c r="F90" i="33"/>
  <c r="R90" i="33" s="1"/>
  <c r="F91" i="33"/>
  <c r="R91" i="33" s="1"/>
  <c r="F92" i="33"/>
  <c r="R92" i="33" s="1"/>
  <c r="G99" i="33"/>
  <c r="I99" i="33" s="1"/>
  <c r="G100" i="33"/>
  <c r="H107" i="33"/>
  <c r="R107" i="33"/>
  <c r="R108" i="33" s="1"/>
  <c r="F108" i="33"/>
  <c r="H108" i="33"/>
  <c r="T108" i="33" s="1"/>
  <c r="I130" i="33"/>
  <c r="A139" i="33"/>
  <c r="A140" i="33"/>
  <c r="A141" i="33"/>
  <c r="A142" i="33"/>
  <c r="A143" i="33"/>
  <c r="A144" i="33"/>
  <c r="A145" i="33"/>
  <c r="A146" i="33"/>
  <c r="A147" i="33"/>
  <c r="A148" i="33"/>
  <c r="A149" i="33"/>
  <c r="A150" i="33"/>
  <c r="A151" i="33"/>
  <c r="A152" i="33"/>
  <c r="A153" i="33"/>
  <c r="A154" i="33"/>
  <c r="A155" i="33"/>
  <c r="A156" i="33"/>
  <c r="A158" i="33"/>
  <c r="A159" i="33"/>
  <c r="A160" i="33"/>
  <c r="A161" i="33"/>
  <c r="A163" i="33"/>
  <c r="A164" i="33"/>
  <c r="A165" i="33"/>
  <c r="A167" i="33"/>
  <c r="A168" i="33"/>
  <c r="A169" i="33"/>
  <c r="A170" i="33"/>
  <c r="N1" i="32"/>
  <c r="A3" i="32"/>
  <c r="N3" i="32" s="1"/>
  <c r="F4" i="32"/>
  <c r="P4" i="32"/>
  <c r="A7" i="32"/>
  <c r="C8" i="32"/>
  <c r="H8" i="32"/>
  <c r="T8" i="32" s="1"/>
  <c r="P90" i="32" s="1"/>
  <c r="F13" i="32"/>
  <c r="F14" i="32"/>
  <c r="F15" i="32"/>
  <c r="F16" i="32"/>
  <c r="F17" i="32"/>
  <c r="F18" i="32"/>
  <c r="F19" i="32"/>
  <c r="F20" i="32"/>
  <c r="F21" i="32"/>
  <c r="F22" i="32"/>
  <c r="F23" i="32"/>
  <c r="F24" i="32"/>
  <c r="F25" i="32"/>
  <c r="F26" i="32"/>
  <c r="F27" i="32"/>
  <c r="F28" i="32"/>
  <c r="C29" i="32"/>
  <c r="D29" i="32"/>
  <c r="E25" i="32" s="1"/>
  <c r="C43" i="32"/>
  <c r="D43" i="32"/>
  <c r="T50" i="32"/>
  <c r="U50" i="32" s="1"/>
  <c r="T51" i="32"/>
  <c r="U51" i="32" s="1"/>
  <c r="T52" i="32"/>
  <c r="U52" i="32" s="1"/>
  <c r="T53" i="32"/>
  <c r="U53" i="32" s="1"/>
  <c r="T54" i="32"/>
  <c r="U54" i="32" s="1"/>
  <c r="T55" i="32"/>
  <c r="U55" i="32" s="1"/>
  <c r="T56" i="32"/>
  <c r="U56" i="32" s="1"/>
  <c r="T58" i="32"/>
  <c r="U58" i="32" s="1"/>
  <c r="P59" i="32"/>
  <c r="T62" i="32"/>
  <c r="T65" i="32"/>
  <c r="F68" i="32"/>
  <c r="R68" i="32" s="1"/>
  <c r="F70" i="32"/>
  <c r="R70" i="32" s="1"/>
  <c r="F71" i="32"/>
  <c r="R71" i="32" s="1"/>
  <c r="F72" i="32"/>
  <c r="R72" i="32" s="1"/>
  <c r="F76" i="32"/>
  <c r="F77" i="32"/>
  <c r="R77" i="32" s="1"/>
  <c r="F78" i="32"/>
  <c r="F79" i="32"/>
  <c r="R79" i="32" s="1"/>
  <c r="F80" i="32"/>
  <c r="F82" i="32"/>
  <c r="R82" i="32" s="1"/>
  <c r="U82" i="32" s="1"/>
  <c r="F83" i="32"/>
  <c r="R83" i="32" s="1"/>
  <c r="U83" i="32" s="1"/>
  <c r="I84" i="32"/>
  <c r="F85" i="32"/>
  <c r="R85" i="32" s="1"/>
  <c r="F90" i="32"/>
  <c r="R90" i="32" s="1"/>
  <c r="F91" i="32"/>
  <c r="R91" i="32" s="1"/>
  <c r="F92" i="32"/>
  <c r="R92" i="32" s="1"/>
  <c r="P92" i="32"/>
  <c r="G99" i="32"/>
  <c r="I99" i="32" s="1"/>
  <c r="G100" i="32"/>
  <c r="I100" i="32" s="1"/>
  <c r="H107" i="32"/>
  <c r="T107" i="32" s="1"/>
  <c r="R107" i="32"/>
  <c r="R108" i="32" s="1"/>
  <c r="F108" i="32"/>
  <c r="H108" i="32"/>
  <c r="T108" i="32" s="1"/>
  <c r="I130" i="32"/>
  <c r="A139" i="32"/>
  <c r="A140" i="32"/>
  <c r="A141" i="32"/>
  <c r="A142" i="32"/>
  <c r="A143" i="32"/>
  <c r="A144" i="32"/>
  <c r="A145" i="32"/>
  <c r="A146" i="32"/>
  <c r="A147" i="32"/>
  <c r="A148" i="32"/>
  <c r="A149" i="32"/>
  <c r="A150" i="32"/>
  <c r="A151" i="32"/>
  <c r="A152" i="32"/>
  <c r="A153" i="32"/>
  <c r="A154" i="32"/>
  <c r="A155" i="32"/>
  <c r="A156" i="32"/>
  <c r="A158" i="32"/>
  <c r="A159" i="32"/>
  <c r="A160" i="32"/>
  <c r="A161" i="32"/>
  <c r="A163" i="32"/>
  <c r="A164" i="32"/>
  <c r="A165" i="32"/>
  <c r="A167" i="32"/>
  <c r="A168" i="32"/>
  <c r="A169" i="32"/>
  <c r="A170" i="32"/>
  <c r="N1" i="31"/>
  <c r="A3" i="31"/>
  <c r="N3" i="31" s="1"/>
  <c r="F4" i="31"/>
  <c r="P4" i="31"/>
  <c r="A7" i="31"/>
  <c r="C8" i="31"/>
  <c r="H8" i="31"/>
  <c r="T8" i="31" s="1"/>
  <c r="F13" i="31"/>
  <c r="F14" i="31"/>
  <c r="F15" i="31"/>
  <c r="F16" i="31"/>
  <c r="F17" i="31"/>
  <c r="F18" i="31"/>
  <c r="F19" i="31"/>
  <c r="F20" i="31"/>
  <c r="F21" i="31"/>
  <c r="F22" i="31"/>
  <c r="F23" i="31"/>
  <c r="F24" i="31"/>
  <c r="F25" i="31"/>
  <c r="F26" i="31"/>
  <c r="F27" i="31"/>
  <c r="F28" i="31"/>
  <c r="C29" i="31"/>
  <c r="D29" i="31"/>
  <c r="E24" i="31" s="1"/>
  <c r="C43" i="31"/>
  <c r="D43" i="31"/>
  <c r="E41" i="31" s="1"/>
  <c r="H50" i="31"/>
  <c r="T50" i="31" s="1"/>
  <c r="U50" i="31" s="1"/>
  <c r="H51" i="31"/>
  <c r="T51" i="31" s="1"/>
  <c r="U51" i="31" s="1"/>
  <c r="H52" i="31"/>
  <c r="T52" i="31" s="1"/>
  <c r="U52" i="31" s="1"/>
  <c r="H53" i="31"/>
  <c r="T53" i="31" s="1"/>
  <c r="U53" i="31" s="1"/>
  <c r="H54" i="31"/>
  <c r="T54" i="31" s="1"/>
  <c r="U54" i="31" s="1"/>
  <c r="H55" i="31"/>
  <c r="T55" i="31" s="1"/>
  <c r="U55" i="31" s="1"/>
  <c r="H56" i="31"/>
  <c r="T56" i="31" s="1"/>
  <c r="U56" i="31" s="1"/>
  <c r="H57" i="31"/>
  <c r="H58" i="31"/>
  <c r="C59" i="31"/>
  <c r="D59" i="31"/>
  <c r="P59" i="31"/>
  <c r="H62" i="31"/>
  <c r="T62" i="31" s="1"/>
  <c r="H65" i="31"/>
  <c r="T65" i="31" s="1"/>
  <c r="F68" i="31"/>
  <c r="R68" i="31" s="1"/>
  <c r="F70" i="31"/>
  <c r="R70" i="31" s="1"/>
  <c r="F71" i="31"/>
  <c r="R71" i="31" s="1"/>
  <c r="F72" i="31"/>
  <c r="R72" i="31" s="1"/>
  <c r="F76" i="31"/>
  <c r="R76" i="31" s="1"/>
  <c r="F77" i="31"/>
  <c r="R77" i="31" s="1"/>
  <c r="F78" i="31"/>
  <c r="R78" i="31" s="1"/>
  <c r="F79" i="31"/>
  <c r="R79" i="31" s="1"/>
  <c r="F80" i="31"/>
  <c r="R80" i="31" s="1"/>
  <c r="F82" i="31"/>
  <c r="R82" i="31" s="1"/>
  <c r="U82" i="31" s="1"/>
  <c r="F83" i="31"/>
  <c r="R83" i="31" s="1"/>
  <c r="U83" i="31" s="1"/>
  <c r="F85" i="31"/>
  <c r="R85" i="31" s="1"/>
  <c r="F90" i="31"/>
  <c r="R90" i="31" s="1"/>
  <c r="F91" i="31"/>
  <c r="R91" i="31" s="1"/>
  <c r="F92" i="31"/>
  <c r="R92" i="31" s="1"/>
  <c r="G99" i="31"/>
  <c r="T99" i="31" s="1"/>
  <c r="G100" i="31"/>
  <c r="I100" i="31" s="1"/>
  <c r="H107" i="31"/>
  <c r="R107" i="31"/>
  <c r="R108" i="31" s="1"/>
  <c r="F108" i="31"/>
  <c r="H108" i="31"/>
  <c r="T108" i="31" s="1"/>
  <c r="I130" i="31"/>
  <c r="A139" i="31"/>
  <c r="A140" i="31"/>
  <c r="A141" i="31"/>
  <c r="A142" i="31"/>
  <c r="A143" i="31"/>
  <c r="A144" i="31"/>
  <c r="A145" i="31"/>
  <c r="A146" i="31"/>
  <c r="A147" i="31"/>
  <c r="A148" i="31"/>
  <c r="A149" i="31"/>
  <c r="A150" i="31"/>
  <c r="A151" i="31"/>
  <c r="A152" i="31"/>
  <c r="A153" i="31"/>
  <c r="A154" i="31"/>
  <c r="A155" i="31"/>
  <c r="A156" i="31"/>
  <c r="A158" i="31"/>
  <c r="A159" i="31"/>
  <c r="A160" i="31"/>
  <c r="A161" i="31"/>
  <c r="A163" i="31"/>
  <c r="A164" i="31"/>
  <c r="A165" i="31"/>
  <c r="A167" i="31"/>
  <c r="A168" i="31"/>
  <c r="A169" i="31"/>
  <c r="A170" i="31"/>
  <c r="N1" i="28"/>
  <c r="A3" i="28"/>
  <c r="N3" i="28" s="1"/>
  <c r="F4" i="28"/>
  <c r="P4" i="28"/>
  <c r="A7" i="28"/>
  <c r="C8" i="28"/>
  <c r="H8" i="28"/>
  <c r="F13" i="28"/>
  <c r="F14" i="28"/>
  <c r="F15" i="28"/>
  <c r="F16" i="28"/>
  <c r="F17" i="28"/>
  <c r="F18" i="28"/>
  <c r="F19" i="28"/>
  <c r="F20" i="28"/>
  <c r="F21" i="28"/>
  <c r="F22" i="28"/>
  <c r="F23" i="28"/>
  <c r="F24" i="28"/>
  <c r="F25" i="28"/>
  <c r="F26" i="28"/>
  <c r="F27" i="28"/>
  <c r="F28" i="28"/>
  <c r="C29" i="28"/>
  <c r="D29" i="28"/>
  <c r="E24" i="28" s="1"/>
  <c r="E38" i="28"/>
  <c r="C43" i="28"/>
  <c r="D43" i="28"/>
  <c r="E37" i="28" s="1"/>
  <c r="H50" i="28"/>
  <c r="T50" i="28" s="1"/>
  <c r="U50" i="28" s="1"/>
  <c r="H51" i="28"/>
  <c r="T51" i="28" s="1"/>
  <c r="U51" i="28" s="1"/>
  <c r="H52" i="28"/>
  <c r="T52" i="28" s="1"/>
  <c r="U52" i="28" s="1"/>
  <c r="H53" i="28"/>
  <c r="T53" i="28" s="1"/>
  <c r="U53" i="28" s="1"/>
  <c r="H54" i="28"/>
  <c r="T54" i="28" s="1"/>
  <c r="U54" i="28" s="1"/>
  <c r="H55" i="28"/>
  <c r="T55" i="28" s="1"/>
  <c r="U55" i="28" s="1"/>
  <c r="H56" i="28"/>
  <c r="T56" i="28" s="1"/>
  <c r="U56" i="28" s="1"/>
  <c r="H57" i="28"/>
  <c r="T57" i="28" s="1"/>
  <c r="U57" i="28" s="1"/>
  <c r="H58" i="28"/>
  <c r="T58" i="28" s="1"/>
  <c r="U58" i="28" s="1"/>
  <c r="C59" i="28"/>
  <c r="D59" i="28"/>
  <c r="E52" i="28" s="1"/>
  <c r="P59" i="28"/>
  <c r="H62" i="28"/>
  <c r="T62" i="28" s="1"/>
  <c r="H65" i="28"/>
  <c r="T65" i="28" s="1"/>
  <c r="F68" i="28"/>
  <c r="R68" i="28" s="1"/>
  <c r="F70" i="28"/>
  <c r="F71" i="28"/>
  <c r="R71" i="28" s="1"/>
  <c r="F72" i="28"/>
  <c r="F76" i="28"/>
  <c r="R76" i="28" s="1"/>
  <c r="F77" i="28"/>
  <c r="R77" i="28" s="1"/>
  <c r="F78" i="28"/>
  <c r="R78" i="28" s="1"/>
  <c r="F79" i="28"/>
  <c r="R79" i="28" s="1"/>
  <c r="F80" i="28"/>
  <c r="R80" i="28" s="1"/>
  <c r="F82" i="28"/>
  <c r="R82" i="28" s="1"/>
  <c r="U82" i="28" s="1"/>
  <c r="F83" i="28"/>
  <c r="R83" i="28" s="1"/>
  <c r="U83" i="28" s="1"/>
  <c r="I84" i="28"/>
  <c r="F85" i="28"/>
  <c r="F90" i="28"/>
  <c r="R90" i="28" s="1"/>
  <c r="F91" i="28"/>
  <c r="R91" i="28" s="1"/>
  <c r="F92" i="28"/>
  <c r="R92" i="28" s="1"/>
  <c r="G99" i="28"/>
  <c r="T99" i="28" s="1"/>
  <c r="G100" i="28"/>
  <c r="I100" i="28" s="1"/>
  <c r="H107" i="28"/>
  <c r="H109" i="28" s="1"/>
  <c r="R107" i="28"/>
  <c r="R108" i="28" s="1"/>
  <c r="F108" i="28"/>
  <c r="H108" i="28"/>
  <c r="T108" i="28" s="1"/>
  <c r="I130" i="28"/>
  <c r="A139" i="28"/>
  <c r="A140" i="28"/>
  <c r="A141" i="28"/>
  <c r="A142" i="28"/>
  <c r="A143" i="28"/>
  <c r="A144" i="28"/>
  <c r="A145" i="28"/>
  <c r="A146" i="28"/>
  <c r="A147" i="28"/>
  <c r="A148" i="28"/>
  <c r="A149" i="28"/>
  <c r="A150" i="28"/>
  <c r="A151" i="28"/>
  <c r="A152" i="28"/>
  <c r="A153" i="28"/>
  <c r="A154" i="28"/>
  <c r="A155" i="28"/>
  <c r="A156" i="28"/>
  <c r="A158" i="28"/>
  <c r="A159" i="28"/>
  <c r="A160" i="28"/>
  <c r="A161" i="28"/>
  <c r="A163" i="28"/>
  <c r="A164" i="28"/>
  <c r="A165" i="28"/>
  <c r="A167" i="28"/>
  <c r="A168" i="28"/>
  <c r="A169" i="28"/>
  <c r="A170" i="28"/>
  <c r="N1" i="27"/>
  <c r="A3" i="27"/>
  <c r="N3" i="27" s="1"/>
  <c r="F4" i="27"/>
  <c r="P4" i="27"/>
  <c r="A7" i="27"/>
  <c r="C8" i="27"/>
  <c r="H8" i="27"/>
  <c r="F13" i="27"/>
  <c r="F14" i="27"/>
  <c r="F15" i="27"/>
  <c r="F16" i="27"/>
  <c r="F17" i="27"/>
  <c r="F18" i="27"/>
  <c r="F19" i="27"/>
  <c r="F20" i="27"/>
  <c r="F21" i="27"/>
  <c r="F22" i="27"/>
  <c r="F23" i="27"/>
  <c r="F24" i="27"/>
  <c r="F25" i="27"/>
  <c r="F26" i="27"/>
  <c r="F27" i="27"/>
  <c r="F28" i="27"/>
  <c r="C29" i="27"/>
  <c r="D29" i="27"/>
  <c r="E15" i="27" s="1"/>
  <c r="C43" i="27"/>
  <c r="D43" i="27"/>
  <c r="H50" i="27"/>
  <c r="T50" i="27" s="1"/>
  <c r="U50" i="27" s="1"/>
  <c r="H51" i="27"/>
  <c r="T51" i="27" s="1"/>
  <c r="U51" i="27" s="1"/>
  <c r="H52" i="27"/>
  <c r="T52" i="27" s="1"/>
  <c r="U52" i="27" s="1"/>
  <c r="H53" i="27"/>
  <c r="T53" i="27" s="1"/>
  <c r="U53" i="27" s="1"/>
  <c r="H54" i="27"/>
  <c r="T54" i="27" s="1"/>
  <c r="U54" i="27" s="1"/>
  <c r="H55" i="27"/>
  <c r="T55" i="27" s="1"/>
  <c r="U55" i="27" s="1"/>
  <c r="H56" i="27"/>
  <c r="T56" i="27" s="1"/>
  <c r="U56" i="27" s="1"/>
  <c r="H57" i="27"/>
  <c r="T57" i="27" s="1"/>
  <c r="U57" i="27" s="1"/>
  <c r="H58" i="27"/>
  <c r="T58" i="27" s="1"/>
  <c r="U58" i="27" s="1"/>
  <c r="C59" i="27"/>
  <c r="D59" i="27"/>
  <c r="E52" i="27" s="1"/>
  <c r="P59" i="27"/>
  <c r="H62" i="27"/>
  <c r="T62" i="27" s="1"/>
  <c r="H65" i="27"/>
  <c r="T65" i="27" s="1"/>
  <c r="F68" i="27"/>
  <c r="R68" i="27" s="1"/>
  <c r="F70" i="27"/>
  <c r="R70" i="27" s="1"/>
  <c r="F71" i="27"/>
  <c r="R71" i="27" s="1"/>
  <c r="F72" i="27"/>
  <c r="R72" i="27" s="1"/>
  <c r="F76" i="27"/>
  <c r="F77" i="27"/>
  <c r="R77" i="27" s="1"/>
  <c r="F78" i="27"/>
  <c r="F79" i="27"/>
  <c r="R79" i="27" s="1"/>
  <c r="F80" i="27"/>
  <c r="F82" i="27"/>
  <c r="R82" i="27" s="1"/>
  <c r="U82" i="27" s="1"/>
  <c r="F83" i="27"/>
  <c r="R83" i="27" s="1"/>
  <c r="U83" i="27" s="1"/>
  <c r="I84" i="27"/>
  <c r="F85" i="27"/>
  <c r="R85" i="27" s="1"/>
  <c r="F90" i="27"/>
  <c r="R90" i="27" s="1"/>
  <c r="F91" i="27"/>
  <c r="R91" i="27" s="1"/>
  <c r="F92" i="27"/>
  <c r="R92" i="27" s="1"/>
  <c r="G99" i="27"/>
  <c r="I99" i="27" s="1"/>
  <c r="G100" i="27"/>
  <c r="I100" i="27" s="1"/>
  <c r="H107" i="27"/>
  <c r="H109" i="27" s="1"/>
  <c r="T109" i="27" s="1"/>
  <c r="R107" i="27"/>
  <c r="R108" i="27" s="1"/>
  <c r="F108" i="27"/>
  <c r="H108" i="27"/>
  <c r="T108" i="27" s="1"/>
  <c r="I130" i="27"/>
  <c r="A139" i="27"/>
  <c r="A140" i="27"/>
  <c r="A141" i="27"/>
  <c r="A142" i="27"/>
  <c r="A143" i="27"/>
  <c r="A144" i="27"/>
  <c r="A145" i="27"/>
  <c r="A146" i="27"/>
  <c r="A147" i="27"/>
  <c r="A148" i="27"/>
  <c r="A149" i="27"/>
  <c r="A150" i="27"/>
  <c r="A151" i="27"/>
  <c r="A152" i="27"/>
  <c r="A153" i="27"/>
  <c r="A154" i="27"/>
  <c r="A155" i="27"/>
  <c r="A156" i="27"/>
  <c r="A158" i="27"/>
  <c r="A159" i="27"/>
  <c r="A160" i="27"/>
  <c r="A161" i="27"/>
  <c r="A163" i="27"/>
  <c r="A164" i="27"/>
  <c r="A165" i="27"/>
  <c r="A167" i="27"/>
  <c r="A168" i="27"/>
  <c r="A169" i="27"/>
  <c r="A170" i="27"/>
  <c r="N1" i="26"/>
  <c r="A3" i="26"/>
  <c r="N3" i="26" s="1"/>
  <c r="F4" i="26"/>
  <c r="P4" i="26"/>
  <c r="A7" i="26"/>
  <c r="C8" i="26"/>
  <c r="H8" i="26"/>
  <c r="T8" i="26" s="1"/>
  <c r="F13" i="26"/>
  <c r="F14" i="26"/>
  <c r="F15" i="26"/>
  <c r="F16" i="26"/>
  <c r="F17" i="26"/>
  <c r="F18" i="26"/>
  <c r="F19" i="26"/>
  <c r="F20" i="26"/>
  <c r="F21" i="26"/>
  <c r="F22" i="26"/>
  <c r="F23" i="26"/>
  <c r="F24" i="26"/>
  <c r="F25" i="26"/>
  <c r="F26" i="26"/>
  <c r="F27" i="26"/>
  <c r="F28" i="26"/>
  <c r="C29" i="26"/>
  <c r="D29" i="26"/>
  <c r="E17" i="26" s="1"/>
  <c r="C43" i="26"/>
  <c r="D43" i="26"/>
  <c r="E39" i="26" s="1"/>
  <c r="H50" i="26"/>
  <c r="T50" i="26" s="1"/>
  <c r="U50" i="26" s="1"/>
  <c r="H51" i="26"/>
  <c r="T51" i="26" s="1"/>
  <c r="U51" i="26" s="1"/>
  <c r="H52" i="26"/>
  <c r="T52" i="26" s="1"/>
  <c r="U52" i="26" s="1"/>
  <c r="H53" i="26"/>
  <c r="T53" i="26" s="1"/>
  <c r="U53" i="26" s="1"/>
  <c r="H54" i="26"/>
  <c r="T54" i="26" s="1"/>
  <c r="U54" i="26" s="1"/>
  <c r="H55" i="26"/>
  <c r="T55" i="26" s="1"/>
  <c r="U55" i="26" s="1"/>
  <c r="H56" i="26"/>
  <c r="T56" i="26" s="1"/>
  <c r="U56" i="26" s="1"/>
  <c r="H57" i="26"/>
  <c r="H58" i="26"/>
  <c r="T58" i="26" s="1"/>
  <c r="U58" i="26" s="1"/>
  <c r="C59" i="26"/>
  <c r="D59" i="26"/>
  <c r="E51" i="26" s="1"/>
  <c r="P59" i="26"/>
  <c r="H62" i="26"/>
  <c r="T62" i="26" s="1"/>
  <c r="H65" i="26"/>
  <c r="T65" i="26" s="1"/>
  <c r="F68" i="26"/>
  <c r="R68" i="26" s="1"/>
  <c r="F70" i="26"/>
  <c r="R70" i="26" s="1"/>
  <c r="F71" i="26"/>
  <c r="R71" i="26" s="1"/>
  <c r="F72" i="26"/>
  <c r="R72" i="26" s="1"/>
  <c r="F76" i="26"/>
  <c r="R76" i="26" s="1"/>
  <c r="F77" i="26"/>
  <c r="R77" i="26" s="1"/>
  <c r="F78" i="26"/>
  <c r="R78" i="26" s="1"/>
  <c r="F79" i="26"/>
  <c r="R79" i="26" s="1"/>
  <c r="F80" i="26"/>
  <c r="R80" i="26" s="1"/>
  <c r="F82" i="26"/>
  <c r="R82" i="26" s="1"/>
  <c r="U82" i="26" s="1"/>
  <c r="F83" i="26"/>
  <c r="R83" i="26" s="1"/>
  <c r="U83" i="26" s="1"/>
  <c r="I84" i="26"/>
  <c r="F85" i="26"/>
  <c r="R85" i="26" s="1"/>
  <c r="F90" i="26"/>
  <c r="R90" i="26" s="1"/>
  <c r="F91" i="26"/>
  <c r="R91" i="26" s="1"/>
  <c r="F92" i="26"/>
  <c r="R92" i="26" s="1"/>
  <c r="G99" i="26"/>
  <c r="I99" i="26" s="1"/>
  <c r="G100" i="26"/>
  <c r="I100" i="26" s="1"/>
  <c r="H107" i="26"/>
  <c r="R107" i="26"/>
  <c r="R108" i="26" s="1"/>
  <c r="F108" i="26"/>
  <c r="H108" i="26"/>
  <c r="T108" i="26" s="1"/>
  <c r="I130" i="26"/>
  <c r="A139" i="26"/>
  <c r="A140" i="26"/>
  <c r="A141" i="26"/>
  <c r="A142" i="26"/>
  <c r="A143" i="26"/>
  <c r="A144" i="26"/>
  <c r="A145" i="26"/>
  <c r="A146" i="26"/>
  <c r="A147" i="26"/>
  <c r="A148" i="26"/>
  <c r="A149" i="26"/>
  <c r="A150" i="26"/>
  <c r="A151" i="26"/>
  <c r="A152" i="26"/>
  <c r="A153" i="26"/>
  <c r="A154" i="26"/>
  <c r="A155" i="26"/>
  <c r="A156" i="26"/>
  <c r="A158" i="26"/>
  <c r="A159" i="26"/>
  <c r="A160" i="26"/>
  <c r="A161" i="26"/>
  <c r="A163" i="26"/>
  <c r="A164" i="26"/>
  <c r="A165" i="26"/>
  <c r="A167" i="26"/>
  <c r="A168" i="26"/>
  <c r="A169" i="26"/>
  <c r="A170" i="26"/>
  <c r="N1" i="22"/>
  <c r="A3" i="22"/>
  <c r="N3" i="22" s="1"/>
  <c r="F4" i="22"/>
  <c r="P4" i="22"/>
  <c r="A7" i="22"/>
  <c r="C8" i="22"/>
  <c r="H8" i="22"/>
  <c r="E90" i="22" s="1"/>
  <c r="F13" i="22"/>
  <c r="F14" i="22"/>
  <c r="F15" i="22"/>
  <c r="F16" i="22"/>
  <c r="F17" i="22"/>
  <c r="F18" i="22"/>
  <c r="F19" i="22"/>
  <c r="F20" i="22"/>
  <c r="F21" i="22"/>
  <c r="F22" i="22"/>
  <c r="F23" i="22"/>
  <c r="F24" i="22"/>
  <c r="F25" i="22"/>
  <c r="F26" i="22"/>
  <c r="F27" i="22"/>
  <c r="F28" i="22"/>
  <c r="C29" i="22"/>
  <c r="D29" i="22"/>
  <c r="C43" i="22"/>
  <c r="D43" i="22"/>
  <c r="E42" i="22" s="1"/>
  <c r="H50" i="22"/>
  <c r="T50" i="22" s="1"/>
  <c r="U50" i="22" s="1"/>
  <c r="H51" i="22"/>
  <c r="T51" i="22" s="1"/>
  <c r="U51" i="22" s="1"/>
  <c r="H52" i="22"/>
  <c r="T52" i="22" s="1"/>
  <c r="U52" i="22" s="1"/>
  <c r="H53" i="22"/>
  <c r="T53" i="22" s="1"/>
  <c r="U53" i="22" s="1"/>
  <c r="H54" i="22"/>
  <c r="T54" i="22" s="1"/>
  <c r="U54" i="22" s="1"/>
  <c r="H55" i="22"/>
  <c r="T55" i="22" s="1"/>
  <c r="U55" i="22" s="1"/>
  <c r="H56" i="22"/>
  <c r="T56" i="22" s="1"/>
  <c r="U56" i="22" s="1"/>
  <c r="H57" i="22"/>
  <c r="T57" i="22" s="1"/>
  <c r="U57" i="22" s="1"/>
  <c r="H58" i="22"/>
  <c r="T58" i="22" s="1"/>
  <c r="U58" i="22" s="1"/>
  <c r="C59" i="22"/>
  <c r="D59" i="22"/>
  <c r="E58" i="22" s="1"/>
  <c r="P59" i="22"/>
  <c r="H62" i="22"/>
  <c r="T62" i="22" s="1"/>
  <c r="H65" i="22"/>
  <c r="T65" i="22" s="1"/>
  <c r="F68" i="22"/>
  <c r="R68" i="22" s="1"/>
  <c r="F70" i="22"/>
  <c r="F71" i="22"/>
  <c r="R71" i="22" s="1"/>
  <c r="F72" i="22"/>
  <c r="F76" i="22"/>
  <c r="R76" i="22" s="1"/>
  <c r="F77" i="22"/>
  <c r="R77" i="22" s="1"/>
  <c r="F78" i="22"/>
  <c r="R78" i="22" s="1"/>
  <c r="F79" i="22"/>
  <c r="R79" i="22" s="1"/>
  <c r="F80" i="22"/>
  <c r="R80" i="22" s="1"/>
  <c r="F82" i="22"/>
  <c r="R82" i="22" s="1"/>
  <c r="U82" i="22" s="1"/>
  <c r="F83" i="22"/>
  <c r="R83" i="22" s="1"/>
  <c r="U83" i="22" s="1"/>
  <c r="I84" i="22"/>
  <c r="F85" i="22"/>
  <c r="F90" i="22"/>
  <c r="R90" i="22" s="1"/>
  <c r="F91" i="22"/>
  <c r="R91" i="22" s="1"/>
  <c r="F92" i="22"/>
  <c r="R92" i="22" s="1"/>
  <c r="G99" i="22"/>
  <c r="G100" i="22"/>
  <c r="I100" i="22" s="1"/>
  <c r="H107" i="22"/>
  <c r="T107" i="22" s="1"/>
  <c r="R107" i="22"/>
  <c r="R108" i="22" s="1"/>
  <c r="F108" i="22"/>
  <c r="H108" i="22"/>
  <c r="T108" i="22" s="1"/>
  <c r="I130" i="22"/>
  <c r="A139" i="22"/>
  <c r="A140" i="22"/>
  <c r="A141" i="22"/>
  <c r="A142" i="22"/>
  <c r="A143" i="22"/>
  <c r="A144" i="22"/>
  <c r="A145" i="22"/>
  <c r="A146" i="22"/>
  <c r="A147" i="22"/>
  <c r="A148" i="22"/>
  <c r="A149" i="22"/>
  <c r="A150" i="22"/>
  <c r="A151" i="22"/>
  <c r="A152" i="22"/>
  <c r="A153" i="22"/>
  <c r="A154" i="22"/>
  <c r="A155" i="22"/>
  <c r="A156" i="22"/>
  <c r="A158" i="22"/>
  <c r="A159" i="22"/>
  <c r="A160" i="22"/>
  <c r="A161" i="22"/>
  <c r="A163" i="22"/>
  <c r="A164" i="22"/>
  <c r="A165" i="22"/>
  <c r="A167" i="22"/>
  <c r="A168" i="22"/>
  <c r="A169" i="22"/>
  <c r="A170" i="22"/>
  <c r="N1" i="24"/>
  <c r="A3" i="24"/>
  <c r="N3" i="24" s="1"/>
  <c r="F4" i="24"/>
  <c r="P4" i="24"/>
  <c r="A7" i="24"/>
  <c r="C8" i="24"/>
  <c r="H8" i="24"/>
  <c r="E91" i="24" s="1"/>
  <c r="F13" i="24"/>
  <c r="F14" i="24"/>
  <c r="F15" i="24"/>
  <c r="F16" i="24"/>
  <c r="F17" i="24"/>
  <c r="F18" i="24"/>
  <c r="F19" i="24"/>
  <c r="F20" i="24"/>
  <c r="F21" i="24"/>
  <c r="F22" i="24"/>
  <c r="F23" i="24"/>
  <c r="F24" i="24"/>
  <c r="F25" i="24"/>
  <c r="F26" i="24"/>
  <c r="F27" i="24"/>
  <c r="F28" i="24"/>
  <c r="C29" i="24"/>
  <c r="D29" i="24"/>
  <c r="E24" i="24" s="1"/>
  <c r="C43" i="24"/>
  <c r="D43" i="24"/>
  <c r="E38" i="24" s="1"/>
  <c r="H50" i="24"/>
  <c r="T50" i="24" s="1"/>
  <c r="U50" i="24" s="1"/>
  <c r="H51" i="24"/>
  <c r="T51" i="24" s="1"/>
  <c r="U51" i="24" s="1"/>
  <c r="H52" i="24"/>
  <c r="T52" i="24" s="1"/>
  <c r="U52" i="24" s="1"/>
  <c r="H53" i="24"/>
  <c r="T53" i="24" s="1"/>
  <c r="U53" i="24" s="1"/>
  <c r="H54" i="24"/>
  <c r="T54" i="24" s="1"/>
  <c r="U54" i="24" s="1"/>
  <c r="H55" i="24"/>
  <c r="T55" i="24" s="1"/>
  <c r="U55" i="24" s="1"/>
  <c r="H56" i="24"/>
  <c r="T56" i="24" s="1"/>
  <c r="U56" i="24" s="1"/>
  <c r="H57" i="24"/>
  <c r="T57" i="24" s="1"/>
  <c r="U57" i="24" s="1"/>
  <c r="H58" i="24"/>
  <c r="T58" i="24" s="1"/>
  <c r="U58" i="24" s="1"/>
  <c r="C59" i="24"/>
  <c r="D59" i="24"/>
  <c r="P59" i="24"/>
  <c r="H62" i="24"/>
  <c r="T62" i="24" s="1"/>
  <c r="H65" i="24"/>
  <c r="T65" i="24" s="1"/>
  <c r="F68" i="24"/>
  <c r="R68" i="24" s="1"/>
  <c r="F70" i="24"/>
  <c r="R70" i="24" s="1"/>
  <c r="F71" i="24"/>
  <c r="R71" i="24" s="1"/>
  <c r="F72" i="24"/>
  <c r="R72" i="24" s="1"/>
  <c r="F76" i="24"/>
  <c r="R76" i="24" s="1"/>
  <c r="F77" i="24"/>
  <c r="R77" i="24" s="1"/>
  <c r="F78" i="24"/>
  <c r="R78" i="24" s="1"/>
  <c r="F79" i="24"/>
  <c r="R79" i="24" s="1"/>
  <c r="F80" i="24"/>
  <c r="F82" i="24"/>
  <c r="R82" i="24" s="1"/>
  <c r="U82" i="24" s="1"/>
  <c r="F83" i="24"/>
  <c r="R83" i="24" s="1"/>
  <c r="U83" i="24" s="1"/>
  <c r="I84" i="24"/>
  <c r="F85" i="24"/>
  <c r="R85" i="24" s="1"/>
  <c r="F90" i="24"/>
  <c r="R90" i="24" s="1"/>
  <c r="F91" i="24"/>
  <c r="R91" i="24" s="1"/>
  <c r="F92" i="24"/>
  <c r="R92" i="24" s="1"/>
  <c r="G99" i="24"/>
  <c r="T99" i="24" s="1"/>
  <c r="G100" i="24"/>
  <c r="I100" i="24" s="1"/>
  <c r="H107" i="24"/>
  <c r="H109" i="24" s="1"/>
  <c r="R107" i="24"/>
  <c r="R108" i="24" s="1"/>
  <c r="E108" i="24"/>
  <c r="F108" i="24"/>
  <c r="H108" i="24"/>
  <c r="T108" i="24" s="1"/>
  <c r="I130" i="24"/>
  <c r="A139" i="24"/>
  <c r="A140" i="24"/>
  <c r="A141" i="24"/>
  <c r="A142" i="24"/>
  <c r="A143" i="24"/>
  <c r="A144" i="24"/>
  <c r="A145" i="24"/>
  <c r="A146" i="24"/>
  <c r="A147" i="24"/>
  <c r="A148" i="24"/>
  <c r="A149" i="24"/>
  <c r="A150" i="24"/>
  <c r="A151" i="24"/>
  <c r="A152" i="24"/>
  <c r="A153" i="24"/>
  <c r="A154" i="24"/>
  <c r="A155" i="24"/>
  <c r="A156" i="24"/>
  <c r="A158" i="24"/>
  <c r="A159" i="24"/>
  <c r="A160" i="24"/>
  <c r="A161" i="24"/>
  <c r="A163" i="24"/>
  <c r="A164" i="24"/>
  <c r="A165" i="24"/>
  <c r="A167" i="24"/>
  <c r="A168" i="24"/>
  <c r="A169" i="24"/>
  <c r="A170" i="24"/>
  <c r="N1" i="25"/>
  <c r="A3" i="25"/>
  <c r="N3" i="25" s="1"/>
  <c r="F4" i="25"/>
  <c r="P4" i="25"/>
  <c r="A7" i="25"/>
  <c r="C8" i="25"/>
  <c r="H8" i="25"/>
  <c r="T8" i="25" s="1"/>
  <c r="P90" i="25" s="1"/>
  <c r="F13" i="25"/>
  <c r="F14" i="25"/>
  <c r="F15" i="25"/>
  <c r="F16" i="25"/>
  <c r="F17" i="25"/>
  <c r="F18" i="25"/>
  <c r="F19" i="25"/>
  <c r="F20" i="25"/>
  <c r="F21" i="25"/>
  <c r="F22" i="25"/>
  <c r="F23" i="25"/>
  <c r="F24" i="25"/>
  <c r="F25" i="25"/>
  <c r="F26" i="25"/>
  <c r="F27" i="25"/>
  <c r="F28" i="25"/>
  <c r="C29" i="25"/>
  <c r="D29" i="25"/>
  <c r="E21" i="25" s="1"/>
  <c r="H21" i="25" s="1"/>
  <c r="C43" i="25"/>
  <c r="D43" i="25"/>
  <c r="H50" i="25"/>
  <c r="T50" i="25"/>
  <c r="U50" i="25" s="1"/>
  <c r="H51" i="25"/>
  <c r="T51" i="25" s="1"/>
  <c r="U51" i="25" s="1"/>
  <c r="H52" i="25"/>
  <c r="T52" i="25" s="1"/>
  <c r="U52" i="25" s="1"/>
  <c r="H53" i="25"/>
  <c r="T53" i="25" s="1"/>
  <c r="U53" i="25" s="1"/>
  <c r="H54" i="25"/>
  <c r="T54" i="25" s="1"/>
  <c r="U54" i="25" s="1"/>
  <c r="H55" i="25"/>
  <c r="T55" i="25" s="1"/>
  <c r="U55" i="25" s="1"/>
  <c r="H56" i="25"/>
  <c r="T56" i="25" s="1"/>
  <c r="U56" i="25" s="1"/>
  <c r="H57" i="25"/>
  <c r="T57" i="25" s="1"/>
  <c r="U57" i="25" s="1"/>
  <c r="H58" i="25"/>
  <c r="T58" i="25" s="1"/>
  <c r="U58" i="25" s="1"/>
  <c r="C59" i="25"/>
  <c r="D59" i="25"/>
  <c r="P59" i="25"/>
  <c r="H62" i="25"/>
  <c r="T62" i="25" s="1"/>
  <c r="H65" i="25"/>
  <c r="T65" i="25" s="1"/>
  <c r="F68" i="25"/>
  <c r="R68" i="25" s="1"/>
  <c r="F70" i="25"/>
  <c r="R70" i="25" s="1"/>
  <c r="F71" i="25"/>
  <c r="R71" i="25" s="1"/>
  <c r="F72" i="25"/>
  <c r="R72" i="25" s="1"/>
  <c r="F76" i="25"/>
  <c r="R76" i="25" s="1"/>
  <c r="F77" i="25"/>
  <c r="R77" i="25" s="1"/>
  <c r="F78" i="25"/>
  <c r="R78" i="25" s="1"/>
  <c r="F79" i="25"/>
  <c r="R79" i="25" s="1"/>
  <c r="F80" i="25"/>
  <c r="R80" i="25" s="1"/>
  <c r="F82" i="25"/>
  <c r="R82" i="25" s="1"/>
  <c r="U82" i="25" s="1"/>
  <c r="F83" i="25"/>
  <c r="R83" i="25" s="1"/>
  <c r="U83" i="25" s="1"/>
  <c r="I84" i="25"/>
  <c r="F85" i="25"/>
  <c r="R85" i="25" s="1"/>
  <c r="E90" i="25"/>
  <c r="F90" i="25"/>
  <c r="R90" i="25" s="1"/>
  <c r="F91" i="25"/>
  <c r="R91" i="25" s="1"/>
  <c r="F92" i="25"/>
  <c r="R92" i="25" s="1"/>
  <c r="G99" i="25"/>
  <c r="T99" i="25" s="1"/>
  <c r="G100" i="25"/>
  <c r="I100" i="25" s="1"/>
  <c r="H107" i="25"/>
  <c r="R107" i="25"/>
  <c r="R108" i="25" s="1"/>
  <c r="F108" i="25"/>
  <c r="H108" i="25"/>
  <c r="T108" i="25" s="1"/>
  <c r="I130" i="25"/>
  <c r="A139" i="25"/>
  <c r="A140" i="25"/>
  <c r="A141" i="25"/>
  <c r="A142" i="25"/>
  <c r="A143" i="25"/>
  <c r="A144" i="25"/>
  <c r="A145" i="25"/>
  <c r="A146" i="25"/>
  <c r="A147" i="25"/>
  <c r="A148" i="25"/>
  <c r="A149" i="25"/>
  <c r="A150" i="25"/>
  <c r="A151" i="25"/>
  <c r="A152" i="25"/>
  <c r="A153" i="25"/>
  <c r="A154" i="25"/>
  <c r="A155" i="25"/>
  <c r="A156" i="25"/>
  <c r="A158" i="25"/>
  <c r="A159" i="25"/>
  <c r="A160" i="25"/>
  <c r="A161" i="25"/>
  <c r="A163" i="25"/>
  <c r="A164" i="25"/>
  <c r="A165" i="25"/>
  <c r="A167" i="25"/>
  <c r="A168" i="25"/>
  <c r="A169" i="25"/>
  <c r="A170" i="25"/>
  <c r="N1" i="21"/>
  <c r="A3" i="21"/>
  <c r="N3" i="21" s="1"/>
  <c r="F4" i="21"/>
  <c r="P4" i="21"/>
  <c r="A7" i="21"/>
  <c r="C8" i="21"/>
  <c r="H8" i="21"/>
  <c r="E90" i="21" s="1"/>
  <c r="F13" i="21"/>
  <c r="F14" i="21"/>
  <c r="F15" i="21"/>
  <c r="F16" i="21"/>
  <c r="F17" i="21"/>
  <c r="F18" i="21"/>
  <c r="F19" i="21"/>
  <c r="F20" i="21"/>
  <c r="F21" i="21"/>
  <c r="F22" i="21"/>
  <c r="F23" i="21"/>
  <c r="F24" i="21"/>
  <c r="F25" i="21"/>
  <c r="F26" i="21"/>
  <c r="F27" i="21"/>
  <c r="F28" i="21"/>
  <c r="C29" i="21"/>
  <c r="E13" i="21"/>
  <c r="C43" i="21"/>
  <c r="D43" i="21"/>
  <c r="E39" i="21" s="1"/>
  <c r="H50" i="21"/>
  <c r="T50" i="21" s="1"/>
  <c r="U50" i="21" s="1"/>
  <c r="H51" i="21"/>
  <c r="T51" i="21" s="1"/>
  <c r="U51" i="21" s="1"/>
  <c r="H52" i="21"/>
  <c r="T52" i="21" s="1"/>
  <c r="U52" i="21" s="1"/>
  <c r="H53" i="21"/>
  <c r="T53" i="21" s="1"/>
  <c r="U53" i="21" s="1"/>
  <c r="H54" i="21"/>
  <c r="T54" i="21" s="1"/>
  <c r="U54" i="21" s="1"/>
  <c r="H55" i="21"/>
  <c r="T55" i="21" s="1"/>
  <c r="U55" i="21" s="1"/>
  <c r="H56" i="21"/>
  <c r="T56" i="21" s="1"/>
  <c r="U56" i="21" s="1"/>
  <c r="H57" i="21"/>
  <c r="T57" i="21" s="1"/>
  <c r="U57" i="21" s="1"/>
  <c r="H58" i="21"/>
  <c r="T58" i="21" s="1"/>
  <c r="U58" i="21" s="1"/>
  <c r="C59" i="21"/>
  <c r="D59" i="21"/>
  <c r="P59" i="21"/>
  <c r="H62" i="21"/>
  <c r="T62" i="21" s="1"/>
  <c r="H65" i="21"/>
  <c r="T65" i="21" s="1"/>
  <c r="F68" i="21"/>
  <c r="R68" i="21" s="1"/>
  <c r="F70" i="21"/>
  <c r="F71" i="21"/>
  <c r="R71" i="21" s="1"/>
  <c r="F72" i="21"/>
  <c r="F76" i="21"/>
  <c r="F77" i="21"/>
  <c r="R77" i="21" s="1"/>
  <c r="F78" i="21"/>
  <c r="F79" i="21"/>
  <c r="R79" i="21" s="1"/>
  <c r="F80" i="21"/>
  <c r="F82" i="21"/>
  <c r="R82" i="21" s="1"/>
  <c r="U82" i="21" s="1"/>
  <c r="F83" i="21"/>
  <c r="R83" i="21" s="1"/>
  <c r="U83" i="21" s="1"/>
  <c r="I84" i="21"/>
  <c r="F85" i="21"/>
  <c r="F90" i="21"/>
  <c r="R90" i="21" s="1"/>
  <c r="F91" i="21"/>
  <c r="R91" i="21" s="1"/>
  <c r="F92" i="21"/>
  <c r="R92" i="21" s="1"/>
  <c r="G99" i="21"/>
  <c r="T99" i="21" s="1"/>
  <c r="G100" i="21"/>
  <c r="I100" i="21" s="1"/>
  <c r="H107" i="21"/>
  <c r="R107" i="21"/>
  <c r="R108" i="21" s="1"/>
  <c r="F108" i="21"/>
  <c r="H108" i="21"/>
  <c r="T108" i="21" s="1"/>
  <c r="I130" i="21"/>
  <c r="A139" i="21"/>
  <c r="A140" i="21"/>
  <c r="A141" i="21"/>
  <c r="A142" i="21"/>
  <c r="A143" i="21"/>
  <c r="A144" i="21"/>
  <c r="A145" i="21"/>
  <c r="A146" i="21"/>
  <c r="A147" i="21"/>
  <c r="A148" i="21"/>
  <c r="A149" i="21"/>
  <c r="A150" i="21"/>
  <c r="A151" i="21"/>
  <c r="A152" i="21"/>
  <c r="A153" i="21"/>
  <c r="A154" i="21"/>
  <c r="A155" i="21"/>
  <c r="A156" i="21"/>
  <c r="A158" i="21"/>
  <c r="A159" i="21"/>
  <c r="A160" i="21"/>
  <c r="A161" i="21"/>
  <c r="A163" i="21"/>
  <c r="A164" i="21"/>
  <c r="A165" i="21"/>
  <c r="A167" i="21"/>
  <c r="A168" i="21"/>
  <c r="A169" i="21"/>
  <c r="A170" i="21"/>
  <c r="N1" i="20"/>
  <c r="A3" i="20"/>
  <c r="N3" i="20" s="1"/>
  <c r="F4" i="20"/>
  <c r="P4" i="20"/>
  <c r="A7" i="20"/>
  <c r="C8" i="20"/>
  <c r="H8" i="20"/>
  <c r="T8" i="20" s="1"/>
  <c r="F13" i="20"/>
  <c r="F14" i="20"/>
  <c r="F15" i="20"/>
  <c r="F16" i="20"/>
  <c r="F17" i="20"/>
  <c r="F18" i="20"/>
  <c r="F19" i="20"/>
  <c r="F20" i="20"/>
  <c r="F21" i="20"/>
  <c r="F22" i="20"/>
  <c r="F23" i="20"/>
  <c r="F24" i="20"/>
  <c r="F25" i="20"/>
  <c r="F26" i="20"/>
  <c r="F27" i="20"/>
  <c r="F28" i="20"/>
  <c r="C29" i="20"/>
  <c r="D29" i="20"/>
  <c r="E28" i="20" s="1"/>
  <c r="C43" i="20"/>
  <c r="D43" i="20"/>
  <c r="E37" i="20" s="1"/>
  <c r="H50" i="20"/>
  <c r="T50" i="20" s="1"/>
  <c r="U50" i="20" s="1"/>
  <c r="H51" i="20"/>
  <c r="T51" i="20" s="1"/>
  <c r="U51" i="20" s="1"/>
  <c r="H52" i="20"/>
  <c r="T52" i="20" s="1"/>
  <c r="U52" i="20" s="1"/>
  <c r="H53" i="20"/>
  <c r="T53" i="20" s="1"/>
  <c r="U53" i="20" s="1"/>
  <c r="H54" i="20"/>
  <c r="T54" i="20" s="1"/>
  <c r="U54" i="20" s="1"/>
  <c r="H55" i="20"/>
  <c r="T55" i="20" s="1"/>
  <c r="U55" i="20" s="1"/>
  <c r="H56" i="20"/>
  <c r="T56" i="20" s="1"/>
  <c r="U56" i="20" s="1"/>
  <c r="H57" i="20"/>
  <c r="T57" i="20" s="1"/>
  <c r="U57" i="20" s="1"/>
  <c r="H58" i="20"/>
  <c r="T58" i="20" s="1"/>
  <c r="U58" i="20" s="1"/>
  <c r="C59" i="20"/>
  <c r="D59" i="20"/>
  <c r="E53" i="20" s="1"/>
  <c r="P59" i="20"/>
  <c r="H62" i="20"/>
  <c r="T62" i="20" s="1"/>
  <c r="H65" i="20"/>
  <c r="T65" i="20" s="1"/>
  <c r="F68" i="20"/>
  <c r="R68" i="20" s="1"/>
  <c r="F70" i="20"/>
  <c r="R70" i="20" s="1"/>
  <c r="F71" i="20"/>
  <c r="R71" i="20" s="1"/>
  <c r="F72" i="20"/>
  <c r="R72" i="20" s="1"/>
  <c r="F76" i="20"/>
  <c r="R76" i="20" s="1"/>
  <c r="F77" i="20"/>
  <c r="R77" i="20" s="1"/>
  <c r="F78" i="20"/>
  <c r="R78" i="20" s="1"/>
  <c r="F79" i="20"/>
  <c r="R79" i="20" s="1"/>
  <c r="F80" i="20"/>
  <c r="R80" i="20" s="1"/>
  <c r="F82" i="20"/>
  <c r="R82" i="20" s="1"/>
  <c r="U82" i="20" s="1"/>
  <c r="F83" i="20"/>
  <c r="R83" i="20" s="1"/>
  <c r="U83" i="20" s="1"/>
  <c r="I84" i="20"/>
  <c r="F85" i="20"/>
  <c r="R85" i="20" s="1"/>
  <c r="F90" i="20"/>
  <c r="R90" i="20" s="1"/>
  <c r="F91" i="20"/>
  <c r="R91" i="20" s="1"/>
  <c r="F92" i="20"/>
  <c r="R92" i="20" s="1"/>
  <c r="G99" i="20"/>
  <c r="G100" i="20"/>
  <c r="H107" i="20"/>
  <c r="H109" i="20" s="1"/>
  <c r="T109" i="20" s="1"/>
  <c r="R107" i="20"/>
  <c r="R108" i="20" s="1"/>
  <c r="F108" i="20"/>
  <c r="H108" i="20"/>
  <c r="T108" i="20" s="1"/>
  <c r="I130" i="20"/>
  <c r="A139" i="20"/>
  <c r="A140" i="20"/>
  <c r="A141" i="20"/>
  <c r="A142" i="20"/>
  <c r="A143" i="20"/>
  <c r="A144" i="20"/>
  <c r="A145" i="20"/>
  <c r="A146" i="20"/>
  <c r="A147" i="20"/>
  <c r="A148" i="20"/>
  <c r="A149" i="20"/>
  <c r="A150" i="20"/>
  <c r="A151" i="20"/>
  <c r="A152" i="20"/>
  <c r="A153" i="20"/>
  <c r="A154" i="20"/>
  <c r="A155" i="20"/>
  <c r="A156" i="20"/>
  <c r="A158" i="20"/>
  <c r="A159" i="20"/>
  <c r="A160" i="20"/>
  <c r="A161" i="20"/>
  <c r="A163" i="20"/>
  <c r="A164" i="20"/>
  <c r="A165" i="20"/>
  <c r="A167" i="20"/>
  <c r="A168" i="20"/>
  <c r="A169" i="20"/>
  <c r="A170" i="20"/>
  <c r="N1" i="18"/>
  <c r="A3" i="18"/>
  <c r="N3" i="18" s="1"/>
  <c r="F4" i="18"/>
  <c r="P4" i="18"/>
  <c r="A7" i="18"/>
  <c r="C8" i="18"/>
  <c r="H8" i="18"/>
  <c r="T8" i="18" s="1"/>
  <c r="P92" i="18" s="1"/>
  <c r="F13" i="18"/>
  <c r="F14" i="18"/>
  <c r="F15" i="18"/>
  <c r="F16" i="18"/>
  <c r="F17" i="18"/>
  <c r="F18" i="18"/>
  <c r="F19" i="18"/>
  <c r="F20" i="18"/>
  <c r="F21" i="18"/>
  <c r="F22" i="18"/>
  <c r="F23" i="18"/>
  <c r="F24" i="18"/>
  <c r="F25" i="18"/>
  <c r="F26" i="18"/>
  <c r="F27" i="18"/>
  <c r="F28" i="18"/>
  <c r="C29" i="18"/>
  <c r="D29" i="18"/>
  <c r="E15" i="18" s="1"/>
  <c r="C43" i="18"/>
  <c r="D43" i="18"/>
  <c r="E37" i="18" s="1"/>
  <c r="H50" i="18"/>
  <c r="T50" i="18" s="1"/>
  <c r="U50" i="18" s="1"/>
  <c r="H51" i="18"/>
  <c r="T51" i="18" s="1"/>
  <c r="U51" i="18" s="1"/>
  <c r="H52" i="18"/>
  <c r="T52" i="18" s="1"/>
  <c r="U52" i="18" s="1"/>
  <c r="H53" i="18"/>
  <c r="T53" i="18" s="1"/>
  <c r="U53" i="18" s="1"/>
  <c r="H54" i="18"/>
  <c r="T54" i="18" s="1"/>
  <c r="U54" i="18" s="1"/>
  <c r="H55" i="18"/>
  <c r="T55" i="18" s="1"/>
  <c r="U55" i="18" s="1"/>
  <c r="H56" i="18"/>
  <c r="T56" i="18" s="1"/>
  <c r="U56" i="18" s="1"/>
  <c r="H57" i="18"/>
  <c r="H58" i="18"/>
  <c r="T58" i="18" s="1"/>
  <c r="U58" i="18" s="1"/>
  <c r="C59" i="18"/>
  <c r="D59" i="18"/>
  <c r="E54" i="18" s="1"/>
  <c r="P59" i="18"/>
  <c r="H62" i="18"/>
  <c r="T62" i="18" s="1"/>
  <c r="H65" i="18"/>
  <c r="T65" i="18" s="1"/>
  <c r="F68" i="18"/>
  <c r="R68" i="18" s="1"/>
  <c r="F70" i="18"/>
  <c r="R70" i="18" s="1"/>
  <c r="F71" i="18"/>
  <c r="R71" i="18" s="1"/>
  <c r="F72" i="18"/>
  <c r="R72" i="18" s="1"/>
  <c r="F76" i="18"/>
  <c r="R76" i="18" s="1"/>
  <c r="F77" i="18"/>
  <c r="F78" i="18"/>
  <c r="R78" i="18" s="1"/>
  <c r="F79" i="18"/>
  <c r="R79" i="18" s="1"/>
  <c r="F80" i="18"/>
  <c r="R80" i="18" s="1"/>
  <c r="F82" i="18"/>
  <c r="R82" i="18" s="1"/>
  <c r="U82" i="18" s="1"/>
  <c r="F83" i="18"/>
  <c r="R83" i="18" s="1"/>
  <c r="U83" i="18" s="1"/>
  <c r="F85" i="18"/>
  <c r="R85" i="18" s="1"/>
  <c r="F90" i="18"/>
  <c r="R90" i="18" s="1"/>
  <c r="F91" i="18"/>
  <c r="R91" i="18" s="1"/>
  <c r="F92" i="18"/>
  <c r="R92" i="18" s="1"/>
  <c r="G99" i="18"/>
  <c r="T99" i="18" s="1"/>
  <c r="G100" i="18"/>
  <c r="I100" i="18" s="1"/>
  <c r="H107" i="18"/>
  <c r="R107" i="18"/>
  <c r="R108" i="18" s="1"/>
  <c r="F108" i="18"/>
  <c r="H108" i="18"/>
  <c r="I130" i="18"/>
  <c r="A139" i="18"/>
  <c r="A140" i="18"/>
  <c r="A141" i="18"/>
  <c r="A142" i="18"/>
  <c r="A143" i="18"/>
  <c r="A144" i="18"/>
  <c r="A145" i="18"/>
  <c r="A146" i="18"/>
  <c r="A147" i="18"/>
  <c r="A148" i="18"/>
  <c r="A149" i="18"/>
  <c r="A150" i="18"/>
  <c r="A151" i="18"/>
  <c r="A152" i="18"/>
  <c r="A153" i="18"/>
  <c r="A154" i="18"/>
  <c r="A155" i="18"/>
  <c r="A156" i="18"/>
  <c r="A158" i="18"/>
  <c r="A159" i="18"/>
  <c r="A160" i="18"/>
  <c r="A161" i="18"/>
  <c r="A163" i="18"/>
  <c r="A164" i="18"/>
  <c r="A165" i="18"/>
  <c r="A167" i="18"/>
  <c r="A168" i="18"/>
  <c r="A169" i="18"/>
  <c r="A170" i="18"/>
  <c r="N1" i="17"/>
  <c r="A3" i="17"/>
  <c r="N3" i="17" s="1"/>
  <c r="F4" i="17"/>
  <c r="P4" i="17"/>
  <c r="A7" i="17"/>
  <c r="C8" i="17"/>
  <c r="H8" i="17"/>
  <c r="E91" i="17" s="1"/>
  <c r="F13" i="17"/>
  <c r="F14" i="17"/>
  <c r="F15" i="17"/>
  <c r="F16" i="17"/>
  <c r="F17" i="17"/>
  <c r="F18" i="17"/>
  <c r="F19" i="17"/>
  <c r="F20" i="17"/>
  <c r="F21" i="17"/>
  <c r="F22" i="17"/>
  <c r="F23" i="17"/>
  <c r="F24" i="17"/>
  <c r="F25" i="17"/>
  <c r="F26" i="17"/>
  <c r="F27" i="17"/>
  <c r="F28" i="17"/>
  <c r="C29" i="17"/>
  <c r="D29" i="17"/>
  <c r="E24" i="17" s="1"/>
  <c r="C43" i="17"/>
  <c r="D43" i="17"/>
  <c r="E42" i="17" s="1"/>
  <c r="H50" i="17"/>
  <c r="T50" i="17" s="1"/>
  <c r="U50" i="17" s="1"/>
  <c r="H51" i="17"/>
  <c r="T51" i="17" s="1"/>
  <c r="U51" i="17" s="1"/>
  <c r="H52" i="17"/>
  <c r="T52" i="17" s="1"/>
  <c r="U52" i="17" s="1"/>
  <c r="H53" i="17"/>
  <c r="T53" i="17" s="1"/>
  <c r="U53" i="17" s="1"/>
  <c r="H54" i="17"/>
  <c r="T54" i="17" s="1"/>
  <c r="U54" i="17" s="1"/>
  <c r="H55" i="17"/>
  <c r="T55" i="17" s="1"/>
  <c r="U55" i="17" s="1"/>
  <c r="H56" i="17"/>
  <c r="T56" i="17" s="1"/>
  <c r="U56" i="17" s="1"/>
  <c r="H57" i="17"/>
  <c r="T57" i="17" s="1"/>
  <c r="U57" i="17" s="1"/>
  <c r="H58" i="17"/>
  <c r="T58" i="17" s="1"/>
  <c r="U58" i="17" s="1"/>
  <c r="C59" i="17"/>
  <c r="D59" i="17"/>
  <c r="E53" i="17" s="1"/>
  <c r="P59" i="17"/>
  <c r="H62" i="17"/>
  <c r="T62" i="17" s="1"/>
  <c r="H65" i="17"/>
  <c r="T65" i="17" s="1"/>
  <c r="F68" i="17"/>
  <c r="R68" i="17" s="1"/>
  <c r="F70" i="17"/>
  <c r="F71" i="17"/>
  <c r="R71" i="17" s="1"/>
  <c r="F72" i="17"/>
  <c r="F76" i="17"/>
  <c r="F77" i="17"/>
  <c r="R77" i="17" s="1"/>
  <c r="F78" i="17"/>
  <c r="F79" i="17"/>
  <c r="R79" i="17" s="1"/>
  <c r="F80" i="17"/>
  <c r="R80" i="17" s="1"/>
  <c r="F82" i="17"/>
  <c r="R82" i="17" s="1"/>
  <c r="U82" i="17" s="1"/>
  <c r="F83" i="17"/>
  <c r="R83" i="17" s="1"/>
  <c r="U83" i="17" s="1"/>
  <c r="I84" i="17"/>
  <c r="F85" i="17"/>
  <c r="F90" i="17"/>
  <c r="R90" i="17" s="1"/>
  <c r="F91" i="17"/>
  <c r="R91" i="17" s="1"/>
  <c r="F92" i="17"/>
  <c r="R92" i="17" s="1"/>
  <c r="G99" i="17"/>
  <c r="T99" i="17" s="1"/>
  <c r="G100" i="17"/>
  <c r="T100" i="17" s="1"/>
  <c r="U100" i="17" s="1"/>
  <c r="H107" i="17"/>
  <c r="H109" i="17" s="1"/>
  <c r="R107" i="17"/>
  <c r="F108" i="17"/>
  <c r="H108" i="17"/>
  <c r="T108" i="17" s="1"/>
  <c r="R108" i="17"/>
  <c r="I130" i="17"/>
  <c r="A139" i="17"/>
  <c r="A140" i="17"/>
  <c r="A141" i="17"/>
  <c r="A142" i="17"/>
  <c r="A143" i="17"/>
  <c r="A144" i="17"/>
  <c r="A145" i="17"/>
  <c r="A146" i="17"/>
  <c r="A147" i="17"/>
  <c r="A148" i="17"/>
  <c r="A149" i="17"/>
  <c r="A150" i="17"/>
  <c r="A151" i="17"/>
  <c r="A152" i="17"/>
  <c r="A153" i="17"/>
  <c r="A154" i="17"/>
  <c r="A155" i="17"/>
  <c r="A156" i="17"/>
  <c r="A158" i="17"/>
  <c r="A159" i="17"/>
  <c r="A160" i="17"/>
  <c r="A161" i="17"/>
  <c r="A163" i="17"/>
  <c r="A164" i="17"/>
  <c r="A165" i="17"/>
  <c r="A167" i="17"/>
  <c r="A168" i="17"/>
  <c r="A169" i="17"/>
  <c r="A170" i="17"/>
  <c r="N1" i="16"/>
  <c r="A3" i="16"/>
  <c r="N3" i="16" s="1"/>
  <c r="F4" i="16"/>
  <c r="P4" i="16"/>
  <c r="A7" i="16"/>
  <c r="C8" i="16"/>
  <c r="H8" i="16"/>
  <c r="F13" i="16"/>
  <c r="F14" i="16"/>
  <c r="F15" i="16"/>
  <c r="F16" i="16"/>
  <c r="F17" i="16"/>
  <c r="F18" i="16"/>
  <c r="F19" i="16"/>
  <c r="F20" i="16"/>
  <c r="F21" i="16"/>
  <c r="F22" i="16"/>
  <c r="F23" i="16"/>
  <c r="F24" i="16"/>
  <c r="F25" i="16"/>
  <c r="F26" i="16"/>
  <c r="F27" i="16"/>
  <c r="F28" i="16"/>
  <c r="C29" i="16"/>
  <c r="D29" i="16"/>
  <c r="E21" i="16" s="1"/>
  <c r="C43" i="16"/>
  <c r="D43" i="16"/>
  <c r="E38" i="16" s="1"/>
  <c r="H50" i="16"/>
  <c r="H51" i="16"/>
  <c r="T51" i="16" s="1"/>
  <c r="U51" i="16" s="1"/>
  <c r="H52" i="16"/>
  <c r="T52" i="16" s="1"/>
  <c r="U52" i="16" s="1"/>
  <c r="H53" i="16"/>
  <c r="T53" i="16" s="1"/>
  <c r="U53" i="16" s="1"/>
  <c r="H54" i="16"/>
  <c r="T54" i="16" s="1"/>
  <c r="U54" i="16" s="1"/>
  <c r="H55" i="16"/>
  <c r="T55" i="16" s="1"/>
  <c r="U55" i="16" s="1"/>
  <c r="H56" i="16"/>
  <c r="T56" i="16" s="1"/>
  <c r="U56" i="16" s="1"/>
  <c r="H57" i="16"/>
  <c r="T57" i="16" s="1"/>
  <c r="U57" i="16" s="1"/>
  <c r="H58" i="16"/>
  <c r="T58" i="16" s="1"/>
  <c r="U58" i="16" s="1"/>
  <c r="C59" i="16"/>
  <c r="P59" i="16"/>
  <c r="H62" i="16"/>
  <c r="T62" i="16" s="1"/>
  <c r="H65" i="16"/>
  <c r="T65" i="16" s="1"/>
  <c r="F68" i="16"/>
  <c r="F70" i="16"/>
  <c r="R70" i="16" s="1"/>
  <c r="F71" i="16"/>
  <c r="F72" i="16"/>
  <c r="R72" i="16" s="1"/>
  <c r="F76" i="16"/>
  <c r="R76" i="16" s="1"/>
  <c r="F77" i="16"/>
  <c r="R77" i="16" s="1"/>
  <c r="F78" i="16"/>
  <c r="R78" i="16" s="1"/>
  <c r="F79" i="16"/>
  <c r="R79" i="16" s="1"/>
  <c r="F80" i="16"/>
  <c r="R80" i="16" s="1"/>
  <c r="F82" i="16"/>
  <c r="R82" i="16" s="1"/>
  <c r="U82" i="16" s="1"/>
  <c r="F83" i="16"/>
  <c r="R83" i="16" s="1"/>
  <c r="U83" i="16" s="1"/>
  <c r="I84" i="16"/>
  <c r="F85" i="16"/>
  <c r="R85" i="16" s="1"/>
  <c r="F90" i="16"/>
  <c r="R90" i="16" s="1"/>
  <c r="F91" i="16"/>
  <c r="R91" i="16" s="1"/>
  <c r="F92" i="16"/>
  <c r="R92" i="16" s="1"/>
  <c r="G99" i="16"/>
  <c r="I99" i="16" s="1"/>
  <c r="G100" i="16"/>
  <c r="H107" i="16"/>
  <c r="R107" i="16"/>
  <c r="R108" i="16" s="1"/>
  <c r="F108" i="16"/>
  <c r="H108" i="16"/>
  <c r="I130" i="16"/>
  <c r="A139" i="16"/>
  <c r="A140" i="16"/>
  <c r="A141" i="16"/>
  <c r="A142" i="16"/>
  <c r="A143" i="16"/>
  <c r="A144" i="16"/>
  <c r="A145" i="16"/>
  <c r="A146" i="16"/>
  <c r="A147" i="16"/>
  <c r="A148" i="16"/>
  <c r="A149" i="16"/>
  <c r="A150" i="16"/>
  <c r="A151" i="16"/>
  <c r="A152" i="16"/>
  <c r="A153" i="16"/>
  <c r="A154" i="16"/>
  <c r="A155" i="16"/>
  <c r="A156" i="16"/>
  <c r="A158" i="16"/>
  <c r="A159" i="16"/>
  <c r="A160" i="16"/>
  <c r="A161" i="16"/>
  <c r="A163" i="16"/>
  <c r="A164" i="16"/>
  <c r="A165" i="16"/>
  <c r="A167" i="16"/>
  <c r="A168" i="16"/>
  <c r="A169" i="16"/>
  <c r="A170" i="16"/>
  <c r="N1" i="15"/>
  <c r="A3" i="15"/>
  <c r="N3" i="15" s="1"/>
  <c r="F4" i="15"/>
  <c r="P4" i="15"/>
  <c r="A7" i="15"/>
  <c r="C8" i="15"/>
  <c r="H8" i="15"/>
  <c r="E90" i="15" s="1"/>
  <c r="F13" i="15"/>
  <c r="F14" i="15"/>
  <c r="F15" i="15"/>
  <c r="F16" i="15"/>
  <c r="F17" i="15"/>
  <c r="F18" i="15"/>
  <c r="F19" i="15"/>
  <c r="F20" i="15"/>
  <c r="F21" i="15"/>
  <c r="F22" i="15"/>
  <c r="F23" i="15"/>
  <c r="F24" i="15"/>
  <c r="F25" i="15"/>
  <c r="F26" i="15"/>
  <c r="F27" i="15"/>
  <c r="F28" i="15"/>
  <c r="C29" i="15"/>
  <c r="D29" i="15"/>
  <c r="E28" i="15" s="1"/>
  <c r="C43" i="15"/>
  <c r="D43" i="15"/>
  <c r="H50" i="15"/>
  <c r="H51" i="15"/>
  <c r="T51" i="15" s="1"/>
  <c r="U51" i="15" s="1"/>
  <c r="H52" i="15"/>
  <c r="T52" i="15" s="1"/>
  <c r="U52" i="15" s="1"/>
  <c r="H53" i="15"/>
  <c r="H54" i="15"/>
  <c r="T54" i="15" s="1"/>
  <c r="U54" i="15" s="1"/>
  <c r="H55" i="15"/>
  <c r="T55" i="15" s="1"/>
  <c r="U55" i="15" s="1"/>
  <c r="H56" i="15"/>
  <c r="T56" i="15" s="1"/>
  <c r="U56" i="15" s="1"/>
  <c r="H57" i="15"/>
  <c r="T57" i="15" s="1"/>
  <c r="U57" i="15" s="1"/>
  <c r="H58" i="15"/>
  <c r="T58" i="15" s="1"/>
  <c r="U58" i="15" s="1"/>
  <c r="C59" i="15"/>
  <c r="D59" i="15"/>
  <c r="E54" i="15" s="1"/>
  <c r="P59" i="15"/>
  <c r="H62" i="15"/>
  <c r="T62" i="15" s="1"/>
  <c r="H65" i="15"/>
  <c r="T65" i="15" s="1"/>
  <c r="F68" i="15"/>
  <c r="R68" i="15" s="1"/>
  <c r="F70" i="15"/>
  <c r="R70" i="15" s="1"/>
  <c r="F71" i="15"/>
  <c r="R71" i="15" s="1"/>
  <c r="F72" i="15"/>
  <c r="R72" i="15" s="1"/>
  <c r="F76" i="15"/>
  <c r="F77" i="15"/>
  <c r="R77" i="15" s="1"/>
  <c r="F78" i="15"/>
  <c r="F79" i="15"/>
  <c r="R79" i="15" s="1"/>
  <c r="F80" i="15"/>
  <c r="F82" i="15"/>
  <c r="R82" i="15" s="1"/>
  <c r="U82" i="15" s="1"/>
  <c r="F83" i="15"/>
  <c r="R83" i="15" s="1"/>
  <c r="U83" i="15" s="1"/>
  <c r="I84" i="15"/>
  <c r="F85" i="15"/>
  <c r="R85" i="15" s="1"/>
  <c r="F90" i="15"/>
  <c r="R90" i="15" s="1"/>
  <c r="F91" i="15"/>
  <c r="R91" i="15" s="1"/>
  <c r="F92" i="15"/>
  <c r="R92" i="15" s="1"/>
  <c r="G99" i="15"/>
  <c r="T99" i="15" s="1"/>
  <c r="G100" i="15"/>
  <c r="T100" i="15" s="1"/>
  <c r="U100" i="15" s="1"/>
  <c r="H107" i="15"/>
  <c r="T107" i="15" s="1"/>
  <c r="R107" i="15"/>
  <c r="R108" i="15" s="1"/>
  <c r="F108" i="15"/>
  <c r="H108" i="15"/>
  <c r="I130" i="15"/>
  <c r="A139" i="15"/>
  <c r="A140" i="15"/>
  <c r="A141" i="15"/>
  <c r="A142" i="15"/>
  <c r="A143" i="15"/>
  <c r="A144" i="15"/>
  <c r="A145" i="15"/>
  <c r="A146" i="15"/>
  <c r="A147" i="15"/>
  <c r="A148" i="15"/>
  <c r="A149" i="15"/>
  <c r="A150" i="15"/>
  <c r="A151" i="15"/>
  <c r="A152" i="15"/>
  <c r="A153" i="15"/>
  <c r="A154" i="15"/>
  <c r="A155" i="15"/>
  <c r="A156" i="15"/>
  <c r="A158" i="15"/>
  <c r="A159" i="15"/>
  <c r="A160" i="15"/>
  <c r="A161" i="15"/>
  <c r="A163" i="15"/>
  <c r="A164" i="15"/>
  <c r="A165" i="15"/>
  <c r="A167" i="15"/>
  <c r="A168" i="15"/>
  <c r="A169" i="15"/>
  <c r="A170" i="15"/>
  <c r="N1" i="7"/>
  <c r="N3" i="7"/>
  <c r="P4" i="7"/>
  <c r="T8" i="7"/>
  <c r="P90" i="7" s="1"/>
  <c r="C29" i="7"/>
  <c r="D29" i="7"/>
  <c r="E14" i="7" s="1"/>
  <c r="I34" i="7"/>
  <c r="C43" i="7"/>
  <c r="D43" i="7"/>
  <c r="E37" i="7" s="1"/>
  <c r="T50" i="7"/>
  <c r="U50" i="7" s="1"/>
  <c r="T51" i="7"/>
  <c r="U51" i="7" s="1"/>
  <c r="T52" i="7"/>
  <c r="U52" i="7" s="1"/>
  <c r="T53" i="7"/>
  <c r="U53" i="7" s="1"/>
  <c r="T54" i="7"/>
  <c r="U54" i="7" s="1"/>
  <c r="T55" i="7"/>
  <c r="U55" i="7" s="1"/>
  <c r="T56" i="7"/>
  <c r="U56" i="7" s="1"/>
  <c r="T57" i="7"/>
  <c r="U57" i="7" s="1"/>
  <c r="T58" i="7"/>
  <c r="U58" i="7" s="1"/>
  <c r="D59" i="7"/>
  <c r="E109" i="7" s="1"/>
  <c r="P59" i="7"/>
  <c r="T62" i="7"/>
  <c r="T65" i="7"/>
  <c r="R68" i="7"/>
  <c r="R70" i="7"/>
  <c r="R71" i="7"/>
  <c r="R72" i="7"/>
  <c r="R76" i="7"/>
  <c r="R77" i="7"/>
  <c r="R78" i="7"/>
  <c r="R79" i="7"/>
  <c r="R80" i="7"/>
  <c r="R82" i="7"/>
  <c r="U82" i="7" s="1"/>
  <c r="R83" i="7"/>
  <c r="U83" i="7" s="1"/>
  <c r="R85" i="7"/>
  <c r="E90" i="7"/>
  <c r="R90" i="7"/>
  <c r="E91" i="7"/>
  <c r="R91" i="7"/>
  <c r="E92" i="7"/>
  <c r="R92" i="7"/>
  <c r="I99" i="7"/>
  <c r="T99" i="7"/>
  <c r="I100" i="7"/>
  <c r="T100" i="7"/>
  <c r="U100" i="7" s="1"/>
  <c r="H107" i="7"/>
  <c r="R107" i="7"/>
  <c r="R108" i="7" s="1"/>
  <c r="F108" i="7"/>
  <c r="H108" i="7"/>
  <c r="T108" i="7" s="1"/>
  <c r="A3" i="60"/>
  <c r="F4" i="60"/>
  <c r="A7" i="60"/>
  <c r="C8" i="60"/>
  <c r="H8" i="60"/>
  <c r="I9" i="60"/>
  <c r="C13" i="60"/>
  <c r="D13" i="60"/>
  <c r="F13"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30" i="60"/>
  <c r="D30" i="60"/>
  <c r="C37" i="60"/>
  <c r="D37" i="60"/>
  <c r="C38" i="60"/>
  <c r="D38" i="60"/>
  <c r="C39" i="60"/>
  <c r="D39" i="60"/>
  <c r="C40" i="60"/>
  <c r="D40" i="60"/>
  <c r="C41" i="60"/>
  <c r="D41" i="60"/>
  <c r="C42" i="60"/>
  <c r="D42" i="60"/>
  <c r="H50" i="60"/>
  <c r="H51" i="60"/>
  <c r="H52" i="60"/>
  <c r="H53" i="60"/>
  <c r="H54" i="60"/>
  <c r="H55" i="60"/>
  <c r="H56" i="60"/>
  <c r="H57" i="60"/>
  <c r="H58" i="60"/>
  <c r="H62" i="60"/>
  <c r="H65" i="60"/>
  <c r="F68" i="60"/>
  <c r="F70" i="60"/>
  <c r="F71" i="60"/>
  <c r="F72" i="60"/>
  <c r="I73" i="60"/>
  <c r="I74" i="60"/>
  <c r="F76" i="60"/>
  <c r="F77" i="60"/>
  <c r="F78" i="60"/>
  <c r="F79" i="60"/>
  <c r="F80" i="60"/>
  <c r="I82" i="60"/>
  <c r="F85" i="60"/>
  <c r="F90" i="60"/>
  <c r="F91" i="60"/>
  <c r="F92" i="60"/>
  <c r="C99" i="60"/>
  <c r="D99" i="60"/>
  <c r="G99" i="60"/>
  <c r="C100" i="60"/>
  <c r="D100" i="60"/>
  <c r="G100" i="60"/>
  <c r="C107" i="60"/>
  <c r="H107" i="60" s="1"/>
  <c r="H109" i="60" s="1"/>
  <c r="D107" i="60"/>
  <c r="C108" i="60"/>
  <c r="H108" i="60" s="1"/>
  <c r="D108" i="60"/>
  <c r="F108" i="60"/>
  <c r="C109" i="60"/>
  <c r="D109" i="60"/>
  <c r="I112" i="60"/>
  <c r="I113" i="60"/>
  <c r="I126" i="60"/>
  <c r="K126" i="60" s="1"/>
  <c r="L126" i="60" s="1"/>
  <c r="I130" i="60"/>
  <c r="B2" i="64"/>
  <c r="A15" i="64"/>
  <c r="A37" i="64" s="1"/>
  <c r="A53" i="64" s="1"/>
  <c r="A60" i="64" s="1"/>
  <c r="A72" i="64" s="1"/>
  <c r="A80" i="64" s="1"/>
  <c r="A90" i="64" s="1"/>
  <c r="A100" i="64" s="1"/>
  <c r="A109" i="64" s="1"/>
  <c r="A117" i="64" s="1"/>
  <c r="A124" i="64" s="1"/>
  <c r="A133" i="64" s="1"/>
  <c r="A142" i="64" s="1"/>
  <c r="A151" i="64" s="1"/>
  <c r="A161" i="64" s="1"/>
  <c r="A170" i="64" s="1"/>
  <c r="A178" i="64" s="1"/>
  <c r="A185" i="64" s="1"/>
  <c r="A193" i="64" s="1"/>
  <c r="A204" i="64" s="1"/>
  <c r="A212" i="64" s="1"/>
  <c r="A223" i="64" s="1"/>
  <c r="A233" i="64" s="1"/>
  <c r="A242" i="64" s="1"/>
  <c r="A252" i="64" s="1"/>
  <c r="A262" i="64" s="1"/>
  <c r="A270" i="64" s="1"/>
  <c r="A278" i="64" s="1"/>
  <c r="A287" i="64" s="1"/>
  <c r="A297" i="64" s="1"/>
  <c r="A305" i="64" s="1"/>
  <c r="A314" i="64" s="1"/>
  <c r="A323" i="64" s="1"/>
  <c r="A333" i="64" s="1"/>
  <c r="A343" i="64" s="1"/>
  <c r="A354" i="64" s="1"/>
  <c r="A361" i="64" s="1"/>
  <c r="A370" i="64" s="1"/>
  <c r="A379" i="64" s="1"/>
  <c r="A386" i="64" s="1"/>
  <c r="A395" i="64" s="1"/>
  <c r="A405" i="64" s="1"/>
  <c r="A415" i="64" s="1"/>
  <c r="A424" i="64" s="1"/>
  <c r="A432" i="64" s="1"/>
  <c r="A442" i="64" s="1"/>
  <c r="A451" i="64" s="1"/>
  <c r="D15" i="64"/>
  <c r="L32" i="64"/>
  <c r="D37" i="64"/>
  <c r="D53" i="64"/>
  <c r="D60" i="64"/>
  <c r="D72" i="64"/>
  <c r="D80" i="64"/>
  <c r="D90" i="64"/>
  <c r="D100" i="64"/>
  <c r="D109" i="64"/>
  <c r="D117" i="64"/>
  <c r="D124" i="64"/>
  <c r="D133" i="64"/>
  <c r="D142" i="64"/>
  <c r="D151" i="64"/>
  <c r="D161" i="64"/>
  <c r="D170" i="64"/>
  <c r="D178" i="64"/>
  <c r="D185" i="64"/>
  <c r="D193" i="64"/>
  <c r="D204" i="64"/>
  <c r="D212" i="64"/>
  <c r="D223" i="64"/>
  <c r="D233" i="64"/>
  <c r="D242" i="64"/>
  <c r="D252" i="64"/>
  <c r="D262" i="64"/>
  <c r="D270" i="64"/>
  <c r="D278" i="64"/>
  <c r="D287" i="64"/>
  <c r="D297" i="64"/>
  <c r="D305" i="64"/>
  <c r="D314" i="64"/>
  <c r="D323" i="64"/>
  <c r="D333" i="64"/>
  <c r="D343" i="64"/>
  <c r="D354" i="64"/>
  <c r="D361" i="64"/>
  <c r="D370" i="64"/>
  <c r="D379" i="64"/>
  <c r="D386" i="64"/>
  <c r="D395" i="64"/>
  <c r="D405" i="64"/>
  <c r="D415" i="64"/>
  <c r="D424" i="64"/>
  <c r="D432" i="64"/>
  <c r="D442" i="64"/>
  <c r="D451" i="64"/>
  <c r="D460" i="64"/>
  <c r="G460" i="64"/>
  <c r="D462" i="64"/>
  <c r="G462" i="64"/>
  <c r="F465" i="64"/>
  <c r="E23" i="35" l="1"/>
  <c r="H109" i="23"/>
  <c r="T107" i="69"/>
  <c r="E13" i="20"/>
  <c r="H13" i="20" s="1"/>
  <c r="I13" i="20" s="1"/>
  <c r="E39" i="22"/>
  <c r="E37" i="22"/>
  <c r="E37" i="43"/>
  <c r="E100" i="60"/>
  <c r="T107" i="20"/>
  <c r="T107" i="42"/>
  <c r="E108" i="33"/>
  <c r="I108" i="33" s="1"/>
  <c r="E39" i="20"/>
  <c r="I39" i="20" s="1"/>
  <c r="E40" i="21"/>
  <c r="I40" i="21" s="1"/>
  <c r="H109" i="68"/>
  <c r="E38" i="20"/>
  <c r="T107" i="40"/>
  <c r="E50" i="57"/>
  <c r="I100" i="69"/>
  <c r="E41" i="33"/>
  <c r="E23" i="33"/>
  <c r="H23" i="33" s="1"/>
  <c r="I23" i="33" s="1"/>
  <c r="E22" i="52"/>
  <c r="H109" i="75"/>
  <c r="T109" i="75" s="1"/>
  <c r="E38" i="57"/>
  <c r="I38" i="57" s="1"/>
  <c r="E41" i="57"/>
  <c r="I41" i="57" s="1"/>
  <c r="E37" i="26"/>
  <c r="H109" i="32"/>
  <c r="T109" i="32" s="1"/>
  <c r="E40" i="33"/>
  <c r="I40" i="33" s="1"/>
  <c r="E53" i="70"/>
  <c r="I53" i="70" s="1"/>
  <c r="E39" i="33"/>
  <c r="I39" i="33" s="1"/>
  <c r="E25" i="15"/>
  <c r="E41" i="24"/>
  <c r="E37" i="33"/>
  <c r="I107" i="42"/>
  <c r="E39" i="76"/>
  <c r="E39" i="24"/>
  <c r="I39" i="24" s="1"/>
  <c r="E52" i="47"/>
  <c r="E37" i="76"/>
  <c r="I37" i="76" s="1"/>
  <c r="E28" i="52"/>
  <c r="E20" i="71"/>
  <c r="E41" i="68"/>
  <c r="I41" i="68" s="1"/>
  <c r="E55" i="20"/>
  <c r="T107" i="67"/>
  <c r="E40" i="68"/>
  <c r="E41" i="77"/>
  <c r="E23" i="27"/>
  <c r="H23" i="27" s="1"/>
  <c r="I23" i="27" s="1"/>
  <c r="E91" i="35"/>
  <c r="E40" i="39"/>
  <c r="I40" i="39" s="1"/>
  <c r="E90" i="52"/>
  <c r="E38" i="77"/>
  <c r="I38" i="77" s="1"/>
  <c r="E15" i="15"/>
  <c r="E41" i="20"/>
  <c r="I41" i="20" s="1"/>
  <c r="E38" i="22"/>
  <c r="I38" i="22" s="1"/>
  <c r="E14" i="44"/>
  <c r="H14" i="44" s="1"/>
  <c r="I14" i="44" s="1"/>
  <c r="E15" i="52"/>
  <c r="H15" i="52" s="1"/>
  <c r="I15" i="52" s="1"/>
  <c r="E17" i="75"/>
  <c r="H109" i="56"/>
  <c r="E42" i="68"/>
  <c r="E38" i="33"/>
  <c r="I38" i="33" s="1"/>
  <c r="E37" i="39"/>
  <c r="E39" i="40"/>
  <c r="I39" i="40" s="1"/>
  <c r="T107" i="43"/>
  <c r="E37" i="51"/>
  <c r="T107" i="52"/>
  <c r="E38" i="76"/>
  <c r="I38" i="76" s="1"/>
  <c r="E22" i="66"/>
  <c r="E39" i="68"/>
  <c r="E22" i="78"/>
  <c r="E39" i="18"/>
  <c r="E54" i="20"/>
  <c r="E16" i="27"/>
  <c r="H16" i="27" s="1"/>
  <c r="I16" i="27" s="1"/>
  <c r="E92" i="32"/>
  <c r="E38" i="40"/>
  <c r="I38" i="40" s="1"/>
  <c r="T107" i="44"/>
  <c r="E107" i="57"/>
  <c r="E25" i="70"/>
  <c r="H25" i="70" s="1"/>
  <c r="I25" i="70" s="1"/>
  <c r="E38" i="68"/>
  <c r="E38" i="18"/>
  <c r="I38" i="18" s="1"/>
  <c r="E108" i="20"/>
  <c r="E42" i="24"/>
  <c r="E51" i="22"/>
  <c r="P91" i="32"/>
  <c r="E20" i="44"/>
  <c r="H20" i="44" s="1"/>
  <c r="I20" i="44" s="1"/>
  <c r="E19" i="23"/>
  <c r="H19" i="23" s="1"/>
  <c r="I19" i="23" s="1"/>
  <c r="E107" i="47"/>
  <c r="I107" i="47" s="1"/>
  <c r="H21" i="47"/>
  <c r="I21" i="47" s="1"/>
  <c r="H109" i="76"/>
  <c r="E57" i="57"/>
  <c r="I57" i="57" s="1"/>
  <c r="E40" i="57"/>
  <c r="I40" i="57" s="1"/>
  <c r="E22" i="69"/>
  <c r="E20" i="78"/>
  <c r="E92" i="18"/>
  <c r="E40" i="24"/>
  <c r="E91" i="32"/>
  <c r="E19" i="47"/>
  <c r="H19" i="47" s="1"/>
  <c r="I19" i="47" s="1"/>
  <c r="P91" i="7"/>
  <c r="E37" i="57"/>
  <c r="I37" i="57" s="1"/>
  <c r="E99" i="60"/>
  <c r="E91" i="18"/>
  <c r="E37" i="24"/>
  <c r="E41" i="22"/>
  <c r="I41" i="22" s="1"/>
  <c r="E22" i="27"/>
  <c r="H22" i="27" s="1"/>
  <c r="I22" i="27" s="1"/>
  <c r="E90" i="32"/>
  <c r="E92" i="23"/>
  <c r="E92" i="43"/>
  <c r="E40" i="22"/>
  <c r="T107" i="27"/>
  <c r="E15" i="33"/>
  <c r="H15" i="33" s="1"/>
  <c r="I15" i="33" s="1"/>
  <c r="E26" i="44"/>
  <c r="H26" i="44" s="1"/>
  <c r="I26" i="44" s="1"/>
  <c r="E90" i="18"/>
  <c r="E42" i="20"/>
  <c r="E38" i="26"/>
  <c r="I38" i="26" s="1"/>
  <c r="E26" i="47"/>
  <c r="H26" i="47" s="1"/>
  <c r="I26" i="47" s="1"/>
  <c r="E27" i="58"/>
  <c r="E90" i="78"/>
  <c r="I100" i="51"/>
  <c r="E107" i="78"/>
  <c r="I107" i="78" s="1"/>
  <c r="E55" i="78"/>
  <c r="E56" i="57"/>
  <c r="I56" i="57" s="1"/>
  <c r="E109" i="57"/>
  <c r="E53" i="57"/>
  <c r="I53" i="57" s="1"/>
  <c r="E108" i="57"/>
  <c r="I108" i="57" s="1"/>
  <c r="E107" i="51"/>
  <c r="E50" i="47"/>
  <c r="I50" i="47" s="1"/>
  <c r="E57" i="42"/>
  <c r="I57" i="42" s="1"/>
  <c r="E55" i="39"/>
  <c r="E56" i="38"/>
  <c r="E55" i="27"/>
  <c r="I55" i="27" s="1"/>
  <c r="E56" i="15"/>
  <c r="I56" i="15" s="1"/>
  <c r="E51" i="78"/>
  <c r="I51" i="78" s="1"/>
  <c r="E56" i="78"/>
  <c r="I56" i="78" s="1"/>
  <c r="E58" i="77"/>
  <c r="I58" i="77" s="1"/>
  <c r="E22" i="68"/>
  <c r="H22" i="68" s="1"/>
  <c r="I22" i="68" s="1"/>
  <c r="E20" i="68"/>
  <c r="H20" i="68" s="1"/>
  <c r="I20" i="68" s="1"/>
  <c r="E51" i="71"/>
  <c r="I51" i="71" s="1"/>
  <c r="E23" i="71"/>
  <c r="H23" i="71" s="1"/>
  <c r="I23" i="71" s="1"/>
  <c r="E22" i="71"/>
  <c r="H22" i="71" s="1"/>
  <c r="I22" i="71" s="1"/>
  <c r="E13" i="71"/>
  <c r="H13" i="71" s="1"/>
  <c r="I13" i="71" s="1"/>
  <c r="H21" i="71"/>
  <c r="E58" i="70"/>
  <c r="E57" i="70"/>
  <c r="I57" i="70" s="1"/>
  <c r="E50" i="70"/>
  <c r="I50" i="70" s="1"/>
  <c r="E109" i="70"/>
  <c r="E56" i="70"/>
  <c r="I56" i="70" s="1"/>
  <c r="E55" i="70"/>
  <c r="E108" i="70"/>
  <c r="I108" i="70" s="1"/>
  <c r="E54" i="70"/>
  <c r="I54" i="70" s="1"/>
  <c r="E107" i="70"/>
  <c r="I107" i="70" s="1"/>
  <c r="E20" i="70"/>
  <c r="H27" i="70"/>
  <c r="I27" i="70" s="1"/>
  <c r="E19" i="70"/>
  <c r="E21" i="69"/>
  <c r="H21" i="69" s="1"/>
  <c r="I21" i="69" s="1"/>
  <c r="E20" i="69"/>
  <c r="H20" i="69" s="1"/>
  <c r="I20" i="69" s="1"/>
  <c r="E51" i="66"/>
  <c r="I51" i="66" s="1"/>
  <c r="E23" i="66"/>
  <c r="H23" i="66" s="1"/>
  <c r="I23" i="66" s="1"/>
  <c r="E21" i="58"/>
  <c r="H21" i="58" s="1"/>
  <c r="I21" i="58" s="1"/>
  <c r="E20" i="58"/>
  <c r="H20" i="58" s="1"/>
  <c r="I20" i="58" s="1"/>
  <c r="E56" i="55"/>
  <c r="I56" i="55" s="1"/>
  <c r="E54" i="55"/>
  <c r="I54" i="55" s="1"/>
  <c r="E53" i="55"/>
  <c r="I53" i="55" s="1"/>
  <c r="I107" i="55"/>
  <c r="E26" i="55"/>
  <c r="H26" i="55" s="1"/>
  <c r="I26" i="55" s="1"/>
  <c r="E13" i="55"/>
  <c r="H13" i="55" s="1"/>
  <c r="H21" i="75"/>
  <c r="E51" i="52"/>
  <c r="I51" i="52" s="1"/>
  <c r="E58" i="52"/>
  <c r="I58" i="52" s="1"/>
  <c r="E57" i="52"/>
  <c r="I57" i="52" s="1"/>
  <c r="E109" i="52"/>
  <c r="I109" i="52" s="1"/>
  <c r="E54" i="52"/>
  <c r="E108" i="52"/>
  <c r="I108" i="52" s="1"/>
  <c r="E27" i="52"/>
  <c r="H27" i="52" s="1"/>
  <c r="I27" i="52" s="1"/>
  <c r="E14" i="52"/>
  <c r="E26" i="52"/>
  <c r="H26" i="52" s="1"/>
  <c r="E19" i="52"/>
  <c r="H19" i="52" s="1"/>
  <c r="I19" i="52" s="1"/>
  <c r="E25" i="52"/>
  <c r="H25" i="52" s="1"/>
  <c r="I25" i="52" s="1"/>
  <c r="E18" i="52"/>
  <c r="E17" i="52"/>
  <c r="E23" i="52"/>
  <c r="H23" i="52" s="1"/>
  <c r="I23" i="52" s="1"/>
  <c r="E16" i="52"/>
  <c r="H16" i="52" s="1"/>
  <c r="I16" i="52" s="1"/>
  <c r="E109" i="51"/>
  <c r="E56" i="51"/>
  <c r="I56" i="51" s="1"/>
  <c r="E108" i="51"/>
  <c r="E54" i="51"/>
  <c r="I54" i="51" s="1"/>
  <c r="E21" i="48"/>
  <c r="H21" i="48" s="1"/>
  <c r="I21" i="48" s="1"/>
  <c r="E20" i="48"/>
  <c r="H20" i="48" s="1"/>
  <c r="I20" i="48" s="1"/>
  <c r="E58" i="47"/>
  <c r="E55" i="47"/>
  <c r="I55" i="47" s="1"/>
  <c r="E18" i="47"/>
  <c r="E24" i="47"/>
  <c r="H24" i="47" s="1"/>
  <c r="I24" i="47" s="1"/>
  <c r="E23" i="47"/>
  <c r="H23" i="47" s="1"/>
  <c r="I23" i="47" s="1"/>
  <c r="E16" i="47"/>
  <c r="H16" i="47" s="1"/>
  <c r="I16" i="47" s="1"/>
  <c r="E14" i="47"/>
  <c r="H14" i="47" s="1"/>
  <c r="I14" i="47" s="1"/>
  <c r="E28" i="47"/>
  <c r="H28" i="47" s="1"/>
  <c r="I28" i="47" s="1"/>
  <c r="E107" i="44"/>
  <c r="I107" i="44" s="1"/>
  <c r="E56" i="44"/>
  <c r="I56" i="44" s="1"/>
  <c r="E109" i="44"/>
  <c r="I109" i="44" s="1"/>
  <c r="E16" i="44"/>
  <c r="H16" i="44" s="1"/>
  <c r="I16" i="44" s="1"/>
  <c r="E21" i="44"/>
  <c r="H21" i="44" s="1"/>
  <c r="I21" i="44" s="1"/>
  <c r="E13" i="44"/>
  <c r="H13" i="44" s="1"/>
  <c r="I13" i="44" s="1"/>
  <c r="E51" i="43"/>
  <c r="I51" i="43" s="1"/>
  <c r="E107" i="43"/>
  <c r="I107" i="43" s="1"/>
  <c r="E109" i="43"/>
  <c r="I109" i="43" s="1"/>
  <c r="E55" i="43"/>
  <c r="I55" i="43" s="1"/>
  <c r="E54" i="43"/>
  <c r="I54" i="43" s="1"/>
  <c r="E18" i="43"/>
  <c r="E108" i="42"/>
  <c r="E54" i="42"/>
  <c r="I54" i="42" s="1"/>
  <c r="E22" i="42"/>
  <c r="H22" i="42" s="1"/>
  <c r="I22" i="42" s="1"/>
  <c r="E13" i="42"/>
  <c r="H13" i="42" s="1"/>
  <c r="I13" i="42" s="1"/>
  <c r="E28" i="42"/>
  <c r="H28" i="42" s="1"/>
  <c r="I28" i="42" s="1"/>
  <c r="E19" i="42"/>
  <c r="H19" i="42" s="1"/>
  <c r="I19" i="42" s="1"/>
  <c r="E27" i="42"/>
  <c r="E26" i="42"/>
  <c r="H26" i="42" s="1"/>
  <c r="I26" i="42" s="1"/>
  <c r="E17" i="42"/>
  <c r="H17" i="42" s="1"/>
  <c r="I17" i="42" s="1"/>
  <c r="E108" i="39"/>
  <c r="I108" i="39" s="1"/>
  <c r="E53" i="39"/>
  <c r="I53" i="39" s="1"/>
  <c r="E107" i="39"/>
  <c r="I107" i="39" s="1"/>
  <c r="E57" i="39"/>
  <c r="I57" i="39" s="1"/>
  <c r="E109" i="39"/>
  <c r="E56" i="39"/>
  <c r="E20" i="39"/>
  <c r="H20" i="39" s="1"/>
  <c r="I20" i="39" s="1"/>
  <c r="E54" i="38"/>
  <c r="E51" i="38"/>
  <c r="E50" i="38"/>
  <c r="I50" i="38" s="1"/>
  <c r="E19" i="37"/>
  <c r="H19" i="37" s="1"/>
  <c r="I19" i="37" s="1"/>
  <c r="E53" i="23"/>
  <c r="I53" i="23" s="1"/>
  <c r="E51" i="23"/>
  <c r="I51" i="23" s="1"/>
  <c r="E20" i="23"/>
  <c r="H20" i="23" s="1"/>
  <c r="I20" i="23" s="1"/>
  <c r="E51" i="35"/>
  <c r="E14" i="35"/>
  <c r="H14" i="35" s="1"/>
  <c r="I14" i="35" s="1"/>
  <c r="E19" i="35"/>
  <c r="H19" i="35" s="1"/>
  <c r="I19" i="35" s="1"/>
  <c r="E107" i="34"/>
  <c r="I107" i="34" s="1"/>
  <c r="E54" i="34"/>
  <c r="E53" i="34"/>
  <c r="I53" i="34" s="1"/>
  <c r="E19" i="34"/>
  <c r="E26" i="34"/>
  <c r="H26" i="34" s="1"/>
  <c r="I26" i="34" s="1"/>
  <c r="E57" i="33"/>
  <c r="I57" i="33" s="1"/>
  <c r="E55" i="33"/>
  <c r="I55" i="33" s="1"/>
  <c r="E22" i="33"/>
  <c r="H22" i="33" s="1"/>
  <c r="I22" i="33" s="1"/>
  <c r="E14" i="33"/>
  <c r="H14" i="33" s="1"/>
  <c r="I14" i="33" s="1"/>
  <c r="E21" i="33"/>
  <c r="E13" i="33"/>
  <c r="H13" i="33" s="1"/>
  <c r="I13" i="33" s="1"/>
  <c r="E28" i="33"/>
  <c r="E27" i="33"/>
  <c r="H27" i="33" s="1"/>
  <c r="I27" i="33" s="1"/>
  <c r="E26" i="32"/>
  <c r="H26" i="32" s="1"/>
  <c r="I26" i="32" s="1"/>
  <c r="H25" i="32"/>
  <c r="I25" i="32" s="1"/>
  <c r="E15" i="32"/>
  <c r="H15" i="32" s="1"/>
  <c r="I15" i="32" s="1"/>
  <c r="E21" i="28"/>
  <c r="H21" i="28" s="1"/>
  <c r="I21" i="28" s="1"/>
  <c r="E108" i="27"/>
  <c r="I108" i="27" s="1"/>
  <c r="E28" i="27"/>
  <c r="H28" i="27" s="1"/>
  <c r="I28" i="27" s="1"/>
  <c r="E21" i="27"/>
  <c r="H21" i="27" s="1"/>
  <c r="I21" i="27" s="1"/>
  <c r="E13" i="27"/>
  <c r="H13" i="27" s="1"/>
  <c r="I13" i="27" s="1"/>
  <c r="E27" i="27"/>
  <c r="H27" i="27" s="1"/>
  <c r="I27" i="27" s="1"/>
  <c r="E26" i="27"/>
  <c r="H26" i="27" s="1"/>
  <c r="I26" i="27" s="1"/>
  <c r="E18" i="27"/>
  <c r="H18" i="27" s="1"/>
  <c r="I18" i="27" s="1"/>
  <c r="E17" i="27"/>
  <c r="H17" i="27" s="1"/>
  <c r="I17" i="27" s="1"/>
  <c r="E56" i="26"/>
  <c r="I56" i="26" s="1"/>
  <c r="E55" i="26"/>
  <c r="I55" i="26" s="1"/>
  <c r="E54" i="26"/>
  <c r="I54" i="26" s="1"/>
  <c r="E108" i="26"/>
  <c r="I108" i="26" s="1"/>
  <c r="E107" i="26"/>
  <c r="I107" i="26" s="1"/>
  <c r="E57" i="26"/>
  <c r="I57" i="26" s="1"/>
  <c r="E27" i="26"/>
  <c r="E25" i="26"/>
  <c r="H25" i="26" s="1"/>
  <c r="I25" i="26" s="1"/>
  <c r="E14" i="26"/>
  <c r="E19" i="26"/>
  <c r="E54" i="22"/>
  <c r="I54" i="22" s="1"/>
  <c r="E52" i="22"/>
  <c r="E22" i="24"/>
  <c r="H22" i="24" s="1"/>
  <c r="I22" i="24" s="1"/>
  <c r="E21" i="24"/>
  <c r="H21" i="24" s="1"/>
  <c r="I21" i="24" s="1"/>
  <c r="E19" i="24"/>
  <c r="H19" i="24" s="1"/>
  <c r="I19" i="24" s="1"/>
  <c r="E25" i="21"/>
  <c r="H25" i="21" s="1"/>
  <c r="I25" i="21" s="1"/>
  <c r="E22" i="21"/>
  <c r="H22" i="21" s="1"/>
  <c r="I22" i="21" s="1"/>
  <c r="E21" i="21"/>
  <c r="H21" i="21" s="1"/>
  <c r="I21" i="21" s="1"/>
  <c r="E19" i="21"/>
  <c r="H19" i="21" s="1"/>
  <c r="I19" i="21" s="1"/>
  <c r="E19" i="20"/>
  <c r="E107" i="18"/>
  <c r="I107" i="18" s="1"/>
  <c r="E109" i="18"/>
  <c r="E55" i="18"/>
  <c r="I55" i="18" s="1"/>
  <c r="E19" i="18"/>
  <c r="E28" i="18"/>
  <c r="H28" i="18" s="1"/>
  <c r="I28" i="18" s="1"/>
  <c r="E27" i="18"/>
  <c r="E14" i="17"/>
  <c r="H14" i="17" s="1"/>
  <c r="I14" i="17" s="1"/>
  <c r="E21" i="17"/>
  <c r="H21" i="17" s="1"/>
  <c r="I21" i="17" s="1"/>
  <c r="E20" i="17"/>
  <c r="H20" i="17" s="1"/>
  <c r="I20" i="17" s="1"/>
  <c r="E27" i="17"/>
  <c r="E26" i="17"/>
  <c r="H26" i="17" s="1"/>
  <c r="I26" i="17" s="1"/>
  <c r="E16" i="17"/>
  <c r="E20" i="16"/>
  <c r="E25" i="16"/>
  <c r="E108" i="15"/>
  <c r="E53" i="15"/>
  <c r="I53" i="15" s="1"/>
  <c r="E107" i="15"/>
  <c r="I107" i="15" s="1"/>
  <c r="E51" i="15"/>
  <c r="E57" i="15"/>
  <c r="I57" i="15" s="1"/>
  <c r="E109" i="15"/>
  <c r="E55" i="15"/>
  <c r="E14" i="15"/>
  <c r="H14" i="15" s="1"/>
  <c r="I14" i="15" s="1"/>
  <c r="E23" i="15"/>
  <c r="H23" i="15" s="1"/>
  <c r="I23" i="15" s="1"/>
  <c r="E13" i="15"/>
  <c r="H13" i="15" s="1"/>
  <c r="E91" i="60"/>
  <c r="E90" i="60"/>
  <c r="E92" i="60"/>
  <c r="E58" i="58"/>
  <c r="I58" i="58" s="1"/>
  <c r="E53" i="58"/>
  <c r="I53" i="58" s="1"/>
  <c r="E108" i="58"/>
  <c r="I108" i="58" s="1"/>
  <c r="E54" i="58"/>
  <c r="I54" i="58" s="1"/>
  <c r="E52" i="58"/>
  <c r="I52" i="58" s="1"/>
  <c r="H17" i="43"/>
  <c r="E39" i="31"/>
  <c r="E38" i="31"/>
  <c r="I38" i="31" s="1"/>
  <c r="E54" i="69"/>
  <c r="I54" i="69" s="1"/>
  <c r="E53" i="69"/>
  <c r="I53" i="69" s="1"/>
  <c r="E55" i="69"/>
  <c r="I55" i="69" s="1"/>
  <c r="E107" i="69"/>
  <c r="I107" i="69" s="1"/>
  <c r="E50" i="69"/>
  <c r="E57" i="69"/>
  <c r="I57" i="69" s="1"/>
  <c r="E58" i="69"/>
  <c r="I58" i="69" s="1"/>
  <c r="E51" i="69"/>
  <c r="I51" i="69" s="1"/>
  <c r="E56" i="69"/>
  <c r="I56" i="69" s="1"/>
  <c r="E108" i="69"/>
  <c r="I108" i="69" s="1"/>
  <c r="H109" i="18"/>
  <c r="E58" i="75"/>
  <c r="I58" i="75" s="1"/>
  <c r="E54" i="75"/>
  <c r="I54" i="75" s="1"/>
  <c r="E107" i="75"/>
  <c r="I107" i="75" s="1"/>
  <c r="E55" i="75"/>
  <c r="I55" i="75" s="1"/>
  <c r="E53" i="75"/>
  <c r="I53" i="75" s="1"/>
  <c r="E108" i="75"/>
  <c r="I108" i="75" s="1"/>
  <c r="E56" i="75"/>
  <c r="E57" i="75"/>
  <c r="I57" i="75" s="1"/>
  <c r="E109" i="75"/>
  <c r="I109" i="75" s="1"/>
  <c r="E50" i="75"/>
  <c r="I50" i="75" s="1"/>
  <c r="E52" i="31"/>
  <c r="I52" i="31" s="1"/>
  <c r="E54" i="31"/>
  <c r="I54" i="31" s="1"/>
  <c r="E55" i="31"/>
  <c r="E107" i="31"/>
  <c r="I107" i="31" s="1"/>
  <c r="E57" i="31"/>
  <c r="I57" i="31" s="1"/>
  <c r="E108" i="31"/>
  <c r="I108" i="31" s="1"/>
  <c r="E56" i="31"/>
  <c r="I56" i="31" s="1"/>
  <c r="E50" i="31"/>
  <c r="I50" i="31" s="1"/>
  <c r="E51" i="31"/>
  <c r="I51" i="31" s="1"/>
  <c r="E53" i="31"/>
  <c r="I53" i="31" s="1"/>
  <c r="E109" i="31"/>
  <c r="E58" i="31"/>
  <c r="I58" i="31" s="1"/>
  <c r="E52" i="45"/>
  <c r="I52" i="45" s="1"/>
  <c r="E57" i="45"/>
  <c r="I57" i="45" s="1"/>
  <c r="E58" i="45"/>
  <c r="E54" i="45"/>
  <c r="I54" i="45" s="1"/>
  <c r="E56" i="45"/>
  <c r="E108" i="45"/>
  <c r="I108" i="45" s="1"/>
  <c r="E50" i="45"/>
  <c r="E107" i="45"/>
  <c r="I107" i="45" s="1"/>
  <c r="E51" i="45"/>
  <c r="I51" i="45" s="1"/>
  <c r="E53" i="45"/>
  <c r="I53" i="45" s="1"/>
  <c r="E109" i="45"/>
  <c r="E15" i="30"/>
  <c r="H15" i="30" s="1"/>
  <c r="I15" i="30" s="1"/>
  <c r="E21" i="30"/>
  <c r="H21" i="30" s="1"/>
  <c r="I21" i="30" s="1"/>
  <c r="E20" i="30"/>
  <c r="H20" i="30" s="1"/>
  <c r="I20" i="30" s="1"/>
  <c r="E23" i="30"/>
  <c r="H23" i="30" s="1"/>
  <c r="I23" i="30" s="1"/>
  <c r="E17" i="51"/>
  <c r="H17" i="51" s="1"/>
  <c r="I17" i="51" s="1"/>
  <c r="E24" i="51"/>
  <c r="H24" i="51" s="1"/>
  <c r="I24" i="51" s="1"/>
  <c r="E15" i="51"/>
  <c r="H15" i="51" s="1"/>
  <c r="I15" i="51" s="1"/>
  <c r="E25" i="51"/>
  <c r="E19" i="51"/>
  <c r="H19" i="51" s="1"/>
  <c r="I19" i="51" s="1"/>
  <c r="E23" i="51"/>
  <c r="H23" i="51" s="1"/>
  <c r="I23" i="51" s="1"/>
  <c r="E18" i="51"/>
  <c r="E26" i="51"/>
  <c r="H26" i="51" s="1"/>
  <c r="I26" i="51" s="1"/>
  <c r="E23" i="57"/>
  <c r="H23" i="57" s="1"/>
  <c r="I23" i="57" s="1"/>
  <c r="E24" i="57"/>
  <c r="H24" i="57" s="1"/>
  <c r="I24" i="57" s="1"/>
  <c r="E18" i="57"/>
  <c r="H18" i="57" s="1"/>
  <c r="I18" i="57" s="1"/>
  <c r="T8" i="28"/>
  <c r="P92" i="28" s="1"/>
  <c r="E90" i="28"/>
  <c r="T8" i="27"/>
  <c r="P91" i="27" s="1"/>
  <c r="E90" i="27"/>
  <c r="T107" i="33"/>
  <c r="H109" i="33"/>
  <c r="T109" i="33" s="1"/>
  <c r="T8" i="40"/>
  <c r="P90" i="40" s="1"/>
  <c r="E90" i="40"/>
  <c r="E92" i="40"/>
  <c r="E37" i="27"/>
  <c r="I37" i="27" s="1"/>
  <c r="E39" i="27"/>
  <c r="E38" i="27"/>
  <c r="E42" i="27"/>
  <c r="I42" i="27" s="1"/>
  <c r="E41" i="27"/>
  <c r="I41" i="27" s="1"/>
  <c r="T107" i="34"/>
  <c r="H109" i="34"/>
  <c r="T109" i="34" s="1"/>
  <c r="E16" i="43"/>
  <c r="H16" i="43" s="1"/>
  <c r="I16" i="43" s="1"/>
  <c r="E22" i="43"/>
  <c r="H22" i="43" s="1"/>
  <c r="I22" i="43" s="1"/>
  <c r="E13" i="43"/>
  <c r="H13" i="43" s="1"/>
  <c r="I13" i="43" s="1"/>
  <c r="E23" i="43"/>
  <c r="H23" i="43" s="1"/>
  <c r="I23" i="43" s="1"/>
  <c r="E14" i="43"/>
  <c r="H14" i="43" s="1"/>
  <c r="I14" i="43" s="1"/>
  <c r="E28" i="43"/>
  <c r="H28" i="43" s="1"/>
  <c r="I28" i="43" s="1"/>
  <c r="E19" i="43"/>
  <c r="H19" i="43" s="1"/>
  <c r="I19" i="43" s="1"/>
  <c r="E39" i="69"/>
  <c r="E40" i="69"/>
  <c r="I40" i="69" s="1"/>
  <c r="E37" i="69"/>
  <c r="E38" i="69"/>
  <c r="I38" i="69" s="1"/>
  <c r="E107" i="32"/>
  <c r="I107" i="32" s="1"/>
  <c r="E108" i="32"/>
  <c r="I108" i="32" s="1"/>
  <c r="E109" i="32"/>
  <c r="I109" i="32" s="1"/>
  <c r="E13" i="56"/>
  <c r="H13" i="56" s="1"/>
  <c r="E22" i="56"/>
  <c r="E21" i="56"/>
  <c r="H21" i="56" s="1"/>
  <c r="I21" i="56" s="1"/>
  <c r="E20" i="56"/>
  <c r="H20" i="56" s="1"/>
  <c r="I20" i="56" s="1"/>
  <c r="E23" i="56"/>
  <c r="H23" i="56" s="1"/>
  <c r="I23" i="56" s="1"/>
  <c r="E18" i="56"/>
  <c r="H18" i="56" s="1"/>
  <c r="I18" i="56" s="1"/>
  <c r="E14" i="56"/>
  <c r="H14" i="56" s="1"/>
  <c r="I14" i="56" s="1"/>
  <c r="E26" i="56"/>
  <c r="E16" i="56"/>
  <c r="H16" i="56" s="1"/>
  <c r="I16" i="56" s="1"/>
  <c r="E41" i="69"/>
  <c r="E91" i="36"/>
  <c r="E90" i="36"/>
  <c r="E92" i="36"/>
  <c r="H15" i="18"/>
  <c r="I15" i="18" s="1"/>
  <c r="E37" i="34"/>
  <c r="I37" i="34" s="1"/>
  <c r="E40" i="34"/>
  <c r="I40" i="34" s="1"/>
  <c r="E17" i="23"/>
  <c r="E40" i="50"/>
  <c r="I40" i="50" s="1"/>
  <c r="E20" i="76"/>
  <c r="H20" i="76" s="1"/>
  <c r="I20" i="76" s="1"/>
  <c r="E26" i="76"/>
  <c r="H26" i="76" s="1"/>
  <c r="I26" i="76" s="1"/>
  <c r="E18" i="76"/>
  <c r="H18" i="76" s="1"/>
  <c r="I18" i="76" s="1"/>
  <c r="E28" i="76"/>
  <c r="H28" i="76" s="1"/>
  <c r="I28" i="76" s="1"/>
  <c r="E17" i="76"/>
  <c r="E27" i="76"/>
  <c r="H27" i="76" s="1"/>
  <c r="I27" i="76" s="1"/>
  <c r="E22" i="76"/>
  <c r="H22" i="76" s="1"/>
  <c r="I22" i="76" s="1"/>
  <c r="E14" i="76"/>
  <c r="E13" i="76"/>
  <c r="H13" i="76" s="1"/>
  <c r="E23" i="76"/>
  <c r="H23" i="76" s="1"/>
  <c r="I23" i="76" s="1"/>
  <c r="E37" i="25"/>
  <c r="E38" i="25"/>
  <c r="I38" i="25" s="1"/>
  <c r="E39" i="25"/>
  <c r="I39" i="25" s="1"/>
  <c r="E40" i="25"/>
  <c r="I40" i="25" s="1"/>
  <c r="E42" i="25"/>
  <c r="E15" i="76"/>
  <c r="H15" i="76" s="1"/>
  <c r="I15" i="76" s="1"/>
  <c r="E52" i="67"/>
  <c r="I52" i="67" s="1"/>
  <c r="E53" i="67"/>
  <c r="I53" i="67" s="1"/>
  <c r="E107" i="67"/>
  <c r="I107" i="67" s="1"/>
  <c r="E55" i="67"/>
  <c r="E54" i="67"/>
  <c r="I54" i="67" s="1"/>
  <c r="E56" i="67"/>
  <c r="I56" i="67" s="1"/>
  <c r="E108" i="67"/>
  <c r="I108" i="67" s="1"/>
  <c r="E57" i="67"/>
  <c r="E58" i="67"/>
  <c r="I58" i="67" s="1"/>
  <c r="E54" i="25"/>
  <c r="I54" i="25" s="1"/>
  <c r="E56" i="25"/>
  <c r="I56" i="25" s="1"/>
  <c r="E57" i="25"/>
  <c r="I57" i="25" s="1"/>
  <c r="E51" i="25"/>
  <c r="I51" i="25" s="1"/>
  <c r="E107" i="25"/>
  <c r="I107" i="25" s="1"/>
  <c r="E26" i="40"/>
  <c r="H26" i="40" s="1"/>
  <c r="I26" i="40" s="1"/>
  <c r="E22" i="40"/>
  <c r="H22" i="40" s="1"/>
  <c r="I22" i="40" s="1"/>
  <c r="E24" i="40"/>
  <c r="H24" i="40" s="1"/>
  <c r="I24" i="40" s="1"/>
  <c r="T107" i="48"/>
  <c r="H109" i="48"/>
  <c r="T107" i="21"/>
  <c r="H109" i="21"/>
  <c r="E22" i="36"/>
  <c r="H22" i="36" s="1"/>
  <c r="I22" i="36" s="1"/>
  <c r="E21" i="36"/>
  <c r="H21" i="36" s="1"/>
  <c r="I21" i="36" s="1"/>
  <c r="E23" i="36"/>
  <c r="H23" i="36" s="1"/>
  <c r="I23" i="36" s="1"/>
  <c r="E56" i="71"/>
  <c r="I56" i="71" s="1"/>
  <c r="E53" i="71"/>
  <c r="E55" i="71"/>
  <c r="I55" i="71" s="1"/>
  <c r="E108" i="71"/>
  <c r="I108" i="71" s="1"/>
  <c r="E58" i="71"/>
  <c r="I58" i="71" s="1"/>
  <c r="E57" i="71"/>
  <c r="E109" i="71"/>
  <c r="I109" i="71" s="1"/>
  <c r="E23" i="16"/>
  <c r="H23" i="16" s="1"/>
  <c r="I23" i="16" s="1"/>
  <c r="E16" i="16"/>
  <c r="H16" i="16" s="1"/>
  <c r="I16" i="16" s="1"/>
  <c r="E26" i="16"/>
  <c r="H26" i="16" s="1"/>
  <c r="I26" i="16" s="1"/>
  <c r="E19" i="16"/>
  <c r="H19" i="16" s="1"/>
  <c r="I19" i="16" s="1"/>
  <c r="E28" i="16"/>
  <c r="H28" i="16" s="1"/>
  <c r="E18" i="16"/>
  <c r="H18" i="16" s="1"/>
  <c r="I18" i="16" s="1"/>
  <c r="E27" i="16"/>
  <c r="H27" i="16" s="1"/>
  <c r="I27" i="16" s="1"/>
  <c r="I108" i="20"/>
  <c r="E15" i="20"/>
  <c r="H15" i="20" s="1"/>
  <c r="I15" i="20" s="1"/>
  <c r="E22" i="20"/>
  <c r="H22" i="20" s="1"/>
  <c r="I22" i="20" s="1"/>
  <c r="E21" i="20"/>
  <c r="H21" i="20" s="1"/>
  <c r="I21" i="20" s="1"/>
  <c r="E17" i="20"/>
  <c r="H17" i="20" s="1"/>
  <c r="I17" i="20" s="1"/>
  <c r="E38" i="21"/>
  <c r="I38" i="21" s="1"/>
  <c r="E37" i="21"/>
  <c r="E109" i="25"/>
  <c r="E14" i="40"/>
  <c r="E108" i="50"/>
  <c r="I108" i="50" s="1"/>
  <c r="E55" i="50"/>
  <c r="I55" i="50" s="1"/>
  <c r="E25" i="76"/>
  <c r="H25" i="76" s="1"/>
  <c r="I25" i="76" s="1"/>
  <c r="E40" i="58"/>
  <c r="I40" i="58" s="1"/>
  <c r="E39" i="58"/>
  <c r="I39" i="58" s="1"/>
  <c r="H23" i="69"/>
  <c r="I23" i="69" s="1"/>
  <c r="E13" i="69"/>
  <c r="H13" i="69" s="1"/>
  <c r="I13" i="69" s="1"/>
  <c r="E41" i="25"/>
  <c r="I41" i="25" s="1"/>
  <c r="E14" i="50"/>
  <c r="H14" i="50" s="1"/>
  <c r="I14" i="50" s="1"/>
  <c r="E58" i="25"/>
  <c r="I58" i="25" s="1"/>
  <c r="E38" i="32"/>
  <c r="I38" i="32" s="1"/>
  <c r="E37" i="32"/>
  <c r="E42" i="32"/>
  <c r="I42" i="32" s="1"/>
  <c r="E39" i="32"/>
  <c r="I39" i="32" s="1"/>
  <c r="E40" i="32"/>
  <c r="I40" i="32" s="1"/>
  <c r="E16" i="35"/>
  <c r="H16" i="35" s="1"/>
  <c r="I16" i="35" s="1"/>
  <c r="E13" i="35"/>
  <c r="H13" i="35" s="1"/>
  <c r="I13" i="35" s="1"/>
  <c r="E22" i="35"/>
  <c r="H22" i="35" s="1"/>
  <c r="I22" i="35" s="1"/>
  <c r="E17" i="35"/>
  <c r="H17" i="35" s="1"/>
  <c r="I17" i="35" s="1"/>
  <c r="E27" i="35"/>
  <c r="H27" i="35" s="1"/>
  <c r="I27" i="35" s="1"/>
  <c r="E28" i="35"/>
  <c r="H28" i="35" s="1"/>
  <c r="I28" i="35" s="1"/>
  <c r="E14" i="36"/>
  <c r="H14" i="36" s="1"/>
  <c r="I14" i="36" s="1"/>
  <c r="E52" i="37"/>
  <c r="I52" i="37" s="1"/>
  <c r="E54" i="37"/>
  <c r="I54" i="37" s="1"/>
  <c r="E53" i="37"/>
  <c r="E28" i="40"/>
  <c r="H28" i="40" s="1"/>
  <c r="I28" i="40" s="1"/>
  <c r="H18" i="51"/>
  <c r="I18" i="51" s="1"/>
  <c r="E109" i="67"/>
  <c r="I109" i="67" s="1"/>
  <c r="E54" i="77"/>
  <c r="I54" i="77" s="1"/>
  <c r="E56" i="77"/>
  <c r="I56" i="77" s="1"/>
  <c r="E108" i="77"/>
  <c r="I108" i="77" s="1"/>
  <c r="E57" i="77"/>
  <c r="I57" i="77" s="1"/>
  <c r="E50" i="77"/>
  <c r="E107" i="77"/>
  <c r="I107" i="77" s="1"/>
  <c r="E53" i="77"/>
  <c r="I53" i="77" s="1"/>
  <c r="E14" i="77"/>
  <c r="H14" i="77" s="1"/>
  <c r="I14" i="77" s="1"/>
  <c r="E24" i="77"/>
  <c r="H24" i="77" s="1"/>
  <c r="I24" i="77" s="1"/>
  <c r="I108" i="38"/>
  <c r="T108" i="38"/>
  <c r="E52" i="56"/>
  <c r="I52" i="56" s="1"/>
  <c r="E51" i="56"/>
  <c r="I51" i="56" s="1"/>
  <c r="E52" i="68"/>
  <c r="I52" i="68" s="1"/>
  <c r="E54" i="68"/>
  <c r="I54" i="68" s="1"/>
  <c r="E50" i="68"/>
  <c r="I50" i="68" s="1"/>
  <c r="E14" i="23"/>
  <c r="H14" i="23" s="1"/>
  <c r="I14" i="23" s="1"/>
  <c r="E21" i="23"/>
  <c r="H21" i="23" s="1"/>
  <c r="I21" i="23" s="1"/>
  <c r="E22" i="23"/>
  <c r="E25" i="23"/>
  <c r="E15" i="23"/>
  <c r="H15" i="23" s="1"/>
  <c r="I15" i="23" s="1"/>
  <c r="E54" i="50"/>
  <c r="I54" i="50" s="1"/>
  <c r="E107" i="50"/>
  <c r="I107" i="50" s="1"/>
  <c r="E53" i="50"/>
  <c r="I53" i="50" s="1"/>
  <c r="E50" i="50"/>
  <c r="I50" i="50" s="1"/>
  <c r="T107" i="26"/>
  <c r="H109" i="26"/>
  <c r="E41" i="50"/>
  <c r="E24" i="69"/>
  <c r="H24" i="69" s="1"/>
  <c r="I24" i="69" s="1"/>
  <c r="E28" i="69"/>
  <c r="H28" i="69" s="1"/>
  <c r="I28" i="69" s="1"/>
  <c r="E18" i="69"/>
  <c r="H18" i="69" s="1"/>
  <c r="E27" i="69"/>
  <c r="H27" i="69" s="1"/>
  <c r="I27" i="69" s="1"/>
  <c r="E19" i="69"/>
  <c r="H19" i="69" s="1"/>
  <c r="I19" i="69" s="1"/>
  <c r="E15" i="69"/>
  <c r="H15" i="69" s="1"/>
  <c r="I15" i="69" s="1"/>
  <c r="E25" i="69"/>
  <c r="H25" i="69" s="1"/>
  <c r="I25" i="69" s="1"/>
  <c r="E17" i="69"/>
  <c r="H17" i="69" s="1"/>
  <c r="I17" i="69" s="1"/>
  <c r="E24" i="68"/>
  <c r="H24" i="68" s="1"/>
  <c r="I24" i="68" s="1"/>
  <c r="E16" i="68"/>
  <c r="E17" i="68"/>
  <c r="H17" i="68" s="1"/>
  <c r="E18" i="68"/>
  <c r="H18" i="68" s="1"/>
  <c r="I18" i="68" s="1"/>
  <c r="E53" i="30"/>
  <c r="I53" i="30" s="1"/>
  <c r="E50" i="30"/>
  <c r="I50" i="30" s="1"/>
  <c r="E55" i="30"/>
  <c r="I55" i="30" s="1"/>
  <c r="E108" i="30"/>
  <c r="I108" i="30" s="1"/>
  <c r="T8" i="30"/>
  <c r="P90" i="30" s="1"/>
  <c r="E91" i="30"/>
  <c r="T107" i="16"/>
  <c r="H109" i="16"/>
  <c r="I108" i="24"/>
  <c r="E27" i="39"/>
  <c r="H27" i="39" s="1"/>
  <c r="I27" i="39" s="1"/>
  <c r="E23" i="39"/>
  <c r="H23" i="39" s="1"/>
  <c r="I23" i="39" s="1"/>
  <c r="E13" i="39"/>
  <c r="H13" i="39" s="1"/>
  <c r="I13" i="39" s="1"/>
  <c r="E15" i="39"/>
  <c r="H15" i="39" s="1"/>
  <c r="E26" i="39"/>
  <c r="H26" i="39" s="1"/>
  <c r="I26" i="39" s="1"/>
  <c r="E28" i="39"/>
  <c r="H28" i="39" s="1"/>
  <c r="I28" i="39" s="1"/>
  <c r="E16" i="39"/>
  <c r="H16" i="39" s="1"/>
  <c r="I16" i="39" s="1"/>
  <c r="E18" i="39"/>
  <c r="H18" i="39" s="1"/>
  <c r="I18" i="39" s="1"/>
  <c r="E58" i="50"/>
  <c r="E38" i="50"/>
  <c r="I38" i="50" s="1"/>
  <c r="I107" i="51"/>
  <c r="H109" i="51"/>
  <c r="T109" i="51" s="1"/>
  <c r="E16" i="76"/>
  <c r="E56" i="56"/>
  <c r="I56" i="56" s="1"/>
  <c r="H109" i="70"/>
  <c r="T107" i="70"/>
  <c r="E27" i="23"/>
  <c r="H27" i="23" s="1"/>
  <c r="I27" i="23" s="1"/>
  <c r="E37" i="50"/>
  <c r="I37" i="50" s="1"/>
  <c r="E15" i="67"/>
  <c r="H15" i="67" s="1"/>
  <c r="I15" i="67" s="1"/>
  <c r="E25" i="67"/>
  <c r="H25" i="67" s="1"/>
  <c r="I25" i="67" s="1"/>
  <c r="E14" i="67"/>
  <c r="H14" i="67" s="1"/>
  <c r="I14" i="67" s="1"/>
  <c r="E26" i="23"/>
  <c r="H26" i="23" s="1"/>
  <c r="I26" i="23" s="1"/>
  <c r="E14" i="69"/>
  <c r="E17" i="18"/>
  <c r="E21" i="18"/>
  <c r="H21" i="18" s="1"/>
  <c r="I21" i="18" s="1"/>
  <c r="E13" i="18"/>
  <c r="H13" i="18" s="1"/>
  <c r="I13" i="18" s="1"/>
  <c r="E25" i="18"/>
  <c r="H25" i="18" s="1"/>
  <c r="I25" i="18" s="1"/>
  <c r="H28" i="20"/>
  <c r="I28" i="20" s="1"/>
  <c r="E42" i="21"/>
  <c r="I42" i="21" s="1"/>
  <c r="E57" i="24"/>
  <c r="I57" i="24" s="1"/>
  <c r="E51" i="24"/>
  <c r="I51" i="24" s="1"/>
  <c r="H28" i="33"/>
  <c r="E52" i="35"/>
  <c r="I52" i="35" s="1"/>
  <c r="E57" i="35"/>
  <c r="I57" i="35" s="1"/>
  <c r="E108" i="35"/>
  <c r="I108" i="35" s="1"/>
  <c r="E58" i="35"/>
  <c r="E54" i="35"/>
  <c r="I54" i="35" s="1"/>
  <c r="E107" i="35"/>
  <c r="I107" i="35" s="1"/>
  <c r="E56" i="35"/>
  <c r="I56" i="35" s="1"/>
  <c r="E55" i="35"/>
  <c r="I55" i="35" s="1"/>
  <c r="E28" i="36"/>
  <c r="H28" i="36" s="1"/>
  <c r="I28" i="36" s="1"/>
  <c r="E57" i="40"/>
  <c r="I57" i="40" s="1"/>
  <c r="E13" i="40"/>
  <c r="H13" i="40" s="1"/>
  <c r="I13" i="40" s="1"/>
  <c r="H109" i="47"/>
  <c r="I109" i="47" s="1"/>
  <c r="T107" i="47"/>
  <c r="E13" i="48"/>
  <c r="E16" i="48"/>
  <c r="H16" i="48" s="1"/>
  <c r="I16" i="48" s="1"/>
  <c r="E26" i="48"/>
  <c r="H26" i="48" s="1"/>
  <c r="I26" i="48" s="1"/>
  <c r="E17" i="48"/>
  <c r="H17" i="48" s="1"/>
  <c r="I17" i="48" s="1"/>
  <c r="E27" i="48"/>
  <c r="H27" i="48" s="1"/>
  <c r="I27" i="48" s="1"/>
  <c r="E18" i="75"/>
  <c r="H18" i="75" s="1"/>
  <c r="I18" i="75" s="1"/>
  <c r="E27" i="75"/>
  <c r="H27" i="75" s="1"/>
  <c r="I27" i="75" s="1"/>
  <c r="E26" i="75"/>
  <c r="H26" i="75" s="1"/>
  <c r="I26" i="75" s="1"/>
  <c r="E23" i="75"/>
  <c r="H23" i="75" s="1"/>
  <c r="I23" i="75" s="1"/>
  <c r="E25" i="75"/>
  <c r="H25" i="75" s="1"/>
  <c r="I25" i="75" s="1"/>
  <c r="E42" i="58"/>
  <c r="I42" i="58" s="1"/>
  <c r="E50" i="78"/>
  <c r="I50" i="78" s="1"/>
  <c r="E14" i="32"/>
  <c r="H14" i="32" s="1"/>
  <c r="I14" i="32" s="1"/>
  <c r="E22" i="32"/>
  <c r="H22" i="32" s="1"/>
  <c r="I22" i="32" s="1"/>
  <c r="E23" i="32"/>
  <c r="H23" i="32" s="1"/>
  <c r="I23" i="32" s="1"/>
  <c r="E14" i="71"/>
  <c r="H14" i="71" s="1"/>
  <c r="I14" i="71" s="1"/>
  <c r="E16" i="71"/>
  <c r="E17" i="71"/>
  <c r="H17" i="71" s="1"/>
  <c r="I17" i="71" s="1"/>
  <c r="E26" i="71"/>
  <c r="H26" i="71" s="1"/>
  <c r="I26" i="71" s="1"/>
  <c r="E27" i="71"/>
  <c r="E18" i="15"/>
  <c r="H18" i="15" s="1"/>
  <c r="I18" i="15" s="1"/>
  <c r="E40" i="36"/>
  <c r="E41" i="36"/>
  <c r="I41" i="36" s="1"/>
  <c r="E42" i="36"/>
  <c r="I42" i="36" s="1"/>
  <c r="E109" i="78"/>
  <c r="E42" i="28"/>
  <c r="E18" i="32"/>
  <c r="J18" i="32" s="1"/>
  <c r="E41" i="38"/>
  <c r="I41" i="38" s="1"/>
  <c r="E56" i="66"/>
  <c r="I56" i="66" s="1"/>
  <c r="E55" i="66"/>
  <c r="I55" i="66" s="1"/>
  <c r="E108" i="66"/>
  <c r="I108" i="66" s="1"/>
  <c r="E18" i="71"/>
  <c r="H18" i="71" s="1"/>
  <c r="I18" i="71" s="1"/>
  <c r="E17" i="78"/>
  <c r="E26" i="78"/>
  <c r="E14" i="78"/>
  <c r="H14" i="78" s="1"/>
  <c r="I14" i="78" s="1"/>
  <c r="E17" i="15"/>
  <c r="H17" i="15" s="1"/>
  <c r="I17" i="15" s="1"/>
  <c r="E40" i="18"/>
  <c r="E41" i="18"/>
  <c r="E42" i="18"/>
  <c r="I42" i="18" s="1"/>
  <c r="E41" i="28"/>
  <c r="I41" i="28" s="1"/>
  <c r="E28" i="32"/>
  <c r="H28" i="32" s="1"/>
  <c r="I28" i="32" s="1"/>
  <c r="E39" i="36"/>
  <c r="I39" i="36" s="1"/>
  <c r="T100" i="37"/>
  <c r="U100" i="37" s="1"/>
  <c r="E40" i="38"/>
  <c r="I40" i="38" s="1"/>
  <c r="E40" i="42"/>
  <c r="E91" i="43"/>
  <c r="E57" i="47"/>
  <c r="I57" i="47" s="1"/>
  <c r="E108" i="47"/>
  <c r="I108" i="47" s="1"/>
  <c r="E56" i="47"/>
  <c r="E52" i="51"/>
  <c r="I52" i="51" s="1"/>
  <c r="E50" i="51"/>
  <c r="I50" i="51" s="1"/>
  <c r="E51" i="51"/>
  <c r="I51" i="51" s="1"/>
  <c r="E41" i="51"/>
  <c r="I41" i="51" s="1"/>
  <c r="E52" i="52"/>
  <c r="I52" i="52" s="1"/>
  <c r="E55" i="52"/>
  <c r="I55" i="52" s="1"/>
  <c r="E107" i="52"/>
  <c r="I107" i="52" s="1"/>
  <c r="E56" i="52"/>
  <c r="I56" i="52" s="1"/>
  <c r="E50" i="52"/>
  <c r="I50" i="52" s="1"/>
  <c r="E42" i="76"/>
  <c r="I42" i="76" s="1"/>
  <c r="E39" i="66"/>
  <c r="E15" i="70"/>
  <c r="H15" i="70" s="1"/>
  <c r="I15" i="70" s="1"/>
  <c r="E23" i="70"/>
  <c r="H23" i="70" s="1"/>
  <c r="I23" i="70" s="1"/>
  <c r="E14" i="70"/>
  <c r="H14" i="70" s="1"/>
  <c r="I14" i="70" s="1"/>
  <c r="E24" i="70"/>
  <c r="E28" i="71"/>
  <c r="H28" i="71" s="1"/>
  <c r="I28" i="71" s="1"/>
  <c r="E18" i="78"/>
  <c r="E52" i="78"/>
  <c r="E53" i="78"/>
  <c r="I53" i="78" s="1"/>
  <c r="E54" i="78"/>
  <c r="I54" i="78" s="1"/>
  <c r="E52" i="38"/>
  <c r="I52" i="38" s="1"/>
  <c r="E107" i="38"/>
  <c r="I107" i="38" s="1"/>
  <c r="E53" i="38"/>
  <c r="I53" i="38" s="1"/>
  <c r="E18" i="34"/>
  <c r="H18" i="34" s="1"/>
  <c r="I18" i="34" s="1"/>
  <c r="E16" i="34"/>
  <c r="H16" i="34" s="1"/>
  <c r="I16" i="34" s="1"/>
  <c r="E28" i="34"/>
  <c r="H28" i="34" s="1"/>
  <c r="I28" i="34" s="1"/>
  <c r="T107" i="37"/>
  <c r="H109" i="37"/>
  <c r="T109" i="37" s="1"/>
  <c r="E109" i="38"/>
  <c r="E50" i="42"/>
  <c r="E109" i="42"/>
  <c r="I109" i="42" s="1"/>
  <c r="E53" i="42"/>
  <c r="I53" i="42" s="1"/>
  <c r="E37" i="47"/>
  <c r="I37" i="47" s="1"/>
  <c r="E39" i="47"/>
  <c r="I39" i="47" s="1"/>
  <c r="E38" i="47"/>
  <c r="I38" i="47" s="1"/>
  <c r="E42" i="66"/>
  <c r="I42" i="66" s="1"/>
  <c r="E51" i="18"/>
  <c r="I51" i="18" s="1"/>
  <c r="E57" i="18"/>
  <c r="I57" i="18" s="1"/>
  <c r="E108" i="18"/>
  <c r="I108" i="18" s="1"/>
  <c r="E58" i="18"/>
  <c r="E28" i="24"/>
  <c r="E40" i="28"/>
  <c r="I40" i="28" s="1"/>
  <c r="E17" i="32"/>
  <c r="H17" i="32" s="1"/>
  <c r="I17" i="32" s="1"/>
  <c r="E20" i="33"/>
  <c r="H20" i="33" s="1"/>
  <c r="I20" i="33" s="1"/>
  <c r="E25" i="33"/>
  <c r="H25" i="33" s="1"/>
  <c r="I25" i="33" s="1"/>
  <c r="E16" i="33"/>
  <c r="H16" i="33" s="1"/>
  <c r="I16" i="33" s="1"/>
  <c r="E17" i="33"/>
  <c r="H17" i="33" s="1"/>
  <c r="I17" i="33" s="1"/>
  <c r="E26" i="33"/>
  <c r="H26" i="33" s="1"/>
  <c r="I26" i="33" s="1"/>
  <c r="H109" i="35"/>
  <c r="T107" i="35"/>
  <c r="E38" i="36"/>
  <c r="I38" i="36" s="1"/>
  <c r="E38" i="38"/>
  <c r="I108" i="42"/>
  <c r="E37" i="42"/>
  <c r="E38" i="43"/>
  <c r="I38" i="43" s="1"/>
  <c r="E41" i="43"/>
  <c r="E39" i="43"/>
  <c r="I39" i="43" s="1"/>
  <c r="E40" i="43"/>
  <c r="I40" i="43" s="1"/>
  <c r="E42" i="47"/>
  <c r="E40" i="51"/>
  <c r="I40" i="51" s="1"/>
  <c r="E39" i="52"/>
  <c r="I39" i="52" s="1"/>
  <c r="E38" i="52"/>
  <c r="I38" i="52" s="1"/>
  <c r="E41" i="76"/>
  <c r="I41" i="76" s="1"/>
  <c r="E50" i="55"/>
  <c r="I50" i="55" s="1"/>
  <c r="E57" i="55"/>
  <c r="I57" i="55" s="1"/>
  <c r="E109" i="55"/>
  <c r="E57" i="78"/>
  <c r="I57" i="78" s="1"/>
  <c r="E24" i="15"/>
  <c r="H24" i="15" s="1"/>
  <c r="I24" i="15" s="1"/>
  <c r="E20" i="15"/>
  <c r="H20" i="15" s="1"/>
  <c r="I20" i="15" s="1"/>
  <c r="E22" i="15"/>
  <c r="H22" i="15" s="1"/>
  <c r="I22" i="15" s="1"/>
  <c r="E50" i="34"/>
  <c r="I50" i="34" s="1"/>
  <c r="E108" i="34"/>
  <c r="I108" i="34" s="1"/>
  <c r="E57" i="34"/>
  <c r="I57" i="34" s="1"/>
  <c r="F483" i="64"/>
  <c r="G483" i="64" s="1"/>
  <c r="E38" i="17"/>
  <c r="I38" i="17" s="1"/>
  <c r="E41" i="17"/>
  <c r="I41" i="17" s="1"/>
  <c r="E15" i="26"/>
  <c r="H15" i="26" s="1"/>
  <c r="I15" i="26" s="1"/>
  <c r="E39" i="28"/>
  <c r="E27" i="32"/>
  <c r="H27" i="32" s="1"/>
  <c r="I27" i="32" s="1"/>
  <c r="H18" i="33"/>
  <c r="I18" i="33" s="1"/>
  <c r="E109" i="34"/>
  <c r="E37" i="36"/>
  <c r="I37" i="36" s="1"/>
  <c r="E37" i="38"/>
  <c r="E58" i="42"/>
  <c r="I58" i="42" s="1"/>
  <c r="E18" i="42"/>
  <c r="H18" i="42" s="1"/>
  <c r="I18" i="42" s="1"/>
  <c r="E16" i="42"/>
  <c r="H16" i="42" s="1"/>
  <c r="I16" i="42" s="1"/>
  <c r="E15" i="42"/>
  <c r="H15" i="42" s="1"/>
  <c r="I15" i="42" s="1"/>
  <c r="E25" i="42"/>
  <c r="H25" i="42" s="1"/>
  <c r="I25" i="42" s="1"/>
  <c r="E20" i="42"/>
  <c r="H20" i="42" s="1"/>
  <c r="E52" i="43"/>
  <c r="I52" i="43" s="1"/>
  <c r="E108" i="43"/>
  <c r="I108" i="43" s="1"/>
  <c r="E56" i="43"/>
  <c r="E57" i="43"/>
  <c r="I57" i="43" s="1"/>
  <c r="E41" i="47"/>
  <c r="I41" i="47" s="1"/>
  <c r="E38" i="51"/>
  <c r="I38" i="51" s="1"/>
  <c r="H21" i="76"/>
  <c r="I21" i="76" s="1"/>
  <c r="E58" i="66"/>
  <c r="I58" i="66" s="1"/>
  <c r="E18" i="70"/>
  <c r="H23" i="68"/>
  <c r="I23" i="68" s="1"/>
  <c r="E108" i="78"/>
  <c r="I108" i="78" s="1"/>
  <c r="E50" i="15"/>
  <c r="I50" i="15" s="1"/>
  <c r="I39" i="18"/>
  <c r="E90" i="23"/>
  <c r="E13" i="52"/>
  <c r="E16" i="55"/>
  <c r="H16" i="55" s="1"/>
  <c r="I16" i="55" s="1"/>
  <c r="E19" i="44"/>
  <c r="H19" i="44" s="1"/>
  <c r="I19" i="44" s="1"/>
  <c r="E40" i="16"/>
  <c r="I40" i="16" s="1"/>
  <c r="E109" i="26"/>
  <c r="E41" i="26"/>
  <c r="I41" i="26" s="1"/>
  <c r="H15" i="27"/>
  <c r="I15" i="27" s="1"/>
  <c r="E41" i="35"/>
  <c r="E40" i="23"/>
  <c r="E50" i="39"/>
  <c r="I50" i="39" s="1"/>
  <c r="E42" i="40"/>
  <c r="I42" i="40" s="1"/>
  <c r="E41" i="45"/>
  <c r="I41" i="45" s="1"/>
  <c r="E37" i="16"/>
  <c r="H21" i="16"/>
  <c r="I21" i="16" s="1"/>
  <c r="E17" i="21"/>
  <c r="H17" i="21" s="1"/>
  <c r="I17" i="21" s="1"/>
  <c r="E58" i="26"/>
  <c r="I58" i="26" s="1"/>
  <c r="E40" i="26"/>
  <c r="I40" i="26" s="1"/>
  <c r="E38" i="35"/>
  <c r="E37" i="23"/>
  <c r="I37" i="23" s="1"/>
  <c r="E41" i="40"/>
  <c r="I41" i="40" s="1"/>
  <c r="E28" i="44"/>
  <c r="H28" i="44" s="1"/>
  <c r="I28" i="44" s="1"/>
  <c r="E38" i="45"/>
  <c r="I38" i="45" s="1"/>
  <c r="E20" i="52"/>
  <c r="H20" i="52" s="1"/>
  <c r="I20" i="52" s="1"/>
  <c r="E28" i="55"/>
  <c r="H28" i="55" s="1"/>
  <c r="I28" i="55" s="1"/>
  <c r="F487" i="64"/>
  <c r="G487" i="64" s="1"/>
  <c r="F479" i="64"/>
  <c r="G479" i="64" s="1"/>
  <c r="I53" i="52"/>
  <c r="I58" i="45"/>
  <c r="E38" i="7"/>
  <c r="I38" i="7" s="1"/>
  <c r="E92" i="24"/>
  <c r="E92" i="26"/>
  <c r="E92" i="31"/>
  <c r="I55" i="70"/>
  <c r="E91" i="20"/>
  <c r="E90" i="35"/>
  <c r="U84" i="16"/>
  <c r="E91" i="26"/>
  <c r="E91" i="31"/>
  <c r="E90" i="24"/>
  <c r="H17" i="23"/>
  <c r="I17" i="23" s="1"/>
  <c r="T8" i="24"/>
  <c r="E90" i="31"/>
  <c r="U84" i="39"/>
  <c r="E92" i="28"/>
  <c r="E91" i="28"/>
  <c r="E92" i="35"/>
  <c r="I53" i="37"/>
  <c r="I21" i="75"/>
  <c r="E92" i="68"/>
  <c r="I52" i="28"/>
  <c r="T57" i="69"/>
  <c r="U57" i="69" s="1"/>
  <c r="U59" i="69" s="1"/>
  <c r="E92" i="30"/>
  <c r="E92" i="66"/>
  <c r="T8" i="23"/>
  <c r="P92" i="23" s="1"/>
  <c r="E90" i="66"/>
  <c r="I58" i="50"/>
  <c r="T8" i="66"/>
  <c r="P92" i="66" s="1"/>
  <c r="H23" i="78"/>
  <c r="I23" i="78" s="1"/>
  <c r="E25" i="7"/>
  <c r="H25" i="7" s="1"/>
  <c r="I25" i="7" s="1"/>
  <c r="E92" i="17"/>
  <c r="E92" i="21"/>
  <c r="U84" i="23"/>
  <c r="E92" i="52"/>
  <c r="T56" i="67"/>
  <c r="U56" i="67" s="1"/>
  <c r="E92" i="77"/>
  <c r="E22" i="7"/>
  <c r="H22" i="7" s="1"/>
  <c r="I22" i="7" s="1"/>
  <c r="U84" i="7"/>
  <c r="E19" i="7"/>
  <c r="H19" i="7" s="1"/>
  <c r="I19" i="7" s="1"/>
  <c r="I37" i="22"/>
  <c r="I38" i="39"/>
  <c r="E92" i="45"/>
  <c r="E91" i="52"/>
  <c r="E90" i="17"/>
  <c r="H24" i="31"/>
  <c r="I24" i="31" s="1"/>
  <c r="U84" i="42"/>
  <c r="H24" i="45"/>
  <c r="I24" i="45" s="1"/>
  <c r="T8" i="50"/>
  <c r="E92" i="22"/>
  <c r="E92" i="27"/>
  <c r="I38" i="23"/>
  <c r="U84" i="40"/>
  <c r="E90" i="43"/>
  <c r="E91" i="45"/>
  <c r="T51" i="45"/>
  <c r="U51" i="45" s="1"/>
  <c r="I42" i="24"/>
  <c r="E90" i="26"/>
  <c r="E92" i="50"/>
  <c r="E91" i="58"/>
  <c r="E90" i="30"/>
  <c r="E91" i="27"/>
  <c r="I40" i="23"/>
  <c r="E90" i="45"/>
  <c r="E28" i="7"/>
  <c r="H28" i="7" s="1"/>
  <c r="I28" i="7" s="1"/>
  <c r="I40" i="22"/>
  <c r="E91" i="40"/>
  <c r="H24" i="52"/>
  <c r="I24" i="52" s="1"/>
  <c r="U84" i="78"/>
  <c r="P91" i="20"/>
  <c r="P90" i="20"/>
  <c r="P90" i="43"/>
  <c r="P92" i="43"/>
  <c r="E42" i="7"/>
  <c r="I42" i="7" s="1"/>
  <c r="E27" i="7"/>
  <c r="H27" i="7" s="1"/>
  <c r="I27" i="7" s="1"/>
  <c r="E21" i="7"/>
  <c r="H21" i="7" s="1"/>
  <c r="I21" i="7" s="1"/>
  <c r="T100" i="45"/>
  <c r="U100" i="45" s="1"/>
  <c r="E41" i="7"/>
  <c r="I41" i="7" s="1"/>
  <c r="I37" i="18"/>
  <c r="E91" i="21"/>
  <c r="I21" i="25"/>
  <c r="I37" i="43"/>
  <c r="E40" i="7"/>
  <c r="I40" i="7" s="1"/>
  <c r="E90" i="20"/>
  <c r="I39" i="21"/>
  <c r="I37" i="25"/>
  <c r="T99" i="33"/>
  <c r="H21" i="37"/>
  <c r="I21" i="37" s="1"/>
  <c r="H24" i="38"/>
  <c r="I24" i="38" s="1"/>
  <c r="T57" i="39"/>
  <c r="U57" i="39" s="1"/>
  <c r="U59" i="39" s="1"/>
  <c r="E91" i="50"/>
  <c r="E39" i="7"/>
  <c r="I39" i="7" s="1"/>
  <c r="E26" i="7"/>
  <c r="H26" i="7" s="1"/>
  <c r="I26" i="7" s="1"/>
  <c r="E20" i="7"/>
  <c r="H20" i="7" s="1"/>
  <c r="I20" i="7" s="1"/>
  <c r="I42" i="17"/>
  <c r="T8" i="21"/>
  <c r="P92" i="21" s="1"/>
  <c r="T100" i="31"/>
  <c r="U100" i="31" s="1"/>
  <c r="I38" i="66"/>
  <c r="I52" i="70"/>
  <c r="I39" i="26"/>
  <c r="U84" i="45"/>
  <c r="E18" i="7"/>
  <c r="H18" i="7" s="1"/>
  <c r="I18" i="7" s="1"/>
  <c r="H28" i="15"/>
  <c r="I28" i="15" s="1"/>
  <c r="T8" i="17"/>
  <c r="P90" i="17" s="1"/>
  <c r="U84" i="20"/>
  <c r="I42" i="25"/>
  <c r="I100" i="35"/>
  <c r="T50" i="38"/>
  <c r="U50" i="38" s="1"/>
  <c r="U59" i="38" s="1"/>
  <c r="U84" i="58"/>
  <c r="I40" i="68"/>
  <c r="E17" i="7"/>
  <c r="H17" i="7" s="1"/>
  <c r="H22" i="48"/>
  <c r="I22" i="48" s="1"/>
  <c r="T55" i="52"/>
  <c r="U55" i="52" s="1"/>
  <c r="I39" i="66"/>
  <c r="I39" i="68"/>
  <c r="E24" i="7"/>
  <c r="H24" i="7" s="1"/>
  <c r="I24" i="7" s="1"/>
  <c r="E13" i="7"/>
  <c r="H13" i="7" s="1"/>
  <c r="I54" i="15"/>
  <c r="U84" i="18"/>
  <c r="E92" i="25"/>
  <c r="I52" i="22"/>
  <c r="U84" i="35"/>
  <c r="I50" i="35"/>
  <c r="H17" i="56"/>
  <c r="I17" i="56" s="1"/>
  <c r="T57" i="70"/>
  <c r="U57" i="70" s="1"/>
  <c r="H22" i="78"/>
  <c r="I22" i="78" s="1"/>
  <c r="D43" i="60"/>
  <c r="E23" i="7"/>
  <c r="H23" i="7" s="1"/>
  <c r="I23" i="7" s="1"/>
  <c r="E92" i="15"/>
  <c r="I41" i="18"/>
  <c r="H14" i="26"/>
  <c r="I14" i="26" s="1"/>
  <c r="I58" i="34"/>
  <c r="T53" i="45"/>
  <c r="U53" i="45" s="1"/>
  <c r="H14" i="76"/>
  <c r="I14" i="76" s="1"/>
  <c r="T8" i="15"/>
  <c r="P92" i="15" s="1"/>
  <c r="T99" i="16"/>
  <c r="E92" i="20"/>
  <c r="E91" i="25"/>
  <c r="I37" i="26"/>
  <c r="I54" i="38"/>
  <c r="I17" i="43"/>
  <c r="T51" i="66"/>
  <c r="U51" i="66" s="1"/>
  <c r="U59" i="66" s="1"/>
  <c r="T53" i="69"/>
  <c r="U53" i="69" s="1"/>
  <c r="I51" i="26"/>
  <c r="H22" i="56"/>
  <c r="I22" i="56" s="1"/>
  <c r="I100" i="71"/>
  <c r="P90" i="70"/>
  <c r="P91" i="70"/>
  <c r="P92" i="70"/>
  <c r="P90" i="26"/>
  <c r="P91" i="26"/>
  <c r="P92" i="26"/>
  <c r="T100" i="18"/>
  <c r="U100" i="18" s="1"/>
  <c r="I54" i="20"/>
  <c r="U84" i="21"/>
  <c r="H23" i="35"/>
  <c r="I23" i="35" s="1"/>
  <c r="H18" i="43"/>
  <c r="I18" i="43" s="1"/>
  <c r="T50" i="75"/>
  <c r="U50" i="75" s="1"/>
  <c r="H17" i="76"/>
  <c r="I17" i="76" s="1"/>
  <c r="H22" i="69"/>
  <c r="I22" i="69" s="1"/>
  <c r="I37" i="28"/>
  <c r="E92" i="38"/>
  <c r="U84" i="38"/>
  <c r="E90" i="58"/>
  <c r="I38" i="28"/>
  <c r="I51" i="22"/>
  <c r="P91" i="43"/>
  <c r="P92" i="51"/>
  <c r="I39" i="51"/>
  <c r="E92" i="70"/>
  <c r="T53" i="15"/>
  <c r="U53" i="15" s="1"/>
  <c r="I100" i="17"/>
  <c r="I57" i="44"/>
  <c r="H25" i="51"/>
  <c r="I25" i="51" s="1"/>
  <c r="H17" i="75"/>
  <c r="I17" i="75" s="1"/>
  <c r="H15" i="15"/>
  <c r="I15" i="15" s="1"/>
  <c r="U84" i="22"/>
  <c r="U84" i="26"/>
  <c r="E91" i="38"/>
  <c r="T8" i="38"/>
  <c r="H21" i="42"/>
  <c r="I21" i="42" s="1"/>
  <c r="P91" i="51"/>
  <c r="U84" i="68"/>
  <c r="T57" i="26"/>
  <c r="U57" i="26" s="1"/>
  <c r="U59" i="26" s="1"/>
  <c r="E91" i="70"/>
  <c r="D29" i="60"/>
  <c r="E30" i="60" s="1"/>
  <c r="H30" i="60" s="1"/>
  <c r="H19" i="26"/>
  <c r="I19" i="26" s="1"/>
  <c r="I42" i="28"/>
  <c r="I56" i="39"/>
  <c r="H25" i="39"/>
  <c r="I25" i="39" s="1"/>
  <c r="H27" i="42"/>
  <c r="I27" i="42" s="1"/>
  <c r="E91" i="51"/>
  <c r="T56" i="55"/>
  <c r="U56" i="55" s="1"/>
  <c r="I39" i="31"/>
  <c r="I100" i="34"/>
  <c r="I56" i="23"/>
  <c r="T8" i="68"/>
  <c r="P91" i="68" s="1"/>
  <c r="I39" i="77"/>
  <c r="T100" i="26"/>
  <c r="U100" i="26" s="1"/>
  <c r="H18" i="35"/>
  <c r="I18" i="35" s="1"/>
  <c r="I58" i="39"/>
  <c r="E90" i="51"/>
  <c r="T57" i="75"/>
  <c r="U57" i="75" s="1"/>
  <c r="E90" i="70"/>
  <c r="I55" i="78"/>
  <c r="U84" i="15"/>
  <c r="H16" i="17"/>
  <c r="I16" i="17" s="1"/>
  <c r="I41" i="31"/>
  <c r="I50" i="40"/>
  <c r="T56" i="47"/>
  <c r="U56" i="47" s="1"/>
  <c r="I58" i="51"/>
  <c r="E92" i="58"/>
  <c r="H17" i="66"/>
  <c r="I17" i="66" s="1"/>
  <c r="U84" i="71"/>
  <c r="I54" i="18"/>
  <c r="U84" i="36"/>
  <c r="I51" i="38"/>
  <c r="I99" i="47"/>
  <c r="U84" i="75"/>
  <c r="I99" i="55"/>
  <c r="P91" i="31"/>
  <c r="P92" i="31"/>
  <c r="P90" i="31"/>
  <c r="P92" i="30"/>
  <c r="P92" i="35"/>
  <c r="P90" i="35"/>
  <c r="P91" i="35"/>
  <c r="T57" i="71"/>
  <c r="U57" i="71" s="1"/>
  <c r="U59" i="71" s="1"/>
  <c r="I55" i="15"/>
  <c r="T50" i="15"/>
  <c r="U50" i="15" s="1"/>
  <c r="E91" i="15"/>
  <c r="E91" i="37"/>
  <c r="T8" i="37"/>
  <c r="P92" i="37" s="1"/>
  <c r="E92" i="37"/>
  <c r="T8" i="69"/>
  <c r="E92" i="69"/>
  <c r="E90" i="69"/>
  <c r="E91" i="69"/>
  <c r="T8" i="75"/>
  <c r="E90" i="75"/>
  <c r="E91" i="75"/>
  <c r="E92" i="75"/>
  <c r="E92" i="71"/>
  <c r="E90" i="71"/>
  <c r="E91" i="71"/>
  <c r="I21" i="71"/>
  <c r="I28" i="16"/>
  <c r="T57" i="32"/>
  <c r="U57" i="32" s="1"/>
  <c r="U59" i="32" s="1"/>
  <c r="T8" i="76"/>
  <c r="P92" i="76" s="1"/>
  <c r="E90" i="76"/>
  <c r="E91" i="76"/>
  <c r="E92" i="76"/>
  <c r="U59" i="22"/>
  <c r="U84" i="43"/>
  <c r="P92" i="58"/>
  <c r="P90" i="58"/>
  <c r="P91" i="58"/>
  <c r="T50" i="16"/>
  <c r="U50" i="16" s="1"/>
  <c r="U59" i="16" s="1"/>
  <c r="T56" i="75"/>
  <c r="U56" i="75" s="1"/>
  <c r="P91" i="18"/>
  <c r="I58" i="18"/>
  <c r="I53" i="20"/>
  <c r="I41" i="24"/>
  <c r="H17" i="26"/>
  <c r="I17" i="26" s="1"/>
  <c r="T57" i="33"/>
  <c r="U57" i="33" s="1"/>
  <c r="U59" i="33" s="1"/>
  <c r="I50" i="43"/>
  <c r="T53" i="52"/>
  <c r="U53" i="52" s="1"/>
  <c r="I100" i="58"/>
  <c r="U59" i="58"/>
  <c r="I51" i="67"/>
  <c r="I41" i="69"/>
  <c r="I42" i="68"/>
  <c r="H17" i="78"/>
  <c r="I17" i="78" s="1"/>
  <c r="T57" i="18"/>
  <c r="U57" i="18" s="1"/>
  <c r="U59" i="18" s="1"/>
  <c r="U84" i="28"/>
  <c r="I37" i="33"/>
  <c r="T8" i="33"/>
  <c r="P92" i="33" s="1"/>
  <c r="H25" i="23"/>
  <c r="I25" i="23" s="1"/>
  <c r="T57" i="47"/>
  <c r="U57" i="47" s="1"/>
  <c r="I41" i="52"/>
  <c r="H22" i="66"/>
  <c r="I22" i="66" s="1"/>
  <c r="I55" i="67"/>
  <c r="E91" i="68"/>
  <c r="H24" i="17"/>
  <c r="I24" i="17" s="1"/>
  <c r="I99" i="25"/>
  <c r="H24" i="50"/>
  <c r="I24" i="50" s="1"/>
  <c r="P92" i="25"/>
  <c r="U84" i="33"/>
  <c r="T8" i="36"/>
  <c r="I100" i="67"/>
  <c r="I37" i="69"/>
  <c r="P90" i="18"/>
  <c r="H17" i="18"/>
  <c r="I17" i="18" s="1"/>
  <c r="I38" i="24"/>
  <c r="I42" i="22"/>
  <c r="H27" i="26"/>
  <c r="I27" i="26" s="1"/>
  <c r="I28" i="33"/>
  <c r="U59" i="36"/>
  <c r="U84" i="44"/>
  <c r="U84" i="66"/>
  <c r="E91" i="77"/>
  <c r="H27" i="78"/>
  <c r="I27" i="78" s="1"/>
  <c r="H20" i="78"/>
  <c r="I20" i="78" s="1"/>
  <c r="H24" i="28"/>
  <c r="I24" i="28" s="1"/>
  <c r="I99" i="31"/>
  <c r="H22" i="23"/>
  <c r="I22" i="23" s="1"/>
  <c r="T99" i="40"/>
  <c r="U59" i="44"/>
  <c r="T100" i="52"/>
  <c r="U100" i="52" s="1"/>
  <c r="I41" i="77"/>
  <c r="I99" i="17"/>
  <c r="H27" i="17"/>
  <c r="I27" i="17" s="1"/>
  <c r="U84" i="25"/>
  <c r="T8" i="22"/>
  <c r="P90" i="22" s="1"/>
  <c r="I39" i="27"/>
  <c r="H16" i="23"/>
  <c r="I16" i="23" s="1"/>
  <c r="I37" i="38"/>
  <c r="H28" i="52"/>
  <c r="I28" i="52" s="1"/>
  <c r="H27" i="58"/>
  <c r="I27" i="58" s="1"/>
  <c r="I57" i="67"/>
  <c r="T53" i="67"/>
  <c r="U53" i="67" s="1"/>
  <c r="E90" i="77"/>
  <c r="E92" i="78"/>
  <c r="H26" i="78"/>
  <c r="I26" i="78" s="1"/>
  <c r="I99" i="18"/>
  <c r="I55" i="20"/>
  <c r="H19" i="20"/>
  <c r="I19" i="20" s="1"/>
  <c r="P91" i="25"/>
  <c r="I38" i="27"/>
  <c r="I38" i="42"/>
  <c r="I99" i="48"/>
  <c r="I40" i="76"/>
  <c r="U84" i="24"/>
  <c r="E91" i="22"/>
  <c r="I39" i="22"/>
  <c r="I52" i="27"/>
  <c r="U84" i="31"/>
  <c r="I55" i="31"/>
  <c r="I42" i="33"/>
  <c r="I39" i="50"/>
  <c r="I39" i="76"/>
  <c r="U84" i="69"/>
  <c r="H20" i="16"/>
  <c r="I20" i="16" s="1"/>
  <c r="H27" i="18"/>
  <c r="I27" i="18" s="1"/>
  <c r="H19" i="18"/>
  <c r="I19" i="18" s="1"/>
  <c r="H28" i="24"/>
  <c r="I28" i="24" s="1"/>
  <c r="I41" i="33"/>
  <c r="H22" i="52"/>
  <c r="I22" i="52" s="1"/>
  <c r="H17" i="52"/>
  <c r="I58" i="70"/>
  <c r="I50" i="71"/>
  <c r="H20" i="71"/>
  <c r="I20" i="71" s="1"/>
  <c r="E91" i="78"/>
  <c r="I58" i="38"/>
  <c r="I56" i="43"/>
  <c r="I39" i="45"/>
  <c r="I41" i="50"/>
  <c r="I39" i="57"/>
  <c r="I100" i="66"/>
  <c r="I39" i="69"/>
  <c r="H19" i="70"/>
  <c r="I19" i="70" s="1"/>
  <c r="I58" i="78"/>
  <c r="T100" i="24"/>
  <c r="U100" i="24" s="1"/>
  <c r="T100" i="27"/>
  <c r="U100" i="27" s="1"/>
  <c r="I100" i="55"/>
  <c r="I100" i="30"/>
  <c r="T100" i="32"/>
  <c r="U100" i="32" s="1"/>
  <c r="T100" i="38"/>
  <c r="U100" i="38" s="1"/>
  <c r="T100" i="48"/>
  <c r="U100" i="48" s="1"/>
  <c r="I100" i="56"/>
  <c r="T100" i="77"/>
  <c r="U100" i="77" s="1"/>
  <c r="I100" i="15"/>
  <c r="T100" i="40"/>
  <c r="U100" i="40" s="1"/>
  <c r="T100" i="78"/>
  <c r="U100" i="78" s="1"/>
  <c r="T100" i="22"/>
  <c r="U100" i="22" s="1"/>
  <c r="T100" i="42"/>
  <c r="U100" i="42" s="1"/>
  <c r="I100" i="75"/>
  <c r="T99" i="27"/>
  <c r="T99" i="30"/>
  <c r="I99" i="50"/>
  <c r="I99" i="57"/>
  <c r="I99" i="67"/>
  <c r="T99" i="32"/>
  <c r="T99" i="42"/>
  <c r="T99" i="51"/>
  <c r="T99" i="52"/>
  <c r="I99" i="15"/>
  <c r="T99" i="69"/>
  <c r="T99" i="71"/>
  <c r="T99" i="56"/>
  <c r="I99" i="77"/>
  <c r="I99" i="23"/>
  <c r="T99" i="39"/>
  <c r="T99" i="75"/>
  <c r="T99" i="76"/>
  <c r="I99" i="66"/>
  <c r="I99" i="78"/>
  <c r="F492" i="64"/>
  <c r="G492" i="64" s="1"/>
  <c r="E38" i="15"/>
  <c r="E41" i="15"/>
  <c r="E39" i="15"/>
  <c r="E42" i="15"/>
  <c r="E37" i="15"/>
  <c r="E40" i="15"/>
  <c r="I40" i="15" s="1"/>
  <c r="T8" i="16"/>
  <c r="E90" i="16"/>
  <c r="E92" i="16"/>
  <c r="U59" i="17"/>
  <c r="H13" i="21"/>
  <c r="E16" i="22"/>
  <c r="E26" i="22"/>
  <c r="H26" i="22" s="1"/>
  <c r="I26" i="22" s="1"/>
  <c r="E13" i="22"/>
  <c r="E28" i="22"/>
  <c r="H28" i="22" s="1"/>
  <c r="I28" i="22" s="1"/>
  <c r="E18" i="22"/>
  <c r="E23" i="22"/>
  <c r="H23" i="22" s="1"/>
  <c r="I23" i="22" s="1"/>
  <c r="E20" i="22"/>
  <c r="H20" i="22" s="1"/>
  <c r="I20" i="22" s="1"/>
  <c r="E14" i="22"/>
  <c r="E21" i="22"/>
  <c r="H21" i="22" s="1"/>
  <c r="I21" i="22" s="1"/>
  <c r="E27" i="22"/>
  <c r="H27" i="22" s="1"/>
  <c r="I27" i="22" s="1"/>
  <c r="E24" i="22"/>
  <c r="H24" i="22" s="1"/>
  <c r="I24" i="22" s="1"/>
  <c r="E19" i="22"/>
  <c r="H19" i="22" s="1"/>
  <c r="I19" i="22" s="1"/>
  <c r="E22" i="22"/>
  <c r="H22" i="22" s="1"/>
  <c r="I22" i="22" s="1"/>
  <c r="E25" i="22"/>
  <c r="H25" i="22" s="1"/>
  <c r="I25" i="22" s="1"/>
  <c r="E17" i="22"/>
  <c r="H17" i="22" s="1"/>
  <c r="E15" i="22"/>
  <c r="H15" i="22" s="1"/>
  <c r="F491" i="64"/>
  <c r="G491" i="64" s="1"/>
  <c r="F482" i="64"/>
  <c r="G482" i="64" s="1"/>
  <c r="F490" i="64"/>
  <c r="G490" i="64" s="1"/>
  <c r="T109" i="17"/>
  <c r="F481" i="64"/>
  <c r="G481" i="64" s="1"/>
  <c r="H109" i="7"/>
  <c r="T107" i="7"/>
  <c r="I37" i="16"/>
  <c r="F489" i="64"/>
  <c r="G489" i="64" s="1"/>
  <c r="F480" i="64"/>
  <c r="G480" i="64" s="1"/>
  <c r="R76" i="15"/>
  <c r="E91" i="16"/>
  <c r="F488" i="64"/>
  <c r="G488" i="64" s="1"/>
  <c r="H25" i="15"/>
  <c r="I25" i="15" s="1"/>
  <c r="I100" i="16"/>
  <c r="T100" i="16"/>
  <c r="U100" i="16" s="1"/>
  <c r="P90" i="21"/>
  <c r="H14" i="7"/>
  <c r="I14" i="7" s="1"/>
  <c r="R78" i="15"/>
  <c r="I51" i="15"/>
  <c r="H25" i="16"/>
  <c r="I25" i="16" s="1"/>
  <c r="E54" i="17"/>
  <c r="J16" i="17" s="1"/>
  <c r="E57" i="17"/>
  <c r="I57" i="17" s="1"/>
  <c r="E50" i="17"/>
  <c r="E51" i="17"/>
  <c r="I51" i="17" s="1"/>
  <c r="E107" i="17"/>
  <c r="I107" i="17" s="1"/>
  <c r="E55" i="17"/>
  <c r="I55" i="17" s="1"/>
  <c r="E58" i="17"/>
  <c r="I58" i="17" s="1"/>
  <c r="E108" i="17"/>
  <c r="I108" i="17" s="1"/>
  <c r="E52" i="17"/>
  <c r="I52" i="17" s="1"/>
  <c r="E56" i="17"/>
  <c r="I56" i="17" s="1"/>
  <c r="E109" i="17"/>
  <c r="I109" i="17" s="1"/>
  <c r="F476" i="64"/>
  <c r="G476" i="64" s="1"/>
  <c r="F477" i="64"/>
  <c r="G477" i="64" s="1"/>
  <c r="F478" i="64"/>
  <c r="G478" i="64" s="1"/>
  <c r="F473" i="64"/>
  <c r="F474" i="64"/>
  <c r="G474" i="64" s="1"/>
  <c r="R80" i="15"/>
  <c r="F486" i="64"/>
  <c r="G486" i="64" s="1"/>
  <c r="T108" i="15"/>
  <c r="I108" i="15"/>
  <c r="I53" i="17"/>
  <c r="F485" i="64"/>
  <c r="G485" i="64" s="1"/>
  <c r="F475" i="64"/>
  <c r="G475" i="64" s="1"/>
  <c r="C29" i="60"/>
  <c r="C31" i="60" s="1"/>
  <c r="I37" i="7"/>
  <c r="R77" i="18"/>
  <c r="F484" i="64"/>
  <c r="G484" i="64" s="1"/>
  <c r="C43" i="60"/>
  <c r="U59" i="7"/>
  <c r="I38" i="16"/>
  <c r="E17" i="25"/>
  <c r="H17" i="25" s="1"/>
  <c r="E22" i="25"/>
  <c r="H22" i="25" s="1"/>
  <c r="I22" i="25" s="1"/>
  <c r="E14" i="25"/>
  <c r="E16" i="25"/>
  <c r="E26" i="25"/>
  <c r="H26" i="25" s="1"/>
  <c r="I26" i="25" s="1"/>
  <c r="E19" i="25"/>
  <c r="H19" i="25" s="1"/>
  <c r="I19" i="25" s="1"/>
  <c r="E13" i="25"/>
  <c r="E15" i="25"/>
  <c r="H15" i="25" s="1"/>
  <c r="E28" i="25"/>
  <c r="H28" i="25" s="1"/>
  <c r="I28" i="25" s="1"/>
  <c r="E24" i="25"/>
  <c r="H24" i="25" s="1"/>
  <c r="I24" i="25" s="1"/>
  <c r="E18" i="25"/>
  <c r="E20" i="25"/>
  <c r="H20" i="25" s="1"/>
  <c r="I20" i="25" s="1"/>
  <c r="E27" i="25"/>
  <c r="H27" i="25" s="1"/>
  <c r="I27" i="25" s="1"/>
  <c r="E25" i="25"/>
  <c r="H25" i="25" s="1"/>
  <c r="I25" i="25" s="1"/>
  <c r="E23" i="25"/>
  <c r="H23" i="25" s="1"/>
  <c r="I23" i="25" s="1"/>
  <c r="E107" i="7"/>
  <c r="E15" i="7"/>
  <c r="E58" i="15"/>
  <c r="I58" i="15" s="1"/>
  <c r="E27" i="15"/>
  <c r="I42" i="20"/>
  <c r="R80" i="21"/>
  <c r="E57" i="21"/>
  <c r="I57" i="21" s="1"/>
  <c r="E50" i="21"/>
  <c r="E55" i="21"/>
  <c r="I55" i="21" s="1"/>
  <c r="E108" i="21"/>
  <c r="I108" i="21" s="1"/>
  <c r="E53" i="21"/>
  <c r="I53" i="21" s="1"/>
  <c r="E58" i="21"/>
  <c r="I58" i="21" s="1"/>
  <c r="E56" i="21"/>
  <c r="I56" i="21" s="1"/>
  <c r="E107" i="21"/>
  <c r="I107" i="21" s="1"/>
  <c r="E54" i="21"/>
  <c r="I54" i="21" s="1"/>
  <c r="E109" i="21"/>
  <c r="I109" i="21" s="1"/>
  <c r="T109" i="28"/>
  <c r="I38" i="20"/>
  <c r="E42" i="16"/>
  <c r="I42" i="16" s="1"/>
  <c r="E39" i="16"/>
  <c r="I39" i="16" s="1"/>
  <c r="P92" i="7"/>
  <c r="R78" i="21"/>
  <c r="E108" i="7"/>
  <c r="T109" i="21"/>
  <c r="U59" i="25"/>
  <c r="E16" i="7"/>
  <c r="H109" i="15"/>
  <c r="E52" i="15"/>
  <c r="I52" i="15" s="1"/>
  <c r="E21" i="15"/>
  <c r="T108" i="16"/>
  <c r="E13" i="16"/>
  <c r="E15" i="16"/>
  <c r="H15" i="16" s="1"/>
  <c r="E17" i="16"/>
  <c r="H17" i="16" s="1"/>
  <c r="E24" i="16"/>
  <c r="U84" i="17"/>
  <c r="E39" i="17"/>
  <c r="I39" i="17" s="1"/>
  <c r="I109" i="18"/>
  <c r="T109" i="18"/>
  <c r="E52" i="21"/>
  <c r="I52" i="21" s="1"/>
  <c r="E26" i="15"/>
  <c r="E16" i="15"/>
  <c r="R71" i="16"/>
  <c r="R68" i="16"/>
  <c r="E41" i="16"/>
  <c r="I41" i="16" s="1"/>
  <c r="U59" i="20"/>
  <c r="E19" i="15"/>
  <c r="E22" i="16"/>
  <c r="E14" i="16"/>
  <c r="T108" i="18"/>
  <c r="I100" i="20"/>
  <c r="H109" i="25"/>
  <c r="T107" i="25"/>
  <c r="T109" i="24"/>
  <c r="R80" i="24"/>
  <c r="I37" i="20"/>
  <c r="E51" i="21"/>
  <c r="I51" i="21" s="1"/>
  <c r="E37" i="17"/>
  <c r="E40" i="17"/>
  <c r="I40" i="17" s="1"/>
  <c r="I99" i="20"/>
  <c r="T99" i="20"/>
  <c r="R76" i="21"/>
  <c r="U59" i="21"/>
  <c r="E22" i="17"/>
  <c r="H22" i="17" s="1"/>
  <c r="I22" i="17" s="1"/>
  <c r="E17" i="17"/>
  <c r="H17" i="17" s="1"/>
  <c r="E53" i="18"/>
  <c r="I53" i="18" s="1"/>
  <c r="E20" i="18"/>
  <c r="P92" i="20"/>
  <c r="E50" i="20"/>
  <c r="E23" i="20"/>
  <c r="H23" i="20" s="1"/>
  <c r="I23" i="20" s="1"/>
  <c r="E18" i="20"/>
  <c r="I99" i="21"/>
  <c r="E26" i="21"/>
  <c r="H26" i="21" s="1"/>
  <c r="I26" i="21" s="1"/>
  <c r="E16" i="21"/>
  <c r="E54" i="24"/>
  <c r="I54" i="24" s="1"/>
  <c r="U59" i="24"/>
  <c r="H24" i="24"/>
  <c r="I24" i="24" s="1"/>
  <c r="H109" i="31"/>
  <c r="T107" i="31"/>
  <c r="E57" i="20"/>
  <c r="I57" i="20" s="1"/>
  <c r="I99" i="22"/>
  <c r="T99" i="22"/>
  <c r="E52" i="20"/>
  <c r="I52" i="20" s="1"/>
  <c r="E24" i="21"/>
  <c r="H24" i="21" s="1"/>
  <c r="I24" i="21" s="1"/>
  <c r="T100" i="25"/>
  <c r="U100" i="25" s="1"/>
  <c r="E25" i="17"/>
  <c r="H25" i="17" s="1"/>
  <c r="I25" i="17" s="1"/>
  <c r="E15" i="17"/>
  <c r="H15" i="17" s="1"/>
  <c r="T107" i="18"/>
  <c r="E50" i="18"/>
  <c r="E23" i="18"/>
  <c r="H23" i="18" s="1"/>
  <c r="I23" i="18" s="1"/>
  <c r="E18" i="18"/>
  <c r="E109" i="20"/>
  <c r="I109" i="20" s="1"/>
  <c r="E26" i="20"/>
  <c r="H26" i="20" s="1"/>
  <c r="I26" i="20" s="1"/>
  <c r="E16" i="20"/>
  <c r="E41" i="21"/>
  <c r="I41" i="21" s="1"/>
  <c r="E14" i="21"/>
  <c r="E53" i="25"/>
  <c r="I53" i="25" s="1"/>
  <c r="I99" i="24"/>
  <c r="I40" i="24"/>
  <c r="E18" i="24"/>
  <c r="E23" i="24"/>
  <c r="H23" i="24" s="1"/>
  <c r="I23" i="24" s="1"/>
  <c r="E15" i="24"/>
  <c r="H15" i="24" s="1"/>
  <c r="E25" i="24"/>
  <c r="H25" i="24" s="1"/>
  <c r="I25" i="24" s="1"/>
  <c r="E20" i="24"/>
  <c r="H20" i="24" s="1"/>
  <c r="I20" i="24" s="1"/>
  <c r="E27" i="24"/>
  <c r="H27" i="24" s="1"/>
  <c r="I27" i="24" s="1"/>
  <c r="E14" i="24"/>
  <c r="E16" i="24"/>
  <c r="E26" i="24"/>
  <c r="H26" i="24" s="1"/>
  <c r="I26" i="24" s="1"/>
  <c r="U59" i="28"/>
  <c r="U59" i="35"/>
  <c r="R85" i="17"/>
  <c r="R72" i="17"/>
  <c r="R70" i="17"/>
  <c r="E23" i="17"/>
  <c r="H23" i="17" s="1"/>
  <c r="I23" i="17" s="1"/>
  <c r="E18" i="17"/>
  <c r="E52" i="18"/>
  <c r="I52" i="18" s="1"/>
  <c r="E24" i="20"/>
  <c r="H24" i="20" s="1"/>
  <c r="I24" i="20" s="1"/>
  <c r="T100" i="21"/>
  <c r="U100" i="21" s="1"/>
  <c r="E27" i="21"/>
  <c r="H27" i="21" s="1"/>
  <c r="I27" i="21" s="1"/>
  <c r="E108" i="25"/>
  <c r="I108" i="25" s="1"/>
  <c r="E55" i="25"/>
  <c r="I55" i="25" s="1"/>
  <c r="T107" i="24"/>
  <c r="E17" i="24"/>
  <c r="H17" i="24" s="1"/>
  <c r="E109" i="22"/>
  <c r="E57" i="22"/>
  <c r="I57" i="22" s="1"/>
  <c r="E50" i="22"/>
  <c r="E55" i="22"/>
  <c r="I55" i="22" s="1"/>
  <c r="E108" i="22"/>
  <c r="I108" i="22" s="1"/>
  <c r="E53" i="22"/>
  <c r="I53" i="22" s="1"/>
  <c r="E56" i="22"/>
  <c r="I56" i="22" s="1"/>
  <c r="E107" i="22"/>
  <c r="I107" i="22" s="1"/>
  <c r="U84" i="27"/>
  <c r="U59" i="27"/>
  <c r="T107" i="17"/>
  <c r="E28" i="17"/>
  <c r="E13" i="17"/>
  <c r="E26" i="18"/>
  <c r="H26" i="18" s="1"/>
  <c r="I26" i="18" s="1"/>
  <c r="E16" i="18"/>
  <c r="E107" i="20"/>
  <c r="I107" i="20" s="1"/>
  <c r="E56" i="20"/>
  <c r="I56" i="20" s="1"/>
  <c r="E14" i="20"/>
  <c r="E20" i="21"/>
  <c r="H20" i="21" s="1"/>
  <c r="I20" i="21" s="1"/>
  <c r="E50" i="25"/>
  <c r="E13" i="28"/>
  <c r="E28" i="28"/>
  <c r="H28" i="28" s="1"/>
  <c r="I28" i="28" s="1"/>
  <c r="E18" i="28"/>
  <c r="E23" i="28"/>
  <c r="H23" i="28" s="1"/>
  <c r="I23" i="28" s="1"/>
  <c r="E15" i="28"/>
  <c r="H15" i="28" s="1"/>
  <c r="E25" i="28"/>
  <c r="H25" i="28" s="1"/>
  <c r="I25" i="28" s="1"/>
  <c r="E20" i="28"/>
  <c r="H20" i="28" s="1"/>
  <c r="I20" i="28" s="1"/>
  <c r="E27" i="28"/>
  <c r="H27" i="28" s="1"/>
  <c r="I27" i="28" s="1"/>
  <c r="E17" i="28"/>
  <c r="H17" i="28" s="1"/>
  <c r="E22" i="28"/>
  <c r="H22" i="28" s="1"/>
  <c r="I22" i="28" s="1"/>
  <c r="E14" i="28"/>
  <c r="E19" i="28"/>
  <c r="H19" i="28" s="1"/>
  <c r="I19" i="28" s="1"/>
  <c r="E16" i="28"/>
  <c r="E26" i="28"/>
  <c r="H26" i="28" s="1"/>
  <c r="I26" i="28" s="1"/>
  <c r="E16" i="31"/>
  <c r="E26" i="31"/>
  <c r="H26" i="31" s="1"/>
  <c r="I26" i="31" s="1"/>
  <c r="E21" i="31"/>
  <c r="H21" i="31" s="1"/>
  <c r="I21" i="31" s="1"/>
  <c r="E18" i="31"/>
  <c r="E23" i="31"/>
  <c r="H23" i="31" s="1"/>
  <c r="I23" i="31" s="1"/>
  <c r="E15" i="31"/>
  <c r="H15" i="31" s="1"/>
  <c r="E25" i="31"/>
  <c r="H25" i="31" s="1"/>
  <c r="I25" i="31" s="1"/>
  <c r="E14" i="31"/>
  <c r="E13" i="31"/>
  <c r="E22" i="31"/>
  <c r="H22" i="31" s="1"/>
  <c r="I22" i="31" s="1"/>
  <c r="E19" i="31"/>
  <c r="H19" i="31" s="1"/>
  <c r="I19" i="31" s="1"/>
  <c r="E28" i="31"/>
  <c r="H28" i="31" s="1"/>
  <c r="I28" i="31" s="1"/>
  <c r="E17" i="31"/>
  <c r="H17" i="31" s="1"/>
  <c r="E20" i="31"/>
  <c r="H20" i="31" s="1"/>
  <c r="I20" i="31" s="1"/>
  <c r="E27" i="31"/>
  <c r="H27" i="31" s="1"/>
  <c r="I27" i="31" s="1"/>
  <c r="E51" i="20"/>
  <c r="I51" i="20" s="1"/>
  <c r="E15" i="21"/>
  <c r="H15" i="21" s="1"/>
  <c r="E50" i="24"/>
  <c r="E53" i="24"/>
  <c r="I53" i="24" s="1"/>
  <c r="E58" i="24"/>
  <c r="I58" i="24" s="1"/>
  <c r="E56" i="24"/>
  <c r="I56" i="24" s="1"/>
  <c r="E107" i="24"/>
  <c r="I107" i="24" s="1"/>
  <c r="E109" i="24"/>
  <c r="I109" i="24" s="1"/>
  <c r="E52" i="24"/>
  <c r="I52" i="24" s="1"/>
  <c r="E57" i="28"/>
  <c r="I57" i="28" s="1"/>
  <c r="E50" i="28"/>
  <c r="E55" i="28"/>
  <c r="I55" i="28" s="1"/>
  <c r="E108" i="28"/>
  <c r="I108" i="28" s="1"/>
  <c r="E53" i="28"/>
  <c r="I53" i="28" s="1"/>
  <c r="E58" i="28"/>
  <c r="I58" i="28" s="1"/>
  <c r="E51" i="28"/>
  <c r="I51" i="28" s="1"/>
  <c r="E56" i="28"/>
  <c r="I56" i="28" s="1"/>
  <c r="E107" i="28"/>
  <c r="I107" i="28" s="1"/>
  <c r="E54" i="28"/>
  <c r="I54" i="28" s="1"/>
  <c r="E109" i="28"/>
  <c r="I109" i="28" s="1"/>
  <c r="E24" i="18"/>
  <c r="H24" i="18" s="1"/>
  <c r="I24" i="18" s="1"/>
  <c r="T100" i="20"/>
  <c r="U100" i="20" s="1"/>
  <c r="E58" i="20"/>
  <c r="I58" i="20" s="1"/>
  <c r="E27" i="20"/>
  <c r="H27" i="20" s="1"/>
  <c r="I27" i="20" s="1"/>
  <c r="E52" i="25"/>
  <c r="I52" i="25" s="1"/>
  <c r="E55" i="24"/>
  <c r="I55" i="24" s="1"/>
  <c r="R78" i="17"/>
  <c r="R76" i="17"/>
  <c r="E19" i="17"/>
  <c r="H19" i="17" s="1"/>
  <c r="I19" i="17" s="1"/>
  <c r="E56" i="18"/>
  <c r="I56" i="18" s="1"/>
  <c r="E14" i="18"/>
  <c r="E20" i="20"/>
  <c r="H20" i="20" s="1"/>
  <c r="I20" i="20" s="1"/>
  <c r="R85" i="21"/>
  <c r="R72" i="21"/>
  <c r="R70" i="21"/>
  <c r="E23" i="21"/>
  <c r="H23" i="21" s="1"/>
  <c r="I23" i="21" s="1"/>
  <c r="E18" i="21"/>
  <c r="E13" i="24"/>
  <c r="E53" i="27"/>
  <c r="E58" i="27"/>
  <c r="I58" i="27" s="1"/>
  <c r="E51" i="27"/>
  <c r="I51" i="27" s="1"/>
  <c r="E56" i="27"/>
  <c r="E107" i="27"/>
  <c r="I107" i="27" s="1"/>
  <c r="E54" i="27"/>
  <c r="I54" i="27" s="1"/>
  <c r="E109" i="27"/>
  <c r="I109" i="27" s="1"/>
  <c r="E57" i="27"/>
  <c r="I57" i="27" s="1"/>
  <c r="E50" i="27"/>
  <c r="T107" i="28"/>
  <c r="E22" i="18"/>
  <c r="H22" i="18" s="1"/>
  <c r="I22" i="18" s="1"/>
  <c r="E40" i="20"/>
  <c r="I40" i="20" s="1"/>
  <c r="E25" i="20"/>
  <c r="H25" i="20" s="1"/>
  <c r="I25" i="20" s="1"/>
  <c r="E28" i="21"/>
  <c r="H28" i="21" s="1"/>
  <c r="I28" i="21" s="1"/>
  <c r="I37" i="24"/>
  <c r="H109" i="22"/>
  <c r="I58" i="22"/>
  <c r="E53" i="26"/>
  <c r="I53" i="26" s="1"/>
  <c r="E20" i="26"/>
  <c r="H20" i="26" s="1"/>
  <c r="I20" i="26" s="1"/>
  <c r="I99" i="28"/>
  <c r="T58" i="31"/>
  <c r="U58" i="31" s="1"/>
  <c r="I100" i="33"/>
  <c r="U84" i="37"/>
  <c r="R80" i="32"/>
  <c r="T99" i="34"/>
  <c r="I99" i="34"/>
  <c r="R77" i="34"/>
  <c r="I99" i="35"/>
  <c r="T99" i="35"/>
  <c r="R76" i="23"/>
  <c r="I50" i="36"/>
  <c r="I39" i="35"/>
  <c r="E50" i="26"/>
  <c r="E23" i="26"/>
  <c r="H23" i="26" s="1"/>
  <c r="I23" i="26" s="1"/>
  <c r="E18" i="26"/>
  <c r="R76" i="32"/>
  <c r="H21" i="33"/>
  <c r="I21" i="33" s="1"/>
  <c r="U59" i="34"/>
  <c r="H19" i="34"/>
  <c r="I19" i="34" s="1"/>
  <c r="T107" i="36"/>
  <c r="R80" i="36"/>
  <c r="T99" i="26"/>
  <c r="E28" i="26"/>
  <c r="H28" i="26" s="1"/>
  <c r="I28" i="26" s="1"/>
  <c r="E13" i="26"/>
  <c r="R80" i="27"/>
  <c r="R78" i="27"/>
  <c r="R76" i="27"/>
  <c r="E19" i="27"/>
  <c r="H19" i="27" s="1"/>
  <c r="I19" i="27" s="1"/>
  <c r="I52" i="33"/>
  <c r="H13" i="34"/>
  <c r="E37" i="37"/>
  <c r="E40" i="37"/>
  <c r="I40" i="37" s="1"/>
  <c r="E38" i="37"/>
  <c r="I38" i="37" s="1"/>
  <c r="E41" i="37"/>
  <c r="I41" i="37" s="1"/>
  <c r="E39" i="37"/>
  <c r="I39" i="37" s="1"/>
  <c r="E42" i="37"/>
  <c r="I42" i="37" s="1"/>
  <c r="E52" i="26"/>
  <c r="I52" i="26" s="1"/>
  <c r="E42" i="26"/>
  <c r="E21" i="26"/>
  <c r="H21" i="26" s="1"/>
  <c r="I21" i="26" s="1"/>
  <c r="E24" i="27"/>
  <c r="H24" i="27" s="1"/>
  <c r="I24" i="27" s="1"/>
  <c r="T100" i="28"/>
  <c r="U100" i="28" s="1"/>
  <c r="T57" i="31"/>
  <c r="U57" i="31" s="1"/>
  <c r="E40" i="31"/>
  <c r="I40" i="31" s="1"/>
  <c r="E37" i="31"/>
  <c r="E91" i="34"/>
  <c r="E90" i="34"/>
  <c r="T8" i="34"/>
  <c r="I41" i="35"/>
  <c r="R80" i="23"/>
  <c r="R85" i="22"/>
  <c r="R72" i="22"/>
  <c r="R70" i="22"/>
  <c r="E26" i="26"/>
  <c r="H26" i="26" s="1"/>
  <c r="I26" i="26" s="1"/>
  <c r="E16" i="26"/>
  <c r="E14" i="27"/>
  <c r="R78" i="32"/>
  <c r="I109" i="35"/>
  <c r="T109" i="35"/>
  <c r="I38" i="35"/>
  <c r="R77" i="36"/>
  <c r="E24" i="26"/>
  <c r="H24" i="26" s="1"/>
  <c r="I24" i="26" s="1"/>
  <c r="R79" i="34"/>
  <c r="I54" i="34"/>
  <c r="R78" i="23"/>
  <c r="E20" i="27"/>
  <c r="H20" i="27" s="1"/>
  <c r="I20" i="27" s="1"/>
  <c r="R85" i="28"/>
  <c r="R72" i="28"/>
  <c r="R70" i="28"/>
  <c r="E42" i="31"/>
  <c r="I42" i="31" s="1"/>
  <c r="U84" i="32"/>
  <c r="E53" i="33"/>
  <c r="E58" i="33"/>
  <c r="I58" i="33" s="1"/>
  <c r="E51" i="33"/>
  <c r="I51" i="33" s="1"/>
  <c r="E56" i="33"/>
  <c r="E107" i="33"/>
  <c r="I107" i="33" s="1"/>
  <c r="E54" i="33"/>
  <c r="I54" i="33" s="1"/>
  <c r="E109" i="33"/>
  <c r="E50" i="33"/>
  <c r="U59" i="23"/>
  <c r="H109" i="36"/>
  <c r="E22" i="26"/>
  <c r="H22" i="26" s="1"/>
  <c r="I22" i="26" s="1"/>
  <c r="E40" i="27"/>
  <c r="I40" i="27" s="1"/>
  <c r="E25" i="27"/>
  <c r="H25" i="27" s="1"/>
  <c r="I25" i="27" s="1"/>
  <c r="I109" i="34"/>
  <c r="E20" i="32"/>
  <c r="H20" i="32" s="1"/>
  <c r="I20" i="32" s="1"/>
  <c r="E91" i="33"/>
  <c r="E52" i="34"/>
  <c r="I52" i="34" s="1"/>
  <c r="E42" i="34"/>
  <c r="I42" i="34" s="1"/>
  <c r="E39" i="34"/>
  <c r="I39" i="34" s="1"/>
  <c r="E21" i="34"/>
  <c r="H21" i="34" s="1"/>
  <c r="I21" i="34" s="1"/>
  <c r="I51" i="35"/>
  <c r="E24" i="35"/>
  <c r="H24" i="35" s="1"/>
  <c r="I24" i="35" s="1"/>
  <c r="T100" i="23"/>
  <c r="U100" i="23" s="1"/>
  <c r="P91" i="23"/>
  <c r="E58" i="23"/>
  <c r="I58" i="23" s="1"/>
  <c r="E107" i="36"/>
  <c r="I107" i="36" s="1"/>
  <c r="I99" i="38"/>
  <c r="I37" i="39"/>
  <c r="I37" i="40"/>
  <c r="I100" i="36"/>
  <c r="T100" i="36"/>
  <c r="U100" i="36" s="1"/>
  <c r="E53" i="36"/>
  <c r="I53" i="36" s="1"/>
  <c r="E58" i="36"/>
  <c r="I58" i="36" s="1"/>
  <c r="E109" i="36"/>
  <c r="E56" i="36"/>
  <c r="I56" i="36" s="1"/>
  <c r="E14" i="38"/>
  <c r="E19" i="38"/>
  <c r="H19" i="38" s="1"/>
  <c r="I19" i="38" s="1"/>
  <c r="E16" i="38"/>
  <c r="E26" i="38"/>
  <c r="H26" i="38" s="1"/>
  <c r="I26" i="38" s="1"/>
  <c r="E21" i="38"/>
  <c r="H21" i="38" s="1"/>
  <c r="I21" i="38" s="1"/>
  <c r="E13" i="38"/>
  <c r="E28" i="38"/>
  <c r="H28" i="38" s="1"/>
  <c r="I28" i="38" s="1"/>
  <c r="E18" i="38"/>
  <c r="E23" i="38"/>
  <c r="H23" i="38" s="1"/>
  <c r="I23" i="38" s="1"/>
  <c r="E15" i="38"/>
  <c r="H15" i="38" s="1"/>
  <c r="E25" i="38"/>
  <c r="H25" i="38" s="1"/>
  <c r="I25" i="38" s="1"/>
  <c r="E20" i="38"/>
  <c r="H20" i="38" s="1"/>
  <c r="I20" i="38" s="1"/>
  <c r="E27" i="38"/>
  <c r="H27" i="38" s="1"/>
  <c r="I27" i="38" s="1"/>
  <c r="R79" i="40"/>
  <c r="E24" i="34"/>
  <c r="H24" i="34" s="1"/>
  <c r="I24" i="34" s="1"/>
  <c r="T109" i="23"/>
  <c r="E108" i="23"/>
  <c r="I108" i="23" s="1"/>
  <c r="E55" i="23"/>
  <c r="I55" i="23" s="1"/>
  <c r="E18" i="36"/>
  <c r="E13" i="36"/>
  <c r="I100" i="39"/>
  <c r="T100" i="39"/>
  <c r="U100" i="39" s="1"/>
  <c r="E13" i="32"/>
  <c r="E92" i="33"/>
  <c r="R80" i="33"/>
  <c r="R78" i="33"/>
  <c r="R76" i="33"/>
  <c r="E19" i="33"/>
  <c r="H19" i="33" s="1"/>
  <c r="I19" i="33" s="1"/>
  <c r="R83" i="34"/>
  <c r="U83" i="34" s="1"/>
  <c r="U84" i="34" s="1"/>
  <c r="R71" i="34"/>
  <c r="R68" i="34"/>
  <c r="E56" i="34"/>
  <c r="I56" i="34" s="1"/>
  <c r="E41" i="34"/>
  <c r="I41" i="34" s="1"/>
  <c r="E38" i="34"/>
  <c r="I38" i="34" s="1"/>
  <c r="E14" i="34"/>
  <c r="E53" i="35"/>
  <c r="I53" i="35" s="1"/>
  <c r="E20" i="35"/>
  <c r="H20" i="35" s="1"/>
  <c r="I20" i="35" s="1"/>
  <c r="R85" i="23"/>
  <c r="R72" i="23"/>
  <c r="R70" i="23"/>
  <c r="E50" i="23"/>
  <c r="E23" i="23"/>
  <c r="H23" i="23" s="1"/>
  <c r="I23" i="23" s="1"/>
  <c r="E18" i="23"/>
  <c r="R78" i="36"/>
  <c r="I99" i="37"/>
  <c r="T99" i="37"/>
  <c r="R80" i="37"/>
  <c r="I39" i="38"/>
  <c r="I50" i="42"/>
  <c r="E21" i="32"/>
  <c r="H21" i="32" s="1"/>
  <c r="I21" i="32" s="1"/>
  <c r="E24" i="33"/>
  <c r="H24" i="33" s="1"/>
  <c r="I24" i="33" s="1"/>
  <c r="E51" i="34"/>
  <c r="E22" i="34"/>
  <c r="H22" i="34" s="1"/>
  <c r="I22" i="34" s="1"/>
  <c r="E17" i="34"/>
  <c r="H17" i="34" s="1"/>
  <c r="E40" i="35"/>
  <c r="I40" i="35" s="1"/>
  <c r="E37" i="35"/>
  <c r="E25" i="35"/>
  <c r="H25" i="35" s="1"/>
  <c r="I25" i="35" s="1"/>
  <c r="E15" i="35"/>
  <c r="E57" i="23"/>
  <c r="I57" i="23" s="1"/>
  <c r="E28" i="23"/>
  <c r="H28" i="23" s="1"/>
  <c r="I28" i="23" s="1"/>
  <c r="E13" i="23"/>
  <c r="E55" i="36"/>
  <c r="I55" i="36" s="1"/>
  <c r="I40" i="36"/>
  <c r="E109" i="37"/>
  <c r="I109" i="37" s="1"/>
  <c r="E57" i="37"/>
  <c r="I57" i="37" s="1"/>
  <c r="E50" i="37"/>
  <c r="E55" i="37"/>
  <c r="I55" i="37" s="1"/>
  <c r="E108" i="37"/>
  <c r="I108" i="37" s="1"/>
  <c r="E58" i="37"/>
  <c r="I58" i="37" s="1"/>
  <c r="E51" i="37"/>
  <c r="I51" i="37" s="1"/>
  <c r="E56" i="37"/>
  <c r="I56" i="37" s="1"/>
  <c r="E107" i="37"/>
  <c r="I107" i="37" s="1"/>
  <c r="I56" i="38"/>
  <c r="E17" i="38"/>
  <c r="H17" i="38" s="1"/>
  <c r="E16" i="32"/>
  <c r="E27" i="34"/>
  <c r="H27" i="34" s="1"/>
  <c r="I27" i="34" s="1"/>
  <c r="E52" i="23"/>
  <c r="I52" i="23" s="1"/>
  <c r="E42" i="23"/>
  <c r="I42" i="23" s="1"/>
  <c r="E39" i="23"/>
  <c r="I39" i="23" s="1"/>
  <c r="E108" i="36"/>
  <c r="I108" i="36" s="1"/>
  <c r="E52" i="36"/>
  <c r="I52" i="36" s="1"/>
  <c r="U59" i="37"/>
  <c r="H109" i="38"/>
  <c r="T107" i="38"/>
  <c r="E22" i="38"/>
  <c r="H22" i="38" s="1"/>
  <c r="I22" i="38" s="1"/>
  <c r="R77" i="40"/>
  <c r="E19" i="32"/>
  <c r="H19" i="32" s="1"/>
  <c r="I19" i="32" s="1"/>
  <c r="E20" i="34"/>
  <c r="H20" i="34" s="1"/>
  <c r="I20" i="34" s="1"/>
  <c r="E109" i="23"/>
  <c r="I109" i="23" s="1"/>
  <c r="I99" i="36"/>
  <c r="E24" i="32"/>
  <c r="H24" i="32" s="1"/>
  <c r="I24" i="32" s="1"/>
  <c r="T100" i="33"/>
  <c r="U100" i="33" s="1"/>
  <c r="E25" i="34"/>
  <c r="H25" i="34" s="1"/>
  <c r="I25" i="34" s="1"/>
  <c r="E15" i="34"/>
  <c r="H15" i="34" s="1"/>
  <c r="E54" i="23"/>
  <c r="I54" i="23" s="1"/>
  <c r="E15" i="36"/>
  <c r="H15" i="36" s="1"/>
  <c r="E25" i="36"/>
  <c r="H25" i="36" s="1"/>
  <c r="I25" i="36" s="1"/>
  <c r="E20" i="36"/>
  <c r="H20" i="36" s="1"/>
  <c r="I20" i="36" s="1"/>
  <c r="E27" i="36"/>
  <c r="H27" i="36" s="1"/>
  <c r="I27" i="36" s="1"/>
  <c r="E16" i="36"/>
  <c r="E26" i="36"/>
  <c r="H26" i="36" s="1"/>
  <c r="I26" i="36" s="1"/>
  <c r="E41" i="32"/>
  <c r="I41" i="32" s="1"/>
  <c r="R85" i="34"/>
  <c r="E55" i="34"/>
  <c r="I55" i="34" s="1"/>
  <c r="E42" i="35"/>
  <c r="I42" i="35" s="1"/>
  <c r="E21" i="35"/>
  <c r="H21" i="35" s="1"/>
  <c r="I21" i="35" s="1"/>
  <c r="E24" i="23"/>
  <c r="H24" i="23" s="1"/>
  <c r="I24" i="23" s="1"/>
  <c r="E24" i="36"/>
  <c r="H24" i="36" s="1"/>
  <c r="I24" i="36" s="1"/>
  <c r="E17" i="36"/>
  <c r="H17" i="36" s="1"/>
  <c r="E16" i="37"/>
  <c r="E26" i="37"/>
  <c r="H26" i="37" s="1"/>
  <c r="I26" i="37" s="1"/>
  <c r="E13" i="37"/>
  <c r="E28" i="37"/>
  <c r="H28" i="37" s="1"/>
  <c r="I28" i="37" s="1"/>
  <c r="E18" i="37"/>
  <c r="E23" i="37"/>
  <c r="H23" i="37" s="1"/>
  <c r="I23" i="37" s="1"/>
  <c r="E15" i="37"/>
  <c r="H15" i="37" s="1"/>
  <c r="E25" i="37"/>
  <c r="H25" i="37" s="1"/>
  <c r="I25" i="37" s="1"/>
  <c r="E20" i="37"/>
  <c r="H20" i="37" s="1"/>
  <c r="I20" i="37" s="1"/>
  <c r="E27" i="37"/>
  <c r="H27" i="37" s="1"/>
  <c r="I27" i="37" s="1"/>
  <c r="E17" i="37"/>
  <c r="H17" i="37" s="1"/>
  <c r="E22" i="37"/>
  <c r="H22" i="37" s="1"/>
  <c r="I22" i="37" s="1"/>
  <c r="E14" i="37"/>
  <c r="I55" i="39"/>
  <c r="U59" i="40"/>
  <c r="E23" i="34"/>
  <c r="H23" i="34" s="1"/>
  <c r="I23" i="34" s="1"/>
  <c r="E26" i="35"/>
  <c r="H26" i="35" s="1"/>
  <c r="I26" i="35" s="1"/>
  <c r="E107" i="23"/>
  <c r="I107" i="23" s="1"/>
  <c r="E41" i="23"/>
  <c r="I41" i="23" s="1"/>
  <c r="E57" i="36"/>
  <c r="I57" i="36" s="1"/>
  <c r="E54" i="36"/>
  <c r="I54" i="36" s="1"/>
  <c r="E51" i="36"/>
  <c r="I51" i="36" s="1"/>
  <c r="E19" i="36"/>
  <c r="H19" i="36" s="1"/>
  <c r="I19" i="36" s="1"/>
  <c r="E24" i="37"/>
  <c r="H24" i="37" s="1"/>
  <c r="I24" i="37" s="1"/>
  <c r="R70" i="44"/>
  <c r="E52" i="40"/>
  <c r="I52" i="40" s="1"/>
  <c r="T56" i="45"/>
  <c r="U56" i="45" s="1"/>
  <c r="I56" i="45"/>
  <c r="E91" i="39"/>
  <c r="E109" i="40"/>
  <c r="I109" i="40" s="1"/>
  <c r="R77" i="42"/>
  <c r="U59" i="43"/>
  <c r="I100" i="44"/>
  <c r="E57" i="48"/>
  <c r="I57" i="48" s="1"/>
  <c r="E50" i="48"/>
  <c r="E55" i="48"/>
  <c r="I55" i="48" s="1"/>
  <c r="E108" i="48"/>
  <c r="I108" i="48" s="1"/>
  <c r="E58" i="48"/>
  <c r="I58" i="48" s="1"/>
  <c r="E56" i="48"/>
  <c r="I56" i="48" s="1"/>
  <c r="E107" i="48"/>
  <c r="I107" i="48" s="1"/>
  <c r="E54" i="48"/>
  <c r="I54" i="48" s="1"/>
  <c r="E51" i="48"/>
  <c r="I51" i="48" s="1"/>
  <c r="E109" i="48"/>
  <c r="I109" i="48" s="1"/>
  <c r="E52" i="48"/>
  <c r="I52" i="48" s="1"/>
  <c r="E53" i="48"/>
  <c r="I53" i="48" s="1"/>
  <c r="E54" i="40"/>
  <c r="I54" i="40" s="1"/>
  <c r="I99" i="43"/>
  <c r="T99" i="43"/>
  <c r="E90" i="37"/>
  <c r="E55" i="38"/>
  <c r="I55" i="38" s="1"/>
  <c r="H109" i="39"/>
  <c r="E52" i="39"/>
  <c r="I52" i="39" s="1"/>
  <c r="E42" i="39"/>
  <c r="I42" i="39" s="1"/>
  <c r="E39" i="39"/>
  <c r="I39" i="39" s="1"/>
  <c r="E21" i="39"/>
  <c r="H21" i="39" s="1"/>
  <c r="I21" i="39" s="1"/>
  <c r="T8" i="39"/>
  <c r="T108" i="40"/>
  <c r="E20" i="40"/>
  <c r="H20" i="40" s="1"/>
  <c r="I20" i="40" s="1"/>
  <c r="E19" i="40"/>
  <c r="H19" i="40" s="1"/>
  <c r="I19" i="40" s="1"/>
  <c r="E16" i="40"/>
  <c r="E21" i="40"/>
  <c r="H21" i="40" s="1"/>
  <c r="I21" i="40" s="1"/>
  <c r="I37" i="42"/>
  <c r="E107" i="40"/>
  <c r="I107" i="40" s="1"/>
  <c r="E56" i="40"/>
  <c r="I56" i="40" s="1"/>
  <c r="E91" i="42"/>
  <c r="T8" i="42"/>
  <c r="R85" i="48"/>
  <c r="R79" i="37"/>
  <c r="R77" i="37"/>
  <c r="T99" i="38"/>
  <c r="E57" i="38"/>
  <c r="I57" i="38" s="1"/>
  <c r="E92" i="39"/>
  <c r="E54" i="39"/>
  <c r="E19" i="39"/>
  <c r="H19" i="39" s="1"/>
  <c r="I19" i="39" s="1"/>
  <c r="E51" i="40"/>
  <c r="E18" i="40"/>
  <c r="T108" i="44"/>
  <c r="E90" i="44"/>
  <c r="T8" i="44"/>
  <c r="E92" i="44"/>
  <c r="E91" i="44"/>
  <c r="H109" i="45"/>
  <c r="T107" i="45"/>
  <c r="E42" i="38"/>
  <c r="I42" i="38" s="1"/>
  <c r="T108" i="39"/>
  <c r="E24" i="39"/>
  <c r="H24" i="39" s="1"/>
  <c r="I24" i="39" s="1"/>
  <c r="E58" i="40"/>
  <c r="I58" i="40" s="1"/>
  <c r="E27" i="40"/>
  <c r="H27" i="40" s="1"/>
  <c r="I27" i="40" s="1"/>
  <c r="E15" i="40"/>
  <c r="H15" i="40" s="1"/>
  <c r="E37" i="44"/>
  <c r="E40" i="44"/>
  <c r="I40" i="44" s="1"/>
  <c r="E39" i="44"/>
  <c r="I39" i="44" s="1"/>
  <c r="E41" i="44"/>
  <c r="I41" i="44" s="1"/>
  <c r="E38" i="44"/>
  <c r="I38" i="44" s="1"/>
  <c r="R85" i="37"/>
  <c r="R72" i="37"/>
  <c r="R70" i="37"/>
  <c r="R71" i="39"/>
  <c r="R68" i="39"/>
  <c r="E41" i="39"/>
  <c r="I41" i="39" s="1"/>
  <c r="E14" i="39"/>
  <c r="E53" i="40"/>
  <c r="I53" i="40" s="1"/>
  <c r="E23" i="40"/>
  <c r="H23" i="40" s="1"/>
  <c r="I23" i="40" s="1"/>
  <c r="E90" i="42"/>
  <c r="R79" i="42"/>
  <c r="E16" i="45"/>
  <c r="E26" i="45"/>
  <c r="H26" i="45" s="1"/>
  <c r="I26" i="45" s="1"/>
  <c r="E21" i="45"/>
  <c r="H21" i="45" s="1"/>
  <c r="I21" i="45" s="1"/>
  <c r="E13" i="45"/>
  <c r="E28" i="45"/>
  <c r="H28" i="45" s="1"/>
  <c r="I28" i="45" s="1"/>
  <c r="E18" i="45"/>
  <c r="E23" i="45"/>
  <c r="H23" i="45" s="1"/>
  <c r="I23" i="45" s="1"/>
  <c r="E15" i="45"/>
  <c r="H15" i="45" s="1"/>
  <c r="E25" i="45"/>
  <c r="H25" i="45" s="1"/>
  <c r="I25" i="45" s="1"/>
  <c r="E20" i="45"/>
  <c r="H20" i="45" s="1"/>
  <c r="I20" i="45" s="1"/>
  <c r="E27" i="45"/>
  <c r="H27" i="45" s="1"/>
  <c r="I27" i="45" s="1"/>
  <c r="E14" i="45"/>
  <c r="E17" i="45"/>
  <c r="H17" i="45" s="1"/>
  <c r="E22" i="45"/>
  <c r="H22" i="45" s="1"/>
  <c r="I22" i="45" s="1"/>
  <c r="E19" i="45"/>
  <c r="H19" i="45" s="1"/>
  <c r="I19" i="45" s="1"/>
  <c r="T109" i="47"/>
  <c r="T8" i="47"/>
  <c r="E92" i="47"/>
  <c r="E91" i="47"/>
  <c r="E90" i="47"/>
  <c r="E51" i="39"/>
  <c r="E22" i="39"/>
  <c r="H22" i="39" s="1"/>
  <c r="I22" i="39" s="1"/>
  <c r="E17" i="39"/>
  <c r="H17" i="39" s="1"/>
  <c r="E40" i="40"/>
  <c r="I40" i="40" s="1"/>
  <c r="E25" i="40"/>
  <c r="H25" i="40" s="1"/>
  <c r="I25" i="40" s="1"/>
  <c r="I42" i="47"/>
  <c r="E108" i="40"/>
  <c r="I108" i="40" s="1"/>
  <c r="E55" i="40"/>
  <c r="I55" i="40" s="1"/>
  <c r="E17" i="40"/>
  <c r="H17" i="40" s="1"/>
  <c r="U59" i="42"/>
  <c r="T109" i="43"/>
  <c r="I42" i="43"/>
  <c r="E42" i="44"/>
  <c r="I42" i="44" s="1"/>
  <c r="R78" i="45"/>
  <c r="H14" i="40"/>
  <c r="I14" i="40" s="1"/>
  <c r="I40" i="42"/>
  <c r="E52" i="42"/>
  <c r="I52" i="42" s="1"/>
  <c r="E42" i="42"/>
  <c r="I42" i="42" s="1"/>
  <c r="E39" i="42"/>
  <c r="I39" i="42" s="1"/>
  <c r="E24" i="43"/>
  <c r="H24" i="43" s="1"/>
  <c r="I24" i="43" s="1"/>
  <c r="I58" i="47"/>
  <c r="E24" i="42"/>
  <c r="H24" i="42" s="1"/>
  <c r="I24" i="42" s="1"/>
  <c r="T100" i="43"/>
  <c r="U100" i="43" s="1"/>
  <c r="E58" i="43"/>
  <c r="I58" i="43" s="1"/>
  <c r="E27" i="43"/>
  <c r="H27" i="43" s="1"/>
  <c r="I27" i="43" s="1"/>
  <c r="T109" i="44"/>
  <c r="E108" i="44"/>
  <c r="I108" i="44" s="1"/>
  <c r="E54" i="44"/>
  <c r="I54" i="44" s="1"/>
  <c r="R76" i="45"/>
  <c r="U84" i="47"/>
  <c r="H18" i="47"/>
  <c r="I18" i="47" s="1"/>
  <c r="R71" i="42"/>
  <c r="R68" i="42"/>
  <c r="E56" i="42"/>
  <c r="I56" i="42" s="1"/>
  <c r="E41" i="42"/>
  <c r="I41" i="42" s="1"/>
  <c r="E14" i="42"/>
  <c r="E53" i="43"/>
  <c r="I53" i="43" s="1"/>
  <c r="E20" i="43"/>
  <c r="H20" i="43" s="1"/>
  <c r="I20" i="43" s="1"/>
  <c r="T100" i="47"/>
  <c r="U100" i="47" s="1"/>
  <c r="R76" i="47"/>
  <c r="E91" i="48"/>
  <c r="E90" i="48"/>
  <c r="E92" i="48"/>
  <c r="T8" i="48"/>
  <c r="E51" i="42"/>
  <c r="I51" i="42" s="1"/>
  <c r="E25" i="43"/>
  <c r="H25" i="43" s="1"/>
  <c r="I25" i="43" s="1"/>
  <c r="E15" i="43"/>
  <c r="H15" i="43" s="1"/>
  <c r="T99" i="44"/>
  <c r="I52" i="47"/>
  <c r="H18" i="44"/>
  <c r="I18" i="44" s="1"/>
  <c r="R80" i="47"/>
  <c r="E50" i="44"/>
  <c r="E55" i="44"/>
  <c r="I55" i="44" s="1"/>
  <c r="E58" i="44"/>
  <c r="I58" i="44" s="1"/>
  <c r="E51" i="44"/>
  <c r="I51" i="44" s="1"/>
  <c r="E53" i="44"/>
  <c r="I53" i="44" s="1"/>
  <c r="T58" i="45"/>
  <c r="U58" i="45" s="1"/>
  <c r="P92" i="45"/>
  <c r="P91" i="45"/>
  <c r="T108" i="75"/>
  <c r="E55" i="42"/>
  <c r="I55" i="42" s="1"/>
  <c r="E21" i="43"/>
  <c r="H21" i="43" s="1"/>
  <c r="I21" i="43" s="1"/>
  <c r="I99" i="45"/>
  <c r="T99" i="45"/>
  <c r="E23" i="42"/>
  <c r="H23" i="42" s="1"/>
  <c r="I23" i="42" s="1"/>
  <c r="E26" i="43"/>
  <c r="H26" i="43" s="1"/>
  <c r="I26" i="43" s="1"/>
  <c r="E52" i="44"/>
  <c r="I52" i="44" s="1"/>
  <c r="R78" i="47"/>
  <c r="U59" i="51"/>
  <c r="R78" i="48"/>
  <c r="R68" i="75"/>
  <c r="R70" i="48"/>
  <c r="H13" i="48"/>
  <c r="H14" i="52"/>
  <c r="I14" i="52" s="1"/>
  <c r="E24" i="44"/>
  <c r="H24" i="44" s="1"/>
  <c r="I24" i="44" s="1"/>
  <c r="U84" i="48"/>
  <c r="E37" i="48"/>
  <c r="E40" i="48"/>
  <c r="I40" i="48" s="1"/>
  <c r="E38" i="48"/>
  <c r="I38" i="48" s="1"/>
  <c r="E41" i="48"/>
  <c r="I41" i="48" s="1"/>
  <c r="I56" i="50"/>
  <c r="U59" i="50"/>
  <c r="E19" i="50"/>
  <c r="H19" i="50" s="1"/>
  <c r="I19" i="50" s="1"/>
  <c r="E16" i="50"/>
  <c r="E26" i="50"/>
  <c r="H26" i="50" s="1"/>
  <c r="I26" i="50" s="1"/>
  <c r="E21" i="50"/>
  <c r="H21" i="50" s="1"/>
  <c r="I21" i="50" s="1"/>
  <c r="E13" i="50"/>
  <c r="E28" i="50"/>
  <c r="H28" i="50" s="1"/>
  <c r="I28" i="50" s="1"/>
  <c r="E18" i="50"/>
  <c r="E23" i="50"/>
  <c r="H23" i="50" s="1"/>
  <c r="I23" i="50" s="1"/>
  <c r="E15" i="50"/>
  <c r="H15" i="50" s="1"/>
  <c r="E25" i="50"/>
  <c r="H25" i="50" s="1"/>
  <c r="I25" i="50" s="1"/>
  <c r="E20" i="50"/>
  <c r="H20" i="50" s="1"/>
  <c r="I20" i="50" s="1"/>
  <c r="E27" i="50"/>
  <c r="H27" i="50" s="1"/>
  <c r="I27" i="50" s="1"/>
  <c r="E17" i="50"/>
  <c r="H17" i="50" s="1"/>
  <c r="E22" i="50"/>
  <c r="H22" i="50" s="1"/>
  <c r="I22" i="50" s="1"/>
  <c r="E22" i="44"/>
  <c r="H22" i="44" s="1"/>
  <c r="I22" i="44" s="1"/>
  <c r="E17" i="44"/>
  <c r="H17" i="44" s="1"/>
  <c r="R79" i="45"/>
  <c r="R77" i="45"/>
  <c r="I50" i="45"/>
  <c r="E40" i="45"/>
  <c r="I40" i="45" s="1"/>
  <c r="E37" i="45"/>
  <c r="E42" i="48"/>
  <c r="I42" i="48" s="1"/>
  <c r="U84" i="51"/>
  <c r="E27" i="44"/>
  <c r="H27" i="44" s="1"/>
  <c r="I27" i="44" s="1"/>
  <c r="E55" i="45"/>
  <c r="I55" i="45" s="1"/>
  <c r="E53" i="47"/>
  <c r="I53" i="47" s="1"/>
  <c r="E51" i="47"/>
  <c r="I51" i="47" s="1"/>
  <c r="E54" i="47"/>
  <c r="I54" i="47" s="1"/>
  <c r="E15" i="47"/>
  <c r="H15" i="47" s="1"/>
  <c r="E25" i="47"/>
  <c r="H25" i="47" s="1"/>
  <c r="I25" i="47" s="1"/>
  <c r="E20" i="47"/>
  <c r="H20" i="47" s="1"/>
  <c r="I20" i="47" s="1"/>
  <c r="E27" i="47"/>
  <c r="H27" i="47" s="1"/>
  <c r="I27" i="47" s="1"/>
  <c r="E17" i="47"/>
  <c r="H17" i="47" s="1"/>
  <c r="E22" i="47"/>
  <c r="H22" i="47" s="1"/>
  <c r="I22" i="47" s="1"/>
  <c r="E13" i="47"/>
  <c r="T109" i="48"/>
  <c r="R80" i="48"/>
  <c r="R76" i="48"/>
  <c r="E25" i="44"/>
  <c r="H25" i="44" s="1"/>
  <c r="I25" i="44" s="1"/>
  <c r="E15" i="44"/>
  <c r="H109" i="50"/>
  <c r="T107" i="50"/>
  <c r="E42" i="45"/>
  <c r="I42" i="45" s="1"/>
  <c r="T108" i="48"/>
  <c r="E39" i="48"/>
  <c r="I39" i="48" s="1"/>
  <c r="U84" i="50"/>
  <c r="I108" i="51"/>
  <c r="H16" i="51"/>
  <c r="E23" i="44"/>
  <c r="H23" i="44" s="1"/>
  <c r="I23" i="44" s="1"/>
  <c r="R72" i="48"/>
  <c r="U59" i="48"/>
  <c r="E19" i="48"/>
  <c r="H19" i="48" s="1"/>
  <c r="I19" i="48" s="1"/>
  <c r="E51" i="50"/>
  <c r="I51" i="50" s="1"/>
  <c r="R79" i="51"/>
  <c r="R77" i="51"/>
  <c r="R78" i="52"/>
  <c r="E53" i="76"/>
  <c r="I53" i="76" s="1"/>
  <c r="E58" i="76"/>
  <c r="I58" i="76" s="1"/>
  <c r="E51" i="76"/>
  <c r="I51" i="76" s="1"/>
  <c r="E54" i="76"/>
  <c r="I54" i="76" s="1"/>
  <c r="E109" i="76"/>
  <c r="I109" i="76" s="1"/>
  <c r="E57" i="76"/>
  <c r="I57" i="76" s="1"/>
  <c r="E55" i="76"/>
  <c r="I55" i="76" s="1"/>
  <c r="E108" i="76"/>
  <c r="I108" i="76" s="1"/>
  <c r="E56" i="76"/>
  <c r="I56" i="76" s="1"/>
  <c r="E52" i="76"/>
  <c r="I52" i="76" s="1"/>
  <c r="E24" i="48"/>
  <c r="H24" i="48" s="1"/>
  <c r="I24" i="48" s="1"/>
  <c r="T100" i="50"/>
  <c r="U100" i="50" s="1"/>
  <c r="I17" i="52"/>
  <c r="E38" i="75"/>
  <c r="I38" i="75" s="1"/>
  <c r="E41" i="75"/>
  <c r="I41" i="75" s="1"/>
  <c r="E39" i="75"/>
  <c r="I39" i="75" s="1"/>
  <c r="E42" i="75"/>
  <c r="I42" i="75" s="1"/>
  <c r="E14" i="48"/>
  <c r="R85" i="51"/>
  <c r="R72" i="51"/>
  <c r="P90" i="52"/>
  <c r="P92" i="52"/>
  <c r="P91" i="52"/>
  <c r="E40" i="75"/>
  <c r="I40" i="75" s="1"/>
  <c r="U59" i="76"/>
  <c r="R71" i="58"/>
  <c r="I37" i="51"/>
  <c r="R76" i="52"/>
  <c r="I50" i="76"/>
  <c r="E25" i="48"/>
  <c r="H25" i="48" s="1"/>
  <c r="I25" i="48" s="1"/>
  <c r="E15" i="48"/>
  <c r="H15" i="48" s="1"/>
  <c r="E57" i="50"/>
  <c r="I57" i="50" s="1"/>
  <c r="E92" i="51"/>
  <c r="E22" i="51"/>
  <c r="H22" i="51" s="1"/>
  <c r="I22" i="51" s="1"/>
  <c r="R71" i="75"/>
  <c r="E37" i="75"/>
  <c r="E52" i="50"/>
  <c r="I52" i="50" s="1"/>
  <c r="E42" i="50"/>
  <c r="I42" i="50" s="1"/>
  <c r="U84" i="52"/>
  <c r="E107" i="76"/>
  <c r="I107" i="76" s="1"/>
  <c r="E23" i="48"/>
  <c r="H23" i="48" s="1"/>
  <c r="I23" i="48" s="1"/>
  <c r="E18" i="48"/>
  <c r="E109" i="50"/>
  <c r="I100" i="76"/>
  <c r="T100" i="76"/>
  <c r="U100" i="76" s="1"/>
  <c r="E40" i="47"/>
  <c r="I40" i="47" s="1"/>
  <c r="E28" i="48"/>
  <c r="H28" i="48" s="1"/>
  <c r="I28" i="48" s="1"/>
  <c r="E21" i="51"/>
  <c r="H21" i="51" s="1"/>
  <c r="I21" i="51" s="1"/>
  <c r="E13" i="51"/>
  <c r="E28" i="51"/>
  <c r="H28" i="51" s="1"/>
  <c r="I28" i="51" s="1"/>
  <c r="E20" i="51"/>
  <c r="H20" i="51" s="1"/>
  <c r="I20" i="51" s="1"/>
  <c r="E27" i="51"/>
  <c r="H27" i="51" s="1"/>
  <c r="I27" i="51" s="1"/>
  <c r="E14" i="51"/>
  <c r="R80" i="52"/>
  <c r="R77" i="55"/>
  <c r="E37" i="56"/>
  <c r="E40" i="56"/>
  <c r="I40" i="56" s="1"/>
  <c r="E38" i="56"/>
  <c r="I38" i="56" s="1"/>
  <c r="E39" i="56"/>
  <c r="I39" i="56" s="1"/>
  <c r="E41" i="56"/>
  <c r="I41" i="56" s="1"/>
  <c r="E42" i="56"/>
  <c r="I42" i="56" s="1"/>
  <c r="T109" i="76"/>
  <c r="P91" i="56"/>
  <c r="P90" i="56"/>
  <c r="R79" i="52"/>
  <c r="R77" i="52"/>
  <c r="E40" i="52"/>
  <c r="I40" i="52" s="1"/>
  <c r="E37" i="52"/>
  <c r="E52" i="75"/>
  <c r="I52" i="75" s="1"/>
  <c r="E28" i="75"/>
  <c r="H28" i="75" s="1"/>
  <c r="I28" i="75" s="1"/>
  <c r="U84" i="55"/>
  <c r="E91" i="55"/>
  <c r="E90" i="55"/>
  <c r="E92" i="55"/>
  <c r="T8" i="55"/>
  <c r="U84" i="57"/>
  <c r="E53" i="51"/>
  <c r="I53" i="51" s="1"/>
  <c r="E16" i="75"/>
  <c r="U59" i="55"/>
  <c r="H18" i="55"/>
  <c r="I18" i="55" s="1"/>
  <c r="T109" i="56"/>
  <c r="P92" i="56"/>
  <c r="R72" i="57"/>
  <c r="E55" i="51"/>
  <c r="I55" i="51" s="1"/>
  <c r="E42" i="52"/>
  <c r="I42" i="52" s="1"/>
  <c r="E21" i="52"/>
  <c r="H21" i="52" s="1"/>
  <c r="I21" i="52" s="1"/>
  <c r="E14" i="75"/>
  <c r="E19" i="75"/>
  <c r="H19" i="75" s="1"/>
  <c r="I19" i="75" s="1"/>
  <c r="E13" i="75"/>
  <c r="E24" i="75"/>
  <c r="H24" i="75" s="1"/>
  <c r="I24" i="75" s="1"/>
  <c r="E20" i="75"/>
  <c r="H20" i="75" s="1"/>
  <c r="I20" i="75" s="1"/>
  <c r="E15" i="75"/>
  <c r="H15" i="75" s="1"/>
  <c r="U84" i="76"/>
  <c r="R79" i="55"/>
  <c r="E57" i="51"/>
  <c r="I57" i="51" s="1"/>
  <c r="E51" i="75"/>
  <c r="E22" i="75"/>
  <c r="H22" i="75" s="1"/>
  <c r="I22" i="75" s="1"/>
  <c r="I37" i="55"/>
  <c r="E42" i="51"/>
  <c r="I42" i="51" s="1"/>
  <c r="U59" i="57"/>
  <c r="H109" i="55"/>
  <c r="E52" i="55"/>
  <c r="I52" i="55" s="1"/>
  <c r="E42" i="55"/>
  <c r="I42" i="55" s="1"/>
  <c r="E39" i="55"/>
  <c r="I39" i="55" s="1"/>
  <c r="E21" i="55"/>
  <c r="H21" i="55" s="1"/>
  <c r="I21" i="55" s="1"/>
  <c r="E109" i="56"/>
  <c r="I109" i="56" s="1"/>
  <c r="R80" i="56"/>
  <c r="E19" i="55"/>
  <c r="H19" i="55" s="1"/>
  <c r="I19" i="55" s="1"/>
  <c r="E57" i="56"/>
  <c r="I57" i="56" s="1"/>
  <c r="E55" i="56"/>
  <c r="I55" i="56" s="1"/>
  <c r="E108" i="56"/>
  <c r="I108" i="56" s="1"/>
  <c r="E58" i="56"/>
  <c r="I58" i="56" s="1"/>
  <c r="E54" i="56"/>
  <c r="I54" i="56" s="1"/>
  <c r="H26" i="56"/>
  <c r="I26" i="56" s="1"/>
  <c r="E14" i="57"/>
  <c r="H24" i="58"/>
  <c r="I24" i="58" s="1"/>
  <c r="E24" i="55"/>
  <c r="H24" i="55" s="1"/>
  <c r="I24" i="55" s="1"/>
  <c r="T108" i="56"/>
  <c r="R76" i="56"/>
  <c r="E90" i="56"/>
  <c r="E92" i="56"/>
  <c r="H109" i="66"/>
  <c r="T107" i="66"/>
  <c r="R71" i="55"/>
  <c r="R68" i="55"/>
  <c r="E41" i="55"/>
  <c r="I41" i="55" s="1"/>
  <c r="E38" i="55"/>
  <c r="I38" i="55" s="1"/>
  <c r="E14" i="55"/>
  <c r="U59" i="56"/>
  <c r="R80" i="76"/>
  <c r="R78" i="76"/>
  <c r="R76" i="76"/>
  <c r="E19" i="76"/>
  <c r="H19" i="76" s="1"/>
  <c r="I19" i="76" s="1"/>
  <c r="E51" i="55"/>
  <c r="E22" i="55"/>
  <c r="H22" i="55" s="1"/>
  <c r="I22" i="55" s="1"/>
  <c r="E17" i="55"/>
  <c r="H17" i="55" s="1"/>
  <c r="E26" i="57"/>
  <c r="H26" i="57" s="1"/>
  <c r="I26" i="57" s="1"/>
  <c r="E92" i="57"/>
  <c r="T8" i="57"/>
  <c r="E90" i="57"/>
  <c r="E24" i="76"/>
  <c r="H24" i="76" s="1"/>
  <c r="I24" i="76" s="1"/>
  <c r="E58" i="55"/>
  <c r="I58" i="55" s="1"/>
  <c r="E27" i="55"/>
  <c r="H27" i="55" s="1"/>
  <c r="I27" i="55" s="1"/>
  <c r="E91" i="56"/>
  <c r="E50" i="56"/>
  <c r="E19" i="57"/>
  <c r="H19" i="57" s="1"/>
  <c r="I19" i="57" s="1"/>
  <c r="E21" i="57"/>
  <c r="H21" i="57" s="1"/>
  <c r="I21" i="57" s="1"/>
  <c r="E13" i="57"/>
  <c r="E28" i="57"/>
  <c r="H28" i="57" s="1"/>
  <c r="I28" i="57" s="1"/>
  <c r="E20" i="57"/>
  <c r="H20" i="57" s="1"/>
  <c r="I20" i="57" s="1"/>
  <c r="E27" i="57"/>
  <c r="H27" i="57" s="1"/>
  <c r="I27" i="57" s="1"/>
  <c r="E17" i="57"/>
  <c r="H17" i="57" s="1"/>
  <c r="E22" i="57"/>
  <c r="H22" i="57" s="1"/>
  <c r="I22" i="57" s="1"/>
  <c r="E16" i="57"/>
  <c r="E20" i="55"/>
  <c r="H20" i="55" s="1"/>
  <c r="I20" i="55" s="1"/>
  <c r="R78" i="56"/>
  <c r="E40" i="55"/>
  <c r="I40" i="55" s="1"/>
  <c r="E25" i="55"/>
  <c r="H25" i="55" s="1"/>
  <c r="I25" i="55" s="1"/>
  <c r="E15" i="55"/>
  <c r="H15" i="55" s="1"/>
  <c r="U84" i="56"/>
  <c r="I107" i="57"/>
  <c r="H109" i="57"/>
  <c r="T107" i="57"/>
  <c r="E108" i="55"/>
  <c r="I108" i="55" s="1"/>
  <c r="E55" i="55"/>
  <c r="I55" i="55" s="1"/>
  <c r="E107" i="56"/>
  <c r="I107" i="56" s="1"/>
  <c r="E53" i="56"/>
  <c r="I53" i="56" s="1"/>
  <c r="I54" i="57"/>
  <c r="E25" i="57"/>
  <c r="H25" i="57" s="1"/>
  <c r="I25" i="57" s="1"/>
  <c r="T58" i="67"/>
  <c r="U58" i="67" s="1"/>
  <c r="E23" i="55"/>
  <c r="H23" i="55" s="1"/>
  <c r="I23" i="55" s="1"/>
  <c r="I100" i="57"/>
  <c r="T100" i="57"/>
  <c r="U100" i="57" s="1"/>
  <c r="I50" i="57"/>
  <c r="E15" i="57"/>
  <c r="H15" i="57" s="1"/>
  <c r="E19" i="56"/>
  <c r="H19" i="56" s="1"/>
  <c r="I19" i="56" s="1"/>
  <c r="E51" i="57"/>
  <c r="I51" i="57" s="1"/>
  <c r="E109" i="58"/>
  <c r="E57" i="58"/>
  <c r="I57" i="58" s="1"/>
  <c r="E50" i="58"/>
  <c r="E51" i="58"/>
  <c r="I51" i="58" s="1"/>
  <c r="E56" i="58"/>
  <c r="I56" i="58" s="1"/>
  <c r="E14" i="66"/>
  <c r="E19" i="66"/>
  <c r="H19" i="66" s="1"/>
  <c r="I19" i="66" s="1"/>
  <c r="E16" i="66"/>
  <c r="E26" i="66"/>
  <c r="H26" i="66" s="1"/>
  <c r="I26" i="66" s="1"/>
  <c r="E21" i="66"/>
  <c r="H21" i="66" s="1"/>
  <c r="I21" i="66" s="1"/>
  <c r="E13" i="66"/>
  <c r="E28" i="66"/>
  <c r="H28" i="66" s="1"/>
  <c r="I28" i="66" s="1"/>
  <c r="E15" i="66"/>
  <c r="H15" i="66" s="1"/>
  <c r="E25" i="66"/>
  <c r="H25" i="66" s="1"/>
  <c r="I25" i="66" s="1"/>
  <c r="E20" i="66"/>
  <c r="H20" i="66" s="1"/>
  <c r="I20" i="66" s="1"/>
  <c r="E18" i="66"/>
  <c r="I38" i="67"/>
  <c r="E24" i="56"/>
  <c r="H24" i="56" s="1"/>
  <c r="I24" i="56" s="1"/>
  <c r="E58" i="57"/>
  <c r="I58" i="57" s="1"/>
  <c r="H109" i="58"/>
  <c r="E107" i="58"/>
  <c r="I107" i="58" s="1"/>
  <c r="R68" i="58"/>
  <c r="E37" i="58"/>
  <c r="E38" i="58"/>
  <c r="I38" i="58" s="1"/>
  <c r="E41" i="58"/>
  <c r="I41" i="58" s="1"/>
  <c r="E27" i="56"/>
  <c r="H27" i="56" s="1"/>
  <c r="I27" i="56" s="1"/>
  <c r="E55" i="57"/>
  <c r="I55" i="57" s="1"/>
  <c r="E55" i="58"/>
  <c r="I55" i="58" s="1"/>
  <c r="E24" i="66"/>
  <c r="H24" i="66" s="1"/>
  <c r="I24" i="66" s="1"/>
  <c r="R72" i="67"/>
  <c r="R79" i="56"/>
  <c r="E25" i="56"/>
  <c r="H25" i="56" s="1"/>
  <c r="I25" i="56" s="1"/>
  <c r="E15" i="56"/>
  <c r="H15" i="56" s="1"/>
  <c r="T99" i="58"/>
  <c r="E16" i="58"/>
  <c r="E26" i="58"/>
  <c r="H26" i="58" s="1"/>
  <c r="I26" i="58" s="1"/>
  <c r="E13" i="58"/>
  <c r="E28" i="58"/>
  <c r="H28" i="58" s="1"/>
  <c r="I28" i="58" s="1"/>
  <c r="E18" i="58"/>
  <c r="E23" i="58"/>
  <c r="H23" i="58" s="1"/>
  <c r="I23" i="58" s="1"/>
  <c r="E15" i="58"/>
  <c r="H15" i="58" s="1"/>
  <c r="E25" i="58"/>
  <c r="H25" i="58" s="1"/>
  <c r="I25" i="58" s="1"/>
  <c r="E17" i="58"/>
  <c r="H17" i="58" s="1"/>
  <c r="E22" i="58"/>
  <c r="H22" i="58" s="1"/>
  <c r="I22" i="58" s="1"/>
  <c r="E14" i="58"/>
  <c r="E19" i="58"/>
  <c r="H19" i="58" s="1"/>
  <c r="I19" i="58" s="1"/>
  <c r="E39" i="67"/>
  <c r="I39" i="67" s="1"/>
  <c r="E42" i="67"/>
  <c r="I42" i="67" s="1"/>
  <c r="E40" i="67"/>
  <c r="I40" i="67" s="1"/>
  <c r="E37" i="67"/>
  <c r="R78" i="69"/>
  <c r="E52" i="57"/>
  <c r="I52" i="57" s="1"/>
  <c r="E42" i="57"/>
  <c r="I42" i="57" s="1"/>
  <c r="I50" i="66"/>
  <c r="E27" i="66"/>
  <c r="H27" i="66" s="1"/>
  <c r="I27" i="66" s="1"/>
  <c r="E28" i="56"/>
  <c r="H28" i="56" s="1"/>
  <c r="I28" i="56" s="1"/>
  <c r="U84" i="67"/>
  <c r="E41" i="67"/>
  <c r="I41" i="67" s="1"/>
  <c r="E53" i="66"/>
  <c r="I53" i="66" s="1"/>
  <c r="E22" i="67"/>
  <c r="H22" i="67" s="1"/>
  <c r="I22" i="67" s="1"/>
  <c r="E20" i="67"/>
  <c r="H20" i="67" s="1"/>
  <c r="I20" i="67" s="1"/>
  <c r="E40" i="66"/>
  <c r="I40" i="66" s="1"/>
  <c r="E37" i="66"/>
  <c r="E28" i="67"/>
  <c r="H28" i="67" s="1"/>
  <c r="I28" i="67" s="1"/>
  <c r="E26" i="67"/>
  <c r="H26" i="67" s="1"/>
  <c r="I26" i="67" s="1"/>
  <c r="E24" i="67"/>
  <c r="H24" i="67" s="1"/>
  <c r="I24" i="67" s="1"/>
  <c r="I50" i="69"/>
  <c r="T8" i="67"/>
  <c r="E91" i="67"/>
  <c r="E57" i="66"/>
  <c r="I57" i="66" s="1"/>
  <c r="E19" i="67"/>
  <c r="H19" i="67" s="1"/>
  <c r="I19" i="67" s="1"/>
  <c r="E17" i="67"/>
  <c r="H17" i="67" s="1"/>
  <c r="U84" i="70"/>
  <c r="U59" i="68"/>
  <c r="E52" i="66"/>
  <c r="I52" i="66" s="1"/>
  <c r="E21" i="67"/>
  <c r="H21" i="67" s="1"/>
  <c r="I21" i="67" s="1"/>
  <c r="E13" i="67"/>
  <c r="E18" i="67"/>
  <c r="E23" i="67"/>
  <c r="H23" i="67" s="1"/>
  <c r="I23" i="67" s="1"/>
  <c r="R80" i="69"/>
  <c r="U59" i="70"/>
  <c r="E109" i="66"/>
  <c r="E54" i="66"/>
  <c r="I54" i="66" s="1"/>
  <c r="E27" i="67"/>
  <c r="H27" i="67" s="1"/>
  <c r="I27" i="67" s="1"/>
  <c r="R76" i="69"/>
  <c r="H14" i="69"/>
  <c r="I14" i="69" s="1"/>
  <c r="E107" i="66"/>
  <c r="I107" i="66" s="1"/>
  <c r="E41" i="66"/>
  <c r="I41" i="66" s="1"/>
  <c r="E92" i="67"/>
  <c r="E16" i="67"/>
  <c r="E39" i="70"/>
  <c r="I39" i="70" s="1"/>
  <c r="E42" i="70"/>
  <c r="I42" i="70" s="1"/>
  <c r="E40" i="70"/>
  <c r="I40" i="70" s="1"/>
  <c r="E41" i="70"/>
  <c r="I41" i="70" s="1"/>
  <c r="E37" i="70"/>
  <c r="E38" i="70"/>
  <c r="I38" i="70" s="1"/>
  <c r="T109" i="70"/>
  <c r="E55" i="68"/>
  <c r="I55" i="68" s="1"/>
  <c r="E108" i="68"/>
  <c r="I108" i="68" s="1"/>
  <c r="E53" i="68"/>
  <c r="I53" i="68" s="1"/>
  <c r="E58" i="68"/>
  <c r="I58" i="68" s="1"/>
  <c r="E51" i="68"/>
  <c r="I51" i="68" s="1"/>
  <c r="E56" i="68"/>
  <c r="I56" i="68" s="1"/>
  <c r="E107" i="68"/>
  <c r="I107" i="68" s="1"/>
  <c r="E109" i="68"/>
  <c r="E57" i="68"/>
  <c r="I57" i="68" s="1"/>
  <c r="H109" i="77"/>
  <c r="T107" i="77"/>
  <c r="I99" i="70"/>
  <c r="R80" i="71"/>
  <c r="I53" i="71"/>
  <c r="H27" i="71"/>
  <c r="I27" i="71" s="1"/>
  <c r="I100" i="68"/>
  <c r="T100" i="68"/>
  <c r="U100" i="68" s="1"/>
  <c r="R76" i="71"/>
  <c r="T109" i="68"/>
  <c r="I109" i="68"/>
  <c r="H18" i="30"/>
  <c r="I18" i="30" s="1"/>
  <c r="H20" i="70"/>
  <c r="I20" i="70" s="1"/>
  <c r="I99" i="68"/>
  <c r="T99" i="68"/>
  <c r="P90" i="68"/>
  <c r="I37" i="68"/>
  <c r="I17" i="68"/>
  <c r="E52" i="69"/>
  <c r="I52" i="69" s="1"/>
  <c r="E42" i="69"/>
  <c r="I42" i="69" s="1"/>
  <c r="T100" i="70"/>
  <c r="U100" i="70" s="1"/>
  <c r="T108" i="78"/>
  <c r="E50" i="67"/>
  <c r="E109" i="69"/>
  <c r="I109" i="69" s="1"/>
  <c r="E26" i="69"/>
  <c r="H26" i="69" s="1"/>
  <c r="I26" i="69" s="1"/>
  <c r="E16" i="69"/>
  <c r="E16" i="70"/>
  <c r="E26" i="70"/>
  <c r="H26" i="70" s="1"/>
  <c r="I26" i="70" s="1"/>
  <c r="E21" i="70"/>
  <c r="H21" i="70" s="1"/>
  <c r="I21" i="70" s="1"/>
  <c r="E13" i="70"/>
  <c r="E28" i="70"/>
  <c r="H28" i="70" s="1"/>
  <c r="I28" i="70" s="1"/>
  <c r="E17" i="70"/>
  <c r="H17" i="70" s="1"/>
  <c r="E22" i="70"/>
  <c r="H22" i="70" s="1"/>
  <c r="I22" i="70" s="1"/>
  <c r="E38" i="71"/>
  <c r="I38" i="71" s="1"/>
  <c r="E41" i="71"/>
  <c r="I41" i="71" s="1"/>
  <c r="E39" i="71"/>
  <c r="I39" i="71" s="1"/>
  <c r="E42" i="71"/>
  <c r="I42" i="71" s="1"/>
  <c r="E37" i="71"/>
  <c r="E40" i="71"/>
  <c r="I40" i="71" s="1"/>
  <c r="R78" i="71"/>
  <c r="H24" i="70"/>
  <c r="I24" i="70" s="1"/>
  <c r="U84" i="77"/>
  <c r="E51" i="70"/>
  <c r="I51" i="70" s="1"/>
  <c r="E25" i="71"/>
  <c r="H25" i="71" s="1"/>
  <c r="I25" i="71" s="1"/>
  <c r="E15" i="71"/>
  <c r="H15" i="71" s="1"/>
  <c r="E28" i="68"/>
  <c r="H28" i="68" s="1"/>
  <c r="I28" i="68" s="1"/>
  <c r="E26" i="68"/>
  <c r="H26" i="68" s="1"/>
  <c r="I26" i="68" s="1"/>
  <c r="R68" i="78"/>
  <c r="U59" i="30"/>
  <c r="I37" i="30"/>
  <c r="P90" i="77"/>
  <c r="P92" i="77"/>
  <c r="P91" i="77"/>
  <c r="E52" i="71"/>
  <c r="T8" i="71"/>
  <c r="E13" i="68"/>
  <c r="E15" i="68"/>
  <c r="H15" i="68" s="1"/>
  <c r="E27" i="68"/>
  <c r="H27" i="68" s="1"/>
  <c r="I27" i="68" s="1"/>
  <c r="E14" i="68"/>
  <c r="E19" i="68"/>
  <c r="H19" i="68" s="1"/>
  <c r="I19" i="68" s="1"/>
  <c r="E21" i="68"/>
  <c r="H21" i="68" s="1"/>
  <c r="I21" i="68" s="1"/>
  <c r="U59" i="78"/>
  <c r="E54" i="71"/>
  <c r="I54" i="71" s="1"/>
  <c r="E19" i="71"/>
  <c r="H19" i="71" s="1"/>
  <c r="I19" i="71" s="1"/>
  <c r="E25" i="68"/>
  <c r="H25" i="68" s="1"/>
  <c r="I25" i="68" s="1"/>
  <c r="U59" i="77"/>
  <c r="E19" i="77"/>
  <c r="H19" i="77" s="1"/>
  <c r="I19" i="77" s="1"/>
  <c r="E16" i="77"/>
  <c r="E26" i="77"/>
  <c r="H26" i="77" s="1"/>
  <c r="I26" i="77" s="1"/>
  <c r="E21" i="77"/>
  <c r="H21" i="77" s="1"/>
  <c r="I21" i="77" s="1"/>
  <c r="E13" i="77"/>
  <c r="E28" i="77"/>
  <c r="H28" i="77" s="1"/>
  <c r="I28" i="77" s="1"/>
  <c r="E18" i="77"/>
  <c r="E23" i="77"/>
  <c r="H23" i="77" s="1"/>
  <c r="I23" i="77" s="1"/>
  <c r="E15" i="77"/>
  <c r="H15" i="77" s="1"/>
  <c r="E25" i="77"/>
  <c r="H25" i="77" s="1"/>
  <c r="I25" i="77" s="1"/>
  <c r="E20" i="77"/>
  <c r="H20" i="77" s="1"/>
  <c r="I20" i="77" s="1"/>
  <c r="E27" i="77"/>
  <c r="H27" i="77" s="1"/>
  <c r="I27" i="77" s="1"/>
  <c r="E17" i="77"/>
  <c r="H17" i="77" s="1"/>
  <c r="E22" i="77"/>
  <c r="H22" i="77" s="1"/>
  <c r="I22" i="77" s="1"/>
  <c r="E24" i="71"/>
  <c r="H24" i="71" s="1"/>
  <c r="I24" i="71" s="1"/>
  <c r="U84" i="30"/>
  <c r="E107" i="71"/>
  <c r="I107" i="71" s="1"/>
  <c r="P90" i="78"/>
  <c r="P92" i="78"/>
  <c r="R71" i="78"/>
  <c r="E19" i="62"/>
  <c r="E20" i="62" s="1"/>
  <c r="E26" i="62" s="1"/>
  <c r="E28" i="62" s="1"/>
  <c r="E38" i="78"/>
  <c r="I38" i="78" s="1"/>
  <c r="E41" i="78"/>
  <c r="I41" i="78" s="1"/>
  <c r="E39" i="78"/>
  <c r="I39" i="78" s="1"/>
  <c r="E42" i="78"/>
  <c r="I42" i="78" s="1"/>
  <c r="E37" i="78"/>
  <c r="E40" i="78"/>
  <c r="I40" i="78" s="1"/>
  <c r="E51" i="77"/>
  <c r="I51" i="77" s="1"/>
  <c r="E25" i="78"/>
  <c r="H25" i="78" s="1"/>
  <c r="I25" i="78" s="1"/>
  <c r="E15" i="78"/>
  <c r="H15" i="78" s="1"/>
  <c r="T107" i="30"/>
  <c r="E57" i="30"/>
  <c r="I57" i="30" s="1"/>
  <c r="E28" i="30"/>
  <c r="H28" i="30" s="1"/>
  <c r="I28" i="30" s="1"/>
  <c r="E13" i="30"/>
  <c r="E52" i="30"/>
  <c r="I52" i="30" s="1"/>
  <c r="E42" i="30"/>
  <c r="I42" i="30" s="1"/>
  <c r="E39" i="30"/>
  <c r="I39" i="30" s="1"/>
  <c r="R85" i="78"/>
  <c r="R72" i="78"/>
  <c r="R70" i="78"/>
  <c r="E109" i="30"/>
  <c r="I109" i="30" s="1"/>
  <c r="E26" i="30"/>
  <c r="H26" i="30" s="1"/>
  <c r="I26" i="30" s="1"/>
  <c r="E16" i="30"/>
  <c r="R79" i="77"/>
  <c r="R77" i="77"/>
  <c r="I50" i="77"/>
  <c r="E40" i="77"/>
  <c r="I40" i="77" s="1"/>
  <c r="E37" i="77"/>
  <c r="T107" i="78"/>
  <c r="E28" i="78"/>
  <c r="H28" i="78" s="1"/>
  <c r="I28" i="78" s="1"/>
  <c r="E13" i="78"/>
  <c r="E54" i="30"/>
  <c r="I54" i="30" s="1"/>
  <c r="E19" i="30"/>
  <c r="H19" i="30" s="1"/>
  <c r="I19" i="30" s="1"/>
  <c r="E55" i="77"/>
  <c r="I55" i="77" s="1"/>
  <c r="H109" i="78"/>
  <c r="E21" i="78"/>
  <c r="H21" i="78" s="1"/>
  <c r="I21" i="78" s="1"/>
  <c r="T108" i="30"/>
  <c r="E24" i="30"/>
  <c r="H24" i="30" s="1"/>
  <c r="I24" i="30" s="1"/>
  <c r="R85" i="77"/>
  <c r="R72" i="77"/>
  <c r="R70" i="77"/>
  <c r="E16" i="78"/>
  <c r="E107" i="30"/>
  <c r="I107" i="30" s="1"/>
  <c r="R71" i="30"/>
  <c r="R68" i="30"/>
  <c r="E56" i="30"/>
  <c r="I56" i="30" s="1"/>
  <c r="E41" i="30"/>
  <c r="I41" i="30" s="1"/>
  <c r="E38" i="30"/>
  <c r="I38" i="30" s="1"/>
  <c r="E14" i="30"/>
  <c r="R80" i="78"/>
  <c r="R78" i="78"/>
  <c r="R76" i="78"/>
  <c r="E19" i="78"/>
  <c r="H19" i="78" s="1"/>
  <c r="I19" i="78" s="1"/>
  <c r="E51" i="30"/>
  <c r="I51" i="30" s="1"/>
  <c r="E22" i="30"/>
  <c r="H22" i="30" s="1"/>
  <c r="I22" i="30" s="1"/>
  <c r="E17" i="30"/>
  <c r="H17" i="30" s="1"/>
  <c r="E52" i="77"/>
  <c r="I52" i="77" s="1"/>
  <c r="E42" i="77"/>
  <c r="I42" i="77" s="1"/>
  <c r="E24" i="78"/>
  <c r="H24" i="78" s="1"/>
  <c r="I24" i="78" s="1"/>
  <c r="E58" i="30"/>
  <c r="I58" i="30" s="1"/>
  <c r="E27" i="30"/>
  <c r="H27" i="30" s="1"/>
  <c r="I27" i="30" s="1"/>
  <c r="E40" i="30"/>
  <c r="I40" i="30" s="1"/>
  <c r="E25" i="30"/>
  <c r="H25" i="30" s="1"/>
  <c r="I25" i="30" s="1"/>
  <c r="E43" i="68" l="1"/>
  <c r="E43" i="24"/>
  <c r="I109" i="51"/>
  <c r="I110" i="51" s="1"/>
  <c r="J18" i="69"/>
  <c r="E43" i="43"/>
  <c r="I43" i="69"/>
  <c r="P90" i="33"/>
  <c r="I38" i="68"/>
  <c r="I110" i="42"/>
  <c r="E43" i="33"/>
  <c r="E43" i="22"/>
  <c r="P91" i="40"/>
  <c r="J14" i="40"/>
  <c r="P92" i="40"/>
  <c r="J18" i="70"/>
  <c r="E43" i="38"/>
  <c r="J14" i="35"/>
  <c r="P91" i="76"/>
  <c r="P92" i="68"/>
  <c r="P91" i="30"/>
  <c r="I43" i="68"/>
  <c r="J14" i="47"/>
  <c r="E43" i="32"/>
  <c r="U59" i="52"/>
  <c r="E43" i="18"/>
  <c r="E43" i="25"/>
  <c r="E43" i="76"/>
  <c r="P90" i="76"/>
  <c r="I41" i="43"/>
  <c r="I43" i="43" s="1"/>
  <c r="H18" i="70"/>
  <c r="I18" i="70" s="1"/>
  <c r="J16" i="52"/>
  <c r="J18" i="47"/>
  <c r="J18" i="43"/>
  <c r="J18" i="39"/>
  <c r="J16" i="34"/>
  <c r="J18" i="78"/>
  <c r="J14" i="78"/>
  <c r="I110" i="71"/>
  <c r="I109" i="70"/>
  <c r="I110" i="70" s="1"/>
  <c r="C92" i="69"/>
  <c r="H92" i="69" s="1"/>
  <c r="J18" i="57"/>
  <c r="I110" i="75"/>
  <c r="J18" i="75"/>
  <c r="I110" i="52"/>
  <c r="I54" i="52"/>
  <c r="I59" i="52" s="1"/>
  <c r="J18" i="52"/>
  <c r="C91" i="52"/>
  <c r="H91" i="52" s="1"/>
  <c r="I26" i="52"/>
  <c r="H18" i="52"/>
  <c r="I18" i="52" s="1"/>
  <c r="E29" i="52"/>
  <c r="H120" i="52" s="1"/>
  <c r="I56" i="47"/>
  <c r="I59" i="47" s="1"/>
  <c r="I110" i="44"/>
  <c r="I110" i="35"/>
  <c r="I110" i="34"/>
  <c r="I110" i="18"/>
  <c r="J14" i="15"/>
  <c r="I110" i="32"/>
  <c r="I15" i="39"/>
  <c r="C91" i="39"/>
  <c r="H91" i="39" s="1"/>
  <c r="I39" i="28"/>
  <c r="I43" i="28" s="1"/>
  <c r="E43" i="28"/>
  <c r="I56" i="75"/>
  <c r="P92" i="27"/>
  <c r="P90" i="27"/>
  <c r="E43" i="36"/>
  <c r="I52" i="78"/>
  <c r="I59" i="78" s="1"/>
  <c r="I110" i="30"/>
  <c r="E59" i="35"/>
  <c r="P90" i="24"/>
  <c r="P92" i="24"/>
  <c r="P91" i="24"/>
  <c r="E59" i="52"/>
  <c r="E59" i="31"/>
  <c r="I110" i="27"/>
  <c r="I109" i="26"/>
  <c r="I110" i="26" s="1"/>
  <c r="T109" i="26"/>
  <c r="P90" i="50"/>
  <c r="P91" i="50"/>
  <c r="J16" i="68"/>
  <c r="H16" i="68"/>
  <c r="I16" i="68" s="1"/>
  <c r="E14" i="60"/>
  <c r="H14" i="60" s="1"/>
  <c r="J18" i="71"/>
  <c r="I57" i="71"/>
  <c r="I38" i="38"/>
  <c r="I43" i="38" s="1"/>
  <c r="E43" i="39"/>
  <c r="I43" i="25"/>
  <c r="I18" i="69"/>
  <c r="J18" i="35"/>
  <c r="I58" i="35"/>
  <c r="I59" i="35" s="1"/>
  <c r="E29" i="34"/>
  <c r="H120" i="34" s="1"/>
  <c r="J16" i="71"/>
  <c r="H16" i="71"/>
  <c r="I16" i="71" s="1"/>
  <c r="J14" i="52"/>
  <c r="E43" i="69"/>
  <c r="P91" i="28"/>
  <c r="P90" i="28"/>
  <c r="E43" i="21"/>
  <c r="I37" i="21"/>
  <c r="I43" i="21" s="1"/>
  <c r="H18" i="32"/>
  <c r="I18" i="32" s="1"/>
  <c r="H13" i="52"/>
  <c r="I52" i="71"/>
  <c r="E59" i="71"/>
  <c r="E13" i="60"/>
  <c r="H13" i="60" s="1"/>
  <c r="E59" i="78"/>
  <c r="J18" i="55"/>
  <c r="J18" i="44"/>
  <c r="J14" i="43"/>
  <c r="H16" i="76"/>
  <c r="I16" i="76" s="1"/>
  <c r="J16" i="76"/>
  <c r="E43" i="50"/>
  <c r="I110" i="43"/>
  <c r="T109" i="16"/>
  <c r="I110" i="69"/>
  <c r="I110" i="67"/>
  <c r="E59" i="15"/>
  <c r="J14" i="67"/>
  <c r="I110" i="47"/>
  <c r="I37" i="32"/>
  <c r="I43" i="32" s="1"/>
  <c r="J14" i="71"/>
  <c r="I40" i="18"/>
  <c r="I43" i="18" s="1"/>
  <c r="H18" i="78"/>
  <c r="I18" i="78" s="1"/>
  <c r="I110" i="24"/>
  <c r="I109" i="33"/>
  <c r="I110" i="33" s="1"/>
  <c r="J14" i="23"/>
  <c r="J14" i="26"/>
  <c r="I110" i="28"/>
  <c r="E59" i="70"/>
  <c r="J16" i="56"/>
  <c r="J14" i="76"/>
  <c r="E59" i="47"/>
  <c r="J16" i="43"/>
  <c r="J18" i="34"/>
  <c r="J14" i="32"/>
  <c r="P91" i="33"/>
  <c r="P92" i="50"/>
  <c r="P90" i="23"/>
  <c r="P91" i="17"/>
  <c r="U59" i="67"/>
  <c r="P92" i="17"/>
  <c r="P90" i="66"/>
  <c r="P91" i="66"/>
  <c r="P91" i="37"/>
  <c r="U59" i="75"/>
  <c r="P90" i="37"/>
  <c r="I43" i="50"/>
  <c r="U59" i="47"/>
  <c r="U59" i="31"/>
  <c r="I59" i="43"/>
  <c r="I43" i="22"/>
  <c r="U59" i="15"/>
  <c r="D31" i="60"/>
  <c r="P91" i="15"/>
  <c r="P90" i="15"/>
  <c r="E43" i="7"/>
  <c r="C90" i="69"/>
  <c r="H90" i="69" s="1"/>
  <c r="P91" i="21"/>
  <c r="I43" i="76"/>
  <c r="I43" i="36"/>
  <c r="I59" i="31"/>
  <c r="P92" i="38"/>
  <c r="P90" i="38"/>
  <c r="P91" i="38"/>
  <c r="I59" i="51"/>
  <c r="C90" i="35"/>
  <c r="H90" i="35" s="1"/>
  <c r="C92" i="33"/>
  <c r="H92" i="33" s="1"/>
  <c r="C92" i="42"/>
  <c r="H92" i="42" s="1"/>
  <c r="I43" i="33"/>
  <c r="I59" i="38"/>
  <c r="U59" i="45"/>
  <c r="I59" i="15"/>
  <c r="I43" i="34"/>
  <c r="I43" i="20"/>
  <c r="I23" i="60"/>
  <c r="P91" i="69"/>
  <c r="P92" i="69"/>
  <c r="P90" i="69"/>
  <c r="P91" i="36"/>
  <c r="P90" i="36"/>
  <c r="P92" i="36"/>
  <c r="P90" i="75"/>
  <c r="P91" i="75"/>
  <c r="P92" i="75"/>
  <c r="I59" i="57"/>
  <c r="I43" i="47"/>
  <c r="I43" i="23"/>
  <c r="I43" i="39"/>
  <c r="I59" i="70"/>
  <c r="I59" i="77"/>
  <c r="C91" i="33"/>
  <c r="H91" i="33" s="1"/>
  <c r="P92" i="22"/>
  <c r="P91" i="22"/>
  <c r="I43" i="27"/>
  <c r="I25" i="60"/>
  <c r="C90" i="43"/>
  <c r="H90" i="43" s="1"/>
  <c r="I100" i="60"/>
  <c r="I99" i="60"/>
  <c r="C62" i="34"/>
  <c r="H63" i="34" s="1"/>
  <c r="I110" i="56"/>
  <c r="E29" i="36"/>
  <c r="H120" i="36" s="1"/>
  <c r="H13" i="36"/>
  <c r="E39" i="60"/>
  <c r="I39" i="15"/>
  <c r="P90" i="71"/>
  <c r="P91" i="71"/>
  <c r="P92" i="71"/>
  <c r="I15" i="71"/>
  <c r="I59" i="30"/>
  <c r="I17" i="70"/>
  <c r="C92" i="70"/>
  <c r="H92" i="70" s="1"/>
  <c r="H16" i="57"/>
  <c r="I16" i="57" s="1"/>
  <c r="J16" i="57"/>
  <c r="E59" i="57"/>
  <c r="E29" i="75"/>
  <c r="H120" i="75" s="1"/>
  <c r="H13" i="75"/>
  <c r="E29" i="55"/>
  <c r="H120" i="55" s="1"/>
  <c r="E43" i="75"/>
  <c r="I37" i="75"/>
  <c r="I43" i="75" s="1"/>
  <c r="I59" i="76"/>
  <c r="J16" i="51"/>
  <c r="H13" i="47"/>
  <c r="E29" i="47"/>
  <c r="H120" i="47" s="1"/>
  <c r="J14" i="42"/>
  <c r="E29" i="42"/>
  <c r="H120" i="42" s="1"/>
  <c r="H14" i="42"/>
  <c r="C92" i="39"/>
  <c r="H92" i="39" s="1"/>
  <c r="I17" i="39"/>
  <c r="J14" i="45"/>
  <c r="H14" i="45"/>
  <c r="I14" i="45" s="1"/>
  <c r="I15" i="40"/>
  <c r="P90" i="44"/>
  <c r="P92" i="44"/>
  <c r="P91" i="44"/>
  <c r="I54" i="39"/>
  <c r="J16" i="39"/>
  <c r="I17" i="37"/>
  <c r="I17" i="38"/>
  <c r="I17" i="34"/>
  <c r="C92" i="34"/>
  <c r="H92" i="34" s="1"/>
  <c r="H18" i="36"/>
  <c r="I18" i="36" s="1"/>
  <c r="J18" i="36"/>
  <c r="I15" i="38"/>
  <c r="I53" i="33"/>
  <c r="J16" i="33"/>
  <c r="H29" i="33"/>
  <c r="E45" i="33" s="1"/>
  <c r="C65" i="33" s="1"/>
  <c r="H66" i="33" s="1"/>
  <c r="J16" i="23"/>
  <c r="J18" i="27"/>
  <c r="I56" i="27"/>
  <c r="H13" i="31"/>
  <c r="E29" i="31"/>
  <c r="H120" i="31" s="1"/>
  <c r="H20" i="18"/>
  <c r="I20" i="18" s="1"/>
  <c r="E20" i="60"/>
  <c r="H20" i="60" s="1"/>
  <c r="H26" i="15"/>
  <c r="I26" i="15" s="1"/>
  <c r="E26" i="60"/>
  <c r="H26" i="60" s="1"/>
  <c r="I15" i="16"/>
  <c r="C91" i="16"/>
  <c r="H91" i="16" s="1"/>
  <c r="H27" i="15"/>
  <c r="I27" i="15" s="1"/>
  <c r="I27" i="60" s="1"/>
  <c r="E27" i="60"/>
  <c r="H27" i="60" s="1"/>
  <c r="I15" i="25"/>
  <c r="E17" i="60"/>
  <c r="H17" i="60" s="1"/>
  <c r="I43" i="16"/>
  <c r="H14" i="22"/>
  <c r="I14" i="22" s="1"/>
  <c r="J14" i="22"/>
  <c r="I41" i="15"/>
  <c r="E41" i="60"/>
  <c r="E59" i="30"/>
  <c r="I17" i="45"/>
  <c r="H16" i="18"/>
  <c r="J16" i="18"/>
  <c r="C91" i="17"/>
  <c r="H91" i="17" s="1"/>
  <c r="I15" i="17"/>
  <c r="H22" i="16"/>
  <c r="I22" i="16" s="1"/>
  <c r="I22" i="60" s="1"/>
  <c r="E22" i="60"/>
  <c r="H22" i="60" s="1"/>
  <c r="H16" i="15"/>
  <c r="J16" i="15"/>
  <c r="I17" i="16"/>
  <c r="E40" i="60"/>
  <c r="E43" i="16"/>
  <c r="I109" i="78"/>
  <c r="I110" i="78" s="1"/>
  <c r="T109" i="78"/>
  <c r="E59" i="68"/>
  <c r="P92" i="67"/>
  <c r="P90" i="67"/>
  <c r="P91" i="67"/>
  <c r="H16" i="58"/>
  <c r="I16" i="58" s="1"/>
  <c r="J16" i="58"/>
  <c r="H18" i="66"/>
  <c r="J18" i="66"/>
  <c r="I15" i="55"/>
  <c r="C91" i="55"/>
  <c r="H91" i="55" s="1"/>
  <c r="E29" i="56"/>
  <c r="H120" i="56" s="1"/>
  <c r="I51" i="75"/>
  <c r="E59" i="75"/>
  <c r="C92" i="56"/>
  <c r="H92" i="56" s="1"/>
  <c r="I13" i="55"/>
  <c r="J18" i="76"/>
  <c r="E59" i="76"/>
  <c r="H14" i="48"/>
  <c r="I14" i="48" s="1"/>
  <c r="J14" i="48"/>
  <c r="I16" i="51"/>
  <c r="C91" i="51"/>
  <c r="H91" i="51" s="1"/>
  <c r="E29" i="50"/>
  <c r="H120" i="50" s="1"/>
  <c r="H13" i="50"/>
  <c r="P92" i="42"/>
  <c r="P90" i="42"/>
  <c r="P91" i="42"/>
  <c r="I17" i="36"/>
  <c r="E59" i="38"/>
  <c r="C90" i="33"/>
  <c r="E43" i="27"/>
  <c r="J14" i="31"/>
  <c r="H14" i="31"/>
  <c r="I14" i="31" s="1"/>
  <c r="H16" i="28"/>
  <c r="I16" i="28" s="1"/>
  <c r="J16" i="28"/>
  <c r="H13" i="28"/>
  <c r="E29" i="28"/>
  <c r="H120" i="28" s="1"/>
  <c r="E29" i="17"/>
  <c r="H120" i="17" s="1"/>
  <c r="H13" i="17"/>
  <c r="I110" i="21"/>
  <c r="E43" i="20"/>
  <c r="H19" i="15"/>
  <c r="I19" i="15" s="1"/>
  <c r="I19" i="60" s="1"/>
  <c r="E19" i="60"/>
  <c r="H19" i="60" s="1"/>
  <c r="E29" i="16"/>
  <c r="H120" i="16" s="1"/>
  <c r="H13" i="16"/>
  <c r="E59" i="21"/>
  <c r="I50" i="21"/>
  <c r="I59" i="21" s="1"/>
  <c r="E29" i="25"/>
  <c r="H120" i="25" s="1"/>
  <c r="H13" i="25"/>
  <c r="I17" i="7"/>
  <c r="C92" i="7"/>
  <c r="H92" i="7" s="1"/>
  <c r="I38" i="15"/>
  <c r="E38" i="60"/>
  <c r="E29" i="77"/>
  <c r="H120" i="77" s="1"/>
  <c r="H13" i="77"/>
  <c r="H16" i="45"/>
  <c r="I16" i="45" s="1"/>
  <c r="J16" i="45"/>
  <c r="C91" i="34"/>
  <c r="H91" i="34" s="1"/>
  <c r="I15" i="34"/>
  <c r="I109" i="38"/>
  <c r="I110" i="38" s="1"/>
  <c r="T109" i="38"/>
  <c r="H16" i="30"/>
  <c r="J16" i="30"/>
  <c r="H16" i="77"/>
  <c r="I16" i="77" s="1"/>
  <c r="J16" i="77"/>
  <c r="E29" i="70"/>
  <c r="H120" i="70" s="1"/>
  <c r="H13" i="70"/>
  <c r="I109" i="77"/>
  <c r="I110" i="77" s="1"/>
  <c r="T109" i="77"/>
  <c r="E59" i="69"/>
  <c r="I17" i="57"/>
  <c r="C92" i="57"/>
  <c r="H92" i="57" s="1"/>
  <c r="I13" i="56"/>
  <c r="H29" i="56"/>
  <c r="C90" i="56"/>
  <c r="H14" i="75"/>
  <c r="I14" i="75" s="1"/>
  <c r="J14" i="75"/>
  <c r="P92" i="55"/>
  <c r="P91" i="55"/>
  <c r="P90" i="55"/>
  <c r="H13" i="51"/>
  <c r="E29" i="51"/>
  <c r="H120" i="51" s="1"/>
  <c r="I59" i="50"/>
  <c r="J18" i="51"/>
  <c r="I110" i="48"/>
  <c r="C92" i="47"/>
  <c r="H92" i="47" s="1"/>
  <c r="I17" i="47"/>
  <c r="E59" i="50"/>
  <c r="C90" i="44"/>
  <c r="I51" i="39"/>
  <c r="E59" i="39"/>
  <c r="I110" i="23"/>
  <c r="I110" i="37"/>
  <c r="I51" i="34"/>
  <c r="I59" i="34" s="1"/>
  <c r="E59" i="34"/>
  <c r="H18" i="38"/>
  <c r="I18" i="38" s="1"/>
  <c r="J18" i="38"/>
  <c r="J16" i="35"/>
  <c r="I37" i="37"/>
  <c r="I43" i="37" s="1"/>
  <c r="E43" i="37"/>
  <c r="H18" i="26"/>
  <c r="J18" i="26"/>
  <c r="I29" i="33"/>
  <c r="I109" i="22"/>
  <c r="I110" i="22" s="1"/>
  <c r="T109" i="22"/>
  <c r="I50" i="24"/>
  <c r="I59" i="24" s="1"/>
  <c r="E59" i="24"/>
  <c r="H28" i="17"/>
  <c r="I28" i="17" s="1"/>
  <c r="I28" i="60" s="1"/>
  <c r="E28" i="60"/>
  <c r="H28" i="60" s="1"/>
  <c r="H16" i="24"/>
  <c r="I16" i="24" s="1"/>
  <c r="J16" i="24"/>
  <c r="H14" i="21"/>
  <c r="I14" i="21" s="1"/>
  <c r="J14" i="21"/>
  <c r="I17" i="17"/>
  <c r="I109" i="25"/>
  <c r="I110" i="25" s="1"/>
  <c r="T109" i="25"/>
  <c r="I13" i="15"/>
  <c r="E15" i="60"/>
  <c r="H15" i="60" s="1"/>
  <c r="H15" i="7"/>
  <c r="H18" i="28"/>
  <c r="I18" i="28" s="1"/>
  <c r="J18" i="28"/>
  <c r="C92" i="30"/>
  <c r="H92" i="30" s="1"/>
  <c r="I17" i="30"/>
  <c r="I15" i="78"/>
  <c r="I17" i="77"/>
  <c r="E43" i="71"/>
  <c r="I37" i="71"/>
  <c r="I43" i="71" s="1"/>
  <c r="I59" i="69"/>
  <c r="J14" i="58"/>
  <c r="H14" i="58"/>
  <c r="I14" i="58" s="1"/>
  <c r="C91" i="56"/>
  <c r="H91" i="56" s="1"/>
  <c r="I15" i="56"/>
  <c r="E59" i="58"/>
  <c r="I50" i="58"/>
  <c r="I59" i="58" s="1"/>
  <c r="I110" i="76"/>
  <c r="I109" i="50"/>
  <c r="T109" i="50"/>
  <c r="C92" i="51"/>
  <c r="H92" i="51" s="1"/>
  <c r="I50" i="44"/>
  <c r="I59" i="44" s="1"/>
  <c r="E59" i="44"/>
  <c r="J14" i="44"/>
  <c r="I17" i="40"/>
  <c r="P91" i="39"/>
  <c r="P90" i="39"/>
  <c r="P92" i="39"/>
  <c r="E43" i="34"/>
  <c r="I53" i="27"/>
  <c r="J16" i="27"/>
  <c r="H14" i="18"/>
  <c r="J14" i="18"/>
  <c r="I15" i="21"/>
  <c r="I15" i="31"/>
  <c r="H14" i="28"/>
  <c r="I14" i="28" s="1"/>
  <c r="J14" i="28"/>
  <c r="H14" i="24"/>
  <c r="I14" i="24" s="1"/>
  <c r="J14" i="24"/>
  <c r="I43" i="7"/>
  <c r="G473" i="64"/>
  <c r="F494" i="64"/>
  <c r="F495" i="64" s="1"/>
  <c r="C90" i="7"/>
  <c r="I13" i="7"/>
  <c r="E23" i="60"/>
  <c r="H23" i="60" s="1"/>
  <c r="H18" i="22"/>
  <c r="I18" i="22" s="1"/>
  <c r="J18" i="22"/>
  <c r="I15" i="45"/>
  <c r="E59" i="17"/>
  <c r="I50" i="17"/>
  <c r="J14" i="17"/>
  <c r="I15" i="22"/>
  <c r="H13" i="68"/>
  <c r="E29" i="68"/>
  <c r="H120" i="68" s="1"/>
  <c r="I51" i="55"/>
  <c r="I59" i="55" s="1"/>
  <c r="E59" i="55"/>
  <c r="E43" i="56"/>
  <c r="I37" i="56"/>
  <c r="I43" i="56" s="1"/>
  <c r="I15" i="66"/>
  <c r="H16" i="50"/>
  <c r="I16" i="50" s="1"/>
  <c r="J16" i="50"/>
  <c r="E29" i="32"/>
  <c r="H13" i="32"/>
  <c r="E29" i="38"/>
  <c r="H120" i="38" s="1"/>
  <c r="H13" i="38"/>
  <c r="E59" i="26"/>
  <c r="I50" i="26"/>
  <c r="I59" i="26" s="1"/>
  <c r="I37" i="17"/>
  <c r="I43" i="17" s="1"/>
  <c r="E43" i="17"/>
  <c r="E21" i="60"/>
  <c r="H21" i="60" s="1"/>
  <c r="H21" i="15"/>
  <c r="H16" i="78"/>
  <c r="I16" i="78" s="1"/>
  <c r="J16" i="78"/>
  <c r="E59" i="77"/>
  <c r="H16" i="70"/>
  <c r="J16" i="70"/>
  <c r="C90" i="71"/>
  <c r="J14" i="69"/>
  <c r="I17" i="58"/>
  <c r="C92" i="75"/>
  <c r="H92" i="75" s="1"/>
  <c r="I37" i="45"/>
  <c r="I43" i="45" s="1"/>
  <c r="E43" i="45"/>
  <c r="I17" i="50"/>
  <c r="J16" i="48"/>
  <c r="H14" i="39"/>
  <c r="J14" i="39"/>
  <c r="E59" i="48"/>
  <c r="I50" i="48"/>
  <c r="I59" i="48" s="1"/>
  <c r="J16" i="36"/>
  <c r="H16" i="36"/>
  <c r="I16" i="36" s="1"/>
  <c r="I50" i="33"/>
  <c r="E59" i="33"/>
  <c r="J14" i="33"/>
  <c r="I42" i="26"/>
  <c r="I43" i="26" s="1"/>
  <c r="E43" i="26"/>
  <c r="I43" i="24"/>
  <c r="H18" i="31"/>
  <c r="I18" i="31" s="1"/>
  <c r="J18" i="31"/>
  <c r="I17" i="28"/>
  <c r="E59" i="22"/>
  <c r="I50" i="22"/>
  <c r="I59" i="22" s="1"/>
  <c r="H16" i="21"/>
  <c r="I16" i="21" s="1"/>
  <c r="J16" i="21"/>
  <c r="H14" i="25"/>
  <c r="I14" i="25" s="1"/>
  <c r="J14" i="25"/>
  <c r="E29" i="7"/>
  <c r="H120" i="7" s="1"/>
  <c r="I17" i="22"/>
  <c r="H13" i="22"/>
  <c r="E29" i="22"/>
  <c r="H120" i="22" s="1"/>
  <c r="P91" i="16"/>
  <c r="P90" i="16"/>
  <c r="P92" i="16"/>
  <c r="E29" i="78"/>
  <c r="H120" i="78" s="1"/>
  <c r="H13" i="78"/>
  <c r="E29" i="62"/>
  <c r="E30" i="62" s="1"/>
  <c r="I30" i="60"/>
  <c r="H16" i="69"/>
  <c r="J16" i="69"/>
  <c r="J18" i="30"/>
  <c r="I110" i="68"/>
  <c r="E43" i="67"/>
  <c r="I37" i="67"/>
  <c r="I43" i="67" s="1"/>
  <c r="E29" i="66"/>
  <c r="H120" i="66" s="1"/>
  <c r="H13" i="66"/>
  <c r="J18" i="56"/>
  <c r="E29" i="57"/>
  <c r="H120" i="57" s="1"/>
  <c r="H13" i="57"/>
  <c r="P90" i="57"/>
  <c r="P91" i="57"/>
  <c r="P92" i="57"/>
  <c r="E43" i="57"/>
  <c r="J16" i="55"/>
  <c r="I15" i="47"/>
  <c r="C91" i="47"/>
  <c r="H91" i="47" s="1"/>
  <c r="E59" i="45"/>
  <c r="P90" i="47"/>
  <c r="P92" i="47"/>
  <c r="P91" i="47"/>
  <c r="H18" i="45"/>
  <c r="I18" i="45" s="1"/>
  <c r="J18" i="45"/>
  <c r="C92" i="43"/>
  <c r="H92" i="43" s="1"/>
  <c r="J16" i="42"/>
  <c r="I43" i="42"/>
  <c r="E29" i="40"/>
  <c r="H120" i="40" s="1"/>
  <c r="H18" i="37"/>
  <c r="I18" i="37" s="1"/>
  <c r="J18" i="37"/>
  <c r="E43" i="23"/>
  <c r="H14" i="27"/>
  <c r="J14" i="27"/>
  <c r="P92" i="34"/>
  <c r="P91" i="34"/>
  <c r="P90" i="34"/>
  <c r="C91" i="23"/>
  <c r="H91" i="23" s="1"/>
  <c r="E59" i="25"/>
  <c r="I50" i="25"/>
  <c r="I59" i="25" s="1"/>
  <c r="H18" i="17"/>
  <c r="I18" i="17" s="1"/>
  <c r="J18" i="17"/>
  <c r="E18" i="60"/>
  <c r="H18" i="60" s="1"/>
  <c r="I109" i="31"/>
  <c r="I110" i="31" s="1"/>
  <c r="T109" i="31"/>
  <c r="I109" i="15"/>
  <c r="I110" i="15" s="1"/>
  <c r="T109" i="15"/>
  <c r="I108" i="7"/>
  <c r="I54" i="17"/>
  <c r="E29" i="15"/>
  <c r="H13" i="58"/>
  <c r="E29" i="58"/>
  <c r="H120" i="58" s="1"/>
  <c r="J16" i="40"/>
  <c r="H16" i="40"/>
  <c r="I16" i="40" s="1"/>
  <c r="I15" i="77"/>
  <c r="E43" i="30"/>
  <c r="C92" i="68"/>
  <c r="H92" i="68" s="1"/>
  <c r="J14" i="70"/>
  <c r="H16" i="67"/>
  <c r="J16" i="67"/>
  <c r="I59" i="66"/>
  <c r="I15" i="58"/>
  <c r="I43" i="57"/>
  <c r="E43" i="55"/>
  <c r="E43" i="51"/>
  <c r="H15" i="44"/>
  <c r="E29" i="44"/>
  <c r="H120" i="44" s="1"/>
  <c r="I59" i="45"/>
  <c r="J16" i="47"/>
  <c r="C91" i="43"/>
  <c r="H91" i="43" s="1"/>
  <c r="I15" i="43"/>
  <c r="I29" i="43" s="1"/>
  <c r="E43" i="47"/>
  <c r="E29" i="43"/>
  <c r="H120" i="43" s="1"/>
  <c r="I110" i="40"/>
  <c r="E43" i="42"/>
  <c r="E59" i="42"/>
  <c r="H18" i="23"/>
  <c r="J18" i="23"/>
  <c r="H16" i="38"/>
  <c r="I16" i="38" s="1"/>
  <c r="J16" i="38"/>
  <c r="H16" i="26"/>
  <c r="J16" i="26"/>
  <c r="E29" i="26"/>
  <c r="H120" i="26" s="1"/>
  <c r="H13" i="26"/>
  <c r="E29" i="27"/>
  <c r="H120" i="27" s="1"/>
  <c r="I50" i="27"/>
  <c r="E59" i="27"/>
  <c r="C91" i="27"/>
  <c r="H91" i="27" s="1"/>
  <c r="I15" i="24"/>
  <c r="H18" i="18"/>
  <c r="J18" i="18"/>
  <c r="H16" i="7"/>
  <c r="I16" i="7" s="1"/>
  <c r="E16" i="60"/>
  <c r="H16" i="60" s="1"/>
  <c r="E29" i="18"/>
  <c r="H120" i="18" s="1"/>
  <c r="I17" i="25"/>
  <c r="H16" i="22"/>
  <c r="I16" i="22" s="1"/>
  <c r="J16" i="22"/>
  <c r="J18" i="15"/>
  <c r="E43" i="44"/>
  <c r="I37" i="44"/>
  <c r="I43" i="44" s="1"/>
  <c r="I20" i="42"/>
  <c r="C91" i="42"/>
  <c r="H91" i="42" s="1"/>
  <c r="E29" i="23"/>
  <c r="H120" i="23" s="1"/>
  <c r="H13" i="23"/>
  <c r="H16" i="25"/>
  <c r="I16" i="25" s="1"/>
  <c r="J16" i="25"/>
  <c r="I43" i="30"/>
  <c r="E29" i="71"/>
  <c r="H120" i="71" s="1"/>
  <c r="I59" i="68"/>
  <c r="I17" i="67"/>
  <c r="E59" i="66"/>
  <c r="C92" i="71"/>
  <c r="H92" i="71" s="1"/>
  <c r="I109" i="57"/>
  <c r="I110" i="57" s="1"/>
  <c r="T109" i="57"/>
  <c r="H14" i="55"/>
  <c r="I14" i="55" s="1"/>
  <c r="J14" i="55"/>
  <c r="I43" i="55"/>
  <c r="E29" i="76"/>
  <c r="H120" i="76" s="1"/>
  <c r="E59" i="51"/>
  <c r="I43" i="51"/>
  <c r="J16" i="44"/>
  <c r="H13" i="45"/>
  <c r="E29" i="45"/>
  <c r="H120" i="45" s="1"/>
  <c r="J18" i="42"/>
  <c r="I109" i="39"/>
  <c r="I110" i="39" s="1"/>
  <c r="T109" i="39"/>
  <c r="E59" i="43"/>
  <c r="H13" i="37"/>
  <c r="E29" i="37"/>
  <c r="H120" i="37" s="1"/>
  <c r="H16" i="32"/>
  <c r="J16" i="32"/>
  <c r="E59" i="37"/>
  <c r="I50" i="37"/>
  <c r="I59" i="37" s="1"/>
  <c r="H15" i="35"/>
  <c r="E29" i="35"/>
  <c r="H120" i="35" s="1"/>
  <c r="I59" i="42"/>
  <c r="I37" i="31"/>
  <c r="I43" i="31" s="1"/>
  <c r="E43" i="31"/>
  <c r="H13" i="24"/>
  <c r="E29" i="24"/>
  <c r="H120" i="24" s="1"/>
  <c r="I17" i="31"/>
  <c r="J16" i="31"/>
  <c r="H16" i="31"/>
  <c r="I16" i="31" s="1"/>
  <c r="J14" i="20"/>
  <c r="E29" i="20"/>
  <c r="H120" i="20" s="1"/>
  <c r="H14" i="20"/>
  <c r="H18" i="20"/>
  <c r="J18" i="20"/>
  <c r="E25" i="60"/>
  <c r="H25" i="60" s="1"/>
  <c r="I109" i="7"/>
  <c r="T109" i="7"/>
  <c r="E29" i="21"/>
  <c r="H120" i="21" s="1"/>
  <c r="H13" i="67"/>
  <c r="E29" i="67"/>
  <c r="H120" i="67" s="1"/>
  <c r="H14" i="57"/>
  <c r="I14" i="57" s="1"/>
  <c r="J14" i="57"/>
  <c r="C90" i="52"/>
  <c r="E59" i="28"/>
  <c r="I50" i="28"/>
  <c r="I59" i="28" s="1"/>
  <c r="I37" i="58"/>
  <c r="I43" i="58" s="1"/>
  <c r="E43" i="58"/>
  <c r="I110" i="50"/>
  <c r="I15" i="37"/>
  <c r="H14" i="34"/>
  <c r="I14" i="34" s="1"/>
  <c r="J14" i="34"/>
  <c r="H16" i="20"/>
  <c r="J16" i="20"/>
  <c r="E37" i="60"/>
  <c r="H14" i="68"/>
  <c r="I14" i="68" s="1"/>
  <c r="J14" i="68"/>
  <c r="I37" i="77"/>
  <c r="I43" i="77" s="1"/>
  <c r="E43" i="77"/>
  <c r="H18" i="77"/>
  <c r="I18" i="77" s="1"/>
  <c r="J18" i="77"/>
  <c r="I50" i="67"/>
  <c r="I59" i="67" s="1"/>
  <c r="E59" i="67"/>
  <c r="E43" i="70"/>
  <c r="I37" i="70"/>
  <c r="I43" i="70" s="1"/>
  <c r="H18" i="58"/>
  <c r="I18" i="58" s="1"/>
  <c r="J18" i="58"/>
  <c r="E29" i="69"/>
  <c r="H120" i="69" s="1"/>
  <c r="H16" i="66"/>
  <c r="I16" i="66" s="1"/>
  <c r="J16" i="66"/>
  <c r="C92" i="55"/>
  <c r="H92" i="55" s="1"/>
  <c r="I17" i="55"/>
  <c r="T109" i="55"/>
  <c r="I109" i="55"/>
  <c r="I110" i="55" s="1"/>
  <c r="I15" i="75"/>
  <c r="C92" i="76"/>
  <c r="H92" i="76" s="1"/>
  <c r="C91" i="48"/>
  <c r="H91" i="48" s="1"/>
  <c r="I15" i="48"/>
  <c r="I15" i="50"/>
  <c r="E29" i="48"/>
  <c r="H120" i="48" s="1"/>
  <c r="I109" i="45"/>
  <c r="I110" i="45" s="1"/>
  <c r="T109" i="45"/>
  <c r="J18" i="40"/>
  <c r="H18" i="40"/>
  <c r="I18" i="40" s="1"/>
  <c r="I15" i="36"/>
  <c r="E59" i="23"/>
  <c r="I50" i="23"/>
  <c r="I59" i="23" s="1"/>
  <c r="H14" i="38"/>
  <c r="I14" i="38" s="1"/>
  <c r="J14" i="38"/>
  <c r="C90" i="40"/>
  <c r="E43" i="40"/>
  <c r="J18" i="33"/>
  <c r="I56" i="33"/>
  <c r="J14" i="36"/>
  <c r="I13" i="34"/>
  <c r="E59" i="36"/>
  <c r="H18" i="21"/>
  <c r="J18" i="21"/>
  <c r="C92" i="35"/>
  <c r="H92" i="35" s="1"/>
  <c r="I15" i="28"/>
  <c r="I17" i="24"/>
  <c r="H18" i="24"/>
  <c r="I18" i="24" s="1"/>
  <c r="J18" i="24"/>
  <c r="I50" i="18"/>
  <c r="I59" i="18" s="1"/>
  <c r="E59" i="18"/>
  <c r="C92" i="27"/>
  <c r="H92" i="27" s="1"/>
  <c r="I110" i="17"/>
  <c r="H18" i="25"/>
  <c r="I18" i="25" s="1"/>
  <c r="J18" i="25"/>
  <c r="I107" i="7"/>
  <c r="I13" i="21"/>
  <c r="E43" i="15"/>
  <c r="I37" i="15"/>
  <c r="E29" i="30"/>
  <c r="H13" i="30"/>
  <c r="H14" i="66"/>
  <c r="I14" i="66" s="1"/>
  <c r="J14" i="66"/>
  <c r="H18" i="50"/>
  <c r="I18" i="50" s="1"/>
  <c r="J18" i="50"/>
  <c r="P92" i="48"/>
  <c r="P91" i="48"/>
  <c r="P90" i="48"/>
  <c r="I109" i="58"/>
  <c r="I110" i="58" s="1"/>
  <c r="T109" i="58"/>
  <c r="I109" i="66"/>
  <c r="I110" i="66" s="1"/>
  <c r="T109" i="66"/>
  <c r="I37" i="52"/>
  <c r="I43" i="52" s="1"/>
  <c r="E43" i="52"/>
  <c r="H14" i="30"/>
  <c r="I14" i="30" s="1"/>
  <c r="J14" i="30"/>
  <c r="E43" i="78"/>
  <c r="I37" i="78"/>
  <c r="I43" i="78" s="1"/>
  <c r="J18" i="68"/>
  <c r="I15" i="68"/>
  <c r="J14" i="77"/>
  <c r="J18" i="67"/>
  <c r="H18" i="67"/>
  <c r="I18" i="67" s="1"/>
  <c r="I37" i="66"/>
  <c r="I43" i="66" s="1"/>
  <c r="E43" i="66"/>
  <c r="I15" i="57"/>
  <c r="E59" i="56"/>
  <c r="I50" i="56"/>
  <c r="I59" i="56" s="1"/>
  <c r="J14" i="56"/>
  <c r="C90" i="76"/>
  <c r="I13" i="76"/>
  <c r="H16" i="75"/>
  <c r="I16" i="75" s="1"/>
  <c r="J16" i="75"/>
  <c r="J14" i="51"/>
  <c r="H14" i="51"/>
  <c r="I14" i="51" s="1"/>
  <c r="H18" i="48"/>
  <c r="J18" i="48"/>
  <c r="C92" i="44"/>
  <c r="H92" i="44" s="1"/>
  <c r="I17" i="44"/>
  <c r="E43" i="48"/>
  <c r="I37" i="48"/>
  <c r="I43" i="48" s="1"/>
  <c r="I13" i="48"/>
  <c r="I51" i="40"/>
  <c r="I59" i="40" s="1"/>
  <c r="E59" i="40"/>
  <c r="H29" i="43"/>
  <c r="E45" i="43" s="1"/>
  <c r="C65" i="43" s="1"/>
  <c r="H66" i="43" s="1"/>
  <c r="J14" i="50"/>
  <c r="J14" i="37"/>
  <c r="H14" i="37"/>
  <c r="I14" i="37" s="1"/>
  <c r="H16" i="37"/>
  <c r="I16" i="37" s="1"/>
  <c r="J16" i="37"/>
  <c r="I37" i="35"/>
  <c r="I43" i="35" s="1"/>
  <c r="E43" i="35"/>
  <c r="E29" i="39"/>
  <c r="H120" i="39" s="1"/>
  <c r="I43" i="40"/>
  <c r="I109" i="36"/>
  <c r="I110" i="36" s="1"/>
  <c r="T109" i="36"/>
  <c r="E29" i="33"/>
  <c r="H120" i="33" s="1"/>
  <c r="I59" i="36"/>
  <c r="I110" i="20"/>
  <c r="I50" i="20"/>
  <c r="I59" i="20" s="1"/>
  <c r="E59" i="20"/>
  <c r="H14" i="16"/>
  <c r="I14" i="16" s="1"/>
  <c r="H24" i="16"/>
  <c r="I24" i="16" s="1"/>
  <c r="I24" i="60" s="1"/>
  <c r="E24" i="60"/>
  <c r="H24" i="60" s="1"/>
  <c r="I40" i="60"/>
  <c r="E42" i="60"/>
  <c r="I42" i="15"/>
  <c r="H120" i="15" l="1"/>
  <c r="I59" i="71"/>
  <c r="I59" i="75"/>
  <c r="I41" i="60"/>
  <c r="I45" i="43"/>
  <c r="I29" i="76"/>
  <c r="I45" i="76" s="1"/>
  <c r="I38" i="60"/>
  <c r="I45" i="33"/>
  <c r="I29" i="71"/>
  <c r="I45" i="71" s="1"/>
  <c r="I26" i="60"/>
  <c r="C92" i="78"/>
  <c r="H92" i="78" s="1"/>
  <c r="C91" i="57"/>
  <c r="H91" i="57" s="1"/>
  <c r="H29" i="76"/>
  <c r="E45" i="76" s="1"/>
  <c r="C65" i="76" s="1"/>
  <c r="H66" i="76" s="1"/>
  <c r="H83" i="76" s="1"/>
  <c r="C91" i="76"/>
  <c r="H91" i="76" s="1"/>
  <c r="C92" i="52"/>
  <c r="H92" i="52" s="1"/>
  <c r="H29" i="52"/>
  <c r="E45" i="52" s="1"/>
  <c r="C65" i="52" s="1"/>
  <c r="H66" i="52" s="1"/>
  <c r="C62" i="52"/>
  <c r="H63" i="52" s="1"/>
  <c r="H72" i="52" s="1"/>
  <c r="I72" i="52" s="1"/>
  <c r="H120" i="32"/>
  <c r="C62" i="32"/>
  <c r="H63" i="32" s="1"/>
  <c r="C91" i="68"/>
  <c r="H91" i="68" s="1"/>
  <c r="I13" i="52"/>
  <c r="I29" i="52" s="1"/>
  <c r="I45" i="52" s="1"/>
  <c r="C92" i="32"/>
  <c r="H92" i="32" s="1"/>
  <c r="C91" i="71"/>
  <c r="H91" i="71" s="1"/>
  <c r="H29" i="71"/>
  <c r="E45" i="71" s="1"/>
  <c r="C65" i="71" s="1"/>
  <c r="H66" i="71" s="1"/>
  <c r="H78" i="71" s="1"/>
  <c r="I78" i="71" s="1"/>
  <c r="H120" i="30"/>
  <c r="C90" i="21"/>
  <c r="H90" i="21" s="1"/>
  <c r="I39" i="60"/>
  <c r="C91" i="36"/>
  <c r="H91" i="36" s="1"/>
  <c r="C91" i="58"/>
  <c r="H91" i="58" s="1"/>
  <c r="I59" i="39"/>
  <c r="C90" i="48"/>
  <c r="H90" i="48" s="1"/>
  <c r="C91" i="50"/>
  <c r="H91" i="50" s="1"/>
  <c r="C91" i="75"/>
  <c r="H91" i="75" s="1"/>
  <c r="I42" i="60"/>
  <c r="C90" i="15"/>
  <c r="H90" i="15" s="1"/>
  <c r="C92" i="36"/>
  <c r="H92" i="36" s="1"/>
  <c r="H29" i="21"/>
  <c r="E45" i="21" s="1"/>
  <c r="C65" i="21" s="1"/>
  <c r="H66" i="21" s="1"/>
  <c r="H79" i="21" s="1"/>
  <c r="I79" i="21" s="1"/>
  <c r="C91" i="77"/>
  <c r="H91" i="77" s="1"/>
  <c r="C92" i="22"/>
  <c r="H92" i="22" s="1"/>
  <c r="C92" i="28"/>
  <c r="H92" i="28" s="1"/>
  <c r="I43" i="15"/>
  <c r="C90" i="34"/>
  <c r="H90" i="34" s="1"/>
  <c r="I93" i="34" s="1"/>
  <c r="C91" i="24"/>
  <c r="H91" i="24" s="1"/>
  <c r="I29" i="40"/>
  <c r="I45" i="40" s="1"/>
  <c r="C92" i="24"/>
  <c r="H92" i="24" s="1"/>
  <c r="C92" i="31"/>
  <c r="H92" i="31" s="1"/>
  <c r="C91" i="22"/>
  <c r="H91" i="22" s="1"/>
  <c r="C91" i="28"/>
  <c r="H91" i="28" s="1"/>
  <c r="I20" i="60"/>
  <c r="C91" i="45"/>
  <c r="H91" i="45" s="1"/>
  <c r="C62" i="35"/>
  <c r="H63" i="35" s="1"/>
  <c r="H29" i="58"/>
  <c r="E45" i="58" s="1"/>
  <c r="C65" i="58" s="1"/>
  <c r="H66" i="58" s="1"/>
  <c r="I13" i="58"/>
  <c r="I29" i="58" s="1"/>
  <c r="I45" i="58" s="1"/>
  <c r="C90" i="58"/>
  <c r="C62" i="40"/>
  <c r="H63" i="40" s="1"/>
  <c r="H90" i="71"/>
  <c r="I93" i="71" s="1"/>
  <c r="I13" i="68"/>
  <c r="I29" i="68" s="1"/>
  <c r="I45" i="68" s="1"/>
  <c r="C90" i="68"/>
  <c r="H29" i="68"/>
  <c r="E45" i="68" s="1"/>
  <c r="C65" i="68" s="1"/>
  <c r="H66" i="68" s="1"/>
  <c r="I37" i="60"/>
  <c r="I17" i="60"/>
  <c r="C93" i="33"/>
  <c r="H90" i="33"/>
  <c r="I93" i="33" s="1"/>
  <c r="I29" i="55"/>
  <c r="I45" i="55" s="1"/>
  <c r="C92" i="16"/>
  <c r="H92" i="16" s="1"/>
  <c r="C62" i="33"/>
  <c r="H63" i="33" s="1"/>
  <c r="I29" i="34"/>
  <c r="I45" i="34" s="1"/>
  <c r="C91" i="35"/>
  <c r="I15" i="35"/>
  <c r="I29" i="35" s="1"/>
  <c r="I45" i="35" s="1"/>
  <c r="H29" i="35"/>
  <c r="E45" i="35" s="1"/>
  <c r="C65" i="35" s="1"/>
  <c r="H66" i="35" s="1"/>
  <c r="C92" i="25"/>
  <c r="H92" i="25" s="1"/>
  <c r="I18" i="23"/>
  <c r="C92" i="23"/>
  <c r="H92" i="23" s="1"/>
  <c r="H29" i="66"/>
  <c r="E45" i="66" s="1"/>
  <c r="C65" i="66" s="1"/>
  <c r="H66" i="66" s="1"/>
  <c r="I13" i="66"/>
  <c r="C90" i="66"/>
  <c r="C93" i="56"/>
  <c r="H90" i="56"/>
  <c r="I93" i="56" s="1"/>
  <c r="H29" i="70"/>
  <c r="E45" i="70" s="1"/>
  <c r="C65" i="70" s="1"/>
  <c r="H66" i="70" s="1"/>
  <c r="I13" i="70"/>
  <c r="C90" i="70"/>
  <c r="H29" i="25"/>
  <c r="E45" i="25" s="1"/>
  <c r="C65" i="25" s="1"/>
  <c r="H66" i="25" s="1"/>
  <c r="I13" i="25"/>
  <c r="I29" i="25" s="1"/>
  <c r="I45" i="25" s="1"/>
  <c r="C90" i="25"/>
  <c r="H29" i="50"/>
  <c r="E45" i="50" s="1"/>
  <c r="C65" i="50" s="1"/>
  <c r="H66" i="50" s="1"/>
  <c r="I13" i="50"/>
  <c r="I29" i="50" s="1"/>
  <c r="I45" i="50" s="1"/>
  <c r="C90" i="50"/>
  <c r="C92" i="37"/>
  <c r="H92" i="37" s="1"/>
  <c r="C62" i="55"/>
  <c r="H63" i="55" s="1"/>
  <c r="I16" i="20"/>
  <c r="C91" i="20"/>
  <c r="H91" i="20" s="1"/>
  <c r="C62" i="15"/>
  <c r="H63" i="15" s="1"/>
  <c r="C62" i="66"/>
  <c r="H63" i="66" s="1"/>
  <c r="E34" i="62"/>
  <c r="E38" i="62" s="1"/>
  <c r="C62" i="7"/>
  <c r="H63" i="7" s="1"/>
  <c r="I59" i="33"/>
  <c r="C92" i="50"/>
  <c r="H92" i="50" s="1"/>
  <c r="I16" i="70"/>
  <c r="C91" i="70"/>
  <c r="H91" i="70" s="1"/>
  <c r="E45" i="56"/>
  <c r="C65" i="56" s="1"/>
  <c r="H66" i="56" s="1"/>
  <c r="C62" i="70"/>
  <c r="H63" i="70" s="1"/>
  <c r="C62" i="25"/>
  <c r="H63" i="25" s="1"/>
  <c r="H29" i="17"/>
  <c r="E45" i="17" s="1"/>
  <c r="C65" i="17" s="1"/>
  <c r="H66" i="17" s="1"/>
  <c r="I13" i="17"/>
  <c r="I29" i="17" s="1"/>
  <c r="I45" i="17" s="1"/>
  <c r="C90" i="17"/>
  <c r="C62" i="50"/>
  <c r="H63" i="50" s="1"/>
  <c r="I16" i="15"/>
  <c r="C91" i="15"/>
  <c r="H91" i="15" s="1"/>
  <c r="C92" i="60"/>
  <c r="C62" i="31"/>
  <c r="H63" i="31" s="1"/>
  <c r="H90" i="52"/>
  <c r="I93" i="52" s="1"/>
  <c r="C62" i="45"/>
  <c r="H63" i="45" s="1"/>
  <c r="H29" i="23"/>
  <c r="E45" i="23" s="1"/>
  <c r="C65" i="23" s="1"/>
  <c r="H66" i="23" s="1"/>
  <c r="I13" i="23"/>
  <c r="C90" i="23"/>
  <c r="C62" i="18"/>
  <c r="H63" i="18" s="1"/>
  <c r="I14" i="27"/>
  <c r="I29" i="27" s="1"/>
  <c r="I45" i="27" s="1"/>
  <c r="C90" i="27"/>
  <c r="H29" i="27"/>
  <c r="E45" i="27" s="1"/>
  <c r="C65" i="27" s="1"/>
  <c r="H66" i="27" s="1"/>
  <c r="I29" i="56"/>
  <c r="I45" i="56" s="1"/>
  <c r="C62" i="17"/>
  <c r="H63" i="17" s="1"/>
  <c r="C92" i="45"/>
  <c r="H92" i="45" s="1"/>
  <c r="C91" i="25"/>
  <c r="H91" i="25" s="1"/>
  <c r="H29" i="31"/>
  <c r="E45" i="31" s="1"/>
  <c r="C65" i="31" s="1"/>
  <c r="H66" i="31" s="1"/>
  <c r="I13" i="31"/>
  <c r="I29" i="31" s="1"/>
  <c r="I45" i="31" s="1"/>
  <c r="C90" i="31"/>
  <c r="I14" i="42"/>
  <c r="I29" i="42" s="1"/>
  <c r="I45" i="42" s="1"/>
  <c r="H29" i="42"/>
  <c r="E45" i="42" s="1"/>
  <c r="C65" i="42" s="1"/>
  <c r="H66" i="42" s="1"/>
  <c r="C90" i="42"/>
  <c r="H29" i="75"/>
  <c r="E45" i="75" s="1"/>
  <c r="C65" i="75" s="1"/>
  <c r="H66" i="75" s="1"/>
  <c r="I13" i="75"/>
  <c r="I29" i="75" s="1"/>
  <c r="K29" i="75" s="1"/>
  <c r="C90" i="75"/>
  <c r="H90" i="76"/>
  <c r="I13" i="30"/>
  <c r="C90" i="30"/>
  <c r="H29" i="30"/>
  <c r="E45" i="30" s="1"/>
  <c r="C65" i="30" s="1"/>
  <c r="H66" i="30" s="1"/>
  <c r="C62" i="69"/>
  <c r="H63" i="69" s="1"/>
  <c r="H29" i="45"/>
  <c r="E45" i="45" s="1"/>
  <c r="C65" i="45" s="1"/>
  <c r="H66" i="45" s="1"/>
  <c r="I13" i="45"/>
  <c r="I29" i="45" s="1"/>
  <c r="I45" i="45" s="1"/>
  <c r="C90" i="45"/>
  <c r="C62" i="23"/>
  <c r="H63" i="23" s="1"/>
  <c r="I59" i="27"/>
  <c r="I93" i="43"/>
  <c r="H29" i="78"/>
  <c r="E45" i="78" s="1"/>
  <c r="C65" i="78" s="1"/>
  <c r="H66" i="78" s="1"/>
  <c r="I13" i="78"/>
  <c r="I29" i="78" s="1"/>
  <c r="I45" i="78" s="1"/>
  <c r="C90" i="78"/>
  <c r="C62" i="51"/>
  <c r="H63" i="51" s="1"/>
  <c r="C62" i="28"/>
  <c r="H63" i="28" s="1"/>
  <c r="C62" i="56"/>
  <c r="H63" i="56" s="1"/>
  <c r="C91" i="38"/>
  <c r="H91" i="38" s="1"/>
  <c r="C62" i="42"/>
  <c r="H63" i="42" s="1"/>
  <c r="C62" i="75"/>
  <c r="H63" i="75" s="1"/>
  <c r="H29" i="60"/>
  <c r="C90" i="60"/>
  <c r="H85" i="43"/>
  <c r="I85" i="43" s="1"/>
  <c r="H79" i="43"/>
  <c r="I79" i="43" s="1"/>
  <c r="H82" i="43"/>
  <c r="H83" i="43"/>
  <c r="H78" i="43"/>
  <c r="I78" i="43" s="1"/>
  <c r="H80" i="43"/>
  <c r="I80" i="43" s="1"/>
  <c r="C62" i="30"/>
  <c r="H63" i="30" s="1"/>
  <c r="C62" i="24"/>
  <c r="H63" i="24" s="1"/>
  <c r="I16" i="32"/>
  <c r="C91" i="32"/>
  <c r="H91" i="32" s="1"/>
  <c r="C62" i="27"/>
  <c r="H63" i="27" s="1"/>
  <c r="C62" i="44"/>
  <c r="H63" i="44" s="1"/>
  <c r="I16" i="67"/>
  <c r="C91" i="67"/>
  <c r="H91" i="67" s="1"/>
  <c r="C62" i="78"/>
  <c r="H63" i="78" s="1"/>
  <c r="C91" i="66"/>
  <c r="H91" i="66" s="1"/>
  <c r="I59" i="17"/>
  <c r="C91" i="31"/>
  <c r="H91" i="31" s="1"/>
  <c r="C92" i="77"/>
  <c r="H92" i="77" s="1"/>
  <c r="P20" i="52"/>
  <c r="T20" i="52" s="1"/>
  <c r="U20" i="52" s="1"/>
  <c r="P27" i="52"/>
  <c r="T27" i="52" s="1"/>
  <c r="U27" i="52" s="1"/>
  <c r="P38" i="52"/>
  <c r="U38" i="52" s="1"/>
  <c r="P41" i="52"/>
  <c r="U41" i="52" s="1"/>
  <c r="P17" i="52"/>
  <c r="T17" i="52" s="1"/>
  <c r="P22" i="52"/>
  <c r="T22" i="52" s="1"/>
  <c r="U22" i="52" s="1"/>
  <c r="P107" i="52"/>
  <c r="U107" i="52" s="1"/>
  <c r="P99" i="52"/>
  <c r="U99" i="52" s="1"/>
  <c r="P14" i="52"/>
  <c r="T14" i="52" s="1"/>
  <c r="U14" i="52" s="1"/>
  <c r="P24" i="52"/>
  <c r="T24" i="52" s="1"/>
  <c r="U24" i="52" s="1"/>
  <c r="P19" i="52"/>
  <c r="T19" i="52" s="1"/>
  <c r="U19" i="52" s="1"/>
  <c r="P39" i="52"/>
  <c r="U39" i="52" s="1"/>
  <c r="P42" i="52"/>
  <c r="U42" i="52" s="1"/>
  <c r="P109" i="52"/>
  <c r="U109" i="52" s="1"/>
  <c r="P26" i="52"/>
  <c r="T26" i="52" s="1"/>
  <c r="U26" i="52" s="1"/>
  <c r="P16" i="52"/>
  <c r="T16" i="52" s="1"/>
  <c r="U16" i="52" s="1"/>
  <c r="P21" i="52"/>
  <c r="T21" i="52" s="1"/>
  <c r="U21" i="52" s="1"/>
  <c r="P13" i="52"/>
  <c r="P28" i="52"/>
  <c r="T28" i="52" s="1"/>
  <c r="U28" i="52" s="1"/>
  <c r="U73" i="52"/>
  <c r="P23" i="52"/>
  <c r="T23" i="52" s="1"/>
  <c r="U23" i="52" s="1"/>
  <c r="P37" i="52"/>
  <c r="P40" i="52"/>
  <c r="U40" i="52" s="1"/>
  <c r="U74" i="52"/>
  <c r="P18" i="52"/>
  <c r="T18" i="52" s="1"/>
  <c r="U18" i="52" s="1"/>
  <c r="P15" i="52"/>
  <c r="T15" i="52" s="1"/>
  <c r="U112" i="52"/>
  <c r="U113" i="52"/>
  <c r="P25" i="52"/>
  <c r="T25" i="52" s="1"/>
  <c r="U25" i="52" s="1"/>
  <c r="P108" i="52"/>
  <c r="U108" i="52" s="1"/>
  <c r="H29" i="51"/>
  <c r="E45" i="51" s="1"/>
  <c r="C65" i="51" s="1"/>
  <c r="H66" i="51" s="1"/>
  <c r="I13" i="51"/>
  <c r="I29" i="51" s="1"/>
  <c r="I45" i="51" s="1"/>
  <c r="C90" i="51"/>
  <c r="I13" i="16"/>
  <c r="I29" i="16" s="1"/>
  <c r="I45" i="16" s="1"/>
  <c r="C90" i="16"/>
  <c r="H29" i="16"/>
  <c r="E45" i="16" s="1"/>
  <c r="C65" i="16" s="1"/>
  <c r="H66" i="16" s="1"/>
  <c r="I13" i="28"/>
  <c r="I29" i="28" s="1"/>
  <c r="I45" i="28" s="1"/>
  <c r="C90" i="28"/>
  <c r="H29" i="28"/>
  <c r="E45" i="28" s="1"/>
  <c r="C65" i="28" s="1"/>
  <c r="H66" i="28" s="1"/>
  <c r="E29" i="60"/>
  <c r="C62" i="39"/>
  <c r="H63" i="39" s="1"/>
  <c r="I13" i="24"/>
  <c r="I29" i="24" s="1"/>
  <c r="I45" i="24" s="1"/>
  <c r="C90" i="24"/>
  <c r="H29" i="24"/>
  <c r="E45" i="24" s="1"/>
  <c r="C65" i="24" s="1"/>
  <c r="H66" i="24" s="1"/>
  <c r="C92" i="67"/>
  <c r="H92" i="67" s="1"/>
  <c r="H29" i="26"/>
  <c r="E45" i="26" s="1"/>
  <c r="C65" i="26" s="1"/>
  <c r="H66" i="26" s="1"/>
  <c r="I13" i="26"/>
  <c r="C90" i="26"/>
  <c r="I15" i="44"/>
  <c r="I29" i="44" s="1"/>
  <c r="I45" i="44" s="1"/>
  <c r="C91" i="44"/>
  <c r="H91" i="44" s="1"/>
  <c r="H29" i="44"/>
  <c r="E45" i="44" s="1"/>
  <c r="C65" i="44" s="1"/>
  <c r="H66" i="44" s="1"/>
  <c r="H29" i="77"/>
  <c r="E45" i="77" s="1"/>
  <c r="C65" i="77" s="1"/>
  <c r="H66" i="77" s="1"/>
  <c r="I13" i="77"/>
  <c r="I29" i="77" s="1"/>
  <c r="I45" i="77" s="1"/>
  <c r="C90" i="77"/>
  <c r="C62" i="16"/>
  <c r="H63" i="16" s="1"/>
  <c r="C93" i="43"/>
  <c r="C62" i="47"/>
  <c r="H63" i="47" s="1"/>
  <c r="I18" i="21"/>
  <c r="I29" i="21" s="1"/>
  <c r="I45" i="21" s="1"/>
  <c r="C92" i="21"/>
  <c r="H92" i="21" s="1"/>
  <c r="H90" i="40"/>
  <c r="I18" i="20"/>
  <c r="C92" i="20"/>
  <c r="H92" i="20" s="1"/>
  <c r="C62" i="37"/>
  <c r="H63" i="37" s="1"/>
  <c r="C62" i="26"/>
  <c r="H63" i="26" s="1"/>
  <c r="C62" i="43"/>
  <c r="H63" i="43" s="1"/>
  <c r="H29" i="38"/>
  <c r="E45" i="38" s="1"/>
  <c r="C65" i="38" s="1"/>
  <c r="H66" i="38" s="1"/>
  <c r="I13" i="38"/>
  <c r="I29" i="38" s="1"/>
  <c r="I45" i="38" s="1"/>
  <c r="C90" i="38"/>
  <c r="C91" i="21"/>
  <c r="H91" i="21" s="1"/>
  <c r="C91" i="78"/>
  <c r="H91" i="78" s="1"/>
  <c r="I15" i="7"/>
  <c r="C91" i="7"/>
  <c r="H91" i="7" s="1"/>
  <c r="H90" i="44"/>
  <c r="I16" i="30"/>
  <c r="C91" i="30"/>
  <c r="H91" i="30" s="1"/>
  <c r="C62" i="77"/>
  <c r="H63" i="77" s="1"/>
  <c r="H29" i="40"/>
  <c r="E45" i="40" s="1"/>
  <c r="C65" i="40" s="1"/>
  <c r="H66" i="40" s="1"/>
  <c r="I13" i="47"/>
  <c r="I29" i="47" s="1"/>
  <c r="I45" i="47" s="1"/>
  <c r="H29" i="47"/>
  <c r="E45" i="47" s="1"/>
  <c r="C65" i="47" s="1"/>
  <c r="H66" i="47" s="1"/>
  <c r="C90" i="47"/>
  <c r="P19" i="34"/>
  <c r="T19" i="34" s="1"/>
  <c r="U19" i="34" s="1"/>
  <c r="P39" i="34"/>
  <c r="U39" i="34" s="1"/>
  <c r="P42" i="34"/>
  <c r="U42" i="34" s="1"/>
  <c r="P26" i="34"/>
  <c r="T26" i="34" s="1"/>
  <c r="U26" i="34" s="1"/>
  <c r="P109" i="34"/>
  <c r="U109" i="34" s="1"/>
  <c r="P16" i="34"/>
  <c r="T16" i="34" s="1"/>
  <c r="U16" i="34" s="1"/>
  <c r="P21" i="34"/>
  <c r="T21" i="34" s="1"/>
  <c r="U21" i="34" s="1"/>
  <c r="P13" i="34"/>
  <c r="P28" i="34"/>
  <c r="T28" i="34" s="1"/>
  <c r="U28" i="34" s="1"/>
  <c r="U73" i="34"/>
  <c r="P23" i="34"/>
  <c r="T23" i="34" s="1"/>
  <c r="U23" i="34" s="1"/>
  <c r="P37" i="34"/>
  <c r="P40" i="34"/>
  <c r="U40" i="34" s="1"/>
  <c r="U74" i="34"/>
  <c r="P18" i="34"/>
  <c r="T18" i="34" s="1"/>
  <c r="U18" i="34" s="1"/>
  <c r="P15" i="34"/>
  <c r="T15" i="34" s="1"/>
  <c r="P25" i="34"/>
  <c r="T25" i="34" s="1"/>
  <c r="U25" i="34" s="1"/>
  <c r="P108" i="34"/>
  <c r="U108" i="34" s="1"/>
  <c r="U112" i="34"/>
  <c r="P20" i="34"/>
  <c r="T20" i="34" s="1"/>
  <c r="U20" i="34" s="1"/>
  <c r="U113" i="34"/>
  <c r="P27" i="34"/>
  <c r="T27" i="34" s="1"/>
  <c r="U27" i="34" s="1"/>
  <c r="P38" i="34"/>
  <c r="U38" i="34" s="1"/>
  <c r="P41" i="34"/>
  <c r="U41" i="34" s="1"/>
  <c r="P107" i="34"/>
  <c r="U107" i="34" s="1"/>
  <c r="P22" i="34"/>
  <c r="T22" i="34" s="1"/>
  <c r="U22" i="34" s="1"/>
  <c r="P17" i="34"/>
  <c r="T17" i="34" s="1"/>
  <c r="P24" i="34"/>
  <c r="T24" i="34" s="1"/>
  <c r="U24" i="34" s="1"/>
  <c r="P14" i="34"/>
  <c r="T14" i="34" s="1"/>
  <c r="U14" i="34" s="1"/>
  <c r="P99" i="34"/>
  <c r="U99" i="34" s="1"/>
  <c r="C91" i="37"/>
  <c r="H91" i="37" s="1"/>
  <c r="C62" i="67"/>
  <c r="H63" i="67" s="1"/>
  <c r="H29" i="37"/>
  <c r="E45" i="37" s="1"/>
  <c r="C65" i="37" s="1"/>
  <c r="H66" i="37" s="1"/>
  <c r="I13" i="37"/>
  <c r="I29" i="37" s="1"/>
  <c r="I45" i="37" s="1"/>
  <c r="C90" i="37"/>
  <c r="I21" i="15"/>
  <c r="I21" i="60" s="1"/>
  <c r="C92" i="15"/>
  <c r="H92" i="15" s="1"/>
  <c r="C62" i="38"/>
  <c r="H63" i="38" s="1"/>
  <c r="H29" i="7"/>
  <c r="E45" i="7" s="1"/>
  <c r="C65" i="7" s="1"/>
  <c r="H66" i="7" s="1"/>
  <c r="C91" i="60"/>
  <c r="C92" i="17"/>
  <c r="H92" i="17" s="1"/>
  <c r="I18" i="66"/>
  <c r="C92" i="66"/>
  <c r="H92" i="66" s="1"/>
  <c r="C91" i="40"/>
  <c r="H91" i="40" s="1"/>
  <c r="H77" i="34"/>
  <c r="I77" i="34" s="1"/>
  <c r="H68" i="34"/>
  <c r="I68" i="34" s="1"/>
  <c r="H71" i="34"/>
  <c r="I71" i="34" s="1"/>
  <c r="H76" i="34"/>
  <c r="I76" i="34" s="1"/>
  <c r="H70" i="34"/>
  <c r="I70" i="34" s="1"/>
  <c r="H72" i="34"/>
  <c r="I72" i="34" s="1"/>
  <c r="I13" i="67"/>
  <c r="C90" i="67"/>
  <c r="H29" i="67"/>
  <c r="E45" i="67" s="1"/>
  <c r="C65" i="67" s="1"/>
  <c r="H66" i="67" s="1"/>
  <c r="H29" i="32"/>
  <c r="E45" i="32" s="1"/>
  <c r="C90" i="32"/>
  <c r="I13" i="32"/>
  <c r="I29" i="32" s="1"/>
  <c r="I45" i="32" s="1"/>
  <c r="H90" i="7"/>
  <c r="I16" i="18"/>
  <c r="C91" i="18"/>
  <c r="H91" i="18" s="1"/>
  <c r="H83" i="33"/>
  <c r="H78" i="33"/>
  <c r="I78" i="33" s="1"/>
  <c r="H80" i="33"/>
  <c r="I80" i="33" s="1"/>
  <c r="H79" i="33"/>
  <c r="I79" i="33" s="1"/>
  <c r="H82" i="33"/>
  <c r="H85" i="33"/>
  <c r="I85" i="33" s="1"/>
  <c r="I13" i="36"/>
  <c r="I29" i="36" s="1"/>
  <c r="I45" i="36" s="1"/>
  <c r="C90" i="36"/>
  <c r="H29" i="36"/>
  <c r="E45" i="36" s="1"/>
  <c r="C65" i="36" s="1"/>
  <c r="H66" i="36" s="1"/>
  <c r="C62" i="48"/>
  <c r="H63" i="48" s="1"/>
  <c r="I14" i="20"/>
  <c r="C90" i="20"/>
  <c r="H29" i="20"/>
  <c r="E45" i="20" s="1"/>
  <c r="C65" i="20" s="1"/>
  <c r="H66" i="20" s="1"/>
  <c r="C62" i="76"/>
  <c r="H63" i="76" s="1"/>
  <c r="C62" i="71"/>
  <c r="H63" i="71" s="1"/>
  <c r="I18" i="18"/>
  <c r="C92" i="18"/>
  <c r="H92" i="18" s="1"/>
  <c r="C90" i="57"/>
  <c r="H29" i="57"/>
  <c r="E45" i="57" s="1"/>
  <c r="C65" i="57" s="1"/>
  <c r="H66" i="57" s="1"/>
  <c r="I13" i="57"/>
  <c r="I29" i="57" s="1"/>
  <c r="I45" i="57" s="1"/>
  <c r="I16" i="69"/>
  <c r="I29" i="69" s="1"/>
  <c r="I45" i="69" s="1"/>
  <c r="C91" i="69"/>
  <c r="H29" i="69"/>
  <c r="E45" i="69" s="1"/>
  <c r="C65" i="69" s="1"/>
  <c r="H66" i="69" s="1"/>
  <c r="C62" i="22"/>
  <c r="H63" i="22" s="1"/>
  <c r="I14" i="39"/>
  <c r="I29" i="39" s="1"/>
  <c r="I45" i="39" s="1"/>
  <c r="C90" i="39"/>
  <c r="H29" i="39"/>
  <c r="E45" i="39" s="1"/>
  <c r="C65" i="39" s="1"/>
  <c r="H66" i="39" s="1"/>
  <c r="C92" i="58"/>
  <c r="H92" i="58" s="1"/>
  <c r="I14" i="18"/>
  <c r="H29" i="18"/>
  <c r="E45" i="18" s="1"/>
  <c r="C65" i="18" s="1"/>
  <c r="H66" i="18" s="1"/>
  <c r="C90" i="18"/>
  <c r="H29" i="55"/>
  <c r="E45" i="55" s="1"/>
  <c r="C65" i="55" s="1"/>
  <c r="H66" i="55" s="1"/>
  <c r="C92" i="38"/>
  <c r="H92" i="38" s="1"/>
  <c r="C62" i="36"/>
  <c r="H63" i="36" s="1"/>
  <c r="I18" i="48"/>
  <c r="I29" i="48" s="1"/>
  <c r="I45" i="48" s="1"/>
  <c r="C92" i="48"/>
  <c r="H92" i="48" s="1"/>
  <c r="I16" i="26"/>
  <c r="C91" i="26"/>
  <c r="H91" i="26" s="1"/>
  <c r="H29" i="48"/>
  <c r="E45" i="48" s="1"/>
  <c r="C65" i="48" s="1"/>
  <c r="H66" i="48" s="1"/>
  <c r="I110" i="7"/>
  <c r="H29" i="34"/>
  <c r="E45" i="34" s="1"/>
  <c r="C65" i="34" s="1"/>
  <c r="H66" i="34" s="1"/>
  <c r="E43" i="60"/>
  <c r="C62" i="21"/>
  <c r="H63" i="21" s="1"/>
  <c r="C62" i="20"/>
  <c r="H63" i="20" s="1"/>
  <c r="C62" i="58"/>
  <c r="H63" i="58" s="1"/>
  <c r="C62" i="57"/>
  <c r="H63" i="57" s="1"/>
  <c r="H29" i="22"/>
  <c r="E45" i="22" s="1"/>
  <c r="C65" i="22" s="1"/>
  <c r="H66" i="22" s="1"/>
  <c r="C90" i="22"/>
  <c r="I13" i="22"/>
  <c r="I29" i="22" s="1"/>
  <c r="I45" i="22" s="1"/>
  <c r="C62" i="68"/>
  <c r="H63" i="68" s="1"/>
  <c r="C92" i="40"/>
  <c r="H92" i="40" s="1"/>
  <c r="H29" i="15"/>
  <c r="E45" i="15" s="1"/>
  <c r="C65" i="15" s="1"/>
  <c r="H66" i="15" s="1"/>
  <c r="I18" i="26"/>
  <c r="C92" i="26"/>
  <c r="H92" i="26" s="1"/>
  <c r="C90" i="55"/>
  <c r="C93" i="71" l="1"/>
  <c r="H83" i="21"/>
  <c r="H82" i="21"/>
  <c r="C93" i="52"/>
  <c r="C93" i="76"/>
  <c r="H71" i="52"/>
  <c r="I71" i="52" s="1"/>
  <c r="H77" i="52"/>
  <c r="I77" i="52" s="1"/>
  <c r="H80" i="76"/>
  <c r="I80" i="76" s="1"/>
  <c r="H85" i="76"/>
  <c r="I85" i="76" s="1"/>
  <c r="H79" i="76"/>
  <c r="I79" i="76" s="1"/>
  <c r="H78" i="76"/>
  <c r="I78" i="76" s="1"/>
  <c r="H82" i="76"/>
  <c r="H76" i="52"/>
  <c r="I76" i="52" s="1"/>
  <c r="H68" i="52"/>
  <c r="I68" i="52" s="1"/>
  <c r="H70" i="52"/>
  <c r="I70" i="52" s="1"/>
  <c r="H82" i="71"/>
  <c r="H79" i="71"/>
  <c r="I79" i="71" s="1"/>
  <c r="H85" i="71"/>
  <c r="I85" i="71" s="1"/>
  <c r="H80" i="71"/>
  <c r="I80" i="71" s="1"/>
  <c r="H83" i="71"/>
  <c r="I93" i="76"/>
  <c r="C65" i="32"/>
  <c r="H66" i="32" s="1"/>
  <c r="H85" i="21"/>
  <c r="I85" i="21" s="1"/>
  <c r="H80" i="21"/>
  <c r="I80" i="21" s="1"/>
  <c r="I43" i="60"/>
  <c r="I15" i="60"/>
  <c r="C93" i="7"/>
  <c r="H78" i="21"/>
  <c r="I78" i="21" s="1"/>
  <c r="I29" i="7"/>
  <c r="I45" i="7" s="1"/>
  <c r="C93" i="34"/>
  <c r="I45" i="75"/>
  <c r="I29" i="67"/>
  <c r="I45" i="67" s="1"/>
  <c r="C93" i="21"/>
  <c r="C93" i="15"/>
  <c r="I93" i="44"/>
  <c r="I18" i="60"/>
  <c r="H92" i="60"/>
  <c r="I16" i="60"/>
  <c r="I29" i="15"/>
  <c r="I45" i="15" s="1"/>
  <c r="I29" i="70"/>
  <c r="I45" i="70" s="1"/>
  <c r="I29" i="20"/>
  <c r="I45" i="20" s="1"/>
  <c r="I93" i="40"/>
  <c r="I93" i="7"/>
  <c r="I93" i="48"/>
  <c r="C93" i="22"/>
  <c r="H90" i="22"/>
  <c r="I93" i="22" s="1"/>
  <c r="H78" i="15"/>
  <c r="I78" i="15" s="1"/>
  <c r="H80" i="15"/>
  <c r="I80" i="15" s="1"/>
  <c r="H85" i="15"/>
  <c r="I85" i="15" s="1"/>
  <c r="H79" i="15"/>
  <c r="I79" i="15" s="1"/>
  <c r="H82" i="15"/>
  <c r="H83" i="15"/>
  <c r="H79" i="48"/>
  <c r="I79" i="48" s="1"/>
  <c r="H82" i="48"/>
  <c r="H83" i="48"/>
  <c r="H78" i="48"/>
  <c r="I78" i="48" s="1"/>
  <c r="H80" i="48"/>
  <c r="I80" i="48" s="1"/>
  <c r="H85" i="48"/>
  <c r="I85" i="48" s="1"/>
  <c r="P13" i="76"/>
  <c r="P28" i="76"/>
  <c r="T28" i="76" s="1"/>
  <c r="U28" i="76" s="1"/>
  <c r="U73" i="76"/>
  <c r="P23" i="76"/>
  <c r="T23" i="76" s="1"/>
  <c r="U23" i="76" s="1"/>
  <c r="P37" i="76"/>
  <c r="P40" i="76"/>
  <c r="U40" i="76" s="1"/>
  <c r="U74" i="76"/>
  <c r="P18" i="76"/>
  <c r="T18" i="76" s="1"/>
  <c r="U18" i="76" s="1"/>
  <c r="P108" i="76"/>
  <c r="U108" i="76" s="1"/>
  <c r="U112" i="76"/>
  <c r="P15" i="76"/>
  <c r="T15" i="76" s="1"/>
  <c r="P25" i="76"/>
  <c r="T25" i="76" s="1"/>
  <c r="U25" i="76" s="1"/>
  <c r="P20" i="76"/>
  <c r="T20" i="76" s="1"/>
  <c r="U20" i="76" s="1"/>
  <c r="P27" i="76"/>
  <c r="T27" i="76" s="1"/>
  <c r="U27" i="76" s="1"/>
  <c r="P38" i="76"/>
  <c r="U38" i="76" s="1"/>
  <c r="P41" i="76"/>
  <c r="U41" i="76" s="1"/>
  <c r="P17" i="76"/>
  <c r="T17" i="76" s="1"/>
  <c r="P22" i="76"/>
  <c r="T22" i="76" s="1"/>
  <c r="U22" i="76" s="1"/>
  <c r="P107" i="76"/>
  <c r="U107" i="76" s="1"/>
  <c r="P14" i="76"/>
  <c r="T14" i="76" s="1"/>
  <c r="U14" i="76" s="1"/>
  <c r="P24" i="76"/>
  <c r="T24" i="76" s="1"/>
  <c r="U24" i="76" s="1"/>
  <c r="P26" i="76"/>
  <c r="T26" i="76" s="1"/>
  <c r="U26" i="76" s="1"/>
  <c r="P19" i="76"/>
  <c r="T19" i="76" s="1"/>
  <c r="U19" i="76" s="1"/>
  <c r="P39" i="76"/>
  <c r="U39" i="76" s="1"/>
  <c r="P16" i="76"/>
  <c r="T16" i="76" s="1"/>
  <c r="U16" i="76" s="1"/>
  <c r="P42" i="76"/>
  <c r="U42" i="76" s="1"/>
  <c r="P99" i="76"/>
  <c r="U99" i="76" s="1"/>
  <c r="P21" i="76"/>
  <c r="T21" i="76" s="1"/>
  <c r="U21" i="76" s="1"/>
  <c r="P109" i="76"/>
  <c r="U109" i="76" s="1"/>
  <c r="U113" i="76"/>
  <c r="U110" i="34"/>
  <c r="C93" i="44"/>
  <c r="H78" i="38"/>
  <c r="I78" i="38" s="1"/>
  <c r="H80" i="38"/>
  <c r="I80" i="38" s="1"/>
  <c r="H85" i="38"/>
  <c r="I85" i="38" s="1"/>
  <c r="H79" i="38"/>
  <c r="I79" i="38" s="1"/>
  <c r="H82" i="38"/>
  <c r="H83" i="38"/>
  <c r="H85" i="77"/>
  <c r="I85" i="77" s="1"/>
  <c r="H79" i="77"/>
  <c r="I79" i="77" s="1"/>
  <c r="H82" i="77"/>
  <c r="H83" i="77"/>
  <c r="H80" i="77"/>
  <c r="I80" i="77" s="1"/>
  <c r="H78" i="77"/>
  <c r="I78" i="77" s="1"/>
  <c r="H79" i="44"/>
  <c r="I79" i="44" s="1"/>
  <c r="H83" i="44"/>
  <c r="H80" i="44"/>
  <c r="I80" i="44" s="1"/>
  <c r="H85" i="44"/>
  <c r="I85" i="44" s="1"/>
  <c r="H78" i="44"/>
  <c r="I78" i="44" s="1"/>
  <c r="H82" i="44"/>
  <c r="H77" i="24"/>
  <c r="I77" i="24" s="1"/>
  <c r="H68" i="24"/>
  <c r="I68" i="24" s="1"/>
  <c r="H71" i="24"/>
  <c r="I71" i="24" s="1"/>
  <c r="H76" i="24"/>
  <c r="I76" i="24" s="1"/>
  <c r="H72" i="24"/>
  <c r="I72" i="24" s="1"/>
  <c r="H70" i="24"/>
  <c r="I70" i="24" s="1"/>
  <c r="H85" i="45"/>
  <c r="I85" i="45" s="1"/>
  <c r="H79" i="45"/>
  <c r="I79" i="45" s="1"/>
  <c r="H82" i="45"/>
  <c r="H83" i="45"/>
  <c r="H78" i="45"/>
  <c r="I78" i="45" s="1"/>
  <c r="H80" i="45"/>
  <c r="I80" i="45" s="1"/>
  <c r="P17" i="70"/>
  <c r="T17" i="70" s="1"/>
  <c r="P22" i="70"/>
  <c r="T22" i="70" s="1"/>
  <c r="U22" i="70" s="1"/>
  <c r="P107" i="70"/>
  <c r="U107" i="70" s="1"/>
  <c r="P14" i="70"/>
  <c r="T14" i="70" s="1"/>
  <c r="U14" i="70" s="1"/>
  <c r="P24" i="70"/>
  <c r="T24" i="70" s="1"/>
  <c r="U24" i="70" s="1"/>
  <c r="P18" i="70"/>
  <c r="T18" i="70" s="1"/>
  <c r="U18" i="70" s="1"/>
  <c r="P108" i="70"/>
  <c r="U108" i="70" s="1"/>
  <c r="P21" i="70"/>
  <c r="T21" i="70" s="1"/>
  <c r="U21" i="70" s="1"/>
  <c r="P26" i="70"/>
  <c r="T26" i="70" s="1"/>
  <c r="U26" i="70" s="1"/>
  <c r="P39" i="70"/>
  <c r="U39" i="70" s="1"/>
  <c r="P19" i="70"/>
  <c r="T19" i="70" s="1"/>
  <c r="U19" i="70" s="1"/>
  <c r="U73" i="70"/>
  <c r="U112" i="70"/>
  <c r="U74" i="70"/>
  <c r="U113" i="70"/>
  <c r="P15" i="70"/>
  <c r="T15" i="70" s="1"/>
  <c r="P40" i="70"/>
  <c r="U40" i="70" s="1"/>
  <c r="P13" i="70"/>
  <c r="P20" i="70"/>
  <c r="T20" i="70" s="1"/>
  <c r="U20" i="70" s="1"/>
  <c r="P25" i="70"/>
  <c r="T25" i="70" s="1"/>
  <c r="U25" i="70" s="1"/>
  <c r="P27" i="70"/>
  <c r="T27" i="70" s="1"/>
  <c r="U27" i="70" s="1"/>
  <c r="P41" i="70"/>
  <c r="U41" i="70" s="1"/>
  <c r="P37" i="70"/>
  <c r="P42" i="70"/>
  <c r="U42" i="70" s="1"/>
  <c r="P109" i="70"/>
  <c r="U109" i="70" s="1"/>
  <c r="P99" i="70"/>
  <c r="U99" i="70" s="1"/>
  <c r="P23" i="70"/>
  <c r="T23" i="70" s="1"/>
  <c r="U23" i="70" s="1"/>
  <c r="P28" i="70"/>
  <c r="T28" i="70" s="1"/>
  <c r="U28" i="70" s="1"/>
  <c r="P16" i="70"/>
  <c r="T16" i="70" s="1"/>
  <c r="U16" i="70" s="1"/>
  <c r="P38" i="70"/>
  <c r="U38" i="70" s="1"/>
  <c r="H72" i="7"/>
  <c r="I72" i="7" s="1"/>
  <c r="H77" i="7"/>
  <c r="I77" i="7" s="1"/>
  <c r="H70" i="7"/>
  <c r="I70" i="7" s="1"/>
  <c r="H76" i="7"/>
  <c r="I76" i="7" s="1"/>
  <c r="H68" i="7"/>
  <c r="I68" i="7" s="1"/>
  <c r="H71" i="7"/>
  <c r="I71" i="7" s="1"/>
  <c r="C93" i="50"/>
  <c r="H90" i="50"/>
  <c r="I93" i="50" s="1"/>
  <c r="H91" i="35"/>
  <c r="I93" i="35" s="1"/>
  <c r="C93" i="35"/>
  <c r="P17" i="35"/>
  <c r="T17" i="35" s="1"/>
  <c r="P22" i="35"/>
  <c r="T22" i="35" s="1"/>
  <c r="U22" i="35" s="1"/>
  <c r="P107" i="35"/>
  <c r="U107" i="35" s="1"/>
  <c r="P99" i="35"/>
  <c r="U99" i="35" s="1"/>
  <c r="P14" i="35"/>
  <c r="T14" i="35" s="1"/>
  <c r="U14" i="35" s="1"/>
  <c r="P24" i="35"/>
  <c r="T24" i="35" s="1"/>
  <c r="U24" i="35" s="1"/>
  <c r="P19" i="35"/>
  <c r="T19" i="35" s="1"/>
  <c r="U19" i="35" s="1"/>
  <c r="P39" i="35"/>
  <c r="U39" i="35" s="1"/>
  <c r="P42" i="35"/>
  <c r="U42" i="35" s="1"/>
  <c r="P109" i="35"/>
  <c r="U109" i="35" s="1"/>
  <c r="P26" i="35"/>
  <c r="T26" i="35" s="1"/>
  <c r="U26" i="35" s="1"/>
  <c r="P16" i="35"/>
  <c r="T16" i="35" s="1"/>
  <c r="U16" i="35" s="1"/>
  <c r="P21" i="35"/>
  <c r="T21" i="35" s="1"/>
  <c r="U21" i="35" s="1"/>
  <c r="P13" i="35"/>
  <c r="P28" i="35"/>
  <c r="T28" i="35" s="1"/>
  <c r="U28" i="35" s="1"/>
  <c r="U73" i="35"/>
  <c r="P23" i="35"/>
  <c r="T23" i="35" s="1"/>
  <c r="U23" i="35" s="1"/>
  <c r="P37" i="35"/>
  <c r="P40" i="35"/>
  <c r="U40" i="35" s="1"/>
  <c r="U74" i="35"/>
  <c r="P18" i="35"/>
  <c r="T18" i="35" s="1"/>
  <c r="U18" i="35" s="1"/>
  <c r="P108" i="35"/>
  <c r="U108" i="35" s="1"/>
  <c r="U112" i="35"/>
  <c r="P15" i="35"/>
  <c r="T15" i="35" s="1"/>
  <c r="P25" i="35"/>
  <c r="T25" i="35" s="1"/>
  <c r="U25" i="35" s="1"/>
  <c r="U113" i="35"/>
  <c r="P20" i="35"/>
  <c r="T20" i="35" s="1"/>
  <c r="U20" i="35" s="1"/>
  <c r="P38" i="35"/>
  <c r="U38" i="35" s="1"/>
  <c r="P41" i="35"/>
  <c r="U41" i="35" s="1"/>
  <c r="P27" i="35"/>
  <c r="T27" i="35" s="1"/>
  <c r="U27" i="35" s="1"/>
  <c r="H83" i="39"/>
  <c r="H78" i="39"/>
  <c r="I78" i="39" s="1"/>
  <c r="H80" i="39"/>
  <c r="I80" i="39" s="1"/>
  <c r="H85" i="39"/>
  <c r="I85" i="39" s="1"/>
  <c r="H79" i="39"/>
  <c r="I79" i="39" s="1"/>
  <c r="H82" i="39"/>
  <c r="H85" i="57"/>
  <c r="I85" i="57" s="1"/>
  <c r="H83" i="57"/>
  <c r="H79" i="57"/>
  <c r="I79" i="57" s="1"/>
  <c r="H80" i="57"/>
  <c r="I80" i="57" s="1"/>
  <c r="H82" i="57"/>
  <c r="H78" i="57"/>
  <c r="I78" i="57" s="1"/>
  <c r="H68" i="76"/>
  <c r="I68" i="76" s="1"/>
  <c r="H71" i="76"/>
  <c r="I71" i="76" s="1"/>
  <c r="H77" i="76"/>
  <c r="I77" i="76" s="1"/>
  <c r="H72" i="76"/>
  <c r="I72" i="76" s="1"/>
  <c r="H76" i="76"/>
  <c r="I76" i="76" s="1"/>
  <c r="H70" i="76"/>
  <c r="I70" i="76" s="1"/>
  <c r="H83" i="36"/>
  <c r="H80" i="36"/>
  <c r="I80" i="36" s="1"/>
  <c r="H85" i="36"/>
  <c r="I85" i="36" s="1"/>
  <c r="H78" i="36"/>
  <c r="I78" i="36" s="1"/>
  <c r="H82" i="36"/>
  <c r="H79" i="36"/>
  <c r="I79" i="36" s="1"/>
  <c r="H90" i="37"/>
  <c r="C93" i="37"/>
  <c r="U37" i="34"/>
  <c r="U43" i="34" s="1"/>
  <c r="R43" i="34"/>
  <c r="H77" i="37"/>
  <c r="I77" i="37" s="1"/>
  <c r="H68" i="37"/>
  <c r="I68" i="37" s="1"/>
  <c r="H71" i="37"/>
  <c r="I71" i="37" s="1"/>
  <c r="H76" i="37"/>
  <c r="I76" i="37" s="1"/>
  <c r="H72" i="37"/>
  <c r="I72" i="37" s="1"/>
  <c r="H70" i="37"/>
  <c r="I70" i="37" s="1"/>
  <c r="H76" i="47"/>
  <c r="I76" i="47" s="1"/>
  <c r="H70" i="47"/>
  <c r="I70" i="47" s="1"/>
  <c r="H72" i="47"/>
  <c r="I72" i="47" s="1"/>
  <c r="H77" i="47"/>
  <c r="I77" i="47" s="1"/>
  <c r="H71" i="47"/>
  <c r="I71" i="47" s="1"/>
  <c r="H68" i="47"/>
  <c r="I68" i="47" s="1"/>
  <c r="H90" i="51"/>
  <c r="I93" i="51" s="1"/>
  <c r="C93" i="51"/>
  <c r="R43" i="52"/>
  <c r="U37" i="52"/>
  <c r="U43" i="52" s="1"/>
  <c r="H77" i="44"/>
  <c r="I77" i="44" s="1"/>
  <c r="H68" i="44"/>
  <c r="I68" i="44" s="1"/>
  <c r="H71" i="44"/>
  <c r="I71" i="44" s="1"/>
  <c r="H72" i="44"/>
  <c r="I72" i="44" s="1"/>
  <c r="H76" i="44"/>
  <c r="I76" i="44" s="1"/>
  <c r="H70" i="44"/>
  <c r="I70" i="44" s="1"/>
  <c r="P15" i="75"/>
  <c r="T15" i="75" s="1"/>
  <c r="P14" i="75"/>
  <c r="T14" i="75" s="1"/>
  <c r="U14" i="75" s="1"/>
  <c r="P37" i="75"/>
  <c r="P40" i="75"/>
  <c r="U40" i="75" s="1"/>
  <c r="U74" i="75"/>
  <c r="P17" i="75"/>
  <c r="T17" i="75" s="1"/>
  <c r="P25" i="75"/>
  <c r="T25" i="75" s="1"/>
  <c r="U25" i="75" s="1"/>
  <c r="P108" i="75"/>
  <c r="U108" i="75" s="1"/>
  <c r="U112" i="75"/>
  <c r="U113" i="75"/>
  <c r="P27" i="75"/>
  <c r="T27" i="75" s="1"/>
  <c r="U27" i="75" s="1"/>
  <c r="P22" i="75"/>
  <c r="T22" i="75" s="1"/>
  <c r="U22" i="75" s="1"/>
  <c r="P38" i="75"/>
  <c r="U38" i="75" s="1"/>
  <c r="P41" i="75"/>
  <c r="U41" i="75" s="1"/>
  <c r="P20" i="75"/>
  <c r="T20" i="75" s="1"/>
  <c r="U20" i="75" s="1"/>
  <c r="P107" i="75"/>
  <c r="U107" i="75" s="1"/>
  <c r="P24" i="75"/>
  <c r="T24" i="75" s="1"/>
  <c r="U24" i="75" s="1"/>
  <c r="P99" i="75"/>
  <c r="U99" i="75" s="1"/>
  <c r="P13" i="75"/>
  <c r="P18" i="75"/>
  <c r="T18" i="75" s="1"/>
  <c r="U18" i="75" s="1"/>
  <c r="P26" i="75"/>
  <c r="T26" i="75" s="1"/>
  <c r="U26" i="75" s="1"/>
  <c r="P39" i="75"/>
  <c r="U39" i="75" s="1"/>
  <c r="P42" i="75"/>
  <c r="U42" i="75" s="1"/>
  <c r="P109" i="75"/>
  <c r="U109" i="75" s="1"/>
  <c r="P16" i="75"/>
  <c r="T16" i="75" s="1"/>
  <c r="U16" i="75" s="1"/>
  <c r="P23" i="75"/>
  <c r="T23" i="75" s="1"/>
  <c r="U23" i="75" s="1"/>
  <c r="P19" i="75"/>
  <c r="T19" i="75" s="1"/>
  <c r="U19" i="75" s="1"/>
  <c r="P21" i="75"/>
  <c r="T21" i="75" s="1"/>
  <c r="U21" i="75" s="1"/>
  <c r="U73" i="75"/>
  <c r="P28" i="75"/>
  <c r="T28" i="75" s="1"/>
  <c r="U28" i="75" s="1"/>
  <c r="P14" i="28"/>
  <c r="T14" i="28" s="1"/>
  <c r="U14" i="28" s="1"/>
  <c r="P24" i="28"/>
  <c r="T24" i="28" s="1"/>
  <c r="U24" i="28" s="1"/>
  <c r="P19" i="28"/>
  <c r="T19" i="28" s="1"/>
  <c r="U19" i="28" s="1"/>
  <c r="P39" i="28"/>
  <c r="U39" i="28" s="1"/>
  <c r="P42" i="28"/>
  <c r="U42" i="28" s="1"/>
  <c r="P109" i="28"/>
  <c r="U109" i="28" s="1"/>
  <c r="P26" i="28"/>
  <c r="T26" i="28" s="1"/>
  <c r="U26" i="28" s="1"/>
  <c r="P16" i="28"/>
  <c r="T16" i="28" s="1"/>
  <c r="U16" i="28" s="1"/>
  <c r="P21" i="28"/>
  <c r="T21" i="28" s="1"/>
  <c r="U21" i="28" s="1"/>
  <c r="P13" i="28"/>
  <c r="P28" i="28"/>
  <c r="T28" i="28" s="1"/>
  <c r="U28" i="28" s="1"/>
  <c r="U73" i="28"/>
  <c r="P23" i="28"/>
  <c r="T23" i="28" s="1"/>
  <c r="U23" i="28" s="1"/>
  <c r="P37" i="28"/>
  <c r="P40" i="28"/>
  <c r="U40" i="28" s="1"/>
  <c r="U74" i="28"/>
  <c r="P18" i="28"/>
  <c r="T18" i="28" s="1"/>
  <c r="U18" i="28" s="1"/>
  <c r="P108" i="28"/>
  <c r="U108" i="28" s="1"/>
  <c r="U112" i="28"/>
  <c r="P15" i="28"/>
  <c r="T15" i="28" s="1"/>
  <c r="P25" i="28"/>
  <c r="T25" i="28" s="1"/>
  <c r="U25" i="28" s="1"/>
  <c r="U113" i="28"/>
  <c r="P27" i="28"/>
  <c r="T27" i="28" s="1"/>
  <c r="U27" i="28" s="1"/>
  <c r="P38" i="28"/>
  <c r="U38" i="28" s="1"/>
  <c r="P41" i="28"/>
  <c r="U41" i="28" s="1"/>
  <c r="P17" i="28"/>
  <c r="T17" i="28" s="1"/>
  <c r="P22" i="28"/>
  <c r="T22" i="28" s="1"/>
  <c r="U22" i="28" s="1"/>
  <c r="P107" i="28"/>
  <c r="U107" i="28" s="1"/>
  <c r="P20" i="28"/>
  <c r="T20" i="28" s="1"/>
  <c r="U20" i="28" s="1"/>
  <c r="P99" i="28"/>
  <c r="U99" i="28" s="1"/>
  <c r="H78" i="78"/>
  <c r="I78" i="78" s="1"/>
  <c r="H80" i="78"/>
  <c r="I80" i="78" s="1"/>
  <c r="H85" i="78"/>
  <c r="I85" i="78" s="1"/>
  <c r="H79" i="78"/>
  <c r="I79" i="78" s="1"/>
  <c r="H82" i="78"/>
  <c r="H83" i="78"/>
  <c r="H70" i="45"/>
  <c r="I70" i="45" s="1"/>
  <c r="H72" i="45"/>
  <c r="I72" i="45" s="1"/>
  <c r="H77" i="45"/>
  <c r="I77" i="45" s="1"/>
  <c r="H68" i="45"/>
  <c r="I68" i="45" s="1"/>
  <c r="H71" i="45"/>
  <c r="I71" i="45" s="1"/>
  <c r="H76" i="45"/>
  <c r="I76" i="45" s="1"/>
  <c r="P27" i="50"/>
  <c r="T27" i="50" s="1"/>
  <c r="U27" i="50" s="1"/>
  <c r="P38" i="50"/>
  <c r="U38" i="50" s="1"/>
  <c r="P41" i="50"/>
  <c r="U41" i="50" s="1"/>
  <c r="P17" i="50"/>
  <c r="T17" i="50" s="1"/>
  <c r="P22" i="50"/>
  <c r="T22" i="50" s="1"/>
  <c r="U22" i="50" s="1"/>
  <c r="P107" i="50"/>
  <c r="U107" i="50" s="1"/>
  <c r="P99" i="50"/>
  <c r="U99" i="50" s="1"/>
  <c r="P14" i="50"/>
  <c r="T14" i="50" s="1"/>
  <c r="U14" i="50" s="1"/>
  <c r="P24" i="50"/>
  <c r="T24" i="50" s="1"/>
  <c r="U24" i="50" s="1"/>
  <c r="P19" i="50"/>
  <c r="T19" i="50" s="1"/>
  <c r="U19" i="50" s="1"/>
  <c r="P39" i="50"/>
  <c r="U39" i="50" s="1"/>
  <c r="P42" i="50"/>
  <c r="U42" i="50" s="1"/>
  <c r="P109" i="50"/>
  <c r="U109" i="50" s="1"/>
  <c r="P26" i="50"/>
  <c r="T26" i="50" s="1"/>
  <c r="U26" i="50" s="1"/>
  <c r="P16" i="50"/>
  <c r="T16" i="50" s="1"/>
  <c r="U16" i="50" s="1"/>
  <c r="P21" i="50"/>
  <c r="T21" i="50" s="1"/>
  <c r="U21" i="50" s="1"/>
  <c r="P13" i="50"/>
  <c r="P28" i="50"/>
  <c r="T28" i="50" s="1"/>
  <c r="U28" i="50" s="1"/>
  <c r="U73" i="50"/>
  <c r="P23" i="50"/>
  <c r="T23" i="50" s="1"/>
  <c r="U23" i="50" s="1"/>
  <c r="P37" i="50"/>
  <c r="P40" i="50"/>
  <c r="U40" i="50" s="1"/>
  <c r="U74" i="50"/>
  <c r="P18" i="50"/>
  <c r="T18" i="50" s="1"/>
  <c r="U18" i="50" s="1"/>
  <c r="P108" i="50"/>
  <c r="U108" i="50" s="1"/>
  <c r="U112" i="50"/>
  <c r="P20" i="50"/>
  <c r="T20" i="50" s="1"/>
  <c r="U20" i="50" s="1"/>
  <c r="P15" i="50"/>
  <c r="T15" i="50" s="1"/>
  <c r="U113" i="50"/>
  <c r="P25" i="50"/>
  <c r="T25" i="50" s="1"/>
  <c r="U25" i="50" s="1"/>
  <c r="H83" i="56"/>
  <c r="H82" i="56"/>
  <c r="H78" i="56"/>
  <c r="I78" i="56" s="1"/>
  <c r="H79" i="56"/>
  <c r="I79" i="56" s="1"/>
  <c r="H80" i="56"/>
  <c r="I80" i="56" s="1"/>
  <c r="H85" i="56"/>
  <c r="I85" i="56" s="1"/>
  <c r="H70" i="57"/>
  <c r="I70" i="57" s="1"/>
  <c r="H72" i="57"/>
  <c r="I72" i="57" s="1"/>
  <c r="H68" i="57"/>
  <c r="I68" i="57" s="1"/>
  <c r="H71" i="57"/>
  <c r="I71" i="57" s="1"/>
  <c r="H76" i="57"/>
  <c r="I76" i="57" s="1"/>
  <c r="H77" i="57"/>
  <c r="I77" i="57" s="1"/>
  <c r="H68" i="20"/>
  <c r="I68" i="20" s="1"/>
  <c r="H71" i="20"/>
  <c r="I71" i="20" s="1"/>
  <c r="H76" i="20"/>
  <c r="I76" i="20" s="1"/>
  <c r="H70" i="20"/>
  <c r="I70" i="20" s="1"/>
  <c r="H72" i="20"/>
  <c r="I72" i="20" s="1"/>
  <c r="H77" i="20"/>
  <c r="I77" i="20" s="1"/>
  <c r="H79" i="55"/>
  <c r="I79" i="55" s="1"/>
  <c r="H82" i="55"/>
  <c r="H83" i="55"/>
  <c r="H78" i="55"/>
  <c r="I78" i="55" s="1"/>
  <c r="H80" i="55"/>
  <c r="I80" i="55" s="1"/>
  <c r="H85" i="55"/>
  <c r="I85" i="55" s="1"/>
  <c r="C93" i="39"/>
  <c r="H90" i="39"/>
  <c r="I93" i="39" s="1"/>
  <c r="C93" i="57"/>
  <c r="H90" i="57"/>
  <c r="I93" i="57" s="1"/>
  <c r="C93" i="36"/>
  <c r="H90" i="36"/>
  <c r="I93" i="36" s="1"/>
  <c r="H79" i="7"/>
  <c r="I79" i="7" s="1"/>
  <c r="H83" i="7"/>
  <c r="I83" i="7" s="1"/>
  <c r="H80" i="7"/>
  <c r="I80" i="7" s="1"/>
  <c r="H78" i="7"/>
  <c r="I78" i="7" s="1"/>
  <c r="H85" i="7"/>
  <c r="I85" i="7" s="1"/>
  <c r="H82" i="7"/>
  <c r="H90" i="47"/>
  <c r="I93" i="47" s="1"/>
  <c r="C93" i="47"/>
  <c r="H85" i="52"/>
  <c r="I85" i="52" s="1"/>
  <c r="H79" i="52"/>
  <c r="I79" i="52" s="1"/>
  <c r="H82" i="52"/>
  <c r="H83" i="52"/>
  <c r="H80" i="52"/>
  <c r="I80" i="52" s="1"/>
  <c r="H78" i="52"/>
  <c r="I78" i="52" s="1"/>
  <c r="H77" i="28"/>
  <c r="I77" i="28" s="1"/>
  <c r="H68" i="28"/>
  <c r="I68" i="28" s="1"/>
  <c r="H71" i="28"/>
  <c r="I71" i="28" s="1"/>
  <c r="H76" i="28"/>
  <c r="I76" i="28" s="1"/>
  <c r="H70" i="28"/>
  <c r="I70" i="28" s="1"/>
  <c r="H72" i="28"/>
  <c r="I72" i="28" s="1"/>
  <c r="H77" i="17"/>
  <c r="I77" i="17" s="1"/>
  <c r="H72" i="17"/>
  <c r="I72" i="17" s="1"/>
  <c r="H68" i="17"/>
  <c r="I68" i="17" s="1"/>
  <c r="H76" i="17"/>
  <c r="I76" i="17" s="1"/>
  <c r="H70" i="17"/>
  <c r="I70" i="17" s="1"/>
  <c r="H71" i="17"/>
  <c r="I71" i="17" s="1"/>
  <c r="H83" i="27"/>
  <c r="H78" i="27"/>
  <c r="I78" i="27" s="1"/>
  <c r="H80" i="27"/>
  <c r="I80" i="27" s="1"/>
  <c r="H79" i="27"/>
  <c r="I79" i="27" s="1"/>
  <c r="H82" i="27"/>
  <c r="H85" i="27"/>
  <c r="I85" i="27" s="1"/>
  <c r="C93" i="17"/>
  <c r="H90" i="17"/>
  <c r="I93" i="17" s="1"/>
  <c r="H85" i="50"/>
  <c r="I85" i="50" s="1"/>
  <c r="H79" i="50"/>
  <c r="I79" i="50" s="1"/>
  <c r="H82" i="50"/>
  <c r="H83" i="50"/>
  <c r="H78" i="50"/>
  <c r="I78" i="50" s="1"/>
  <c r="H80" i="50"/>
  <c r="I80" i="50" s="1"/>
  <c r="H83" i="20"/>
  <c r="H78" i="20"/>
  <c r="I78" i="20" s="1"/>
  <c r="H80" i="20"/>
  <c r="I80" i="20" s="1"/>
  <c r="H85" i="20"/>
  <c r="I85" i="20" s="1"/>
  <c r="H79" i="20"/>
  <c r="I79" i="20" s="1"/>
  <c r="H82" i="20"/>
  <c r="H79" i="37"/>
  <c r="I79" i="37" s="1"/>
  <c r="H82" i="37"/>
  <c r="H83" i="37"/>
  <c r="H78" i="37"/>
  <c r="I78" i="37" s="1"/>
  <c r="H80" i="37"/>
  <c r="I80" i="37" s="1"/>
  <c r="H85" i="37"/>
  <c r="I85" i="37" s="1"/>
  <c r="H78" i="47"/>
  <c r="I78" i="47" s="1"/>
  <c r="H80" i="47"/>
  <c r="I80" i="47" s="1"/>
  <c r="H85" i="47"/>
  <c r="I85" i="47" s="1"/>
  <c r="H79" i="47"/>
  <c r="I79" i="47" s="1"/>
  <c r="H82" i="47"/>
  <c r="H83" i="47"/>
  <c r="H70" i="43"/>
  <c r="I70" i="43" s="1"/>
  <c r="H72" i="43"/>
  <c r="I72" i="43" s="1"/>
  <c r="H77" i="43"/>
  <c r="I77" i="43" s="1"/>
  <c r="H68" i="43"/>
  <c r="I68" i="43" s="1"/>
  <c r="H71" i="43"/>
  <c r="I71" i="43" s="1"/>
  <c r="H76" i="43"/>
  <c r="I76" i="43" s="1"/>
  <c r="P17" i="37"/>
  <c r="T17" i="37" s="1"/>
  <c r="P22" i="37"/>
  <c r="T22" i="37" s="1"/>
  <c r="U22" i="37" s="1"/>
  <c r="P107" i="37"/>
  <c r="U107" i="37" s="1"/>
  <c r="P14" i="37"/>
  <c r="T14" i="37" s="1"/>
  <c r="U14" i="37" s="1"/>
  <c r="P24" i="37"/>
  <c r="T24" i="37" s="1"/>
  <c r="U24" i="37" s="1"/>
  <c r="P19" i="37"/>
  <c r="T19" i="37" s="1"/>
  <c r="U19" i="37" s="1"/>
  <c r="P39" i="37"/>
  <c r="U39" i="37" s="1"/>
  <c r="P42" i="37"/>
  <c r="U42" i="37" s="1"/>
  <c r="P109" i="37"/>
  <c r="U109" i="37" s="1"/>
  <c r="P26" i="37"/>
  <c r="T26" i="37" s="1"/>
  <c r="U26" i="37" s="1"/>
  <c r="P16" i="37"/>
  <c r="T16" i="37" s="1"/>
  <c r="U16" i="37" s="1"/>
  <c r="P21" i="37"/>
  <c r="T21" i="37" s="1"/>
  <c r="U21" i="37" s="1"/>
  <c r="P13" i="37"/>
  <c r="P28" i="37"/>
  <c r="T28" i="37" s="1"/>
  <c r="U28" i="37" s="1"/>
  <c r="P23" i="37"/>
  <c r="T23" i="37" s="1"/>
  <c r="U23" i="37" s="1"/>
  <c r="P37" i="37"/>
  <c r="P40" i="37"/>
  <c r="U40" i="37" s="1"/>
  <c r="U74" i="37"/>
  <c r="P18" i="37"/>
  <c r="T18" i="37" s="1"/>
  <c r="U18" i="37" s="1"/>
  <c r="P15" i="37"/>
  <c r="T15" i="37" s="1"/>
  <c r="P25" i="37"/>
  <c r="T25" i="37" s="1"/>
  <c r="U25" i="37" s="1"/>
  <c r="U113" i="37"/>
  <c r="U73" i="37"/>
  <c r="P20" i="37"/>
  <c r="T20" i="37" s="1"/>
  <c r="U20" i="37" s="1"/>
  <c r="P38" i="37"/>
  <c r="U38" i="37" s="1"/>
  <c r="P108" i="37"/>
  <c r="U108" i="37" s="1"/>
  <c r="P99" i="37"/>
  <c r="U99" i="37" s="1"/>
  <c r="P41" i="37"/>
  <c r="U41" i="37" s="1"/>
  <c r="P27" i="37"/>
  <c r="T27" i="37" s="1"/>
  <c r="U27" i="37" s="1"/>
  <c r="U112" i="37"/>
  <c r="P16" i="47"/>
  <c r="T16" i="47" s="1"/>
  <c r="U16" i="47" s="1"/>
  <c r="P21" i="47"/>
  <c r="T21" i="47" s="1"/>
  <c r="U21" i="47" s="1"/>
  <c r="P13" i="47"/>
  <c r="P28" i="47"/>
  <c r="T28" i="47" s="1"/>
  <c r="U28" i="47" s="1"/>
  <c r="P23" i="47"/>
  <c r="T23" i="47" s="1"/>
  <c r="U23" i="47" s="1"/>
  <c r="P18" i="47"/>
  <c r="T18" i="47" s="1"/>
  <c r="U18" i="47" s="1"/>
  <c r="P14" i="47"/>
  <c r="T14" i="47" s="1"/>
  <c r="U14" i="47" s="1"/>
  <c r="U113" i="47"/>
  <c r="P38" i="47"/>
  <c r="U38" i="47" s="1"/>
  <c r="P42" i="47"/>
  <c r="U42" i="47" s="1"/>
  <c r="P107" i="47"/>
  <c r="U107" i="47" s="1"/>
  <c r="P26" i="47"/>
  <c r="T26" i="47" s="1"/>
  <c r="U26" i="47" s="1"/>
  <c r="P99" i="47"/>
  <c r="U99" i="47" s="1"/>
  <c r="P24" i="47"/>
  <c r="T24" i="47" s="1"/>
  <c r="U24" i="47" s="1"/>
  <c r="P19" i="47"/>
  <c r="T19" i="47" s="1"/>
  <c r="U19" i="47" s="1"/>
  <c r="P39" i="47"/>
  <c r="U39" i="47" s="1"/>
  <c r="P109" i="47"/>
  <c r="U109" i="47" s="1"/>
  <c r="P22" i="47"/>
  <c r="T22" i="47" s="1"/>
  <c r="U22" i="47" s="1"/>
  <c r="P27" i="47"/>
  <c r="T27" i="47" s="1"/>
  <c r="U27" i="47" s="1"/>
  <c r="P40" i="47"/>
  <c r="U40" i="47" s="1"/>
  <c r="P17" i="47"/>
  <c r="T17" i="47" s="1"/>
  <c r="P25" i="47"/>
  <c r="T25" i="47" s="1"/>
  <c r="U25" i="47" s="1"/>
  <c r="U73" i="47"/>
  <c r="P20" i="47"/>
  <c r="T20" i="47" s="1"/>
  <c r="U20" i="47" s="1"/>
  <c r="P15" i="47"/>
  <c r="T15" i="47" s="1"/>
  <c r="P41" i="47"/>
  <c r="U41" i="47" s="1"/>
  <c r="U74" i="47"/>
  <c r="P108" i="47"/>
  <c r="U108" i="47" s="1"/>
  <c r="U112" i="47"/>
  <c r="P37" i="47"/>
  <c r="P13" i="39"/>
  <c r="P28" i="39"/>
  <c r="T28" i="39" s="1"/>
  <c r="U28" i="39" s="1"/>
  <c r="U73" i="39"/>
  <c r="P23" i="39"/>
  <c r="T23" i="39" s="1"/>
  <c r="U23" i="39" s="1"/>
  <c r="P37" i="39"/>
  <c r="P40" i="39"/>
  <c r="U40" i="39" s="1"/>
  <c r="U74" i="39"/>
  <c r="P18" i="39"/>
  <c r="T18" i="39" s="1"/>
  <c r="U18" i="39" s="1"/>
  <c r="P108" i="39"/>
  <c r="U108" i="39" s="1"/>
  <c r="U112" i="39"/>
  <c r="P15" i="39"/>
  <c r="T15" i="39" s="1"/>
  <c r="P25" i="39"/>
  <c r="T25" i="39" s="1"/>
  <c r="U25" i="39" s="1"/>
  <c r="U113" i="39"/>
  <c r="P20" i="39"/>
  <c r="T20" i="39" s="1"/>
  <c r="U20" i="39" s="1"/>
  <c r="P27" i="39"/>
  <c r="T27" i="39" s="1"/>
  <c r="U27" i="39" s="1"/>
  <c r="P38" i="39"/>
  <c r="U38" i="39" s="1"/>
  <c r="P41" i="39"/>
  <c r="U41" i="39" s="1"/>
  <c r="P17" i="39"/>
  <c r="T17" i="39" s="1"/>
  <c r="P22" i="39"/>
  <c r="T22" i="39" s="1"/>
  <c r="U22" i="39" s="1"/>
  <c r="P107" i="39"/>
  <c r="U107" i="39" s="1"/>
  <c r="P99" i="39"/>
  <c r="U99" i="39" s="1"/>
  <c r="P14" i="39"/>
  <c r="T14" i="39" s="1"/>
  <c r="U14" i="39" s="1"/>
  <c r="P24" i="39"/>
  <c r="T24" i="39" s="1"/>
  <c r="U24" i="39" s="1"/>
  <c r="P19" i="39"/>
  <c r="T19" i="39" s="1"/>
  <c r="U19" i="39" s="1"/>
  <c r="P39" i="39"/>
  <c r="U39" i="39" s="1"/>
  <c r="P42" i="39"/>
  <c r="U42" i="39" s="1"/>
  <c r="P109" i="39"/>
  <c r="U109" i="39" s="1"/>
  <c r="P26" i="39"/>
  <c r="T26" i="39" s="1"/>
  <c r="U26" i="39" s="1"/>
  <c r="P21" i="39"/>
  <c r="T21" i="39" s="1"/>
  <c r="U21" i="39" s="1"/>
  <c r="P16" i="39"/>
  <c r="T16" i="39" s="1"/>
  <c r="U16" i="39" s="1"/>
  <c r="H78" i="51"/>
  <c r="I78" i="51" s="1"/>
  <c r="H80" i="51"/>
  <c r="I80" i="51" s="1"/>
  <c r="H85" i="51"/>
  <c r="I85" i="51" s="1"/>
  <c r="H79" i="51"/>
  <c r="I79" i="51" s="1"/>
  <c r="H82" i="51"/>
  <c r="H83" i="51"/>
  <c r="P19" i="44"/>
  <c r="T19" i="44" s="1"/>
  <c r="U19" i="44" s="1"/>
  <c r="P39" i="44"/>
  <c r="U39" i="44" s="1"/>
  <c r="P42" i="44"/>
  <c r="U42" i="44" s="1"/>
  <c r="P26" i="44"/>
  <c r="T26" i="44" s="1"/>
  <c r="U26" i="44" s="1"/>
  <c r="P16" i="44"/>
  <c r="T16" i="44" s="1"/>
  <c r="U16" i="44" s="1"/>
  <c r="P21" i="44"/>
  <c r="T21" i="44" s="1"/>
  <c r="U21" i="44" s="1"/>
  <c r="P13" i="44"/>
  <c r="P23" i="44"/>
  <c r="T23" i="44" s="1"/>
  <c r="U23" i="44" s="1"/>
  <c r="P37" i="44"/>
  <c r="P40" i="44"/>
  <c r="U40" i="44" s="1"/>
  <c r="U74" i="44"/>
  <c r="P18" i="44"/>
  <c r="T18" i="44" s="1"/>
  <c r="U18" i="44" s="1"/>
  <c r="P20" i="44"/>
  <c r="T20" i="44" s="1"/>
  <c r="U20" i="44" s="1"/>
  <c r="U113" i="44"/>
  <c r="P25" i="44"/>
  <c r="T25" i="44" s="1"/>
  <c r="U25" i="44" s="1"/>
  <c r="P22" i="44"/>
  <c r="T22" i="44" s="1"/>
  <c r="U22" i="44" s="1"/>
  <c r="P28" i="44"/>
  <c r="T28" i="44" s="1"/>
  <c r="U28" i="44" s="1"/>
  <c r="P107" i="44"/>
  <c r="U107" i="44" s="1"/>
  <c r="P99" i="44"/>
  <c r="U99" i="44" s="1"/>
  <c r="P17" i="44"/>
  <c r="T17" i="44" s="1"/>
  <c r="P41" i="44"/>
  <c r="U41" i="44" s="1"/>
  <c r="P109" i="44"/>
  <c r="U109" i="44" s="1"/>
  <c r="P15" i="44"/>
  <c r="T15" i="44" s="1"/>
  <c r="P38" i="44"/>
  <c r="U38" i="44" s="1"/>
  <c r="P27" i="44"/>
  <c r="T27" i="44" s="1"/>
  <c r="U27" i="44" s="1"/>
  <c r="U73" i="44"/>
  <c r="P108" i="44"/>
  <c r="U108" i="44" s="1"/>
  <c r="P24" i="44"/>
  <c r="T24" i="44" s="1"/>
  <c r="U24" i="44" s="1"/>
  <c r="P14" i="44"/>
  <c r="T14" i="44" s="1"/>
  <c r="U14" i="44" s="1"/>
  <c r="U112" i="44"/>
  <c r="P19" i="42"/>
  <c r="T19" i="42" s="1"/>
  <c r="U19" i="42" s="1"/>
  <c r="P39" i="42"/>
  <c r="U39" i="42" s="1"/>
  <c r="P42" i="42"/>
  <c r="U42" i="42" s="1"/>
  <c r="P109" i="42"/>
  <c r="U109" i="42" s="1"/>
  <c r="P26" i="42"/>
  <c r="T26" i="42" s="1"/>
  <c r="U26" i="42" s="1"/>
  <c r="P16" i="42"/>
  <c r="T16" i="42" s="1"/>
  <c r="U16" i="42" s="1"/>
  <c r="P21" i="42"/>
  <c r="T21" i="42" s="1"/>
  <c r="U21" i="42" s="1"/>
  <c r="P13" i="42"/>
  <c r="P28" i="42"/>
  <c r="T28" i="42" s="1"/>
  <c r="U28" i="42" s="1"/>
  <c r="U73" i="42"/>
  <c r="P18" i="42"/>
  <c r="T18" i="42" s="1"/>
  <c r="U18" i="42" s="1"/>
  <c r="P108" i="42"/>
  <c r="U108" i="42" s="1"/>
  <c r="U112" i="42"/>
  <c r="P15" i="42"/>
  <c r="T15" i="42" s="1"/>
  <c r="P25" i="42"/>
  <c r="T25" i="42" s="1"/>
  <c r="U25" i="42" s="1"/>
  <c r="U113" i="42"/>
  <c r="P20" i="42"/>
  <c r="T20" i="42" s="1"/>
  <c r="U20" i="42" s="1"/>
  <c r="P99" i="42"/>
  <c r="U99" i="42" s="1"/>
  <c r="P14" i="42"/>
  <c r="T14" i="42" s="1"/>
  <c r="U14" i="42" s="1"/>
  <c r="P17" i="42"/>
  <c r="T17" i="42" s="1"/>
  <c r="P40" i="42"/>
  <c r="U40" i="42" s="1"/>
  <c r="P107" i="42"/>
  <c r="U107" i="42" s="1"/>
  <c r="P41" i="42"/>
  <c r="U41" i="42" s="1"/>
  <c r="P22" i="42"/>
  <c r="T22" i="42" s="1"/>
  <c r="U22" i="42" s="1"/>
  <c r="U74" i="42"/>
  <c r="P23" i="42"/>
  <c r="T23" i="42" s="1"/>
  <c r="U23" i="42" s="1"/>
  <c r="P37" i="42"/>
  <c r="P27" i="42"/>
  <c r="T27" i="42" s="1"/>
  <c r="U27" i="42" s="1"/>
  <c r="P38" i="42"/>
  <c r="U38" i="42" s="1"/>
  <c r="P24" i="42"/>
  <c r="T24" i="42" s="1"/>
  <c r="U24" i="42" s="1"/>
  <c r="H70" i="69"/>
  <c r="I70" i="69" s="1"/>
  <c r="H72" i="69"/>
  <c r="I72" i="69" s="1"/>
  <c r="H77" i="69"/>
  <c r="I77" i="69" s="1"/>
  <c r="H76" i="69"/>
  <c r="I76" i="69" s="1"/>
  <c r="H71" i="69"/>
  <c r="I71" i="69" s="1"/>
  <c r="H68" i="69"/>
  <c r="I68" i="69" s="1"/>
  <c r="H90" i="75"/>
  <c r="I93" i="75" s="1"/>
  <c r="C93" i="75"/>
  <c r="P20" i="17"/>
  <c r="T20" i="17" s="1"/>
  <c r="U20" i="17" s="1"/>
  <c r="P27" i="17"/>
  <c r="T27" i="17" s="1"/>
  <c r="U27" i="17" s="1"/>
  <c r="P38" i="17"/>
  <c r="U38" i="17" s="1"/>
  <c r="P41" i="17"/>
  <c r="U41" i="17" s="1"/>
  <c r="P17" i="17"/>
  <c r="T17" i="17" s="1"/>
  <c r="P22" i="17"/>
  <c r="T22" i="17" s="1"/>
  <c r="U22" i="17" s="1"/>
  <c r="P14" i="17"/>
  <c r="T14" i="17" s="1"/>
  <c r="U14" i="17" s="1"/>
  <c r="P24" i="17"/>
  <c r="T24" i="17" s="1"/>
  <c r="U24" i="17" s="1"/>
  <c r="P19" i="17"/>
  <c r="T19" i="17" s="1"/>
  <c r="U19" i="17" s="1"/>
  <c r="P39" i="17"/>
  <c r="U39" i="17" s="1"/>
  <c r="P42" i="17"/>
  <c r="U42" i="17" s="1"/>
  <c r="P109" i="17"/>
  <c r="U109" i="17" s="1"/>
  <c r="P16" i="17"/>
  <c r="T16" i="17" s="1"/>
  <c r="U16" i="17" s="1"/>
  <c r="P21" i="17"/>
  <c r="T21" i="17" s="1"/>
  <c r="U21" i="17" s="1"/>
  <c r="P18" i="17"/>
  <c r="T18" i="17" s="1"/>
  <c r="U18" i="17" s="1"/>
  <c r="P108" i="17"/>
  <c r="U108" i="17" s="1"/>
  <c r="U112" i="17"/>
  <c r="P23" i="17"/>
  <c r="T23" i="17" s="1"/>
  <c r="U23" i="17" s="1"/>
  <c r="P13" i="17"/>
  <c r="P37" i="17"/>
  <c r="P107" i="17"/>
  <c r="U107" i="17" s="1"/>
  <c r="U113" i="17"/>
  <c r="U73" i="17"/>
  <c r="U74" i="17"/>
  <c r="P28" i="17"/>
  <c r="T28" i="17" s="1"/>
  <c r="U28" i="17" s="1"/>
  <c r="P40" i="17"/>
  <c r="U40" i="17" s="1"/>
  <c r="P25" i="17"/>
  <c r="T25" i="17" s="1"/>
  <c r="U25" i="17" s="1"/>
  <c r="P99" i="17"/>
  <c r="U99" i="17" s="1"/>
  <c r="P15" i="17"/>
  <c r="T15" i="17" s="1"/>
  <c r="P26" i="17"/>
  <c r="T26" i="17" s="1"/>
  <c r="U26" i="17" s="1"/>
  <c r="C93" i="27"/>
  <c r="H90" i="27"/>
  <c r="I93" i="27" s="1"/>
  <c r="P17" i="45"/>
  <c r="T17" i="45" s="1"/>
  <c r="P22" i="45"/>
  <c r="T22" i="45" s="1"/>
  <c r="U22" i="45" s="1"/>
  <c r="P107" i="45"/>
  <c r="U107" i="45" s="1"/>
  <c r="P99" i="45"/>
  <c r="U99" i="45" s="1"/>
  <c r="P14" i="45"/>
  <c r="T14" i="45" s="1"/>
  <c r="U14" i="45" s="1"/>
  <c r="P24" i="45"/>
  <c r="T24" i="45" s="1"/>
  <c r="U24" i="45" s="1"/>
  <c r="P19" i="45"/>
  <c r="T19" i="45" s="1"/>
  <c r="U19" i="45" s="1"/>
  <c r="P39" i="45"/>
  <c r="U39" i="45" s="1"/>
  <c r="P42" i="45"/>
  <c r="U42" i="45" s="1"/>
  <c r="P109" i="45"/>
  <c r="U109" i="45" s="1"/>
  <c r="P26" i="45"/>
  <c r="T26" i="45" s="1"/>
  <c r="U26" i="45" s="1"/>
  <c r="P16" i="45"/>
  <c r="T16" i="45" s="1"/>
  <c r="U16" i="45" s="1"/>
  <c r="P21" i="45"/>
  <c r="T21" i="45" s="1"/>
  <c r="U21" i="45" s="1"/>
  <c r="P13" i="45"/>
  <c r="P28" i="45"/>
  <c r="T28" i="45" s="1"/>
  <c r="U28" i="45" s="1"/>
  <c r="U73" i="45"/>
  <c r="P23" i="45"/>
  <c r="T23" i="45" s="1"/>
  <c r="U23" i="45" s="1"/>
  <c r="P37" i="45"/>
  <c r="P40" i="45"/>
  <c r="U40" i="45" s="1"/>
  <c r="U74" i="45"/>
  <c r="P15" i="45"/>
  <c r="T15" i="45" s="1"/>
  <c r="P25" i="45"/>
  <c r="T25" i="45" s="1"/>
  <c r="U25" i="45" s="1"/>
  <c r="U113" i="45"/>
  <c r="P38" i="45"/>
  <c r="U38" i="45" s="1"/>
  <c r="P108" i="45"/>
  <c r="U108" i="45" s="1"/>
  <c r="P18" i="45"/>
  <c r="T18" i="45" s="1"/>
  <c r="U18" i="45" s="1"/>
  <c r="P27" i="45"/>
  <c r="T27" i="45" s="1"/>
  <c r="U27" i="45" s="1"/>
  <c r="P41" i="45"/>
  <c r="U41" i="45" s="1"/>
  <c r="U112" i="45"/>
  <c r="P20" i="45"/>
  <c r="T20" i="45" s="1"/>
  <c r="U20" i="45" s="1"/>
  <c r="H90" i="66"/>
  <c r="I93" i="66" s="1"/>
  <c r="C93" i="66"/>
  <c r="P13" i="40"/>
  <c r="P23" i="40"/>
  <c r="T23" i="40" s="1"/>
  <c r="U23" i="40" s="1"/>
  <c r="P17" i="40"/>
  <c r="T17" i="40" s="1"/>
  <c r="P22" i="40"/>
  <c r="T22" i="40" s="1"/>
  <c r="U22" i="40" s="1"/>
  <c r="P16" i="40"/>
  <c r="T16" i="40" s="1"/>
  <c r="U16" i="40" s="1"/>
  <c r="P39" i="40"/>
  <c r="U39" i="40" s="1"/>
  <c r="P42" i="40"/>
  <c r="U42" i="40" s="1"/>
  <c r="P109" i="40"/>
  <c r="U109" i="40" s="1"/>
  <c r="P19" i="40"/>
  <c r="T19" i="40" s="1"/>
  <c r="U19" i="40" s="1"/>
  <c r="P26" i="40"/>
  <c r="T26" i="40" s="1"/>
  <c r="U26" i="40" s="1"/>
  <c r="P14" i="40"/>
  <c r="T14" i="40" s="1"/>
  <c r="U14" i="40" s="1"/>
  <c r="P28" i="40"/>
  <c r="T28" i="40" s="1"/>
  <c r="U28" i="40" s="1"/>
  <c r="U73" i="40"/>
  <c r="P37" i="40"/>
  <c r="P40" i="40"/>
  <c r="U40" i="40" s="1"/>
  <c r="U74" i="40"/>
  <c r="P108" i="40"/>
  <c r="U108" i="40" s="1"/>
  <c r="U112" i="40"/>
  <c r="P20" i="40"/>
  <c r="T20" i="40" s="1"/>
  <c r="U20" i="40" s="1"/>
  <c r="P25" i="40"/>
  <c r="T25" i="40" s="1"/>
  <c r="U25" i="40" s="1"/>
  <c r="U113" i="40"/>
  <c r="P15" i="40"/>
  <c r="T15" i="40" s="1"/>
  <c r="P18" i="40"/>
  <c r="T18" i="40" s="1"/>
  <c r="U18" i="40" s="1"/>
  <c r="P27" i="40"/>
  <c r="T27" i="40" s="1"/>
  <c r="U27" i="40" s="1"/>
  <c r="P38" i="40"/>
  <c r="U38" i="40" s="1"/>
  <c r="P41" i="40"/>
  <c r="U41" i="40" s="1"/>
  <c r="P21" i="40"/>
  <c r="T21" i="40" s="1"/>
  <c r="U21" i="40" s="1"/>
  <c r="P107" i="40"/>
  <c r="U107" i="40" s="1"/>
  <c r="P99" i="40"/>
  <c r="U99" i="40" s="1"/>
  <c r="P24" i="40"/>
  <c r="T24" i="40" s="1"/>
  <c r="U24" i="40" s="1"/>
  <c r="H90" i="26"/>
  <c r="I93" i="26" s="1"/>
  <c r="C93" i="26"/>
  <c r="H68" i="39"/>
  <c r="I68" i="39" s="1"/>
  <c r="H71" i="39"/>
  <c r="I71" i="39" s="1"/>
  <c r="H76" i="39"/>
  <c r="I76" i="39" s="1"/>
  <c r="H70" i="39"/>
  <c r="I70" i="39" s="1"/>
  <c r="H72" i="39"/>
  <c r="I72" i="39" s="1"/>
  <c r="H77" i="39"/>
  <c r="I77" i="39" s="1"/>
  <c r="H77" i="42"/>
  <c r="I77" i="42" s="1"/>
  <c r="H76" i="42"/>
  <c r="I76" i="42" s="1"/>
  <c r="H70" i="42"/>
  <c r="I70" i="42" s="1"/>
  <c r="H72" i="42"/>
  <c r="I72" i="42" s="1"/>
  <c r="H71" i="42"/>
  <c r="I71" i="42" s="1"/>
  <c r="H68" i="42"/>
  <c r="I68" i="42" s="1"/>
  <c r="H70" i="31"/>
  <c r="I70" i="31" s="1"/>
  <c r="H72" i="31"/>
  <c r="I72" i="31" s="1"/>
  <c r="H77" i="31"/>
  <c r="I77" i="31" s="1"/>
  <c r="H68" i="31"/>
  <c r="I68" i="31" s="1"/>
  <c r="H71" i="31"/>
  <c r="I71" i="31" s="1"/>
  <c r="H76" i="31"/>
  <c r="I76" i="31" s="1"/>
  <c r="H79" i="17"/>
  <c r="I79" i="17" s="1"/>
  <c r="H82" i="17"/>
  <c r="H80" i="17"/>
  <c r="I80" i="17" s="1"/>
  <c r="H78" i="17"/>
  <c r="I78" i="17" s="1"/>
  <c r="H83" i="17"/>
  <c r="H85" i="17"/>
  <c r="I85" i="17" s="1"/>
  <c r="C93" i="25"/>
  <c r="H90" i="25"/>
  <c r="I93" i="25" s="1"/>
  <c r="I29" i="66"/>
  <c r="I45" i="66" s="1"/>
  <c r="H77" i="40"/>
  <c r="I77" i="40" s="1"/>
  <c r="H68" i="40"/>
  <c r="I68" i="40" s="1"/>
  <c r="H71" i="40"/>
  <c r="I71" i="40" s="1"/>
  <c r="H76" i="40"/>
  <c r="I76" i="40" s="1"/>
  <c r="H70" i="40"/>
  <c r="I70" i="40" s="1"/>
  <c r="H72" i="40"/>
  <c r="I72" i="40" s="1"/>
  <c r="P14" i="21"/>
  <c r="T14" i="21" s="1"/>
  <c r="U14" i="21" s="1"/>
  <c r="P24" i="21"/>
  <c r="T24" i="21" s="1"/>
  <c r="U24" i="21" s="1"/>
  <c r="P19" i="21"/>
  <c r="T19" i="21" s="1"/>
  <c r="U19" i="21" s="1"/>
  <c r="P39" i="21"/>
  <c r="U39" i="21" s="1"/>
  <c r="P42" i="21"/>
  <c r="U42" i="21" s="1"/>
  <c r="P109" i="21"/>
  <c r="U109" i="21" s="1"/>
  <c r="P26" i="21"/>
  <c r="T26" i="21" s="1"/>
  <c r="U26" i="21" s="1"/>
  <c r="P16" i="21"/>
  <c r="T16" i="21" s="1"/>
  <c r="U16" i="21" s="1"/>
  <c r="P21" i="21"/>
  <c r="T21" i="21" s="1"/>
  <c r="U21" i="21" s="1"/>
  <c r="P13" i="21"/>
  <c r="P28" i="21"/>
  <c r="T28" i="21" s="1"/>
  <c r="U28" i="21" s="1"/>
  <c r="U73" i="21"/>
  <c r="P23" i="21"/>
  <c r="T23" i="21" s="1"/>
  <c r="U23" i="21" s="1"/>
  <c r="P37" i="21"/>
  <c r="P40" i="21"/>
  <c r="U40" i="21" s="1"/>
  <c r="U74" i="21"/>
  <c r="P15" i="21"/>
  <c r="T15" i="21" s="1"/>
  <c r="P25" i="21"/>
  <c r="T25" i="21" s="1"/>
  <c r="U25" i="21" s="1"/>
  <c r="U113" i="21"/>
  <c r="P20" i="21"/>
  <c r="T20" i="21" s="1"/>
  <c r="U20" i="21" s="1"/>
  <c r="P27" i="21"/>
  <c r="T27" i="21" s="1"/>
  <c r="U27" i="21" s="1"/>
  <c r="P38" i="21"/>
  <c r="U38" i="21" s="1"/>
  <c r="P41" i="21"/>
  <c r="U41" i="21" s="1"/>
  <c r="P17" i="21"/>
  <c r="T17" i="21" s="1"/>
  <c r="P22" i="21"/>
  <c r="T22" i="21" s="1"/>
  <c r="U22" i="21" s="1"/>
  <c r="P107" i="21"/>
  <c r="U107" i="21" s="1"/>
  <c r="P108" i="21"/>
  <c r="U108" i="21" s="1"/>
  <c r="U112" i="21"/>
  <c r="P99" i="21"/>
  <c r="U99" i="21" s="1"/>
  <c r="P18" i="21"/>
  <c r="T18" i="21" s="1"/>
  <c r="U18" i="21" s="1"/>
  <c r="C93" i="20"/>
  <c r="H90" i="20"/>
  <c r="I93" i="20" s="1"/>
  <c r="P14" i="68"/>
  <c r="T14" i="68" s="1"/>
  <c r="U14" i="68" s="1"/>
  <c r="P26" i="68"/>
  <c r="T26" i="68" s="1"/>
  <c r="U26" i="68" s="1"/>
  <c r="P16" i="68"/>
  <c r="T16" i="68" s="1"/>
  <c r="U16" i="68" s="1"/>
  <c r="P23" i="68"/>
  <c r="T23" i="68" s="1"/>
  <c r="U23" i="68" s="1"/>
  <c r="P15" i="68"/>
  <c r="T15" i="68" s="1"/>
  <c r="P19" i="68"/>
  <c r="T19" i="68" s="1"/>
  <c r="U19" i="68" s="1"/>
  <c r="P22" i="68"/>
  <c r="T22" i="68" s="1"/>
  <c r="U22" i="68" s="1"/>
  <c r="P24" i="68"/>
  <c r="T24" i="68" s="1"/>
  <c r="U24" i="68" s="1"/>
  <c r="P28" i="68"/>
  <c r="T28" i="68" s="1"/>
  <c r="U28" i="68" s="1"/>
  <c r="U73" i="68"/>
  <c r="P17" i="68"/>
  <c r="T17" i="68" s="1"/>
  <c r="P37" i="68"/>
  <c r="P40" i="68"/>
  <c r="U40" i="68" s="1"/>
  <c r="U74" i="68"/>
  <c r="P20" i="68"/>
  <c r="T20" i="68" s="1"/>
  <c r="U20" i="68" s="1"/>
  <c r="P108" i="68"/>
  <c r="U108" i="68" s="1"/>
  <c r="U112" i="68"/>
  <c r="U113" i="68"/>
  <c r="P18" i="68"/>
  <c r="T18" i="68" s="1"/>
  <c r="U18" i="68" s="1"/>
  <c r="P107" i="68"/>
  <c r="U107" i="68" s="1"/>
  <c r="P42" i="68"/>
  <c r="U42" i="68" s="1"/>
  <c r="P25" i="68"/>
  <c r="T25" i="68" s="1"/>
  <c r="U25" i="68" s="1"/>
  <c r="P21" i="68"/>
  <c r="T21" i="68" s="1"/>
  <c r="U21" i="68" s="1"/>
  <c r="P99" i="68"/>
  <c r="U99" i="68" s="1"/>
  <c r="P38" i="68"/>
  <c r="U38" i="68" s="1"/>
  <c r="P109" i="68"/>
  <c r="U109" i="68" s="1"/>
  <c r="P27" i="68"/>
  <c r="T27" i="68" s="1"/>
  <c r="U27" i="68" s="1"/>
  <c r="P39" i="68"/>
  <c r="U39" i="68" s="1"/>
  <c r="P13" i="68"/>
  <c r="P41" i="68"/>
  <c r="U41" i="68" s="1"/>
  <c r="H77" i="21"/>
  <c r="I77" i="21" s="1"/>
  <c r="H68" i="21"/>
  <c r="I68" i="21" s="1"/>
  <c r="H71" i="21"/>
  <c r="I71" i="21" s="1"/>
  <c r="H76" i="21"/>
  <c r="I76" i="21" s="1"/>
  <c r="H70" i="21"/>
  <c r="I70" i="21" s="1"/>
  <c r="H72" i="21"/>
  <c r="I72" i="21" s="1"/>
  <c r="H90" i="18"/>
  <c r="I93" i="18" s="1"/>
  <c r="C93" i="18"/>
  <c r="H76" i="38"/>
  <c r="I76" i="38" s="1"/>
  <c r="H70" i="38"/>
  <c r="I70" i="38" s="1"/>
  <c r="H72" i="38"/>
  <c r="I72" i="38" s="1"/>
  <c r="H77" i="38"/>
  <c r="I77" i="38" s="1"/>
  <c r="H68" i="38"/>
  <c r="I68" i="38" s="1"/>
  <c r="H71" i="38"/>
  <c r="I71" i="38" s="1"/>
  <c r="T13" i="34"/>
  <c r="P29" i="34"/>
  <c r="P62" i="34" s="1"/>
  <c r="T63" i="34" s="1"/>
  <c r="H79" i="40"/>
  <c r="I79" i="40" s="1"/>
  <c r="H82" i="40"/>
  <c r="H83" i="40"/>
  <c r="H78" i="40"/>
  <c r="I78" i="40" s="1"/>
  <c r="H80" i="40"/>
  <c r="I80" i="40" s="1"/>
  <c r="H85" i="40"/>
  <c r="I85" i="40" s="1"/>
  <c r="P17" i="43"/>
  <c r="T17" i="43" s="1"/>
  <c r="P22" i="43"/>
  <c r="T22" i="43" s="1"/>
  <c r="U22" i="43" s="1"/>
  <c r="P107" i="43"/>
  <c r="U107" i="43" s="1"/>
  <c r="P99" i="43"/>
  <c r="U99" i="43" s="1"/>
  <c r="P14" i="43"/>
  <c r="T14" i="43" s="1"/>
  <c r="U14" i="43" s="1"/>
  <c r="P24" i="43"/>
  <c r="T24" i="43" s="1"/>
  <c r="U24" i="43" s="1"/>
  <c r="P19" i="43"/>
  <c r="T19" i="43" s="1"/>
  <c r="U19" i="43" s="1"/>
  <c r="P39" i="43"/>
  <c r="U39" i="43" s="1"/>
  <c r="P42" i="43"/>
  <c r="U42" i="43" s="1"/>
  <c r="P109" i="43"/>
  <c r="U109" i="43" s="1"/>
  <c r="P26" i="43"/>
  <c r="T26" i="43" s="1"/>
  <c r="U26" i="43" s="1"/>
  <c r="P16" i="43"/>
  <c r="T16" i="43" s="1"/>
  <c r="U16" i="43" s="1"/>
  <c r="P21" i="43"/>
  <c r="T21" i="43" s="1"/>
  <c r="U21" i="43" s="1"/>
  <c r="P13" i="43"/>
  <c r="P28" i="43"/>
  <c r="T28" i="43" s="1"/>
  <c r="U28" i="43" s="1"/>
  <c r="U73" i="43"/>
  <c r="P23" i="43"/>
  <c r="T23" i="43" s="1"/>
  <c r="U23" i="43" s="1"/>
  <c r="P37" i="43"/>
  <c r="P40" i="43"/>
  <c r="U40" i="43" s="1"/>
  <c r="U74" i="43"/>
  <c r="P20" i="43"/>
  <c r="T20" i="43" s="1"/>
  <c r="U20" i="43" s="1"/>
  <c r="P15" i="43"/>
  <c r="T15" i="43" s="1"/>
  <c r="P41" i="43"/>
  <c r="U41" i="43" s="1"/>
  <c r="U112" i="43"/>
  <c r="U113" i="43"/>
  <c r="P25" i="43"/>
  <c r="T25" i="43" s="1"/>
  <c r="U25" i="43" s="1"/>
  <c r="P38" i="43"/>
  <c r="U38" i="43" s="1"/>
  <c r="P108" i="43"/>
  <c r="U108" i="43" s="1"/>
  <c r="P18" i="43"/>
  <c r="T18" i="43" s="1"/>
  <c r="U18" i="43" s="1"/>
  <c r="P27" i="43"/>
  <c r="T27" i="43" s="1"/>
  <c r="U27" i="43" s="1"/>
  <c r="I29" i="26"/>
  <c r="I45" i="26" s="1"/>
  <c r="C62" i="60"/>
  <c r="H63" i="60" s="1"/>
  <c r="E31" i="60"/>
  <c r="P29" i="52"/>
  <c r="P62" i="52" s="1"/>
  <c r="T63" i="52" s="1"/>
  <c r="T13" i="52"/>
  <c r="U110" i="52"/>
  <c r="P20" i="69"/>
  <c r="T20" i="69" s="1"/>
  <c r="U20" i="69" s="1"/>
  <c r="P27" i="69"/>
  <c r="T27" i="69" s="1"/>
  <c r="U27" i="69" s="1"/>
  <c r="P38" i="69"/>
  <c r="U38" i="69" s="1"/>
  <c r="P41" i="69"/>
  <c r="U41" i="69" s="1"/>
  <c r="P17" i="69"/>
  <c r="T17" i="69" s="1"/>
  <c r="P22" i="69"/>
  <c r="T22" i="69" s="1"/>
  <c r="U22" i="69" s="1"/>
  <c r="P107" i="69"/>
  <c r="U107" i="69" s="1"/>
  <c r="P99" i="69"/>
  <c r="U99" i="69" s="1"/>
  <c r="P14" i="69"/>
  <c r="T14" i="69" s="1"/>
  <c r="U14" i="69" s="1"/>
  <c r="P24" i="69"/>
  <c r="T24" i="69" s="1"/>
  <c r="U24" i="69" s="1"/>
  <c r="P19" i="69"/>
  <c r="T19" i="69" s="1"/>
  <c r="U19" i="69" s="1"/>
  <c r="P39" i="69"/>
  <c r="U39" i="69" s="1"/>
  <c r="P42" i="69"/>
  <c r="U42" i="69" s="1"/>
  <c r="P109" i="69"/>
  <c r="U109" i="69" s="1"/>
  <c r="P16" i="69"/>
  <c r="T16" i="69" s="1"/>
  <c r="U16" i="69" s="1"/>
  <c r="P21" i="69"/>
  <c r="T21" i="69" s="1"/>
  <c r="U21" i="69" s="1"/>
  <c r="P13" i="69"/>
  <c r="P28" i="69"/>
  <c r="T28" i="69" s="1"/>
  <c r="U28" i="69" s="1"/>
  <c r="U73" i="69"/>
  <c r="P23" i="69"/>
  <c r="T23" i="69" s="1"/>
  <c r="U23" i="69" s="1"/>
  <c r="P37" i="69"/>
  <c r="P40" i="69"/>
  <c r="U40" i="69" s="1"/>
  <c r="U112" i="69"/>
  <c r="U74" i="69"/>
  <c r="U113" i="69"/>
  <c r="P18" i="69"/>
  <c r="T18" i="69" s="1"/>
  <c r="U18" i="69" s="1"/>
  <c r="P25" i="69"/>
  <c r="T25" i="69" s="1"/>
  <c r="U25" i="69" s="1"/>
  <c r="P108" i="69"/>
  <c r="U108" i="69" s="1"/>
  <c r="P26" i="69"/>
  <c r="T26" i="69" s="1"/>
  <c r="U26" i="69" s="1"/>
  <c r="P15" i="69"/>
  <c r="T15" i="69" s="1"/>
  <c r="H83" i="75"/>
  <c r="H78" i="75"/>
  <c r="I78" i="75" s="1"/>
  <c r="H80" i="75"/>
  <c r="I80" i="75" s="1"/>
  <c r="H85" i="75"/>
  <c r="I85" i="75" s="1"/>
  <c r="H79" i="75"/>
  <c r="I79" i="75" s="1"/>
  <c r="H82" i="75"/>
  <c r="H76" i="66"/>
  <c r="I76" i="66" s="1"/>
  <c r="H70" i="66"/>
  <c r="I70" i="66" s="1"/>
  <c r="H72" i="66"/>
  <c r="I72" i="66" s="1"/>
  <c r="H68" i="66"/>
  <c r="I68" i="66" s="1"/>
  <c r="H77" i="66"/>
  <c r="I77" i="66" s="1"/>
  <c r="H71" i="66"/>
  <c r="I71" i="66" s="1"/>
  <c r="P19" i="55"/>
  <c r="T19" i="55" s="1"/>
  <c r="U19" i="55" s="1"/>
  <c r="P39" i="55"/>
  <c r="U39" i="55" s="1"/>
  <c r="P42" i="55"/>
  <c r="U42" i="55" s="1"/>
  <c r="P109" i="55"/>
  <c r="U109" i="55" s="1"/>
  <c r="P26" i="55"/>
  <c r="T26" i="55" s="1"/>
  <c r="U26" i="55" s="1"/>
  <c r="P16" i="55"/>
  <c r="T16" i="55" s="1"/>
  <c r="U16" i="55" s="1"/>
  <c r="P21" i="55"/>
  <c r="T21" i="55" s="1"/>
  <c r="U21" i="55" s="1"/>
  <c r="P13" i="55"/>
  <c r="P28" i="55"/>
  <c r="T28" i="55" s="1"/>
  <c r="U28" i="55" s="1"/>
  <c r="U73" i="55"/>
  <c r="P23" i="55"/>
  <c r="T23" i="55" s="1"/>
  <c r="U23" i="55" s="1"/>
  <c r="P37" i="55"/>
  <c r="P40" i="55"/>
  <c r="U40" i="55" s="1"/>
  <c r="U74" i="55"/>
  <c r="P18" i="55"/>
  <c r="T18" i="55" s="1"/>
  <c r="U18" i="55" s="1"/>
  <c r="P108" i="55"/>
  <c r="U108" i="55" s="1"/>
  <c r="U112" i="55"/>
  <c r="P15" i="55"/>
  <c r="T15" i="55" s="1"/>
  <c r="P25" i="55"/>
  <c r="T25" i="55" s="1"/>
  <c r="U25" i="55" s="1"/>
  <c r="U113" i="55"/>
  <c r="P20" i="55"/>
  <c r="T20" i="55" s="1"/>
  <c r="U20" i="55" s="1"/>
  <c r="P27" i="55"/>
  <c r="T27" i="55" s="1"/>
  <c r="U27" i="55" s="1"/>
  <c r="P38" i="55"/>
  <c r="U38" i="55" s="1"/>
  <c r="P41" i="55"/>
  <c r="U41" i="55" s="1"/>
  <c r="P99" i="55"/>
  <c r="U99" i="55" s="1"/>
  <c r="P22" i="55"/>
  <c r="T22" i="55" s="1"/>
  <c r="U22" i="55" s="1"/>
  <c r="P107" i="55"/>
  <c r="U107" i="55" s="1"/>
  <c r="P17" i="55"/>
  <c r="T17" i="55" s="1"/>
  <c r="P24" i="55"/>
  <c r="T24" i="55" s="1"/>
  <c r="U24" i="55" s="1"/>
  <c r="P14" i="55"/>
  <c r="T14" i="55" s="1"/>
  <c r="U14" i="55" s="1"/>
  <c r="H78" i="66"/>
  <c r="I78" i="66" s="1"/>
  <c r="H80" i="66"/>
  <c r="I80" i="66" s="1"/>
  <c r="H85" i="66"/>
  <c r="I85" i="66" s="1"/>
  <c r="H79" i="66"/>
  <c r="I79" i="66" s="1"/>
  <c r="H82" i="66"/>
  <c r="H83" i="66"/>
  <c r="H68" i="68"/>
  <c r="I68" i="68" s="1"/>
  <c r="H71" i="68"/>
  <c r="I71" i="68" s="1"/>
  <c r="H76" i="68"/>
  <c r="I76" i="68" s="1"/>
  <c r="H77" i="68"/>
  <c r="I77" i="68" s="1"/>
  <c r="H72" i="68"/>
  <c r="I72" i="68" s="1"/>
  <c r="H70" i="68"/>
  <c r="I70" i="68" s="1"/>
  <c r="H78" i="18"/>
  <c r="I78" i="18" s="1"/>
  <c r="H80" i="18"/>
  <c r="I80" i="18" s="1"/>
  <c r="H79" i="18"/>
  <c r="I79" i="18" s="1"/>
  <c r="H82" i="18"/>
  <c r="H83" i="18"/>
  <c r="I83" i="18" s="1"/>
  <c r="I84" i="18" s="1"/>
  <c r="H85" i="18"/>
  <c r="I85" i="18" s="1"/>
  <c r="H77" i="22"/>
  <c r="I77" i="22" s="1"/>
  <c r="H76" i="22"/>
  <c r="I76" i="22" s="1"/>
  <c r="H71" i="22"/>
  <c r="I71" i="22" s="1"/>
  <c r="H68" i="22"/>
  <c r="I68" i="22" s="1"/>
  <c r="H72" i="22"/>
  <c r="I72" i="22" s="1"/>
  <c r="H70" i="22"/>
  <c r="I70" i="22" s="1"/>
  <c r="P99" i="67"/>
  <c r="U99" i="67" s="1"/>
  <c r="P14" i="67"/>
  <c r="T14" i="67" s="1"/>
  <c r="U14" i="67" s="1"/>
  <c r="P19" i="67"/>
  <c r="T19" i="67" s="1"/>
  <c r="U19" i="67" s="1"/>
  <c r="P39" i="67"/>
  <c r="U39" i="67" s="1"/>
  <c r="P42" i="67"/>
  <c r="U42" i="67" s="1"/>
  <c r="P109" i="67"/>
  <c r="U109" i="67" s="1"/>
  <c r="P28" i="67"/>
  <c r="T28" i="67" s="1"/>
  <c r="U28" i="67" s="1"/>
  <c r="P16" i="67"/>
  <c r="T16" i="67" s="1"/>
  <c r="U16" i="67" s="1"/>
  <c r="P18" i="67"/>
  <c r="T18" i="67" s="1"/>
  <c r="U18" i="67" s="1"/>
  <c r="U112" i="67"/>
  <c r="P38" i="67"/>
  <c r="U38" i="67" s="1"/>
  <c r="U113" i="67"/>
  <c r="P108" i="67"/>
  <c r="U108" i="67" s="1"/>
  <c r="P23" i="67"/>
  <c r="T23" i="67" s="1"/>
  <c r="U23" i="67" s="1"/>
  <c r="P25" i="67"/>
  <c r="T25" i="67" s="1"/>
  <c r="U25" i="67" s="1"/>
  <c r="U73" i="67"/>
  <c r="P15" i="67"/>
  <c r="T15" i="67" s="1"/>
  <c r="P17" i="67"/>
  <c r="T17" i="67" s="1"/>
  <c r="P40" i="67"/>
  <c r="U40" i="67" s="1"/>
  <c r="P107" i="67"/>
  <c r="U107" i="67" s="1"/>
  <c r="P13" i="67"/>
  <c r="P41" i="67"/>
  <c r="U41" i="67" s="1"/>
  <c r="P24" i="67"/>
  <c r="T24" i="67" s="1"/>
  <c r="U24" i="67" s="1"/>
  <c r="P20" i="67"/>
  <c r="T20" i="67" s="1"/>
  <c r="U20" i="67" s="1"/>
  <c r="P21" i="67"/>
  <c r="T21" i="67" s="1"/>
  <c r="U21" i="67" s="1"/>
  <c r="U74" i="67"/>
  <c r="P26" i="67"/>
  <c r="T26" i="67" s="1"/>
  <c r="U26" i="67" s="1"/>
  <c r="P37" i="67"/>
  <c r="P22" i="67"/>
  <c r="T22" i="67" s="1"/>
  <c r="U22" i="67" s="1"/>
  <c r="P27" i="67"/>
  <c r="T27" i="67" s="1"/>
  <c r="U27" i="67" s="1"/>
  <c r="H78" i="26"/>
  <c r="I78" i="26" s="1"/>
  <c r="H80" i="26"/>
  <c r="I80" i="26" s="1"/>
  <c r="H85" i="26"/>
  <c r="I85" i="26" s="1"/>
  <c r="H79" i="26"/>
  <c r="I79" i="26" s="1"/>
  <c r="H82" i="26"/>
  <c r="H83" i="26"/>
  <c r="H79" i="28"/>
  <c r="I79" i="28" s="1"/>
  <c r="H82" i="28"/>
  <c r="H83" i="28"/>
  <c r="H78" i="28"/>
  <c r="I78" i="28" s="1"/>
  <c r="H80" i="28"/>
  <c r="I80" i="28" s="1"/>
  <c r="H85" i="28"/>
  <c r="I85" i="28" s="1"/>
  <c r="P16" i="27"/>
  <c r="T16" i="27" s="1"/>
  <c r="U16" i="27" s="1"/>
  <c r="P21" i="27"/>
  <c r="T21" i="27" s="1"/>
  <c r="U21" i="27" s="1"/>
  <c r="P13" i="27"/>
  <c r="P28" i="27"/>
  <c r="T28" i="27" s="1"/>
  <c r="U28" i="27" s="1"/>
  <c r="U73" i="27"/>
  <c r="P23" i="27"/>
  <c r="T23" i="27" s="1"/>
  <c r="U23" i="27" s="1"/>
  <c r="P37" i="27"/>
  <c r="P40" i="27"/>
  <c r="U40" i="27" s="1"/>
  <c r="U74" i="27"/>
  <c r="P18" i="27"/>
  <c r="T18" i="27" s="1"/>
  <c r="U18" i="27" s="1"/>
  <c r="P108" i="27"/>
  <c r="U108" i="27" s="1"/>
  <c r="U112" i="27"/>
  <c r="P15" i="27"/>
  <c r="T15" i="27" s="1"/>
  <c r="P25" i="27"/>
  <c r="T25" i="27" s="1"/>
  <c r="U25" i="27" s="1"/>
  <c r="U113" i="27"/>
  <c r="P20" i="27"/>
  <c r="T20" i="27" s="1"/>
  <c r="U20" i="27" s="1"/>
  <c r="P27" i="27"/>
  <c r="T27" i="27" s="1"/>
  <c r="U27" i="27" s="1"/>
  <c r="P38" i="27"/>
  <c r="U38" i="27" s="1"/>
  <c r="P41" i="27"/>
  <c r="U41" i="27" s="1"/>
  <c r="P17" i="27"/>
  <c r="T17" i="27" s="1"/>
  <c r="P22" i="27"/>
  <c r="T22" i="27" s="1"/>
  <c r="U22" i="27" s="1"/>
  <c r="P107" i="27"/>
  <c r="U107" i="27" s="1"/>
  <c r="P14" i="27"/>
  <c r="T14" i="27" s="1"/>
  <c r="U14" i="27" s="1"/>
  <c r="P24" i="27"/>
  <c r="T24" i="27" s="1"/>
  <c r="U24" i="27" s="1"/>
  <c r="P19" i="27"/>
  <c r="T19" i="27" s="1"/>
  <c r="U19" i="27" s="1"/>
  <c r="P39" i="27"/>
  <c r="U39" i="27" s="1"/>
  <c r="P42" i="27"/>
  <c r="U42" i="27" s="1"/>
  <c r="P109" i="27"/>
  <c r="U109" i="27" s="1"/>
  <c r="P99" i="27"/>
  <c r="U99" i="27" s="1"/>
  <c r="P26" i="27"/>
  <c r="T26" i="27" s="1"/>
  <c r="U26" i="27" s="1"/>
  <c r="C93" i="48"/>
  <c r="P14" i="51"/>
  <c r="T14" i="51" s="1"/>
  <c r="U14" i="51" s="1"/>
  <c r="P24" i="51"/>
  <c r="T24" i="51" s="1"/>
  <c r="U24" i="51" s="1"/>
  <c r="P26" i="51"/>
  <c r="T26" i="51" s="1"/>
  <c r="U26" i="51" s="1"/>
  <c r="P13" i="51"/>
  <c r="P28" i="51"/>
  <c r="T28" i="51" s="1"/>
  <c r="U28" i="51" s="1"/>
  <c r="P23" i="51"/>
  <c r="T23" i="51" s="1"/>
  <c r="U23" i="51" s="1"/>
  <c r="P37" i="51"/>
  <c r="P40" i="51"/>
  <c r="U40" i="51" s="1"/>
  <c r="P108" i="51"/>
  <c r="U108" i="51" s="1"/>
  <c r="U112" i="51"/>
  <c r="U113" i="51"/>
  <c r="P16" i="51"/>
  <c r="T16" i="51" s="1"/>
  <c r="U16" i="51" s="1"/>
  <c r="P21" i="51"/>
  <c r="T21" i="51" s="1"/>
  <c r="U21" i="51" s="1"/>
  <c r="P41" i="51"/>
  <c r="U41" i="51" s="1"/>
  <c r="P19" i="51"/>
  <c r="T19" i="51" s="1"/>
  <c r="U19" i="51" s="1"/>
  <c r="P107" i="51"/>
  <c r="U107" i="51" s="1"/>
  <c r="P42" i="51"/>
  <c r="U42" i="51" s="1"/>
  <c r="P99" i="51"/>
  <c r="U99" i="51" s="1"/>
  <c r="P27" i="51"/>
  <c r="T27" i="51" s="1"/>
  <c r="U27" i="51" s="1"/>
  <c r="P17" i="51"/>
  <c r="T17" i="51" s="1"/>
  <c r="P22" i="51"/>
  <c r="T22" i="51" s="1"/>
  <c r="U22" i="51" s="1"/>
  <c r="P109" i="51"/>
  <c r="U109" i="51" s="1"/>
  <c r="P15" i="51"/>
  <c r="T15" i="51" s="1"/>
  <c r="P25" i="51"/>
  <c r="T25" i="51" s="1"/>
  <c r="U25" i="51" s="1"/>
  <c r="P38" i="51"/>
  <c r="U38" i="51" s="1"/>
  <c r="P20" i="51"/>
  <c r="T20" i="51" s="1"/>
  <c r="U20" i="51" s="1"/>
  <c r="U73" i="51"/>
  <c r="U74" i="51"/>
  <c r="P18" i="51"/>
  <c r="T18" i="51" s="1"/>
  <c r="U18" i="51" s="1"/>
  <c r="P39" i="51"/>
  <c r="U39" i="51" s="1"/>
  <c r="H76" i="23"/>
  <c r="I76" i="23" s="1"/>
  <c r="H70" i="23"/>
  <c r="I70" i="23" s="1"/>
  <c r="H72" i="23"/>
  <c r="I72" i="23" s="1"/>
  <c r="H77" i="23"/>
  <c r="I77" i="23" s="1"/>
  <c r="H68" i="23"/>
  <c r="I68" i="23" s="1"/>
  <c r="H71" i="23"/>
  <c r="I71" i="23" s="1"/>
  <c r="C93" i="42"/>
  <c r="H90" i="42"/>
  <c r="I93" i="42" s="1"/>
  <c r="P17" i="31"/>
  <c r="T17" i="31" s="1"/>
  <c r="P22" i="31"/>
  <c r="T22" i="31" s="1"/>
  <c r="U22" i="31" s="1"/>
  <c r="P19" i="31"/>
  <c r="T19" i="31" s="1"/>
  <c r="U19" i="31" s="1"/>
  <c r="P26" i="31"/>
  <c r="T26" i="31" s="1"/>
  <c r="U26" i="31" s="1"/>
  <c r="P16" i="31"/>
  <c r="T16" i="31" s="1"/>
  <c r="U16" i="31" s="1"/>
  <c r="P21" i="31"/>
  <c r="T21" i="31" s="1"/>
  <c r="U21" i="31" s="1"/>
  <c r="P15" i="31"/>
  <c r="T15" i="31" s="1"/>
  <c r="P25" i="31"/>
  <c r="T25" i="31" s="1"/>
  <c r="U25" i="31" s="1"/>
  <c r="P18" i="31"/>
  <c r="T18" i="31" s="1"/>
  <c r="U18" i="31" s="1"/>
  <c r="P24" i="31"/>
  <c r="T24" i="31" s="1"/>
  <c r="U24" i="31" s="1"/>
  <c r="P27" i="31"/>
  <c r="T27" i="31" s="1"/>
  <c r="U27" i="31" s="1"/>
  <c r="P107" i="31"/>
  <c r="U107" i="31" s="1"/>
  <c r="P13" i="31"/>
  <c r="P99" i="31"/>
  <c r="U99" i="31" s="1"/>
  <c r="P39" i="31"/>
  <c r="U39" i="31" s="1"/>
  <c r="P42" i="31"/>
  <c r="U42" i="31" s="1"/>
  <c r="P109" i="31"/>
  <c r="U109" i="31" s="1"/>
  <c r="U73" i="31"/>
  <c r="P14" i="31"/>
  <c r="T14" i="31" s="1"/>
  <c r="U14" i="31" s="1"/>
  <c r="P28" i="31"/>
  <c r="T28" i="31" s="1"/>
  <c r="U28" i="31" s="1"/>
  <c r="P37" i="31"/>
  <c r="P40" i="31"/>
  <c r="U40" i="31" s="1"/>
  <c r="U74" i="31"/>
  <c r="P20" i="31"/>
  <c r="T20" i="31" s="1"/>
  <c r="U20" i="31" s="1"/>
  <c r="P23" i="31"/>
  <c r="T23" i="31" s="1"/>
  <c r="U23" i="31" s="1"/>
  <c r="P108" i="31"/>
  <c r="U108" i="31" s="1"/>
  <c r="U112" i="31"/>
  <c r="U113" i="31"/>
  <c r="P38" i="31"/>
  <c r="U38" i="31" s="1"/>
  <c r="P41" i="31"/>
  <c r="U41" i="31" s="1"/>
  <c r="H70" i="25"/>
  <c r="I70" i="25" s="1"/>
  <c r="H72" i="25"/>
  <c r="I72" i="25" s="1"/>
  <c r="H77" i="25"/>
  <c r="I77" i="25" s="1"/>
  <c r="H68" i="25"/>
  <c r="I68" i="25" s="1"/>
  <c r="H71" i="25"/>
  <c r="I71" i="25" s="1"/>
  <c r="H76" i="25"/>
  <c r="I76" i="25" s="1"/>
  <c r="P15" i="66"/>
  <c r="T15" i="66" s="1"/>
  <c r="P25" i="66"/>
  <c r="T25" i="66" s="1"/>
  <c r="U25" i="66" s="1"/>
  <c r="U113" i="66"/>
  <c r="P27" i="66"/>
  <c r="T27" i="66" s="1"/>
  <c r="U27" i="66" s="1"/>
  <c r="P38" i="66"/>
  <c r="U38" i="66" s="1"/>
  <c r="P41" i="66"/>
  <c r="U41" i="66" s="1"/>
  <c r="P17" i="66"/>
  <c r="T17" i="66" s="1"/>
  <c r="P22" i="66"/>
  <c r="T22" i="66" s="1"/>
  <c r="U22" i="66" s="1"/>
  <c r="P107" i="66"/>
  <c r="U107" i="66" s="1"/>
  <c r="P99" i="66"/>
  <c r="U99" i="66" s="1"/>
  <c r="P14" i="66"/>
  <c r="T14" i="66" s="1"/>
  <c r="U14" i="66" s="1"/>
  <c r="P24" i="66"/>
  <c r="T24" i="66" s="1"/>
  <c r="U24" i="66" s="1"/>
  <c r="P26" i="66"/>
  <c r="T26" i="66" s="1"/>
  <c r="U26" i="66" s="1"/>
  <c r="P16" i="66"/>
  <c r="T16" i="66" s="1"/>
  <c r="U16" i="66" s="1"/>
  <c r="P21" i="66"/>
  <c r="T21" i="66" s="1"/>
  <c r="U21" i="66" s="1"/>
  <c r="P13" i="66"/>
  <c r="P28" i="66"/>
  <c r="T28" i="66" s="1"/>
  <c r="U28" i="66" s="1"/>
  <c r="U73" i="66"/>
  <c r="P18" i="66"/>
  <c r="T18" i="66" s="1"/>
  <c r="U18" i="66" s="1"/>
  <c r="U74" i="66"/>
  <c r="P19" i="66"/>
  <c r="T19" i="66" s="1"/>
  <c r="U19" i="66" s="1"/>
  <c r="P23" i="66"/>
  <c r="T23" i="66" s="1"/>
  <c r="U23" i="66" s="1"/>
  <c r="P39" i="66"/>
  <c r="U39" i="66" s="1"/>
  <c r="P40" i="66"/>
  <c r="U40" i="66" s="1"/>
  <c r="P20" i="66"/>
  <c r="T20" i="66" s="1"/>
  <c r="U20" i="66" s="1"/>
  <c r="P108" i="66"/>
  <c r="U108" i="66" s="1"/>
  <c r="P42" i="66"/>
  <c r="U42" i="66" s="1"/>
  <c r="P109" i="66"/>
  <c r="U109" i="66" s="1"/>
  <c r="U112" i="66"/>
  <c r="P37" i="66"/>
  <c r="H77" i="55"/>
  <c r="I77" i="55" s="1"/>
  <c r="H68" i="55"/>
  <c r="I68" i="55" s="1"/>
  <c r="H71" i="55"/>
  <c r="I71" i="55" s="1"/>
  <c r="H76" i="55"/>
  <c r="I76" i="55" s="1"/>
  <c r="H70" i="55"/>
  <c r="I70" i="55" s="1"/>
  <c r="H72" i="55"/>
  <c r="I72" i="55" s="1"/>
  <c r="H85" i="25"/>
  <c r="I85" i="25" s="1"/>
  <c r="H79" i="25"/>
  <c r="I79" i="25" s="1"/>
  <c r="H82" i="25"/>
  <c r="H83" i="25"/>
  <c r="H78" i="25"/>
  <c r="I78" i="25" s="1"/>
  <c r="H80" i="25"/>
  <c r="I80" i="25" s="1"/>
  <c r="H90" i="58"/>
  <c r="I93" i="58" s="1"/>
  <c r="C93" i="58"/>
  <c r="C93" i="55"/>
  <c r="H90" i="55"/>
  <c r="I93" i="55" s="1"/>
  <c r="H77" i="58"/>
  <c r="I77" i="58" s="1"/>
  <c r="H76" i="58"/>
  <c r="I76" i="58" s="1"/>
  <c r="H70" i="58"/>
  <c r="I70" i="58" s="1"/>
  <c r="H71" i="58"/>
  <c r="I71" i="58" s="1"/>
  <c r="H68" i="58"/>
  <c r="I68" i="58" s="1"/>
  <c r="H72" i="58"/>
  <c r="I72" i="58" s="1"/>
  <c r="P17" i="58"/>
  <c r="T17" i="58" s="1"/>
  <c r="P22" i="58"/>
  <c r="T22" i="58" s="1"/>
  <c r="U22" i="58" s="1"/>
  <c r="P107" i="58"/>
  <c r="U107" i="58" s="1"/>
  <c r="P14" i="58"/>
  <c r="T14" i="58" s="1"/>
  <c r="U14" i="58" s="1"/>
  <c r="P24" i="58"/>
  <c r="T24" i="58" s="1"/>
  <c r="U24" i="58" s="1"/>
  <c r="P19" i="58"/>
  <c r="T19" i="58" s="1"/>
  <c r="U19" i="58" s="1"/>
  <c r="P39" i="58"/>
  <c r="U39" i="58" s="1"/>
  <c r="P42" i="58"/>
  <c r="U42" i="58" s="1"/>
  <c r="P109" i="58"/>
  <c r="U109" i="58" s="1"/>
  <c r="P26" i="58"/>
  <c r="T26" i="58" s="1"/>
  <c r="U26" i="58" s="1"/>
  <c r="P16" i="58"/>
  <c r="T16" i="58" s="1"/>
  <c r="U16" i="58" s="1"/>
  <c r="P21" i="58"/>
  <c r="T21" i="58" s="1"/>
  <c r="U21" i="58" s="1"/>
  <c r="P18" i="58"/>
  <c r="T18" i="58" s="1"/>
  <c r="U18" i="58" s="1"/>
  <c r="P108" i="58"/>
  <c r="U108" i="58" s="1"/>
  <c r="U112" i="58"/>
  <c r="P15" i="58"/>
  <c r="T15" i="58" s="1"/>
  <c r="P25" i="58"/>
  <c r="T25" i="58" s="1"/>
  <c r="U25" i="58" s="1"/>
  <c r="P28" i="58"/>
  <c r="T28" i="58" s="1"/>
  <c r="U28" i="58" s="1"/>
  <c r="P40" i="58"/>
  <c r="U40" i="58" s="1"/>
  <c r="U73" i="58"/>
  <c r="U74" i="58"/>
  <c r="P99" i="58"/>
  <c r="U99" i="58" s="1"/>
  <c r="U113" i="58"/>
  <c r="P41" i="58"/>
  <c r="U41" i="58" s="1"/>
  <c r="P13" i="58"/>
  <c r="P37" i="58"/>
  <c r="P20" i="58"/>
  <c r="T20" i="58" s="1"/>
  <c r="U20" i="58" s="1"/>
  <c r="P23" i="58"/>
  <c r="T23" i="58" s="1"/>
  <c r="U23" i="58" s="1"/>
  <c r="P27" i="58"/>
  <c r="T27" i="58" s="1"/>
  <c r="U27" i="58" s="1"/>
  <c r="P38" i="58"/>
  <c r="U38" i="58" s="1"/>
  <c r="I14" i="60"/>
  <c r="I29" i="18"/>
  <c r="I45" i="18" s="1"/>
  <c r="H90" i="32"/>
  <c r="I93" i="32" s="1"/>
  <c r="C93" i="32"/>
  <c r="P15" i="38"/>
  <c r="T15" i="38" s="1"/>
  <c r="P25" i="38"/>
  <c r="T25" i="38" s="1"/>
  <c r="U25" i="38" s="1"/>
  <c r="U113" i="38"/>
  <c r="P27" i="38"/>
  <c r="T27" i="38" s="1"/>
  <c r="U27" i="38" s="1"/>
  <c r="P38" i="38"/>
  <c r="U38" i="38" s="1"/>
  <c r="P41" i="38"/>
  <c r="U41" i="38" s="1"/>
  <c r="P17" i="38"/>
  <c r="T17" i="38" s="1"/>
  <c r="P22" i="38"/>
  <c r="T22" i="38" s="1"/>
  <c r="U22" i="38" s="1"/>
  <c r="P107" i="38"/>
  <c r="U107" i="38" s="1"/>
  <c r="P99" i="38"/>
  <c r="U99" i="38" s="1"/>
  <c r="P14" i="38"/>
  <c r="T14" i="38" s="1"/>
  <c r="U14" i="38" s="1"/>
  <c r="P24" i="38"/>
  <c r="T24" i="38" s="1"/>
  <c r="U24" i="38" s="1"/>
  <c r="P19" i="38"/>
  <c r="T19" i="38" s="1"/>
  <c r="U19" i="38" s="1"/>
  <c r="P39" i="38"/>
  <c r="U39" i="38" s="1"/>
  <c r="P42" i="38"/>
  <c r="U42" i="38" s="1"/>
  <c r="P109" i="38"/>
  <c r="U109" i="38" s="1"/>
  <c r="P26" i="38"/>
  <c r="T26" i="38" s="1"/>
  <c r="U26" i="38" s="1"/>
  <c r="P16" i="38"/>
  <c r="T16" i="38" s="1"/>
  <c r="U16" i="38" s="1"/>
  <c r="P21" i="38"/>
  <c r="T21" i="38" s="1"/>
  <c r="U21" i="38" s="1"/>
  <c r="P13" i="38"/>
  <c r="P28" i="38"/>
  <c r="T28" i="38" s="1"/>
  <c r="U28" i="38" s="1"/>
  <c r="U73" i="38"/>
  <c r="P23" i="38"/>
  <c r="T23" i="38" s="1"/>
  <c r="U23" i="38" s="1"/>
  <c r="P37" i="38"/>
  <c r="P40" i="38"/>
  <c r="U40" i="38" s="1"/>
  <c r="U74" i="38"/>
  <c r="P20" i="38"/>
  <c r="T20" i="38" s="1"/>
  <c r="U20" i="38" s="1"/>
  <c r="U112" i="38"/>
  <c r="P18" i="38"/>
  <c r="T18" i="38" s="1"/>
  <c r="U18" i="38" s="1"/>
  <c r="P108" i="38"/>
  <c r="U108" i="38" s="1"/>
  <c r="H70" i="67"/>
  <c r="I70" i="67" s="1"/>
  <c r="H72" i="67"/>
  <c r="I72" i="67" s="1"/>
  <c r="H77" i="67"/>
  <c r="I77" i="67" s="1"/>
  <c r="H71" i="67"/>
  <c r="I71" i="67" s="1"/>
  <c r="H76" i="67"/>
  <c r="I76" i="67" s="1"/>
  <c r="H68" i="67"/>
  <c r="I68" i="67" s="1"/>
  <c r="H70" i="77"/>
  <c r="I70" i="77" s="1"/>
  <c r="H72" i="77"/>
  <c r="I72" i="77" s="1"/>
  <c r="H77" i="77"/>
  <c r="I77" i="77" s="1"/>
  <c r="H68" i="77"/>
  <c r="I68" i="77" s="1"/>
  <c r="H71" i="77"/>
  <c r="I71" i="77" s="1"/>
  <c r="H76" i="77"/>
  <c r="I76" i="77" s="1"/>
  <c r="I13" i="60"/>
  <c r="H76" i="26"/>
  <c r="I76" i="26" s="1"/>
  <c r="H70" i="26"/>
  <c r="I70" i="26" s="1"/>
  <c r="H72" i="26"/>
  <c r="I72" i="26" s="1"/>
  <c r="H77" i="26"/>
  <c r="I77" i="26" s="1"/>
  <c r="H68" i="26"/>
  <c r="I68" i="26" s="1"/>
  <c r="H71" i="26"/>
  <c r="I71" i="26" s="1"/>
  <c r="C93" i="40"/>
  <c r="P14" i="16"/>
  <c r="T14" i="16" s="1"/>
  <c r="U14" i="16" s="1"/>
  <c r="P16" i="16"/>
  <c r="T16" i="16" s="1"/>
  <c r="U16" i="16" s="1"/>
  <c r="P18" i="16"/>
  <c r="T18" i="16" s="1"/>
  <c r="U18" i="16" s="1"/>
  <c r="P13" i="16"/>
  <c r="P28" i="16"/>
  <c r="T28" i="16" s="1"/>
  <c r="U28" i="16" s="1"/>
  <c r="U73" i="16"/>
  <c r="P23" i="16"/>
  <c r="T23" i="16" s="1"/>
  <c r="U23" i="16" s="1"/>
  <c r="P37" i="16"/>
  <c r="P40" i="16"/>
  <c r="U40" i="16" s="1"/>
  <c r="U74" i="16"/>
  <c r="P108" i="16"/>
  <c r="U108" i="16" s="1"/>
  <c r="U112" i="16"/>
  <c r="P25" i="16"/>
  <c r="T25" i="16" s="1"/>
  <c r="U25" i="16" s="1"/>
  <c r="U113" i="16"/>
  <c r="P20" i="16"/>
  <c r="T20" i="16" s="1"/>
  <c r="U20" i="16" s="1"/>
  <c r="P27" i="16"/>
  <c r="T27" i="16" s="1"/>
  <c r="U27" i="16" s="1"/>
  <c r="P38" i="16"/>
  <c r="U38" i="16" s="1"/>
  <c r="P41" i="16"/>
  <c r="U41" i="16" s="1"/>
  <c r="P22" i="16"/>
  <c r="T22" i="16" s="1"/>
  <c r="U22" i="16" s="1"/>
  <c r="P107" i="16"/>
  <c r="U107" i="16" s="1"/>
  <c r="P99" i="16"/>
  <c r="U99" i="16" s="1"/>
  <c r="P24" i="16"/>
  <c r="T24" i="16" s="1"/>
  <c r="U24" i="16" s="1"/>
  <c r="P15" i="16"/>
  <c r="T15" i="16" s="1"/>
  <c r="P19" i="16"/>
  <c r="T19" i="16" s="1"/>
  <c r="U19" i="16" s="1"/>
  <c r="P26" i="16"/>
  <c r="T26" i="16" s="1"/>
  <c r="U26" i="16" s="1"/>
  <c r="P109" i="16"/>
  <c r="U109" i="16" s="1"/>
  <c r="P39" i="16"/>
  <c r="U39" i="16" s="1"/>
  <c r="P17" i="16"/>
  <c r="T17" i="16" s="1"/>
  <c r="P21" i="16"/>
  <c r="T21" i="16" s="1"/>
  <c r="U21" i="16" s="1"/>
  <c r="P42" i="16"/>
  <c r="U42" i="16" s="1"/>
  <c r="C93" i="28"/>
  <c r="H90" i="28"/>
  <c r="I93" i="28" s="1"/>
  <c r="U17" i="52"/>
  <c r="O92" i="52"/>
  <c r="T92" i="52" s="1"/>
  <c r="H76" i="78"/>
  <c r="I76" i="78" s="1"/>
  <c r="H70" i="78"/>
  <c r="I70" i="78" s="1"/>
  <c r="H72" i="78"/>
  <c r="I72" i="78" s="1"/>
  <c r="H77" i="78"/>
  <c r="I77" i="78" s="1"/>
  <c r="H71" i="78"/>
  <c r="I71" i="78" s="1"/>
  <c r="H68" i="78"/>
  <c r="I68" i="78" s="1"/>
  <c r="H68" i="27"/>
  <c r="I68" i="27" s="1"/>
  <c r="H71" i="27"/>
  <c r="I71" i="27" s="1"/>
  <c r="H76" i="27"/>
  <c r="I76" i="27" s="1"/>
  <c r="H77" i="27"/>
  <c r="I77" i="27" s="1"/>
  <c r="H72" i="27"/>
  <c r="I72" i="27" s="1"/>
  <c r="H70" i="27"/>
  <c r="I70" i="27" s="1"/>
  <c r="P16" i="30"/>
  <c r="T16" i="30" s="1"/>
  <c r="U16" i="30" s="1"/>
  <c r="P21" i="30"/>
  <c r="T21" i="30" s="1"/>
  <c r="U21" i="30" s="1"/>
  <c r="P13" i="30"/>
  <c r="P28" i="30"/>
  <c r="T28" i="30" s="1"/>
  <c r="U28" i="30" s="1"/>
  <c r="U73" i="30"/>
  <c r="P23" i="30"/>
  <c r="T23" i="30" s="1"/>
  <c r="U23" i="30" s="1"/>
  <c r="P37" i="30"/>
  <c r="P40" i="30"/>
  <c r="U40" i="30" s="1"/>
  <c r="U74" i="30"/>
  <c r="P18" i="30"/>
  <c r="T18" i="30" s="1"/>
  <c r="U18" i="30" s="1"/>
  <c r="P108" i="30"/>
  <c r="U108" i="30" s="1"/>
  <c r="U112" i="30"/>
  <c r="P15" i="30"/>
  <c r="T15" i="30" s="1"/>
  <c r="P25" i="30"/>
  <c r="T25" i="30" s="1"/>
  <c r="U25" i="30" s="1"/>
  <c r="U113" i="30"/>
  <c r="P20" i="30"/>
  <c r="T20" i="30" s="1"/>
  <c r="U20" i="30" s="1"/>
  <c r="P27" i="30"/>
  <c r="T27" i="30" s="1"/>
  <c r="U27" i="30" s="1"/>
  <c r="P38" i="30"/>
  <c r="U38" i="30" s="1"/>
  <c r="P41" i="30"/>
  <c r="U41" i="30" s="1"/>
  <c r="P17" i="30"/>
  <c r="T17" i="30" s="1"/>
  <c r="P22" i="30"/>
  <c r="T22" i="30" s="1"/>
  <c r="U22" i="30" s="1"/>
  <c r="P107" i="30"/>
  <c r="U107" i="30" s="1"/>
  <c r="P99" i="30"/>
  <c r="U99" i="30" s="1"/>
  <c r="P14" i="30"/>
  <c r="T14" i="30" s="1"/>
  <c r="U14" i="30" s="1"/>
  <c r="P24" i="30"/>
  <c r="T24" i="30" s="1"/>
  <c r="U24" i="30" s="1"/>
  <c r="P19" i="30"/>
  <c r="T19" i="30" s="1"/>
  <c r="U19" i="30" s="1"/>
  <c r="P39" i="30"/>
  <c r="U39" i="30" s="1"/>
  <c r="P42" i="30"/>
  <c r="U42" i="30" s="1"/>
  <c r="P26" i="30"/>
  <c r="T26" i="30" s="1"/>
  <c r="U26" i="30" s="1"/>
  <c r="P109" i="30"/>
  <c r="U109" i="30" s="1"/>
  <c r="H70" i="51"/>
  <c r="I70" i="51" s="1"/>
  <c r="H76" i="51"/>
  <c r="I76" i="51" s="1"/>
  <c r="H68" i="51"/>
  <c r="I68" i="51" s="1"/>
  <c r="H72" i="51"/>
  <c r="I72" i="51" s="1"/>
  <c r="H77" i="51"/>
  <c r="I77" i="51" s="1"/>
  <c r="H71" i="51"/>
  <c r="I71" i="51" s="1"/>
  <c r="H83" i="30"/>
  <c r="H78" i="30"/>
  <c r="I78" i="30" s="1"/>
  <c r="H80" i="30"/>
  <c r="I80" i="30" s="1"/>
  <c r="H85" i="30"/>
  <c r="I85" i="30" s="1"/>
  <c r="H82" i="30"/>
  <c r="H79" i="30"/>
  <c r="I79" i="30" s="1"/>
  <c r="H79" i="42"/>
  <c r="I79" i="42" s="1"/>
  <c r="H82" i="42"/>
  <c r="H78" i="42"/>
  <c r="I78" i="42" s="1"/>
  <c r="H80" i="42"/>
  <c r="I80" i="42" s="1"/>
  <c r="H85" i="42"/>
  <c r="I85" i="42" s="1"/>
  <c r="H83" i="42"/>
  <c r="H76" i="18"/>
  <c r="I76" i="18" s="1"/>
  <c r="H70" i="18"/>
  <c r="I70" i="18" s="1"/>
  <c r="H72" i="18"/>
  <c r="I72" i="18" s="1"/>
  <c r="H77" i="18"/>
  <c r="I77" i="18" s="1"/>
  <c r="H71" i="18"/>
  <c r="I71" i="18" s="1"/>
  <c r="H68" i="18"/>
  <c r="I68" i="18" s="1"/>
  <c r="C93" i="70"/>
  <c r="H90" i="70"/>
  <c r="I93" i="70" s="1"/>
  <c r="P16" i="20"/>
  <c r="T16" i="20" s="1"/>
  <c r="U16" i="20" s="1"/>
  <c r="P21" i="20"/>
  <c r="T21" i="20" s="1"/>
  <c r="U21" i="20" s="1"/>
  <c r="P13" i="20"/>
  <c r="P28" i="20"/>
  <c r="T28" i="20" s="1"/>
  <c r="U28" i="20" s="1"/>
  <c r="U73" i="20"/>
  <c r="P23" i="20"/>
  <c r="T23" i="20" s="1"/>
  <c r="U23" i="20" s="1"/>
  <c r="P37" i="20"/>
  <c r="P40" i="20"/>
  <c r="U40" i="20" s="1"/>
  <c r="U74" i="20"/>
  <c r="P18" i="20"/>
  <c r="T18" i="20" s="1"/>
  <c r="U18" i="20" s="1"/>
  <c r="P108" i="20"/>
  <c r="U108" i="20" s="1"/>
  <c r="U112" i="20"/>
  <c r="P15" i="20"/>
  <c r="T15" i="20" s="1"/>
  <c r="P25" i="20"/>
  <c r="T25" i="20" s="1"/>
  <c r="U25" i="20" s="1"/>
  <c r="U113" i="20"/>
  <c r="P20" i="20"/>
  <c r="T20" i="20" s="1"/>
  <c r="U20" i="20" s="1"/>
  <c r="P17" i="20"/>
  <c r="T17" i="20" s="1"/>
  <c r="P22" i="20"/>
  <c r="T22" i="20" s="1"/>
  <c r="U22" i="20" s="1"/>
  <c r="P107" i="20"/>
  <c r="U107" i="20" s="1"/>
  <c r="P99" i="20"/>
  <c r="U99" i="20" s="1"/>
  <c r="P14" i="20"/>
  <c r="T14" i="20" s="1"/>
  <c r="U14" i="20" s="1"/>
  <c r="P24" i="20"/>
  <c r="T24" i="20" s="1"/>
  <c r="U24" i="20" s="1"/>
  <c r="P19" i="20"/>
  <c r="T19" i="20" s="1"/>
  <c r="U19" i="20" s="1"/>
  <c r="P39" i="20"/>
  <c r="U39" i="20" s="1"/>
  <c r="P42" i="20"/>
  <c r="U42" i="20" s="1"/>
  <c r="P109" i="20"/>
  <c r="U109" i="20" s="1"/>
  <c r="P38" i="20"/>
  <c r="U38" i="20" s="1"/>
  <c r="P26" i="20"/>
  <c r="T26" i="20" s="1"/>
  <c r="U26" i="20" s="1"/>
  <c r="P27" i="20"/>
  <c r="T27" i="20" s="1"/>
  <c r="U27" i="20" s="1"/>
  <c r="P41" i="20"/>
  <c r="U41" i="20" s="1"/>
  <c r="P17" i="22"/>
  <c r="T17" i="22" s="1"/>
  <c r="P22" i="22"/>
  <c r="T22" i="22" s="1"/>
  <c r="U22" i="22" s="1"/>
  <c r="P107" i="22"/>
  <c r="U107" i="22" s="1"/>
  <c r="P14" i="22"/>
  <c r="T14" i="22" s="1"/>
  <c r="U14" i="22" s="1"/>
  <c r="P24" i="22"/>
  <c r="T24" i="22" s="1"/>
  <c r="U24" i="22" s="1"/>
  <c r="P19" i="22"/>
  <c r="T19" i="22" s="1"/>
  <c r="U19" i="22" s="1"/>
  <c r="P39" i="22"/>
  <c r="U39" i="22" s="1"/>
  <c r="P42" i="22"/>
  <c r="U42" i="22" s="1"/>
  <c r="P109" i="22"/>
  <c r="U109" i="22" s="1"/>
  <c r="P26" i="22"/>
  <c r="T26" i="22" s="1"/>
  <c r="U26" i="22" s="1"/>
  <c r="P13" i="22"/>
  <c r="P28" i="22"/>
  <c r="T28" i="22" s="1"/>
  <c r="U28" i="22" s="1"/>
  <c r="U73" i="22"/>
  <c r="P15" i="22"/>
  <c r="T15" i="22" s="1"/>
  <c r="P25" i="22"/>
  <c r="T25" i="22" s="1"/>
  <c r="U25" i="22" s="1"/>
  <c r="U113" i="22"/>
  <c r="P23" i="22"/>
  <c r="T23" i="22" s="1"/>
  <c r="U23" i="22" s="1"/>
  <c r="P41" i="22"/>
  <c r="U41" i="22" s="1"/>
  <c r="P18" i="22"/>
  <c r="T18" i="22" s="1"/>
  <c r="U18" i="22" s="1"/>
  <c r="P21" i="22"/>
  <c r="T21" i="22" s="1"/>
  <c r="U21" i="22" s="1"/>
  <c r="P37" i="22"/>
  <c r="U112" i="22"/>
  <c r="P27" i="22"/>
  <c r="T27" i="22" s="1"/>
  <c r="U27" i="22" s="1"/>
  <c r="P16" i="22"/>
  <c r="T16" i="22" s="1"/>
  <c r="U16" i="22" s="1"/>
  <c r="P38" i="22"/>
  <c r="U38" i="22" s="1"/>
  <c r="U74" i="22"/>
  <c r="P108" i="22"/>
  <c r="U108" i="22" s="1"/>
  <c r="P40" i="22"/>
  <c r="U40" i="22" s="1"/>
  <c r="P99" i="22"/>
  <c r="U99" i="22" s="1"/>
  <c r="P20" i="22"/>
  <c r="T20" i="22" s="1"/>
  <c r="U20" i="22" s="1"/>
  <c r="P15" i="71"/>
  <c r="T15" i="71" s="1"/>
  <c r="P25" i="71"/>
  <c r="T25" i="71" s="1"/>
  <c r="U25" i="71" s="1"/>
  <c r="U113" i="71"/>
  <c r="P20" i="71"/>
  <c r="T20" i="71" s="1"/>
  <c r="U20" i="71" s="1"/>
  <c r="P27" i="71"/>
  <c r="T27" i="71" s="1"/>
  <c r="U27" i="71" s="1"/>
  <c r="P38" i="71"/>
  <c r="U38" i="71" s="1"/>
  <c r="P41" i="71"/>
  <c r="U41" i="71" s="1"/>
  <c r="P99" i="71"/>
  <c r="U99" i="71" s="1"/>
  <c r="P16" i="71"/>
  <c r="T16" i="71" s="1"/>
  <c r="U16" i="71" s="1"/>
  <c r="P21" i="71"/>
  <c r="T21" i="71" s="1"/>
  <c r="U21" i="71" s="1"/>
  <c r="P17" i="71"/>
  <c r="T17" i="71" s="1"/>
  <c r="P37" i="71"/>
  <c r="P107" i="71"/>
  <c r="U107" i="71" s="1"/>
  <c r="P109" i="71"/>
  <c r="U109" i="71" s="1"/>
  <c r="P28" i="71"/>
  <c r="T28" i="71" s="1"/>
  <c r="U28" i="71" s="1"/>
  <c r="P13" i="71"/>
  <c r="P23" i="71"/>
  <c r="T23" i="71" s="1"/>
  <c r="U23" i="71" s="1"/>
  <c r="P39" i="71"/>
  <c r="U39" i="71" s="1"/>
  <c r="U73" i="71"/>
  <c r="U74" i="71"/>
  <c r="U112" i="71"/>
  <c r="P18" i="71"/>
  <c r="T18" i="71" s="1"/>
  <c r="U18" i="71" s="1"/>
  <c r="P26" i="71"/>
  <c r="T26" i="71" s="1"/>
  <c r="U26" i="71" s="1"/>
  <c r="P40" i="71"/>
  <c r="U40" i="71" s="1"/>
  <c r="P24" i="71"/>
  <c r="T24" i="71" s="1"/>
  <c r="U24" i="71" s="1"/>
  <c r="P14" i="71"/>
  <c r="T14" i="71" s="1"/>
  <c r="U14" i="71" s="1"/>
  <c r="P19" i="71"/>
  <c r="T19" i="71" s="1"/>
  <c r="U19" i="71" s="1"/>
  <c r="P108" i="71"/>
  <c r="U108" i="71" s="1"/>
  <c r="P22" i="71"/>
  <c r="T22" i="71" s="1"/>
  <c r="U22" i="71" s="1"/>
  <c r="P42" i="71"/>
  <c r="U42" i="71" s="1"/>
  <c r="P14" i="48"/>
  <c r="T14" i="48" s="1"/>
  <c r="U14" i="48" s="1"/>
  <c r="P24" i="48"/>
  <c r="T24" i="48" s="1"/>
  <c r="U24" i="48" s="1"/>
  <c r="P19" i="48"/>
  <c r="T19" i="48" s="1"/>
  <c r="U19" i="48" s="1"/>
  <c r="P39" i="48"/>
  <c r="U39" i="48" s="1"/>
  <c r="P42" i="48"/>
  <c r="U42" i="48" s="1"/>
  <c r="P109" i="48"/>
  <c r="U109" i="48" s="1"/>
  <c r="P26" i="48"/>
  <c r="T26" i="48" s="1"/>
  <c r="U26" i="48" s="1"/>
  <c r="P16" i="48"/>
  <c r="T16" i="48" s="1"/>
  <c r="U16" i="48" s="1"/>
  <c r="P21" i="48"/>
  <c r="T21" i="48" s="1"/>
  <c r="U21" i="48" s="1"/>
  <c r="P23" i="48"/>
  <c r="T23" i="48" s="1"/>
  <c r="U23" i="48" s="1"/>
  <c r="P37" i="48"/>
  <c r="P40" i="48"/>
  <c r="U40" i="48" s="1"/>
  <c r="U74" i="48"/>
  <c r="P18" i="48"/>
  <c r="T18" i="48" s="1"/>
  <c r="U18" i="48" s="1"/>
  <c r="P15" i="48"/>
  <c r="T15" i="48" s="1"/>
  <c r="P25" i="48"/>
  <c r="T25" i="48" s="1"/>
  <c r="U25" i="48" s="1"/>
  <c r="U113" i="48"/>
  <c r="P20" i="48"/>
  <c r="T20" i="48" s="1"/>
  <c r="U20" i="48" s="1"/>
  <c r="P27" i="48"/>
  <c r="T27" i="48" s="1"/>
  <c r="U27" i="48" s="1"/>
  <c r="P38" i="48"/>
  <c r="U38" i="48" s="1"/>
  <c r="P41" i="48"/>
  <c r="U41" i="48" s="1"/>
  <c r="P17" i="48"/>
  <c r="T17" i="48" s="1"/>
  <c r="P13" i="48"/>
  <c r="P22" i="48"/>
  <c r="T22" i="48" s="1"/>
  <c r="U22" i="48" s="1"/>
  <c r="U73" i="48"/>
  <c r="P108" i="48"/>
  <c r="U108" i="48" s="1"/>
  <c r="P99" i="48"/>
  <c r="U99" i="48" s="1"/>
  <c r="P28" i="48"/>
  <c r="T28" i="48" s="1"/>
  <c r="U28" i="48" s="1"/>
  <c r="U112" i="48"/>
  <c r="P107" i="48"/>
  <c r="U107" i="48" s="1"/>
  <c r="I93" i="15"/>
  <c r="I93" i="21"/>
  <c r="H68" i="30"/>
  <c r="I68" i="30" s="1"/>
  <c r="H71" i="30"/>
  <c r="I71" i="30" s="1"/>
  <c r="H76" i="30"/>
  <c r="I76" i="30" s="1"/>
  <c r="H70" i="30"/>
  <c r="I70" i="30" s="1"/>
  <c r="H72" i="30"/>
  <c r="I72" i="30" s="1"/>
  <c r="H77" i="30"/>
  <c r="I77" i="30" s="1"/>
  <c r="C93" i="60"/>
  <c r="H68" i="56"/>
  <c r="I68" i="56" s="1"/>
  <c r="H71" i="56"/>
  <c r="I71" i="56" s="1"/>
  <c r="H77" i="56"/>
  <c r="I77" i="56" s="1"/>
  <c r="H72" i="56"/>
  <c r="I72" i="56" s="1"/>
  <c r="H76" i="56"/>
  <c r="I76" i="56" s="1"/>
  <c r="H70" i="56"/>
  <c r="I70" i="56" s="1"/>
  <c r="P15" i="23"/>
  <c r="T15" i="23" s="1"/>
  <c r="P25" i="23"/>
  <c r="T25" i="23" s="1"/>
  <c r="U25" i="23" s="1"/>
  <c r="U113" i="23"/>
  <c r="P20" i="23"/>
  <c r="T20" i="23" s="1"/>
  <c r="U20" i="23" s="1"/>
  <c r="P27" i="23"/>
  <c r="T27" i="23" s="1"/>
  <c r="U27" i="23" s="1"/>
  <c r="P38" i="23"/>
  <c r="U38" i="23" s="1"/>
  <c r="P41" i="23"/>
  <c r="U41" i="23" s="1"/>
  <c r="P17" i="23"/>
  <c r="T17" i="23" s="1"/>
  <c r="P22" i="23"/>
  <c r="T22" i="23" s="1"/>
  <c r="U22" i="23" s="1"/>
  <c r="P107" i="23"/>
  <c r="U107" i="23" s="1"/>
  <c r="P99" i="23"/>
  <c r="U99" i="23" s="1"/>
  <c r="P14" i="23"/>
  <c r="T14" i="23" s="1"/>
  <c r="U14" i="23" s="1"/>
  <c r="P24" i="23"/>
  <c r="T24" i="23" s="1"/>
  <c r="U24" i="23" s="1"/>
  <c r="P19" i="23"/>
  <c r="T19" i="23" s="1"/>
  <c r="U19" i="23" s="1"/>
  <c r="P39" i="23"/>
  <c r="U39" i="23" s="1"/>
  <c r="P42" i="23"/>
  <c r="U42" i="23" s="1"/>
  <c r="P109" i="23"/>
  <c r="U109" i="23" s="1"/>
  <c r="P26" i="23"/>
  <c r="T26" i="23" s="1"/>
  <c r="U26" i="23" s="1"/>
  <c r="P16" i="23"/>
  <c r="T16" i="23" s="1"/>
  <c r="U16" i="23" s="1"/>
  <c r="P21" i="23"/>
  <c r="T21" i="23" s="1"/>
  <c r="U21" i="23" s="1"/>
  <c r="P13" i="23"/>
  <c r="P28" i="23"/>
  <c r="T28" i="23" s="1"/>
  <c r="U28" i="23" s="1"/>
  <c r="U73" i="23"/>
  <c r="P23" i="23"/>
  <c r="T23" i="23" s="1"/>
  <c r="U23" i="23" s="1"/>
  <c r="P37" i="23"/>
  <c r="P40" i="23"/>
  <c r="U40" i="23" s="1"/>
  <c r="U74" i="23"/>
  <c r="P18" i="23"/>
  <c r="T18" i="23" s="1"/>
  <c r="U18" i="23" s="1"/>
  <c r="P108" i="23"/>
  <c r="U108" i="23" s="1"/>
  <c r="U112" i="23"/>
  <c r="C93" i="30"/>
  <c r="H90" i="30"/>
  <c r="I93" i="30" s="1"/>
  <c r="P18" i="18"/>
  <c r="T18" i="18" s="1"/>
  <c r="U18" i="18" s="1"/>
  <c r="P15" i="18"/>
  <c r="T15" i="18" s="1"/>
  <c r="P25" i="18"/>
  <c r="T25" i="18" s="1"/>
  <c r="U25" i="18" s="1"/>
  <c r="P108" i="18"/>
  <c r="U108" i="18" s="1"/>
  <c r="U112" i="18"/>
  <c r="P20" i="18"/>
  <c r="T20" i="18" s="1"/>
  <c r="U20" i="18" s="1"/>
  <c r="U113" i="18"/>
  <c r="P27" i="18"/>
  <c r="T27" i="18" s="1"/>
  <c r="U27" i="18" s="1"/>
  <c r="P38" i="18"/>
  <c r="U38" i="18" s="1"/>
  <c r="P41" i="18"/>
  <c r="U41" i="18" s="1"/>
  <c r="P17" i="18"/>
  <c r="T17" i="18" s="1"/>
  <c r="P22" i="18"/>
  <c r="T22" i="18" s="1"/>
  <c r="U22" i="18" s="1"/>
  <c r="P107" i="18"/>
  <c r="U107" i="18" s="1"/>
  <c r="P19" i="18"/>
  <c r="T19" i="18" s="1"/>
  <c r="U19" i="18" s="1"/>
  <c r="P39" i="18"/>
  <c r="U39" i="18" s="1"/>
  <c r="P42" i="18"/>
  <c r="U42" i="18" s="1"/>
  <c r="P16" i="18"/>
  <c r="T16" i="18" s="1"/>
  <c r="U16" i="18" s="1"/>
  <c r="P21" i="18"/>
  <c r="T21" i="18" s="1"/>
  <c r="U21" i="18" s="1"/>
  <c r="P13" i="18"/>
  <c r="P28" i="18"/>
  <c r="T28" i="18" s="1"/>
  <c r="U28" i="18" s="1"/>
  <c r="U73" i="18"/>
  <c r="P14" i="18"/>
  <c r="T14" i="18" s="1"/>
  <c r="U14" i="18" s="1"/>
  <c r="P99" i="18"/>
  <c r="U99" i="18" s="1"/>
  <c r="P23" i="18"/>
  <c r="T23" i="18" s="1"/>
  <c r="U23" i="18" s="1"/>
  <c r="P24" i="18"/>
  <c r="T24" i="18" s="1"/>
  <c r="U24" i="18" s="1"/>
  <c r="P40" i="18"/>
  <c r="U40" i="18" s="1"/>
  <c r="P109" i="18"/>
  <c r="U109" i="18" s="1"/>
  <c r="U74" i="18"/>
  <c r="P26" i="18"/>
  <c r="T26" i="18" s="1"/>
  <c r="U26" i="18" s="1"/>
  <c r="P37" i="18"/>
  <c r="P18" i="25"/>
  <c r="T18" i="25" s="1"/>
  <c r="U18" i="25" s="1"/>
  <c r="P15" i="25"/>
  <c r="T15" i="25" s="1"/>
  <c r="P25" i="25"/>
  <c r="T25" i="25" s="1"/>
  <c r="U25" i="25" s="1"/>
  <c r="P17" i="25"/>
  <c r="T17" i="25" s="1"/>
  <c r="P22" i="25"/>
  <c r="T22" i="25" s="1"/>
  <c r="U22" i="25" s="1"/>
  <c r="P38" i="25"/>
  <c r="U38" i="25" s="1"/>
  <c r="P41" i="25"/>
  <c r="U41" i="25" s="1"/>
  <c r="P27" i="25"/>
  <c r="T27" i="25" s="1"/>
  <c r="U27" i="25" s="1"/>
  <c r="P107" i="25"/>
  <c r="U107" i="25" s="1"/>
  <c r="P99" i="25"/>
  <c r="U99" i="25" s="1"/>
  <c r="P21" i="25"/>
  <c r="T21" i="25" s="1"/>
  <c r="U21" i="25" s="1"/>
  <c r="P23" i="25"/>
  <c r="T23" i="25" s="1"/>
  <c r="U23" i="25" s="1"/>
  <c r="P19" i="25"/>
  <c r="T19" i="25" s="1"/>
  <c r="U19" i="25" s="1"/>
  <c r="P39" i="25"/>
  <c r="U39" i="25" s="1"/>
  <c r="P42" i="25"/>
  <c r="U42" i="25" s="1"/>
  <c r="P109" i="25"/>
  <c r="U109" i="25" s="1"/>
  <c r="P13" i="25"/>
  <c r="P26" i="25"/>
  <c r="T26" i="25" s="1"/>
  <c r="U26" i="25" s="1"/>
  <c r="P24" i="25"/>
  <c r="T24" i="25" s="1"/>
  <c r="U24" i="25" s="1"/>
  <c r="P28" i="25"/>
  <c r="T28" i="25" s="1"/>
  <c r="U28" i="25" s="1"/>
  <c r="U73" i="25"/>
  <c r="P37" i="25"/>
  <c r="P40" i="25"/>
  <c r="U40" i="25" s="1"/>
  <c r="U74" i="25"/>
  <c r="P20" i="25"/>
  <c r="T20" i="25" s="1"/>
  <c r="U20" i="25" s="1"/>
  <c r="P108" i="25"/>
  <c r="U108" i="25" s="1"/>
  <c r="U112" i="25"/>
  <c r="P14" i="25"/>
  <c r="T14" i="25" s="1"/>
  <c r="U14" i="25" s="1"/>
  <c r="P16" i="25"/>
  <c r="T16" i="25" s="1"/>
  <c r="U16" i="25" s="1"/>
  <c r="U113" i="25"/>
  <c r="P16" i="33"/>
  <c r="T16" i="33" s="1"/>
  <c r="U16" i="33" s="1"/>
  <c r="P21" i="33"/>
  <c r="T21" i="33" s="1"/>
  <c r="U21" i="33" s="1"/>
  <c r="P13" i="33"/>
  <c r="P28" i="33"/>
  <c r="T28" i="33" s="1"/>
  <c r="U28" i="33" s="1"/>
  <c r="U73" i="33"/>
  <c r="P23" i="33"/>
  <c r="T23" i="33" s="1"/>
  <c r="U23" i="33" s="1"/>
  <c r="P37" i="33"/>
  <c r="P40" i="33"/>
  <c r="U40" i="33" s="1"/>
  <c r="U74" i="33"/>
  <c r="P18" i="33"/>
  <c r="T18" i="33" s="1"/>
  <c r="U18" i="33" s="1"/>
  <c r="P108" i="33"/>
  <c r="U108" i="33" s="1"/>
  <c r="U112" i="33"/>
  <c r="P15" i="33"/>
  <c r="T15" i="33" s="1"/>
  <c r="P25" i="33"/>
  <c r="T25" i="33" s="1"/>
  <c r="U25" i="33" s="1"/>
  <c r="U113" i="33"/>
  <c r="P20" i="33"/>
  <c r="T20" i="33" s="1"/>
  <c r="U20" i="33" s="1"/>
  <c r="P27" i="33"/>
  <c r="T27" i="33" s="1"/>
  <c r="U27" i="33" s="1"/>
  <c r="P38" i="33"/>
  <c r="U38" i="33" s="1"/>
  <c r="P41" i="33"/>
  <c r="U41" i="33" s="1"/>
  <c r="P17" i="33"/>
  <c r="T17" i="33" s="1"/>
  <c r="P22" i="33"/>
  <c r="T22" i="33" s="1"/>
  <c r="U22" i="33" s="1"/>
  <c r="P107" i="33"/>
  <c r="U107" i="33" s="1"/>
  <c r="P19" i="33"/>
  <c r="T19" i="33" s="1"/>
  <c r="U19" i="33" s="1"/>
  <c r="P39" i="33"/>
  <c r="U39" i="33" s="1"/>
  <c r="P42" i="33"/>
  <c r="U42" i="33" s="1"/>
  <c r="P109" i="33"/>
  <c r="U109" i="33" s="1"/>
  <c r="P14" i="33"/>
  <c r="T14" i="33" s="1"/>
  <c r="U14" i="33" s="1"/>
  <c r="P26" i="33"/>
  <c r="T26" i="33" s="1"/>
  <c r="U26" i="33" s="1"/>
  <c r="P24" i="33"/>
  <c r="T24" i="33" s="1"/>
  <c r="U24" i="33" s="1"/>
  <c r="P99" i="33"/>
  <c r="U99" i="33" s="1"/>
  <c r="H79" i="58"/>
  <c r="I79" i="58" s="1"/>
  <c r="H82" i="58"/>
  <c r="H78" i="58"/>
  <c r="I78" i="58" s="1"/>
  <c r="H80" i="58"/>
  <c r="I80" i="58" s="1"/>
  <c r="H83" i="58"/>
  <c r="H85" i="58"/>
  <c r="I85" i="58" s="1"/>
  <c r="P27" i="57"/>
  <c r="T27" i="57" s="1"/>
  <c r="U27" i="57" s="1"/>
  <c r="P38" i="57"/>
  <c r="U38" i="57" s="1"/>
  <c r="P41" i="57"/>
  <c r="U41" i="57" s="1"/>
  <c r="P99" i="57"/>
  <c r="U99" i="57" s="1"/>
  <c r="P14" i="57"/>
  <c r="T14" i="57" s="1"/>
  <c r="U14" i="57" s="1"/>
  <c r="P24" i="57"/>
  <c r="T24" i="57" s="1"/>
  <c r="U24" i="57" s="1"/>
  <c r="P26" i="57"/>
  <c r="T26" i="57" s="1"/>
  <c r="U26" i="57" s="1"/>
  <c r="P13" i="57"/>
  <c r="P28" i="57"/>
  <c r="T28" i="57" s="1"/>
  <c r="U28" i="57" s="1"/>
  <c r="U73" i="57"/>
  <c r="P23" i="57"/>
  <c r="T23" i="57" s="1"/>
  <c r="U23" i="57" s="1"/>
  <c r="P37" i="57"/>
  <c r="P40" i="57"/>
  <c r="U40" i="57" s="1"/>
  <c r="U74" i="57"/>
  <c r="P18" i="57"/>
  <c r="T18" i="57" s="1"/>
  <c r="U18" i="57" s="1"/>
  <c r="P108" i="57"/>
  <c r="U108" i="57" s="1"/>
  <c r="U112" i="57"/>
  <c r="P109" i="57"/>
  <c r="U109" i="57" s="1"/>
  <c r="P21" i="57"/>
  <c r="T21" i="57" s="1"/>
  <c r="U21" i="57" s="1"/>
  <c r="P15" i="57"/>
  <c r="T15" i="57" s="1"/>
  <c r="U113" i="57"/>
  <c r="P25" i="57"/>
  <c r="T25" i="57" s="1"/>
  <c r="U25" i="57" s="1"/>
  <c r="P107" i="57"/>
  <c r="U107" i="57" s="1"/>
  <c r="P22" i="57"/>
  <c r="T22" i="57" s="1"/>
  <c r="U22" i="57" s="1"/>
  <c r="P42" i="57"/>
  <c r="U42" i="57" s="1"/>
  <c r="P19" i="57"/>
  <c r="T19" i="57" s="1"/>
  <c r="U19" i="57" s="1"/>
  <c r="P16" i="57"/>
  <c r="T16" i="57" s="1"/>
  <c r="U16" i="57" s="1"/>
  <c r="P17" i="57"/>
  <c r="T17" i="57" s="1"/>
  <c r="P39" i="57"/>
  <c r="U39" i="57" s="1"/>
  <c r="P20" i="57"/>
  <c r="T20" i="57" s="1"/>
  <c r="U20" i="57" s="1"/>
  <c r="H79" i="34"/>
  <c r="I79" i="34" s="1"/>
  <c r="H82" i="34"/>
  <c r="H83" i="34"/>
  <c r="I83" i="34" s="1"/>
  <c r="I84" i="34" s="1"/>
  <c r="H78" i="34"/>
  <c r="I78" i="34" s="1"/>
  <c r="H80" i="34"/>
  <c r="I80" i="34" s="1"/>
  <c r="H85" i="34"/>
  <c r="I85" i="34" s="1"/>
  <c r="H85" i="69"/>
  <c r="I85" i="69" s="1"/>
  <c r="H79" i="69"/>
  <c r="I79" i="69" s="1"/>
  <c r="H82" i="69"/>
  <c r="H80" i="69"/>
  <c r="I80" i="69" s="1"/>
  <c r="H78" i="69"/>
  <c r="I78" i="69" s="1"/>
  <c r="H83" i="69"/>
  <c r="H76" i="71"/>
  <c r="I76" i="71" s="1"/>
  <c r="H70" i="71"/>
  <c r="I70" i="71" s="1"/>
  <c r="H72" i="71"/>
  <c r="I72" i="71" s="1"/>
  <c r="H68" i="71"/>
  <c r="I68" i="71" s="1"/>
  <c r="H77" i="71"/>
  <c r="I77" i="71" s="1"/>
  <c r="H71" i="71"/>
  <c r="I71" i="71" s="1"/>
  <c r="H77" i="48"/>
  <c r="I77" i="48" s="1"/>
  <c r="H68" i="48"/>
  <c r="I68" i="48" s="1"/>
  <c r="H71" i="48"/>
  <c r="I71" i="48" s="1"/>
  <c r="H76" i="48"/>
  <c r="I76" i="48" s="1"/>
  <c r="H72" i="48"/>
  <c r="I72" i="48" s="1"/>
  <c r="H70" i="48"/>
  <c r="I70" i="48" s="1"/>
  <c r="H85" i="67"/>
  <c r="I85" i="67" s="1"/>
  <c r="H79" i="67"/>
  <c r="I79" i="67" s="1"/>
  <c r="H82" i="67"/>
  <c r="H83" i="67"/>
  <c r="H80" i="67"/>
  <c r="I80" i="67" s="1"/>
  <c r="H78" i="67"/>
  <c r="I78" i="67" s="1"/>
  <c r="O91" i="34"/>
  <c r="T91" i="34" s="1"/>
  <c r="U15" i="34"/>
  <c r="P27" i="77"/>
  <c r="T27" i="77" s="1"/>
  <c r="U27" i="77" s="1"/>
  <c r="P38" i="77"/>
  <c r="U38" i="77" s="1"/>
  <c r="P41" i="77"/>
  <c r="U41" i="77" s="1"/>
  <c r="P17" i="77"/>
  <c r="T17" i="77" s="1"/>
  <c r="P22" i="77"/>
  <c r="T22" i="77" s="1"/>
  <c r="U22" i="77" s="1"/>
  <c r="P107" i="77"/>
  <c r="U107" i="77" s="1"/>
  <c r="P99" i="77"/>
  <c r="U99" i="77" s="1"/>
  <c r="P14" i="77"/>
  <c r="T14" i="77" s="1"/>
  <c r="U14" i="77" s="1"/>
  <c r="P24" i="77"/>
  <c r="T24" i="77" s="1"/>
  <c r="U24" i="77" s="1"/>
  <c r="P19" i="77"/>
  <c r="T19" i="77" s="1"/>
  <c r="U19" i="77" s="1"/>
  <c r="P39" i="77"/>
  <c r="U39" i="77" s="1"/>
  <c r="P42" i="77"/>
  <c r="U42" i="77" s="1"/>
  <c r="P109" i="77"/>
  <c r="U109" i="77" s="1"/>
  <c r="P26" i="77"/>
  <c r="T26" i="77" s="1"/>
  <c r="U26" i="77" s="1"/>
  <c r="P16" i="77"/>
  <c r="T16" i="77" s="1"/>
  <c r="U16" i="77" s="1"/>
  <c r="P21" i="77"/>
  <c r="T21" i="77" s="1"/>
  <c r="U21" i="77" s="1"/>
  <c r="P13" i="77"/>
  <c r="P28" i="77"/>
  <c r="T28" i="77" s="1"/>
  <c r="U28" i="77" s="1"/>
  <c r="U73" i="77"/>
  <c r="P23" i="77"/>
  <c r="T23" i="77" s="1"/>
  <c r="U23" i="77" s="1"/>
  <c r="P37" i="77"/>
  <c r="P40" i="77"/>
  <c r="U40" i="77" s="1"/>
  <c r="U74" i="77"/>
  <c r="P18" i="77"/>
  <c r="T18" i="77" s="1"/>
  <c r="U18" i="77" s="1"/>
  <c r="P108" i="77"/>
  <c r="U108" i="77" s="1"/>
  <c r="U112" i="77"/>
  <c r="P15" i="77"/>
  <c r="T15" i="77" s="1"/>
  <c r="U113" i="77"/>
  <c r="P25" i="77"/>
  <c r="T25" i="77" s="1"/>
  <c r="U25" i="77" s="1"/>
  <c r="P20" i="77"/>
  <c r="T20" i="77" s="1"/>
  <c r="U20" i="77" s="1"/>
  <c r="P18" i="26"/>
  <c r="T18" i="26" s="1"/>
  <c r="U18" i="26" s="1"/>
  <c r="P108" i="26"/>
  <c r="U108" i="26" s="1"/>
  <c r="U112" i="26"/>
  <c r="P15" i="26"/>
  <c r="T15" i="26" s="1"/>
  <c r="P25" i="26"/>
  <c r="T25" i="26" s="1"/>
  <c r="U25" i="26" s="1"/>
  <c r="U113" i="26"/>
  <c r="P20" i="26"/>
  <c r="T20" i="26" s="1"/>
  <c r="U20" i="26" s="1"/>
  <c r="P27" i="26"/>
  <c r="T27" i="26" s="1"/>
  <c r="U27" i="26" s="1"/>
  <c r="P38" i="26"/>
  <c r="U38" i="26" s="1"/>
  <c r="P41" i="26"/>
  <c r="U41" i="26" s="1"/>
  <c r="P17" i="26"/>
  <c r="T17" i="26" s="1"/>
  <c r="P22" i="26"/>
  <c r="T22" i="26" s="1"/>
  <c r="U22" i="26" s="1"/>
  <c r="P107" i="26"/>
  <c r="U107" i="26" s="1"/>
  <c r="P99" i="26"/>
  <c r="U99" i="26" s="1"/>
  <c r="P14" i="26"/>
  <c r="T14" i="26" s="1"/>
  <c r="U14" i="26" s="1"/>
  <c r="P24" i="26"/>
  <c r="T24" i="26" s="1"/>
  <c r="U24" i="26" s="1"/>
  <c r="P19" i="26"/>
  <c r="T19" i="26" s="1"/>
  <c r="U19" i="26" s="1"/>
  <c r="P39" i="26"/>
  <c r="U39" i="26" s="1"/>
  <c r="P42" i="26"/>
  <c r="U42" i="26" s="1"/>
  <c r="P109" i="26"/>
  <c r="U109" i="26" s="1"/>
  <c r="P16" i="26"/>
  <c r="T16" i="26" s="1"/>
  <c r="U16" i="26" s="1"/>
  <c r="P21" i="26"/>
  <c r="T21" i="26" s="1"/>
  <c r="U21" i="26" s="1"/>
  <c r="P13" i="26"/>
  <c r="P28" i="26"/>
  <c r="T28" i="26" s="1"/>
  <c r="U28" i="26" s="1"/>
  <c r="U73" i="26"/>
  <c r="P37" i="26"/>
  <c r="P26" i="26"/>
  <c r="T26" i="26" s="1"/>
  <c r="U26" i="26" s="1"/>
  <c r="U74" i="26"/>
  <c r="P40" i="26"/>
  <c r="U40" i="26" s="1"/>
  <c r="P23" i="26"/>
  <c r="T23" i="26" s="1"/>
  <c r="U23" i="26" s="1"/>
  <c r="H68" i="16"/>
  <c r="I68" i="16" s="1"/>
  <c r="H71" i="16"/>
  <c r="I71" i="16" s="1"/>
  <c r="H76" i="16"/>
  <c r="I76" i="16" s="1"/>
  <c r="H70" i="16"/>
  <c r="I70" i="16" s="1"/>
  <c r="H72" i="16"/>
  <c r="I72" i="16" s="1"/>
  <c r="H77" i="16"/>
  <c r="I77" i="16" s="1"/>
  <c r="H79" i="24"/>
  <c r="I79" i="24" s="1"/>
  <c r="H82" i="24"/>
  <c r="H83" i="24"/>
  <c r="H78" i="24"/>
  <c r="I78" i="24" s="1"/>
  <c r="H80" i="24"/>
  <c r="I80" i="24" s="1"/>
  <c r="H85" i="24"/>
  <c r="I85" i="24" s="1"/>
  <c r="H83" i="16"/>
  <c r="H78" i="16"/>
  <c r="I78" i="16" s="1"/>
  <c r="H80" i="16"/>
  <c r="I80" i="16" s="1"/>
  <c r="H85" i="16"/>
  <c r="I85" i="16" s="1"/>
  <c r="H79" i="16"/>
  <c r="I79" i="16" s="1"/>
  <c r="H82" i="16"/>
  <c r="U15" i="52"/>
  <c r="O91" i="52"/>
  <c r="T91" i="52" s="1"/>
  <c r="P18" i="78"/>
  <c r="T18" i="78" s="1"/>
  <c r="U18" i="78" s="1"/>
  <c r="P108" i="78"/>
  <c r="U108" i="78" s="1"/>
  <c r="U112" i="78"/>
  <c r="P15" i="78"/>
  <c r="T15" i="78" s="1"/>
  <c r="P25" i="78"/>
  <c r="T25" i="78" s="1"/>
  <c r="U25" i="78" s="1"/>
  <c r="U113" i="78"/>
  <c r="P20" i="78"/>
  <c r="T20" i="78" s="1"/>
  <c r="U20" i="78" s="1"/>
  <c r="P27" i="78"/>
  <c r="T27" i="78" s="1"/>
  <c r="U27" i="78" s="1"/>
  <c r="P38" i="78"/>
  <c r="U38" i="78" s="1"/>
  <c r="P41" i="78"/>
  <c r="U41" i="78" s="1"/>
  <c r="P17" i="78"/>
  <c r="T17" i="78" s="1"/>
  <c r="P22" i="78"/>
  <c r="T22" i="78" s="1"/>
  <c r="U22" i="78" s="1"/>
  <c r="P107" i="78"/>
  <c r="U107" i="78" s="1"/>
  <c r="P99" i="78"/>
  <c r="U99" i="78" s="1"/>
  <c r="P14" i="78"/>
  <c r="T14" i="78" s="1"/>
  <c r="U14" i="78" s="1"/>
  <c r="P24" i="78"/>
  <c r="T24" i="78" s="1"/>
  <c r="U24" i="78" s="1"/>
  <c r="P19" i="78"/>
  <c r="T19" i="78" s="1"/>
  <c r="U19" i="78" s="1"/>
  <c r="P39" i="78"/>
  <c r="U39" i="78" s="1"/>
  <c r="P42" i="78"/>
  <c r="U42" i="78" s="1"/>
  <c r="P109" i="78"/>
  <c r="U109" i="78" s="1"/>
  <c r="P26" i="78"/>
  <c r="T26" i="78" s="1"/>
  <c r="U26" i="78" s="1"/>
  <c r="P16" i="78"/>
  <c r="T16" i="78" s="1"/>
  <c r="U16" i="78" s="1"/>
  <c r="P21" i="78"/>
  <c r="T21" i="78" s="1"/>
  <c r="U21" i="78" s="1"/>
  <c r="P28" i="78"/>
  <c r="T28" i="78" s="1"/>
  <c r="U28" i="78" s="1"/>
  <c r="P13" i="78"/>
  <c r="U73" i="78"/>
  <c r="P23" i="78"/>
  <c r="T23" i="78" s="1"/>
  <c r="U23" i="78" s="1"/>
  <c r="U74" i="78"/>
  <c r="P37" i="78"/>
  <c r="P40" i="78"/>
  <c r="U40" i="78" s="1"/>
  <c r="E45" i="60"/>
  <c r="C65" i="60" s="1"/>
  <c r="H66" i="60" s="1"/>
  <c r="I29" i="30"/>
  <c r="I45" i="30" s="1"/>
  <c r="C93" i="31"/>
  <c r="H90" i="31"/>
  <c r="I93" i="31" s="1"/>
  <c r="H90" i="23"/>
  <c r="I93" i="23" s="1"/>
  <c r="C93" i="23"/>
  <c r="H76" i="15"/>
  <c r="I76" i="15" s="1"/>
  <c r="H70" i="15"/>
  <c r="I70" i="15" s="1"/>
  <c r="H72" i="15"/>
  <c r="I72" i="15" s="1"/>
  <c r="H77" i="15"/>
  <c r="I77" i="15" s="1"/>
  <c r="H68" i="15"/>
  <c r="I68" i="15" s="1"/>
  <c r="H71" i="15"/>
  <c r="I71" i="15" s="1"/>
  <c r="I93" i="37"/>
  <c r="H85" i="70"/>
  <c r="I85" i="70" s="1"/>
  <c r="H80" i="70"/>
  <c r="I80" i="70" s="1"/>
  <c r="H78" i="70"/>
  <c r="I78" i="70" s="1"/>
  <c r="H82" i="70"/>
  <c r="H79" i="70"/>
  <c r="I79" i="70" s="1"/>
  <c r="H83" i="70"/>
  <c r="H68" i="33"/>
  <c r="I68" i="33" s="1"/>
  <c r="H71" i="33"/>
  <c r="I71" i="33" s="1"/>
  <c r="H76" i="33"/>
  <c r="I76" i="33" s="1"/>
  <c r="H77" i="33"/>
  <c r="I77" i="33" s="1"/>
  <c r="H70" i="33"/>
  <c r="I70" i="33" s="1"/>
  <c r="H72" i="33"/>
  <c r="I72" i="33" s="1"/>
  <c r="H83" i="68"/>
  <c r="H78" i="68"/>
  <c r="I78" i="68" s="1"/>
  <c r="H80" i="68"/>
  <c r="I80" i="68" s="1"/>
  <c r="H85" i="68"/>
  <c r="I85" i="68" s="1"/>
  <c r="H82" i="68"/>
  <c r="H79" i="68"/>
  <c r="I79" i="68" s="1"/>
  <c r="H79" i="22"/>
  <c r="I79" i="22" s="1"/>
  <c r="H82" i="22"/>
  <c r="H78" i="22"/>
  <c r="I78" i="22" s="1"/>
  <c r="H80" i="22"/>
  <c r="I80" i="22" s="1"/>
  <c r="H85" i="22"/>
  <c r="I85" i="22" s="1"/>
  <c r="H83" i="22"/>
  <c r="P16" i="36"/>
  <c r="T16" i="36" s="1"/>
  <c r="U16" i="36" s="1"/>
  <c r="P21" i="36"/>
  <c r="T21" i="36" s="1"/>
  <c r="U21" i="36" s="1"/>
  <c r="P13" i="36"/>
  <c r="P28" i="36"/>
  <c r="T28" i="36" s="1"/>
  <c r="U28" i="36" s="1"/>
  <c r="U73" i="36"/>
  <c r="P23" i="36"/>
  <c r="T23" i="36" s="1"/>
  <c r="U23" i="36" s="1"/>
  <c r="P37" i="36"/>
  <c r="P40" i="36"/>
  <c r="U40" i="36" s="1"/>
  <c r="U74" i="36"/>
  <c r="P17" i="36"/>
  <c r="T17" i="36" s="1"/>
  <c r="P22" i="36"/>
  <c r="T22" i="36" s="1"/>
  <c r="U22" i="36" s="1"/>
  <c r="P107" i="36"/>
  <c r="U107" i="36" s="1"/>
  <c r="P38" i="36"/>
  <c r="U38" i="36" s="1"/>
  <c r="P42" i="36"/>
  <c r="U42" i="36" s="1"/>
  <c r="P109" i="36"/>
  <c r="U109" i="36" s="1"/>
  <c r="P14" i="36"/>
  <c r="T14" i="36" s="1"/>
  <c r="U14" i="36" s="1"/>
  <c r="P26" i="36"/>
  <c r="T26" i="36" s="1"/>
  <c r="U26" i="36" s="1"/>
  <c r="P39" i="36"/>
  <c r="U39" i="36" s="1"/>
  <c r="P19" i="36"/>
  <c r="T19" i="36" s="1"/>
  <c r="U19" i="36" s="1"/>
  <c r="P24" i="36"/>
  <c r="T24" i="36" s="1"/>
  <c r="U24" i="36" s="1"/>
  <c r="P99" i="36"/>
  <c r="U99" i="36" s="1"/>
  <c r="U112" i="36"/>
  <c r="U113" i="36"/>
  <c r="P15" i="36"/>
  <c r="T15" i="36" s="1"/>
  <c r="P27" i="36"/>
  <c r="T27" i="36" s="1"/>
  <c r="U27" i="36" s="1"/>
  <c r="P108" i="36"/>
  <c r="U108" i="36" s="1"/>
  <c r="P18" i="36"/>
  <c r="T18" i="36" s="1"/>
  <c r="U18" i="36" s="1"/>
  <c r="P20" i="36"/>
  <c r="T20" i="36" s="1"/>
  <c r="U20" i="36" s="1"/>
  <c r="P25" i="36"/>
  <c r="T25" i="36" s="1"/>
  <c r="U25" i="36" s="1"/>
  <c r="P41" i="36"/>
  <c r="U41" i="36" s="1"/>
  <c r="H76" i="32"/>
  <c r="I76" i="32" s="1"/>
  <c r="H70" i="32"/>
  <c r="I70" i="32" s="1"/>
  <c r="H72" i="32"/>
  <c r="I72" i="32" s="1"/>
  <c r="H71" i="32"/>
  <c r="I71" i="32" s="1"/>
  <c r="H68" i="32"/>
  <c r="I68" i="32" s="1"/>
  <c r="H77" i="32"/>
  <c r="I77" i="32" s="1"/>
  <c r="H91" i="69"/>
  <c r="I93" i="69" s="1"/>
  <c r="C93" i="69"/>
  <c r="H90" i="67"/>
  <c r="I93" i="67" s="1"/>
  <c r="C93" i="67"/>
  <c r="O92" i="34"/>
  <c r="T92" i="34" s="1"/>
  <c r="U17" i="34"/>
  <c r="H90" i="38"/>
  <c r="I93" i="38" s="1"/>
  <c r="C93" i="38"/>
  <c r="C93" i="77"/>
  <c r="H90" i="77"/>
  <c r="I93" i="77" s="1"/>
  <c r="C93" i="24"/>
  <c r="H90" i="24"/>
  <c r="I93" i="24" s="1"/>
  <c r="C93" i="16"/>
  <c r="H90" i="16"/>
  <c r="P14" i="56"/>
  <c r="T14" i="56" s="1"/>
  <c r="U14" i="56" s="1"/>
  <c r="P24" i="56"/>
  <c r="T24" i="56" s="1"/>
  <c r="U24" i="56" s="1"/>
  <c r="P26" i="56"/>
  <c r="T26" i="56" s="1"/>
  <c r="U26" i="56" s="1"/>
  <c r="P16" i="56"/>
  <c r="T16" i="56" s="1"/>
  <c r="U16" i="56" s="1"/>
  <c r="P21" i="56"/>
  <c r="T21" i="56" s="1"/>
  <c r="U21" i="56" s="1"/>
  <c r="P23" i="56"/>
  <c r="T23" i="56" s="1"/>
  <c r="U23" i="56" s="1"/>
  <c r="P37" i="56"/>
  <c r="P40" i="56"/>
  <c r="U40" i="56" s="1"/>
  <c r="U74" i="56"/>
  <c r="P15" i="56"/>
  <c r="T15" i="56" s="1"/>
  <c r="P25" i="56"/>
  <c r="T25" i="56" s="1"/>
  <c r="U25" i="56" s="1"/>
  <c r="P20" i="56"/>
  <c r="T20" i="56" s="1"/>
  <c r="U20" i="56" s="1"/>
  <c r="P27" i="56"/>
  <c r="T27" i="56" s="1"/>
  <c r="U27" i="56" s="1"/>
  <c r="P38" i="56"/>
  <c r="U38" i="56" s="1"/>
  <c r="P41" i="56"/>
  <c r="U41" i="56" s="1"/>
  <c r="P109" i="56"/>
  <c r="U109" i="56" s="1"/>
  <c r="P17" i="56"/>
  <c r="T17" i="56" s="1"/>
  <c r="U112" i="56"/>
  <c r="P39" i="56"/>
  <c r="U39" i="56" s="1"/>
  <c r="P107" i="56"/>
  <c r="U107" i="56" s="1"/>
  <c r="U113" i="56"/>
  <c r="P28" i="56"/>
  <c r="T28" i="56" s="1"/>
  <c r="U28" i="56" s="1"/>
  <c r="P18" i="56"/>
  <c r="T18" i="56" s="1"/>
  <c r="U18" i="56" s="1"/>
  <c r="U73" i="56"/>
  <c r="P99" i="56"/>
  <c r="U99" i="56" s="1"/>
  <c r="P22" i="56"/>
  <c r="T22" i="56" s="1"/>
  <c r="U22" i="56" s="1"/>
  <c r="P108" i="56"/>
  <c r="U108" i="56" s="1"/>
  <c r="P13" i="56"/>
  <c r="P42" i="56"/>
  <c r="U42" i="56" s="1"/>
  <c r="P19" i="56"/>
  <c r="T19" i="56" s="1"/>
  <c r="U19" i="56" s="1"/>
  <c r="C93" i="45"/>
  <c r="H90" i="45"/>
  <c r="I93" i="45" s="1"/>
  <c r="I29" i="23"/>
  <c r="I45" i="23" s="1"/>
  <c r="H70" i="70"/>
  <c r="I70" i="70" s="1"/>
  <c r="H72" i="70"/>
  <c r="I72" i="70" s="1"/>
  <c r="H76" i="70"/>
  <c r="I76" i="70" s="1"/>
  <c r="H71" i="70"/>
  <c r="I71" i="70" s="1"/>
  <c r="H68" i="70"/>
  <c r="I68" i="70" s="1"/>
  <c r="H77" i="70"/>
  <c r="I77" i="70" s="1"/>
  <c r="H85" i="35"/>
  <c r="I85" i="35" s="1"/>
  <c r="H79" i="35"/>
  <c r="I79" i="35" s="1"/>
  <c r="H82" i="35"/>
  <c r="H83" i="35"/>
  <c r="H78" i="35"/>
  <c r="I78" i="35" s="1"/>
  <c r="H80" i="35"/>
  <c r="I80" i="35" s="1"/>
  <c r="C93" i="68"/>
  <c r="H90" i="68"/>
  <c r="I93" i="68" s="1"/>
  <c r="H70" i="35"/>
  <c r="I70" i="35" s="1"/>
  <c r="H72" i="35"/>
  <c r="I72" i="35" s="1"/>
  <c r="H77" i="35"/>
  <c r="I77" i="35" s="1"/>
  <c r="H68" i="35"/>
  <c r="I68" i="35" s="1"/>
  <c r="H71" i="35"/>
  <c r="I71" i="35" s="1"/>
  <c r="H76" i="35"/>
  <c r="I76" i="35" s="1"/>
  <c r="H68" i="36"/>
  <c r="I68" i="36" s="1"/>
  <c r="H71" i="36"/>
  <c r="I71" i="36" s="1"/>
  <c r="H77" i="36"/>
  <c r="I77" i="36" s="1"/>
  <c r="H72" i="36"/>
  <c r="I72" i="36" s="1"/>
  <c r="H70" i="36"/>
  <c r="I70" i="36" s="1"/>
  <c r="H76" i="36"/>
  <c r="I76" i="36" s="1"/>
  <c r="P18" i="32"/>
  <c r="T18" i="32" s="1"/>
  <c r="U18" i="32" s="1"/>
  <c r="P15" i="32"/>
  <c r="T15" i="32" s="1"/>
  <c r="P25" i="32"/>
  <c r="T25" i="32" s="1"/>
  <c r="U25" i="32" s="1"/>
  <c r="U113" i="32"/>
  <c r="P20" i="32"/>
  <c r="T20" i="32" s="1"/>
  <c r="U20" i="32" s="1"/>
  <c r="P27" i="32"/>
  <c r="T27" i="32" s="1"/>
  <c r="U27" i="32" s="1"/>
  <c r="P38" i="32"/>
  <c r="U38" i="32" s="1"/>
  <c r="P41" i="32"/>
  <c r="U41" i="32" s="1"/>
  <c r="P17" i="32"/>
  <c r="T17" i="32" s="1"/>
  <c r="P22" i="32"/>
  <c r="T22" i="32" s="1"/>
  <c r="U22" i="32" s="1"/>
  <c r="P107" i="32"/>
  <c r="U107" i="32" s="1"/>
  <c r="P99" i="32"/>
  <c r="U99" i="32" s="1"/>
  <c r="P14" i="32"/>
  <c r="T14" i="32" s="1"/>
  <c r="U14" i="32" s="1"/>
  <c r="P24" i="32"/>
  <c r="T24" i="32" s="1"/>
  <c r="U24" i="32" s="1"/>
  <c r="P19" i="32"/>
  <c r="T19" i="32" s="1"/>
  <c r="U19" i="32" s="1"/>
  <c r="P39" i="32"/>
  <c r="U39" i="32" s="1"/>
  <c r="P42" i="32"/>
  <c r="U42" i="32" s="1"/>
  <c r="P13" i="32"/>
  <c r="P28" i="32"/>
  <c r="T28" i="32" s="1"/>
  <c r="U28" i="32" s="1"/>
  <c r="U73" i="32"/>
  <c r="P16" i="32"/>
  <c r="T16" i="32" s="1"/>
  <c r="U16" i="32" s="1"/>
  <c r="P21" i="32"/>
  <c r="T21" i="32" s="1"/>
  <c r="U21" i="32" s="1"/>
  <c r="P40" i="32"/>
  <c r="U40" i="32" s="1"/>
  <c r="U112" i="32"/>
  <c r="U74" i="32"/>
  <c r="P108" i="32"/>
  <c r="U108" i="32" s="1"/>
  <c r="P26" i="32"/>
  <c r="T26" i="32" s="1"/>
  <c r="U26" i="32" s="1"/>
  <c r="P37" i="32"/>
  <c r="P23" i="32"/>
  <c r="T23" i="32" s="1"/>
  <c r="U23" i="32" s="1"/>
  <c r="P109" i="32"/>
  <c r="U109" i="32" s="1"/>
  <c r="P19" i="24"/>
  <c r="T19" i="24" s="1"/>
  <c r="U19" i="24" s="1"/>
  <c r="P39" i="24"/>
  <c r="U39" i="24" s="1"/>
  <c r="P42" i="24"/>
  <c r="U42" i="24" s="1"/>
  <c r="P109" i="24"/>
  <c r="U109" i="24" s="1"/>
  <c r="P16" i="24"/>
  <c r="T16" i="24" s="1"/>
  <c r="U16" i="24" s="1"/>
  <c r="P21" i="24"/>
  <c r="T21" i="24" s="1"/>
  <c r="U21" i="24" s="1"/>
  <c r="P13" i="24"/>
  <c r="P28" i="24"/>
  <c r="T28" i="24" s="1"/>
  <c r="U28" i="24" s="1"/>
  <c r="U73" i="24"/>
  <c r="P23" i="24"/>
  <c r="T23" i="24" s="1"/>
  <c r="U23" i="24" s="1"/>
  <c r="P37" i="24"/>
  <c r="P40" i="24"/>
  <c r="U40" i="24" s="1"/>
  <c r="U74" i="24"/>
  <c r="P15" i="24"/>
  <c r="T15" i="24" s="1"/>
  <c r="P25" i="24"/>
  <c r="T25" i="24" s="1"/>
  <c r="U25" i="24" s="1"/>
  <c r="U113" i="24"/>
  <c r="P17" i="24"/>
  <c r="T17" i="24" s="1"/>
  <c r="P22" i="24"/>
  <c r="T22" i="24" s="1"/>
  <c r="U22" i="24" s="1"/>
  <c r="P107" i="24"/>
  <c r="U107" i="24" s="1"/>
  <c r="P18" i="24"/>
  <c r="T18" i="24" s="1"/>
  <c r="U18" i="24" s="1"/>
  <c r="P27" i="24"/>
  <c r="T27" i="24" s="1"/>
  <c r="U27" i="24" s="1"/>
  <c r="P24" i="24"/>
  <c r="T24" i="24" s="1"/>
  <c r="U24" i="24" s="1"/>
  <c r="P38" i="24"/>
  <c r="U38" i="24" s="1"/>
  <c r="U112" i="24"/>
  <c r="P14" i="24"/>
  <c r="T14" i="24" s="1"/>
  <c r="U14" i="24" s="1"/>
  <c r="P99" i="24"/>
  <c r="U99" i="24" s="1"/>
  <c r="P20" i="24"/>
  <c r="T20" i="24" s="1"/>
  <c r="U20" i="24" s="1"/>
  <c r="P26" i="24"/>
  <c r="T26" i="24" s="1"/>
  <c r="U26" i="24" s="1"/>
  <c r="P108" i="24"/>
  <c r="U108" i="24" s="1"/>
  <c r="P41" i="24"/>
  <c r="U41" i="24" s="1"/>
  <c r="H68" i="75"/>
  <c r="I68" i="75" s="1"/>
  <c r="H71" i="75"/>
  <c r="I71" i="75" s="1"/>
  <c r="H76" i="75"/>
  <c r="I76" i="75" s="1"/>
  <c r="H70" i="75"/>
  <c r="I70" i="75" s="1"/>
  <c r="H72" i="75"/>
  <c r="I72" i="75" s="1"/>
  <c r="H77" i="75"/>
  <c r="I77" i="75" s="1"/>
  <c r="H90" i="78"/>
  <c r="I93" i="78" s="1"/>
  <c r="C93" i="78"/>
  <c r="H85" i="31"/>
  <c r="I85" i="31" s="1"/>
  <c r="H79" i="31"/>
  <c r="I79" i="31" s="1"/>
  <c r="H82" i="31"/>
  <c r="H83" i="31"/>
  <c r="I83" i="31" s="1"/>
  <c r="I84" i="31" s="1"/>
  <c r="H78" i="31"/>
  <c r="I78" i="31" s="1"/>
  <c r="H80" i="31"/>
  <c r="I80" i="31" s="1"/>
  <c r="H78" i="23"/>
  <c r="I78" i="23" s="1"/>
  <c r="H80" i="23"/>
  <c r="I80" i="23" s="1"/>
  <c r="H85" i="23"/>
  <c r="I85" i="23" s="1"/>
  <c r="H79" i="23"/>
  <c r="I79" i="23" s="1"/>
  <c r="H82" i="23"/>
  <c r="H83" i="23"/>
  <c r="H70" i="50"/>
  <c r="I70" i="50" s="1"/>
  <c r="H72" i="50"/>
  <c r="I72" i="50" s="1"/>
  <c r="H77" i="50"/>
  <c r="I77" i="50" s="1"/>
  <c r="H68" i="50"/>
  <c r="I68" i="50" s="1"/>
  <c r="H71" i="50"/>
  <c r="I71" i="50" s="1"/>
  <c r="H76" i="50"/>
  <c r="I76" i="50" s="1"/>
  <c r="P13" i="7"/>
  <c r="P15" i="7"/>
  <c r="T15" i="7" s="1"/>
  <c r="P107" i="7"/>
  <c r="U107" i="7" s="1"/>
  <c r="P17" i="7"/>
  <c r="T17" i="7" s="1"/>
  <c r="P19" i="7"/>
  <c r="T19" i="7" s="1"/>
  <c r="U19" i="7" s="1"/>
  <c r="P21" i="7"/>
  <c r="T21" i="7" s="1"/>
  <c r="U21" i="7" s="1"/>
  <c r="P23" i="7"/>
  <c r="T23" i="7" s="1"/>
  <c r="U23" i="7" s="1"/>
  <c r="P25" i="7"/>
  <c r="T25" i="7" s="1"/>
  <c r="U25" i="7" s="1"/>
  <c r="P27" i="7"/>
  <c r="T27" i="7" s="1"/>
  <c r="U27" i="7" s="1"/>
  <c r="P38" i="7"/>
  <c r="U38" i="7" s="1"/>
  <c r="P41" i="7"/>
  <c r="U41" i="7" s="1"/>
  <c r="P99" i="7"/>
  <c r="U99" i="7" s="1"/>
  <c r="P109" i="7"/>
  <c r="U109" i="7" s="1"/>
  <c r="P14" i="7"/>
  <c r="T14" i="7" s="1"/>
  <c r="U14" i="7" s="1"/>
  <c r="P39" i="7"/>
  <c r="U39" i="7" s="1"/>
  <c r="P42" i="7"/>
  <c r="U42" i="7" s="1"/>
  <c r="U73" i="7"/>
  <c r="P16" i="7"/>
  <c r="T16" i="7" s="1"/>
  <c r="U16" i="7" s="1"/>
  <c r="U74" i="7"/>
  <c r="U113" i="7"/>
  <c r="P18" i="7"/>
  <c r="T18" i="7" s="1"/>
  <c r="U18" i="7" s="1"/>
  <c r="P22" i="7"/>
  <c r="T22" i="7" s="1"/>
  <c r="U22" i="7" s="1"/>
  <c r="P26" i="7"/>
  <c r="T26" i="7" s="1"/>
  <c r="U26" i="7" s="1"/>
  <c r="P37" i="7"/>
  <c r="U112" i="7"/>
  <c r="P108" i="7"/>
  <c r="U108" i="7" s="1"/>
  <c r="P40" i="7"/>
  <c r="U40" i="7" s="1"/>
  <c r="P20" i="7"/>
  <c r="T20" i="7" s="1"/>
  <c r="U20" i="7" s="1"/>
  <c r="P24" i="7"/>
  <c r="T24" i="7" s="1"/>
  <c r="U24" i="7" s="1"/>
  <c r="P28" i="7"/>
  <c r="T28" i="7" s="1"/>
  <c r="U28" i="7" s="1"/>
  <c r="P15" i="15"/>
  <c r="T15" i="15" s="1"/>
  <c r="P25" i="15"/>
  <c r="T25" i="15" s="1"/>
  <c r="U25" i="15" s="1"/>
  <c r="U113" i="15"/>
  <c r="P20" i="15"/>
  <c r="T20" i="15" s="1"/>
  <c r="U20" i="15" s="1"/>
  <c r="P27" i="15"/>
  <c r="T27" i="15" s="1"/>
  <c r="U27" i="15" s="1"/>
  <c r="P38" i="15"/>
  <c r="U38" i="15" s="1"/>
  <c r="P41" i="15"/>
  <c r="U41" i="15" s="1"/>
  <c r="P17" i="15"/>
  <c r="T17" i="15" s="1"/>
  <c r="P22" i="15"/>
  <c r="T22" i="15" s="1"/>
  <c r="U22" i="15" s="1"/>
  <c r="P107" i="15"/>
  <c r="U107" i="15" s="1"/>
  <c r="P99" i="15"/>
  <c r="U99" i="15" s="1"/>
  <c r="P14" i="15"/>
  <c r="T14" i="15" s="1"/>
  <c r="U14" i="15" s="1"/>
  <c r="P24" i="15"/>
  <c r="T24" i="15" s="1"/>
  <c r="U24" i="15" s="1"/>
  <c r="P19" i="15"/>
  <c r="T19" i="15" s="1"/>
  <c r="U19" i="15" s="1"/>
  <c r="P39" i="15"/>
  <c r="U39" i="15" s="1"/>
  <c r="P42" i="15"/>
  <c r="U42" i="15" s="1"/>
  <c r="P109" i="15"/>
  <c r="U109" i="15" s="1"/>
  <c r="P26" i="15"/>
  <c r="T26" i="15" s="1"/>
  <c r="U26" i="15" s="1"/>
  <c r="P16" i="15"/>
  <c r="T16" i="15" s="1"/>
  <c r="U16" i="15" s="1"/>
  <c r="P21" i="15"/>
  <c r="T21" i="15" s="1"/>
  <c r="U21" i="15" s="1"/>
  <c r="P23" i="15"/>
  <c r="T23" i="15" s="1"/>
  <c r="U23" i="15" s="1"/>
  <c r="P37" i="15"/>
  <c r="P40" i="15"/>
  <c r="U40" i="15" s="1"/>
  <c r="U74" i="15"/>
  <c r="P28" i="15"/>
  <c r="T28" i="15" s="1"/>
  <c r="U28" i="15" s="1"/>
  <c r="P18" i="15"/>
  <c r="T18" i="15" s="1"/>
  <c r="U18" i="15" s="1"/>
  <c r="P108" i="15"/>
  <c r="U108" i="15" s="1"/>
  <c r="P13" i="15"/>
  <c r="U73" i="15"/>
  <c r="U112" i="15"/>
  <c r="H80" i="32" l="1"/>
  <c r="I80" i="32" s="1"/>
  <c r="I80" i="60" s="1"/>
  <c r="H78" i="32"/>
  <c r="I78" i="32" s="1"/>
  <c r="H85" i="32"/>
  <c r="I85" i="32" s="1"/>
  <c r="I85" i="60" s="1"/>
  <c r="H83" i="32"/>
  <c r="H79" i="32"/>
  <c r="I79" i="32" s="1"/>
  <c r="I79" i="60" s="1"/>
  <c r="H82" i="32"/>
  <c r="U110" i="50"/>
  <c r="U110" i="35"/>
  <c r="T77" i="52"/>
  <c r="U77" i="52" s="1"/>
  <c r="T76" i="52"/>
  <c r="U76" i="52" s="1"/>
  <c r="T76" i="34"/>
  <c r="U76" i="34" s="1"/>
  <c r="T77" i="34"/>
  <c r="U77" i="34" s="1"/>
  <c r="U110" i="42"/>
  <c r="U110" i="68"/>
  <c r="U110" i="55"/>
  <c r="U110" i="20"/>
  <c r="U110" i="44"/>
  <c r="U110" i="75"/>
  <c r="U110" i="25"/>
  <c r="U110" i="15"/>
  <c r="U110" i="30"/>
  <c r="U110" i="16"/>
  <c r="I29" i="60"/>
  <c r="I31" i="60" s="1"/>
  <c r="I45" i="60" s="1"/>
  <c r="I115" i="52"/>
  <c r="H90" i="60"/>
  <c r="I115" i="43"/>
  <c r="I115" i="76"/>
  <c r="I115" i="33"/>
  <c r="I117" i="33" s="1"/>
  <c r="H122" i="33" s="1"/>
  <c r="I115" i="24"/>
  <c r="I115" i="28"/>
  <c r="I115" i="34"/>
  <c r="I115" i="38"/>
  <c r="I117" i="38" s="1"/>
  <c r="H122" i="38" s="1"/>
  <c r="I115" i="69"/>
  <c r="I115" i="23"/>
  <c r="I115" i="66"/>
  <c r="I117" i="66" s="1"/>
  <c r="H122" i="66" s="1"/>
  <c r="I115" i="21"/>
  <c r="I117" i="21" s="1"/>
  <c r="H122" i="21" s="1"/>
  <c r="I115" i="25"/>
  <c r="I115" i="57"/>
  <c r="I115" i="67"/>
  <c r="I115" i="40"/>
  <c r="I115" i="78"/>
  <c r="I117" i="78" s="1"/>
  <c r="H122" i="78" s="1"/>
  <c r="I115" i="45"/>
  <c r="I115" i="31"/>
  <c r="I115" i="58"/>
  <c r="I115" i="44"/>
  <c r="I117" i="44" s="1"/>
  <c r="H122" i="44" s="1"/>
  <c r="I115" i="17"/>
  <c r="I115" i="71"/>
  <c r="I115" i="48"/>
  <c r="I117" i="48" s="1"/>
  <c r="H122" i="48" s="1"/>
  <c r="I115" i="26"/>
  <c r="I115" i="77"/>
  <c r="I115" i="37"/>
  <c r="I115" i="20"/>
  <c r="U15" i="15"/>
  <c r="O91" i="15"/>
  <c r="T91" i="15" s="1"/>
  <c r="U110" i="24"/>
  <c r="T13" i="24"/>
  <c r="P29" i="24"/>
  <c r="P62" i="24" s="1"/>
  <c r="T63" i="24" s="1"/>
  <c r="U15" i="26"/>
  <c r="O91" i="26"/>
  <c r="T91" i="26" s="1"/>
  <c r="U17" i="57"/>
  <c r="O92" i="57"/>
  <c r="T92" i="57" s="1"/>
  <c r="O92" i="33"/>
  <c r="T92" i="33" s="1"/>
  <c r="U17" i="33"/>
  <c r="O92" i="25"/>
  <c r="T92" i="25" s="1"/>
  <c r="U17" i="25"/>
  <c r="I115" i="30"/>
  <c r="P29" i="23"/>
  <c r="P62" i="23" s="1"/>
  <c r="T63" i="23" s="1"/>
  <c r="T13" i="23"/>
  <c r="U110" i="23"/>
  <c r="U110" i="48"/>
  <c r="U37" i="20"/>
  <c r="U43" i="20" s="1"/>
  <c r="R43" i="20"/>
  <c r="P29" i="38"/>
  <c r="P62" i="38" s="1"/>
  <c r="T63" i="38" s="1"/>
  <c r="T13" i="38"/>
  <c r="U110" i="38"/>
  <c r="P29" i="66"/>
  <c r="P62" i="66" s="1"/>
  <c r="T63" i="66" s="1"/>
  <c r="T13" i="66"/>
  <c r="U15" i="51"/>
  <c r="O91" i="51"/>
  <c r="T91" i="51" s="1"/>
  <c r="P29" i="69"/>
  <c r="P62" i="69" s="1"/>
  <c r="T63" i="69" s="1"/>
  <c r="T13" i="69"/>
  <c r="U17" i="21"/>
  <c r="O92" i="21"/>
  <c r="T92" i="21" s="1"/>
  <c r="P29" i="37"/>
  <c r="P62" i="37" s="1"/>
  <c r="T63" i="37" s="1"/>
  <c r="T13" i="37"/>
  <c r="O91" i="28"/>
  <c r="T91" i="28" s="1"/>
  <c r="U15" i="28"/>
  <c r="I70" i="60"/>
  <c r="U17" i="56"/>
  <c r="O92" i="56"/>
  <c r="T92" i="56" s="1"/>
  <c r="U17" i="36"/>
  <c r="O92" i="36"/>
  <c r="T92" i="36" s="1"/>
  <c r="U17" i="78"/>
  <c r="O92" i="78"/>
  <c r="T92" i="78" s="1"/>
  <c r="U37" i="26"/>
  <c r="U43" i="26" s="1"/>
  <c r="R43" i="26"/>
  <c r="U37" i="33"/>
  <c r="U43" i="33" s="1"/>
  <c r="R43" i="33"/>
  <c r="O92" i="18"/>
  <c r="T92" i="18" s="1"/>
  <c r="U17" i="18"/>
  <c r="R43" i="22"/>
  <c r="U37" i="22"/>
  <c r="U43" i="22" s="1"/>
  <c r="T13" i="16"/>
  <c r="P29" i="16"/>
  <c r="P62" i="16" s="1"/>
  <c r="T63" i="16" s="1"/>
  <c r="U15" i="31"/>
  <c r="O91" i="31"/>
  <c r="T91" i="31" s="1"/>
  <c r="U17" i="27"/>
  <c r="O92" i="27"/>
  <c r="T92" i="27" s="1"/>
  <c r="T13" i="55"/>
  <c r="P29" i="55"/>
  <c r="P62" i="55" s="1"/>
  <c r="T63" i="55" s="1"/>
  <c r="U17" i="69"/>
  <c r="O92" i="69"/>
  <c r="T92" i="69" s="1"/>
  <c r="U37" i="43"/>
  <c r="U43" i="43" s="1"/>
  <c r="R43" i="43"/>
  <c r="U15" i="40"/>
  <c r="O91" i="40"/>
  <c r="T91" i="40" s="1"/>
  <c r="U15" i="17"/>
  <c r="O91" i="17"/>
  <c r="T91" i="17" s="1"/>
  <c r="T13" i="44"/>
  <c r="P29" i="44"/>
  <c r="P62" i="44" s="1"/>
  <c r="T63" i="44" s="1"/>
  <c r="U17" i="37"/>
  <c r="O92" i="37"/>
  <c r="T92" i="37" s="1"/>
  <c r="H91" i="60"/>
  <c r="P29" i="35"/>
  <c r="P62" i="35" s="1"/>
  <c r="T63" i="35" s="1"/>
  <c r="T13" i="35"/>
  <c r="I77" i="60"/>
  <c r="R43" i="15"/>
  <c r="U37" i="15"/>
  <c r="U43" i="15" s="1"/>
  <c r="O92" i="24"/>
  <c r="T92" i="24" s="1"/>
  <c r="U17" i="24"/>
  <c r="U15" i="32"/>
  <c r="O91" i="32"/>
  <c r="T91" i="32" s="1"/>
  <c r="P29" i="56"/>
  <c r="P62" i="56" s="1"/>
  <c r="T63" i="56" s="1"/>
  <c r="T13" i="56"/>
  <c r="U37" i="77"/>
  <c r="U43" i="77" s="1"/>
  <c r="R43" i="77"/>
  <c r="U15" i="25"/>
  <c r="O91" i="25"/>
  <c r="T91" i="25" s="1"/>
  <c r="U17" i="23"/>
  <c r="O92" i="23"/>
  <c r="T92" i="23" s="1"/>
  <c r="U110" i="71"/>
  <c r="U15" i="71"/>
  <c r="O91" i="71"/>
  <c r="T91" i="71" s="1"/>
  <c r="U17" i="20"/>
  <c r="O92" i="20"/>
  <c r="T92" i="20" s="1"/>
  <c r="T13" i="30"/>
  <c r="P29" i="30"/>
  <c r="P62" i="30" s="1"/>
  <c r="T63" i="30" s="1"/>
  <c r="U17" i="38"/>
  <c r="O92" i="38"/>
  <c r="T92" i="38" s="1"/>
  <c r="U37" i="27"/>
  <c r="U43" i="27" s="1"/>
  <c r="R43" i="27"/>
  <c r="T70" i="34"/>
  <c r="U70" i="34" s="1"/>
  <c r="T72" i="34"/>
  <c r="U72" i="34" s="1"/>
  <c r="T68" i="34"/>
  <c r="U68" i="34" s="1"/>
  <c r="T71" i="34"/>
  <c r="U71" i="34" s="1"/>
  <c r="P29" i="21"/>
  <c r="P62" i="21" s="1"/>
  <c r="T63" i="21" s="1"/>
  <c r="T13" i="21"/>
  <c r="R43" i="45"/>
  <c r="U37" i="45"/>
  <c r="U43" i="45" s="1"/>
  <c r="U17" i="17"/>
  <c r="O92" i="17"/>
  <c r="T92" i="17" s="1"/>
  <c r="U110" i="39"/>
  <c r="I115" i="39"/>
  <c r="I117" i="39" s="1"/>
  <c r="H122" i="39" s="1"/>
  <c r="U37" i="50"/>
  <c r="U43" i="50" s="1"/>
  <c r="R43" i="50"/>
  <c r="U37" i="75"/>
  <c r="U43" i="75" s="1"/>
  <c r="R43" i="75"/>
  <c r="I115" i="51"/>
  <c r="I117" i="51" s="1"/>
  <c r="H122" i="51" s="1"/>
  <c r="I72" i="60"/>
  <c r="H83" i="60"/>
  <c r="H78" i="60"/>
  <c r="H85" i="60"/>
  <c r="H79" i="60"/>
  <c r="H80" i="60"/>
  <c r="H82" i="60"/>
  <c r="U110" i="26"/>
  <c r="I115" i="15"/>
  <c r="U15" i="48"/>
  <c r="O91" i="48"/>
  <c r="T91" i="48" s="1"/>
  <c r="R43" i="71"/>
  <c r="U37" i="71"/>
  <c r="U43" i="71" s="1"/>
  <c r="U17" i="51"/>
  <c r="O92" i="51"/>
  <c r="T92" i="51" s="1"/>
  <c r="P29" i="67"/>
  <c r="P62" i="67" s="1"/>
  <c r="T63" i="67" s="1"/>
  <c r="T13" i="67"/>
  <c r="O91" i="55"/>
  <c r="T91" i="55" s="1"/>
  <c r="U15" i="55"/>
  <c r="T29" i="34"/>
  <c r="R45" i="34" s="1"/>
  <c r="P65" i="34" s="1"/>
  <c r="T66" i="34" s="1"/>
  <c r="U13" i="34"/>
  <c r="U29" i="34" s="1"/>
  <c r="U45" i="34" s="1"/>
  <c r="O90" i="34"/>
  <c r="U37" i="68"/>
  <c r="U43" i="68" s="1"/>
  <c r="R43" i="68"/>
  <c r="T13" i="47"/>
  <c r="P29" i="47"/>
  <c r="P62" i="47" s="1"/>
  <c r="T63" i="47" s="1"/>
  <c r="I115" i="47"/>
  <c r="I117" i="47" s="1"/>
  <c r="H122" i="47" s="1"/>
  <c r="O91" i="35"/>
  <c r="T91" i="35" s="1"/>
  <c r="U15" i="35"/>
  <c r="U17" i="35"/>
  <c r="O92" i="35"/>
  <c r="T92" i="35" s="1"/>
  <c r="T13" i="76"/>
  <c r="P29" i="76"/>
  <c r="P62" i="76" s="1"/>
  <c r="T63" i="76" s="1"/>
  <c r="R43" i="36"/>
  <c r="U37" i="36"/>
  <c r="U43" i="36" s="1"/>
  <c r="U37" i="57"/>
  <c r="U43" i="57" s="1"/>
  <c r="R43" i="57"/>
  <c r="P29" i="18"/>
  <c r="P62" i="18" s="1"/>
  <c r="T63" i="18" s="1"/>
  <c r="T13" i="18"/>
  <c r="U17" i="71"/>
  <c r="O92" i="71"/>
  <c r="T92" i="71" s="1"/>
  <c r="T13" i="20"/>
  <c r="P29" i="20"/>
  <c r="P62" i="20" s="1"/>
  <c r="T63" i="20" s="1"/>
  <c r="O91" i="30"/>
  <c r="T91" i="30" s="1"/>
  <c r="U15" i="30"/>
  <c r="U15" i="16"/>
  <c r="O91" i="16"/>
  <c r="T91" i="16" s="1"/>
  <c r="I115" i="55"/>
  <c r="I117" i="55" s="1"/>
  <c r="H122" i="55" s="1"/>
  <c r="U15" i="66"/>
  <c r="O91" i="66"/>
  <c r="T91" i="66" s="1"/>
  <c r="U110" i="67"/>
  <c r="O92" i="55"/>
  <c r="T92" i="55" s="1"/>
  <c r="U17" i="55"/>
  <c r="U17" i="68"/>
  <c r="O92" i="68"/>
  <c r="T92" i="68" s="1"/>
  <c r="U17" i="42"/>
  <c r="O92" i="42"/>
  <c r="T92" i="42" s="1"/>
  <c r="T13" i="42"/>
  <c r="P29" i="42"/>
  <c r="P62" i="42" s="1"/>
  <c r="T63" i="42" s="1"/>
  <c r="U17" i="39"/>
  <c r="O92" i="39"/>
  <c r="T92" i="39" s="1"/>
  <c r="U15" i="47"/>
  <c r="O91" i="47"/>
  <c r="T91" i="47" s="1"/>
  <c r="U110" i="28"/>
  <c r="U15" i="75"/>
  <c r="O91" i="75"/>
  <c r="T91" i="75" s="1"/>
  <c r="I93" i="16"/>
  <c r="P29" i="26"/>
  <c r="P62" i="26" s="1"/>
  <c r="T63" i="26" s="1"/>
  <c r="T13" i="26"/>
  <c r="U17" i="15"/>
  <c r="O92" i="15"/>
  <c r="T92" i="15" s="1"/>
  <c r="U17" i="7"/>
  <c r="O92" i="7"/>
  <c r="T92" i="7" s="1"/>
  <c r="O91" i="24"/>
  <c r="T91" i="24" s="1"/>
  <c r="U15" i="24"/>
  <c r="U110" i="32"/>
  <c r="I115" i="68"/>
  <c r="I117" i="68" s="1"/>
  <c r="H122" i="68" s="1"/>
  <c r="U17" i="26"/>
  <c r="O92" i="26"/>
  <c r="T92" i="26" s="1"/>
  <c r="U110" i="57"/>
  <c r="T13" i="33"/>
  <c r="P29" i="33"/>
  <c r="P62" i="33" s="1"/>
  <c r="T63" i="33" s="1"/>
  <c r="U37" i="25"/>
  <c r="U43" i="25" s="1"/>
  <c r="R43" i="25"/>
  <c r="U37" i="18"/>
  <c r="U43" i="18" s="1"/>
  <c r="R43" i="18"/>
  <c r="O91" i="58"/>
  <c r="T91" i="58" s="1"/>
  <c r="U15" i="58"/>
  <c r="I115" i="50"/>
  <c r="I117" i="50" s="1"/>
  <c r="H122" i="50" s="1"/>
  <c r="U37" i="51"/>
  <c r="U43" i="51" s="1"/>
  <c r="R43" i="51"/>
  <c r="P29" i="43"/>
  <c r="P62" i="43" s="1"/>
  <c r="T63" i="43" s="1"/>
  <c r="T13" i="43"/>
  <c r="U110" i="43"/>
  <c r="U37" i="39"/>
  <c r="U43" i="39" s="1"/>
  <c r="R43" i="39"/>
  <c r="U15" i="37"/>
  <c r="O91" i="37"/>
  <c r="T91" i="37" s="1"/>
  <c r="P29" i="70"/>
  <c r="P62" i="70" s="1"/>
  <c r="T63" i="70" s="1"/>
  <c r="T13" i="70"/>
  <c r="O91" i="76"/>
  <c r="T91" i="76" s="1"/>
  <c r="U15" i="76"/>
  <c r="I115" i="22"/>
  <c r="I117" i="22" s="1"/>
  <c r="U110" i="7"/>
  <c r="U37" i="78"/>
  <c r="U43" i="78" s="1"/>
  <c r="R43" i="78"/>
  <c r="P29" i="77"/>
  <c r="P62" i="77" s="1"/>
  <c r="T63" i="77" s="1"/>
  <c r="T13" i="77"/>
  <c r="U110" i="77"/>
  <c r="O91" i="20"/>
  <c r="T91" i="20" s="1"/>
  <c r="U15" i="20"/>
  <c r="U37" i="58"/>
  <c r="U43" i="58" s="1"/>
  <c r="R43" i="58"/>
  <c r="U110" i="58"/>
  <c r="I115" i="18"/>
  <c r="I117" i="18" s="1"/>
  <c r="T13" i="27"/>
  <c r="P29" i="27"/>
  <c r="P62" i="27" s="1"/>
  <c r="T63" i="27" s="1"/>
  <c r="U17" i="67"/>
  <c r="O92" i="67"/>
  <c r="T92" i="67" s="1"/>
  <c r="P29" i="45"/>
  <c r="P62" i="45" s="1"/>
  <c r="T63" i="45" s="1"/>
  <c r="T13" i="45"/>
  <c r="U110" i="45"/>
  <c r="I78" i="60"/>
  <c r="P29" i="50"/>
  <c r="P62" i="50" s="1"/>
  <c r="T63" i="50" s="1"/>
  <c r="T13" i="50"/>
  <c r="U17" i="28"/>
  <c r="O92" i="28"/>
  <c r="T92" i="28" s="1"/>
  <c r="U37" i="28"/>
  <c r="U43" i="28" s="1"/>
  <c r="R43" i="28"/>
  <c r="I115" i="35"/>
  <c r="I117" i="35" s="1"/>
  <c r="H122" i="35" s="1"/>
  <c r="U17" i="32"/>
  <c r="O92" i="32"/>
  <c r="T92" i="32" s="1"/>
  <c r="O91" i="33"/>
  <c r="T91" i="33" s="1"/>
  <c r="U15" i="33"/>
  <c r="P29" i="48"/>
  <c r="P62" i="48" s="1"/>
  <c r="T63" i="48" s="1"/>
  <c r="T13" i="48"/>
  <c r="U37" i="48"/>
  <c r="U43" i="48" s="1"/>
  <c r="R43" i="48"/>
  <c r="P29" i="58"/>
  <c r="P62" i="58" s="1"/>
  <c r="T63" i="58" s="1"/>
  <c r="T13" i="58"/>
  <c r="P29" i="31"/>
  <c r="P62" i="31" s="1"/>
  <c r="T63" i="31" s="1"/>
  <c r="T13" i="31"/>
  <c r="O92" i="31"/>
  <c r="T92" i="31" s="1"/>
  <c r="U17" i="31"/>
  <c r="O91" i="67"/>
  <c r="T91" i="67" s="1"/>
  <c r="U15" i="67"/>
  <c r="O90" i="52"/>
  <c r="T29" i="52"/>
  <c r="R45" i="52" s="1"/>
  <c r="P65" i="52" s="1"/>
  <c r="T66" i="52" s="1"/>
  <c r="U13" i="52"/>
  <c r="U29" i="52" s="1"/>
  <c r="U45" i="52" s="1"/>
  <c r="U17" i="43"/>
  <c r="O92" i="43"/>
  <c r="T92" i="43" s="1"/>
  <c r="O91" i="21"/>
  <c r="T91" i="21" s="1"/>
  <c r="U15" i="21"/>
  <c r="U110" i="40"/>
  <c r="U110" i="47"/>
  <c r="U15" i="50"/>
  <c r="O91" i="50"/>
  <c r="T91" i="50" s="1"/>
  <c r="O91" i="70"/>
  <c r="T91" i="70" s="1"/>
  <c r="U15" i="70"/>
  <c r="T13" i="7"/>
  <c r="P29" i="7"/>
  <c r="P62" i="7" s="1"/>
  <c r="T63" i="7" s="1"/>
  <c r="R43" i="24"/>
  <c r="U37" i="24"/>
  <c r="U43" i="24" s="1"/>
  <c r="U15" i="56"/>
  <c r="O91" i="56"/>
  <c r="T91" i="56" s="1"/>
  <c r="T13" i="36"/>
  <c r="P29" i="36"/>
  <c r="P62" i="36" s="1"/>
  <c r="T63" i="36" s="1"/>
  <c r="U15" i="78"/>
  <c r="O91" i="78"/>
  <c r="T91" i="78" s="1"/>
  <c r="U15" i="77"/>
  <c r="O91" i="77"/>
  <c r="T91" i="77" s="1"/>
  <c r="U17" i="77"/>
  <c r="O92" i="77"/>
  <c r="T92" i="77" s="1"/>
  <c r="U15" i="57"/>
  <c r="O91" i="57"/>
  <c r="T91" i="57" s="1"/>
  <c r="P29" i="57"/>
  <c r="P62" i="57" s="1"/>
  <c r="T63" i="57" s="1"/>
  <c r="T13" i="57"/>
  <c r="R43" i="23"/>
  <c r="U37" i="23"/>
  <c r="U43" i="23" s="1"/>
  <c r="U17" i="48"/>
  <c r="O92" i="48"/>
  <c r="T92" i="48" s="1"/>
  <c r="O91" i="22"/>
  <c r="T91" i="22" s="1"/>
  <c r="U15" i="22"/>
  <c r="U110" i="22"/>
  <c r="I115" i="70"/>
  <c r="I117" i="70" s="1"/>
  <c r="H122" i="70" s="1"/>
  <c r="R43" i="38"/>
  <c r="U37" i="38"/>
  <c r="U43" i="38" s="1"/>
  <c r="U15" i="38"/>
  <c r="O91" i="38"/>
  <c r="T91" i="38" s="1"/>
  <c r="U17" i="58"/>
  <c r="O92" i="58"/>
  <c r="T92" i="58" s="1"/>
  <c r="U110" i="66"/>
  <c r="U110" i="31"/>
  <c r="I115" i="42"/>
  <c r="I117" i="42" s="1"/>
  <c r="H122" i="42" s="1"/>
  <c r="U110" i="51"/>
  <c r="P29" i="51"/>
  <c r="P62" i="51" s="1"/>
  <c r="T63" i="51" s="1"/>
  <c r="T13" i="51"/>
  <c r="O91" i="27"/>
  <c r="T91" i="27" s="1"/>
  <c r="U15" i="27"/>
  <c r="U37" i="67"/>
  <c r="U43" i="67" s="1"/>
  <c r="R43" i="67"/>
  <c r="R43" i="69"/>
  <c r="U37" i="69"/>
  <c r="U43" i="69" s="1"/>
  <c r="T68" i="52"/>
  <c r="U68" i="52" s="1"/>
  <c r="T71" i="52"/>
  <c r="U71" i="52" s="1"/>
  <c r="T70" i="52"/>
  <c r="U70" i="52" s="1"/>
  <c r="T72" i="52"/>
  <c r="U72" i="52" s="1"/>
  <c r="U17" i="40"/>
  <c r="O92" i="40"/>
  <c r="T92" i="40" s="1"/>
  <c r="U17" i="45"/>
  <c r="O92" i="45"/>
  <c r="T92" i="45" s="1"/>
  <c r="I115" i="75"/>
  <c r="I117" i="75" s="1"/>
  <c r="H122" i="75" s="1"/>
  <c r="U37" i="42"/>
  <c r="U43" i="42" s="1"/>
  <c r="R43" i="42"/>
  <c r="U15" i="44"/>
  <c r="O91" i="44"/>
  <c r="T91" i="44" s="1"/>
  <c r="U17" i="47"/>
  <c r="O92" i="47"/>
  <c r="T92" i="47" s="1"/>
  <c r="I83" i="60"/>
  <c r="I84" i="7"/>
  <c r="U17" i="50"/>
  <c r="O92" i="50"/>
  <c r="T92" i="50" s="1"/>
  <c r="U110" i="70"/>
  <c r="U37" i="7"/>
  <c r="U43" i="7" s="1"/>
  <c r="R43" i="7"/>
  <c r="P29" i="32"/>
  <c r="P62" i="32" s="1"/>
  <c r="T63" i="32" s="1"/>
  <c r="T13" i="32"/>
  <c r="U15" i="23"/>
  <c r="O91" i="23"/>
  <c r="T91" i="23" s="1"/>
  <c r="U17" i="30"/>
  <c r="O92" i="30"/>
  <c r="T92" i="30" s="1"/>
  <c r="U37" i="16"/>
  <c r="U43" i="16" s="1"/>
  <c r="R43" i="16"/>
  <c r="U37" i="55"/>
  <c r="U43" i="55" s="1"/>
  <c r="R43" i="55"/>
  <c r="O91" i="43"/>
  <c r="T91" i="43" s="1"/>
  <c r="U15" i="43"/>
  <c r="T13" i="68"/>
  <c r="P29" i="68"/>
  <c r="P62" i="68" s="1"/>
  <c r="T63" i="68" s="1"/>
  <c r="U37" i="40"/>
  <c r="U43" i="40" s="1"/>
  <c r="R43" i="40"/>
  <c r="I115" i="27"/>
  <c r="I117" i="27" s="1"/>
  <c r="H122" i="27" s="1"/>
  <c r="U110" i="17"/>
  <c r="T13" i="39"/>
  <c r="P29" i="39"/>
  <c r="P62" i="39" s="1"/>
  <c r="T63" i="39" s="1"/>
  <c r="U37" i="37"/>
  <c r="U43" i="37" s="1"/>
  <c r="R43" i="37"/>
  <c r="U37" i="35"/>
  <c r="U43" i="35" s="1"/>
  <c r="R43" i="35"/>
  <c r="I71" i="60"/>
  <c r="U110" i="76"/>
  <c r="P29" i="15"/>
  <c r="P62" i="15" s="1"/>
  <c r="T63" i="15" s="1"/>
  <c r="T13" i="15"/>
  <c r="U15" i="7"/>
  <c r="O91" i="7"/>
  <c r="T91" i="7" s="1"/>
  <c r="U110" i="56"/>
  <c r="P29" i="78"/>
  <c r="P62" i="78" s="1"/>
  <c r="T63" i="78" s="1"/>
  <c r="T13" i="78"/>
  <c r="U110" i="33"/>
  <c r="P29" i="25"/>
  <c r="P62" i="25" s="1"/>
  <c r="T63" i="25" s="1"/>
  <c r="T13" i="25"/>
  <c r="U15" i="18"/>
  <c r="O91" i="18"/>
  <c r="T91" i="18" s="1"/>
  <c r="U17" i="22"/>
  <c r="O92" i="22"/>
  <c r="T92" i="22" s="1"/>
  <c r="U37" i="30"/>
  <c r="U43" i="30" s="1"/>
  <c r="R43" i="30"/>
  <c r="R43" i="66"/>
  <c r="U37" i="66"/>
  <c r="U43" i="66" s="1"/>
  <c r="U17" i="66"/>
  <c r="O92" i="66"/>
  <c r="T92" i="66" s="1"/>
  <c r="U37" i="31"/>
  <c r="U43" i="31" s="1"/>
  <c r="R43" i="31"/>
  <c r="H77" i="60"/>
  <c r="H71" i="60"/>
  <c r="H72" i="60"/>
  <c r="H68" i="60"/>
  <c r="H70" i="60"/>
  <c r="H76" i="60"/>
  <c r="U15" i="68"/>
  <c r="O91" i="68"/>
  <c r="T91" i="68" s="1"/>
  <c r="U110" i="21"/>
  <c r="R43" i="21"/>
  <c r="U37" i="21"/>
  <c r="U43" i="21" s="1"/>
  <c r="T13" i="40"/>
  <c r="P29" i="40"/>
  <c r="P62" i="40" s="1"/>
  <c r="T63" i="40" s="1"/>
  <c r="U37" i="17"/>
  <c r="U43" i="17" s="1"/>
  <c r="R43" i="17"/>
  <c r="O91" i="42"/>
  <c r="T91" i="42" s="1"/>
  <c r="U15" i="42"/>
  <c r="I115" i="36"/>
  <c r="I117" i="36" s="1"/>
  <c r="H122" i="36" s="1"/>
  <c r="I115" i="56"/>
  <c r="I117" i="56" s="1"/>
  <c r="H122" i="56" s="1"/>
  <c r="P29" i="28"/>
  <c r="P62" i="28" s="1"/>
  <c r="T63" i="28" s="1"/>
  <c r="T13" i="28"/>
  <c r="T13" i="75"/>
  <c r="P29" i="75"/>
  <c r="P62" i="75" s="1"/>
  <c r="T63" i="75" s="1"/>
  <c r="I68" i="60"/>
  <c r="U17" i="70"/>
  <c r="O92" i="70"/>
  <c r="T92" i="70" s="1"/>
  <c r="R43" i="32"/>
  <c r="U37" i="32"/>
  <c r="U43" i="32" s="1"/>
  <c r="U37" i="56"/>
  <c r="U43" i="56" s="1"/>
  <c r="R43" i="56"/>
  <c r="O91" i="36"/>
  <c r="T91" i="36" s="1"/>
  <c r="U15" i="36"/>
  <c r="U110" i="36"/>
  <c r="U110" i="78"/>
  <c r="U110" i="18"/>
  <c r="T13" i="71"/>
  <c r="P29" i="71"/>
  <c r="P62" i="71" s="1"/>
  <c r="T63" i="71" s="1"/>
  <c r="P29" i="22"/>
  <c r="P62" i="22" s="1"/>
  <c r="T63" i="22" s="1"/>
  <c r="T13" i="22"/>
  <c r="U17" i="16"/>
  <c r="O92" i="16"/>
  <c r="T92" i="16" s="1"/>
  <c r="U110" i="27"/>
  <c r="U15" i="69"/>
  <c r="O91" i="69"/>
  <c r="T91" i="69" s="1"/>
  <c r="U110" i="69"/>
  <c r="O91" i="45"/>
  <c r="T91" i="45" s="1"/>
  <c r="U15" i="45"/>
  <c r="P29" i="17"/>
  <c r="P62" i="17" s="1"/>
  <c r="T63" i="17" s="1"/>
  <c r="T13" i="17"/>
  <c r="O92" i="44"/>
  <c r="T92" i="44" s="1"/>
  <c r="U17" i="44"/>
  <c r="U37" i="44"/>
  <c r="U43" i="44" s="1"/>
  <c r="R43" i="44"/>
  <c r="O91" i="39"/>
  <c r="T91" i="39" s="1"/>
  <c r="U15" i="39"/>
  <c r="U37" i="47"/>
  <c r="U43" i="47" s="1"/>
  <c r="R43" i="47"/>
  <c r="U110" i="37"/>
  <c r="U17" i="75"/>
  <c r="O92" i="75"/>
  <c r="T92" i="75" s="1"/>
  <c r="I76" i="60"/>
  <c r="U37" i="70"/>
  <c r="U43" i="70" s="1"/>
  <c r="R43" i="70"/>
  <c r="U17" i="76"/>
  <c r="O92" i="76"/>
  <c r="T92" i="76" s="1"/>
  <c r="U37" i="76"/>
  <c r="U43" i="76" s="1"/>
  <c r="R43" i="76"/>
  <c r="I115" i="32" l="1"/>
  <c r="I117" i="32" s="1"/>
  <c r="H122" i="32" s="1"/>
  <c r="I117" i="15"/>
  <c r="H122" i="15" s="1"/>
  <c r="I122" i="15" s="1"/>
  <c r="I124" i="15" s="1"/>
  <c r="T77" i="56"/>
  <c r="U77" i="56" s="1"/>
  <c r="T76" i="56"/>
  <c r="U76" i="56" s="1"/>
  <c r="T77" i="37"/>
  <c r="U77" i="37" s="1"/>
  <c r="T76" i="37"/>
  <c r="U76" i="37" s="1"/>
  <c r="T77" i="75"/>
  <c r="U77" i="75" s="1"/>
  <c r="T76" i="75"/>
  <c r="U76" i="75" s="1"/>
  <c r="T77" i="42"/>
  <c r="U77" i="42" s="1"/>
  <c r="T76" i="42"/>
  <c r="U76" i="42" s="1"/>
  <c r="T77" i="20"/>
  <c r="U77" i="20" s="1"/>
  <c r="T76" i="20"/>
  <c r="U76" i="20" s="1"/>
  <c r="T76" i="71"/>
  <c r="U76" i="71" s="1"/>
  <c r="T77" i="71"/>
  <c r="U77" i="71" s="1"/>
  <c r="T77" i="48"/>
  <c r="U77" i="48" s="1"/>
  <c r="T76" i="48"/>
  <c r="U76" i="48" s="1"/>
  <c r="T77" i="69"/>
  <c r="U77" i="69" s="1"/>
  <c r="T76" i="69"/>
  <c r="U76" i="69" s="1"/>
  <c r="T77" i="39"/>
  <c r="U77" i="39" s="1"/>
  <c r="T76" i="39"/>
  <c r="U76" i="39" s="1"/>
  <c r="T77" i="78"/>
  <c r="U77" i="78" s="1"/>
  <c r="T76" i="78"/>
  <c r="U76" i="78" s="1"/>
  <c r="T77" i="32"/>
  <c r="U77" i="32" s="1"/>
  <c r="T76" i="32"/>
  <c r="U76" i="32" s="1"/>
  <c r="T77" i="26"/>
  <c r="U77" i="26" s="1"/>
  <c r="T76" i="26"/>
  <c r="U76" i="26" s="1"/>
  <c r="T76" i="7"/>
  <c r="U76" i="7" s="1"/>
  <c r="T77" i="7"/>
  <c r="U77" i="7" s="1"/>
  <c r="T76" i="57"/>
  <c r="U76" i="57" s="1"/>
  <c r="T77" i="57"/>
  <c r="U77" i="57" s="1"/>
  <c r="T76" i="76"/>
  <c r="U76" i="76" s="1"/>
  <c r="T77" i="76"/>
  <c r="U77" i="76" s="1"/>
  <c r="T77" i="38"/>
  <c r="U77" i="38" s="1"/>
  <c r="T76" i="38"/>
  <c r="U76" i="38" s="1"/>
  <c r="T76" i="24"/>
  <c r="U76" i="24" s="1"/>
  <c r="T77" i="24"/>
  <c r="U77" i="24" s="1"/>
  <c r="T77" i="77"/>
  <c r="U77" i="77" s="1"/>
  <c r="T76" i="77"/>
  <c r="U76" i="77" s="1"/>
  <c r="T76" i="22"/>
  <c r="U76" i="22" s="1"/>
  <c r="T77" i="22"/>
  <c r="U77" i="22" s="1"/>
  <c r="T77" i="23"/>
  <c r="U77" i="23" s="1"/>
  <c r="T76" i="23"/>
  <c r="U76" i="23" s="1"/>
  <c r="T77" i="47"/>
  <c r="U77" i="47" s="1"/>
  <c r="T76" i="47"/>
  <c r="U76" i="47" s="1"/>
  <c r="T77" i="51"/>
  <c r="U77" i="51" s="1"/>
  <c r="T76" i="51"/>
  <c r="U76" i="51" s="1"/>
  <c r="T77" i="17"/>
  <c r="U77" i="17" s="1"/>
  <c r="T76" i="17"/>
  <c r="U76" i="17" s="1"/>
  <c r="T77" i="70"/>
  <c r="U77" i="70" s="1"/>
  <c r="T76" i="70"/>
  <c r="U76" i="70" s="1"/>
  <c r="T77" i="68"/>
  <c r="U77" i="68" s="1"/>
  <c r="T76" i="68"/>
  <c r="U76" i="68" s="1"/>
  <c r="T77" i="67"/>
  <c r="U77" i="67" s="1"/>
  <c r="T76" i="67"/>
  <c r="U76" i="67" s="1"/>
  <c r="T77" i="44"/>
  <c r="U77" i="44" s="1"/>
  <c r="T76" i="44"/>
  <c r="U76" i="44" s="1"/>
  <c r="T77" i="16"/>
  <c r="U77" i="16" s="1"/>
  <c r="T76" i="16"/>
  <c r="U76" i="16" s="1"/>
  <c r="T77" i="31"/>
  <c r="U77" i="31" s="1"/>
  <c r="T76" i="31"/>
  <c r="U76" i="31" s="1"/>
  <c r="T77" i="50"/>
  <c r="U77" i="50" s="1"/>
  <c r="T76" i="50"/>
  <c r="U76" i="50" s="1"/>
  <c r="T77" i="58"/>
  <c r="U77" i="58" s="1"/>
  <c r="T76" i="58"/>
  <c r="U76" i="58" s="1"/>
  <c r="T77" i="43"/>
  <c r="U77" i="43" s="1"/>
  <c r="T76" i="43"/>
  <c r="U76" i="43" s="1"/>
  <c r="T76" i="30"/>
  <c r="U76" i="30" s="1"/>
  <c r="T77" i="30"/>
  <c r="U77" i="30" s="1"/>
  <c r="T76" i="36"/>
  <c r="U76" i="36" s="1"/>
  <c r="T77" i="36"/>
  <c r="U77" i="36" s="1"/>
  <c r="T77" i="45"/>
  <c r="U77" i="45" s="1"/>
  <c r="T76" i="45"/>
  <c r="U76" i="45" s="1"/>
  <c r="T76" i="28"/>
  <c r="U76" i="28" s="1"/>
  <c r="T77" i="28"/>
  <c r="U77" i="28" s="1"/>
  <c r="T77" i="25"/>
  <c r="U77" i="25" s="1"/>
  <c r="T76" i="25"/>
  <c r="U76" i="25" s="1"/>
  <c r="T76" i="27"/>
  <c r="U76" i="27" s="1"/>
  <c r="T77" i="27"/>
  <c r="U77" i="27" s="1"/>
  <c r="T76" i="18"/>
  <c r="U76" i="18" s="1"/>
  <c r="T77" i="18"/>
  <c r="U77" i="18" s="1"/>
  <c r="T77" i="55"/>
  <c r="U77" i="55" s="1"/>
  <c r="T76" i="55"/>
  <c r="U76" i="55" s="1"/>
  <c r="T77" i="21"/>
  <c r="U77" i="21" s="1"/>
  <c r="T76" i="21"/>
  <c r="U76" i="21" s="1"/>
  <c r="T77" i="35"/>
  <c r="U77" i="35" s="1"/>
  <c r="T76" i="35"/>
  <c r="U76" i="35" s="1"/>
  <c r="T77" i="66"/>
  <c r="U77" i="66" s="1"/>
  <c r="T76" i="66"/>
  <c r="U76" i="66" s="1"/>
  <c r="T76" i="33"/>
  <c r="U76" i="33" s="1"/>
  <c r="T77" i="33"/>
  <c r="U77" i="33" s="1"/>
  <c r="T77" i="40"/>
  <c r="U77" i="40" s="1"/>
  <c r="T76" i="40"/>
  <c r="U76" i="40" s="1"/>
  <c r="T77" i="15"/>
  <c r="U77" i="15" s="1"/>
  <c r="T76" i="15"/>
  <c r="U76" i="15" s="1"/>
  <c r="I117" i="71"/>
  <c r="I117" i="28"/>
  <c r="H122" i="28" s="1"/>
  <c r="I122" i="28" s="1"/>
  <c r="I117" i="20"/>
  <c r="I117" i="30"/>
  <c r="H122" i="30" s="1"/>
  <c r="I117" i="77"/>
  <c r="H122" i="77" s="1"/>
  <c r="I117" i="69"/>
  <c r="H122" i="69" s="1"/>
  <c r="I122" i="69" s="1"/>
  <c r="I117" i="67"/>
  <c r="H122" i="67" s="1"/>
  <c r="I122" i="67" s="1"/>
  <c r="I134" i="67" s="1"/>
  <c r="I117" i="58"/>
  <c r="H122" i="58" s="1"/>
  <c r="I122" i="58" s="1"/>
  <c r="I134" i="58" s="1"/>
  <c r="I117" i="57"/>
  <c r="H122" i="57" s="1"/>
  <c r="I117" i="76"/>
  <c r="H122" i="76" s="1"/>
  <c r="I122" i="76" s="1"/>
  <c r="I134" i="76" s="1"/>
  <c r="I117" i="52"/>
  <c r="H122" i="52" s="1"/>
  <c r="I122" i="52" s="1"/>
  <c r="I134" i="52" s="1"/>
  <c r="I117" i="45"/>
  <c r="H122" i="45" s="1"/>
  <c r="I122" i="45" s="1"/>
  <c r="I134" i="45" s="1"/>
  <c r="I117" i="43"/>
  <c r="H122" i="43" s="1"/>
  <c r="I122" i="43" s="1"/>
  <c r="I117" i="40"/>
  <c r="H122" i="40" s="1"/>
  <c r="I122" i="40" s="1"/>
  <c r="I134" i="40" s="1"/>
  <c r="I117" i="37"/>
  <c r="H122" i="37" s="1"/>
  <c r="I122" i="37" s="1"/>
  <c r="I117" i="23"/>
  <c r="I117" i="34"/>
  <c r="H122" i="34" s="1"/>
  <c r="I122" i="34" s="1"/>
  <c r="I117" i="31"/>
  <c r="I117" i="26"/>
  <c r="I117" i="24"/>
  <c r="I117" i="25"/>
  <c r="H122" i="25" s="1"/>
  <c r="I122" i="25" s="1"/>
  <c r="I117" i="17"/>
  <c r="I93" i="60"/>
  <c r="J93" i="60" s="1"/>
  <c r="T78" i="52"/>
  <c r="U78" i="52" s="1"/>
  <c r="T80" i="52"/>
  <c r="U80" i="52" s="1"/>
  <c r="T85" i="52"/>
  <c r="U85" i="52" s="1"/>
  <c r="T79" i="52"/>
  <c r="U79" i="52" s="1"/>
  <c r="T29" i="28"/>
  <c r="R45" i="28" s="1"/>
  <c r="P65" i="28" s="1"/>
  <c r="T66" i="28" s="1"/>
  <c r="U13" i="28"/>
  <c r="U29" i="28" s="1"/>
  <c r="U45" i="28" s="1"/>
  <c r="O90" i="28"/>
  <c r="T68" i="39"/>
  <c r="U68" i="39" s="1"/>
  <c r="T71" i="39"/>
  <c r="U71" i="39" s="1"/>
  <c r="T70" i="39"/>
  <c r="U70" i="39" s="1"/>
  <c r="T72" i="39"/>
  <c r="U72" i="39" s="1"/>
  <c r="I84" i="60"/>
  <c r="T90" i="52"/>
  <c r="U93" i="52" s="1"/>
  <c r="O93" i="52"/>
  <c r="T70" i="45"/>
  <c r="U70" i="45" s="1"/>
  <c r="T72" i="45"/>
  <c r="U72" i="45" s="1"/>
  <c r="T71" i="45"/>
  <c r="U71" i="45" s="1"/>
  <c r="T68" i="45"/>
  <c r="U68" i="45" s="1"/>
  <c r="T29" i="43"/>
  <c r="R45" i="43" s="1"/>
  <c r="P65" i="43" s="1"/>
  <c r="T66" i="43" s="1"/>
  <c r="O90" i="43"/>
  <c r="U13" i="43"/>
  <c r="U29" i="43" s="1"/>
  <c r="U45" i="43" s="1"/>
  <c r="T70" i="44"/>
  <c r="U70" i="44" s="1"/>
  <c r="T72" i="44"/>
  <c r="U72" i="44" s="1"/>
  <c r="T71" i="44"/>
  <c r="U71" i="44" s="1"/>
  <c r="T68" i="44"/>
  <c r="U68" i="44" s="1"/>
  <c r="O90" i="23"/>
  <c r="T29" i="23"/>
  <c r="R45" i="23" s="1"/>
  <c r="P65" i="23" s="1"/>
  <c r="T66" i="23" s="1"/>
  <c r="U13" i="23"/>
  <c r="U29" i="23" s="1"/>
  <c r="U45" i="23" s="1"/>
  <c r="T29" i="22"/>
  <c r="R45" i="22" s="1"/>
  <c r="P65" i="22" s="1"/>
  <c r="T66" i="22" s="1"/>
  <c r="O90" i="22"/>
  <c r="U13" i="22"/>
  <c r="U29" i="22" s="1"/>
  <c r="U45" i="22" s="1"/>
  <c r="T70" i="28"/>
  <c r="U70" i="28" s="1"/>
  <c r="T72" i="28"/>
  <c r="U72" i="28" s="1"/>
  <c r="T71" i="28"/>
  <c r="U71" i="28" s="1"/>
  <c r="T68" i="28"/>
  <c r="U68" i="28" s="1"/>
  <c r="U13" i="25"/>
  <c r="U29" i="25" s="1"/>
  <c r="U45" i="25" s="1"/>
  <c r="T29" i="25"/>
  <c r="R45" i="25" s="1"/>
  <c r="P65" i="25" s="1"/>
  <c r="T66" i="25" s="1"/>
  <c r="O90" i="25"/>
  <c r="O90" i="15"/>
  <c r="T29" i="15"/>
  <c r="R45" i="15" s="1"/>
  <c r="P65" i="15" s="1"/>
  <c r="T66" i="15" s="1"/>
  <c r="U13" i="15"/>
  <c r="U29" i="15" s="1"/>
  <c r="U45" i="15" s="1"/>
  <c r="U13" i="39"/>
  <c r="U29" i="39" s="1"/>
  <c r="U45" i="39" s="1"/>
  <c r="O90" i="39"/>
  <c r="T29" i="39"/>
  <c r="R45" i="39" s="1"/>
  <c r="P65" i="39" s="1"/>
  <c r="T66" i="39" s="1"/>
  <c r="O90" i="51"/>
  <c r="T29" i="51"/>
  <c r="R45" i="51" s="1"/>
  <c r="P65" i="51" s="1"/>
  <c r="T66" i="51" s="1"/>
  <c r="U13" i="51"/>
  <c r="U29" i="51" s="1"/>
  <c r="U45" i="51" s="1"/>
  <c r="T70" i="43"/>
  <c r="U70" i="43" s="1"/>
  <c r="T72" i="43"/>
  <c r="U72" i="43" s="1"/>
  <c r="T68" i="43"/>
  <c r="U68" i="43" s="1"/>
  <c r="T71" i="43"/>
  <c r="U71" i="43" s="1"/>
  <c r="T68" i="47"/>
  <c r="U68" i="47" s="1"/>
  <c r="T71" i="47"/>
  <c r="U71" i="47" s="1"/>
  <c r="T70" i="47"/>
  <c r="U70" i="47" s="1"/>
  <c r="T72" i="47"/>
  <c r="U72" i="47" s="1"/>
  <c r="T29" i="44"/>
  <c r="R45" i="44" s="1"/>
  <c r="P65" i="44" s="1"/>
  <c r="T66" i="44" s="1"/>
  <c r="U13" i="44"/>
  <c r="U29" i="44" s="1"/>
  <c r="U45" i="44" s="1"/>
  <c r="O90" i="44"/>
  <c r="T29" i="37"/>
  <c r="R45" i="37" s="1"/>
  <c r="P65" i="37" s="1"/>
  <c r="T66" i="37" s="1"/>
  <c r="U13" i="37"/>
  <c r="U29" i="37" s="1"/>
  <c r="U45" i="37" s="1"/>
  <c r="O90" i="37"/>
  <c r="O90" i="66"/>
  <c r="U13" i="66"/>
  <c r="U29" i="66" s="1"/>
  <c r="U45" i="66" s="1"/>
  <c r="T29" i="66"/>
  <c r="R45" i="66" s="1"/>
  <c r="P65" i="66" s="1"/>
  <c r="T66" i="66" s="1"/>
  <c r="T68" i="23"/>
  <c r="U68" i="23" s="1"/>
  <c r="T71" i="23"/>
  <c r="U71" i="23" s="1"/>
  <c r="T70" i="23"/>
  <c r="U70" i="23" s="1"/>
  <c r="T72" i="23"/>
  <c r="U72" i="23" s="1"/>
  <c r="U13" i="32"/>
  <c r="U29" i="32" s="1"/>
  <c r="U45" i="32" s="1"/>
  <c r="O90" i="32"/>
  <c r="T29" i="32"/>
  <c r="R45" i="32" s="1"/>
  <c r="P65" i="32" s="1"/>
  <c r="T66" i="32" s="1"/>
  <c r="T70" i="51"/>
  <c r="U70" i="51" s="1"/>
  <c r="T71" i="51"/>
  <c r="U71" i="51" s="1"/>
  <c r="T68" i="51"/>
  <c r="U68" i="51" s="1"/>
  <c r="T72" i="51"/>
  <c r="U72" i="51" s="1"/>
  <c r="U13" i="47"/>
  <c r="U29" i="47" s="1"/>
  <c r="U45" i="47" s="1"/>
  <c r="O90" i="47"/>
  <c r="T29" i="47"/>
  <c r="R45" i="47" s="1"/>
  <c r="P65" i="47" s="1"/>
  <c r="T66" i="47" s="1"/>
  <c r="T68" i="30"/>
  <c r="U68" i="30" s="1"/>
  <c r="T71" i="30"/>
  <c r="U71" i="30" s="1"/>
  <c r="T70" i="30"/>
  <c r="U70" i="30" s="1"/>
  <c r="T72" i="30"/>
  <c r="U72" i="30" s="1"/>
  <c r="T70" i="37"/>
  <c r="U70" i="37" s="1"/>
  <c r="T72" i="37"/>
  <c r="U72" i="37" s="1"/>
  <c r="T68" i="37"/>
  <c r="U68" i="37" s="1"/>
  <c r="T71" i="37"/>
  <c r="U71" i="37" s="1"/>
  <c r="T70" i="66"/>
  <c r="U70" i="66" s="1"/>
  <c r="T72" i="66"/>
  <c r="U72" i="66" s="1"/>
  <c r="T68" i="66"/>
  <c r="U68" i="66" s="1"/>
  <c r="T71" i="66"/>
  <c r="U71" i="66" s="1"/>
  <c r="T71" i="24"/>
  <c r="U71" i="24" s="1"/>
  <c r="T68" i="24"/>
  <c r="U68" i="24" s="1"/>
  <c r="T72" i="24"/>
  <c r="U72" i="24" s="1"/>
  <c r="T70" i="24"/>
  <c r="U70" i="24" s="1"/>
  <c r="I122" i="78"/>
  <c r="T70" i="22"/>
  <c r="U70" i="22" s="1"/>
  <c r="T72" i="22"/>
  <c r="U72" i="22" s="1"/>
  <c r="T71" i="22"/>
  <c r="U71" i="22" s="1"/>
  <c r="T68" i="22"/>
  <c r="U68" i="22" s="1"/>
  <c r="T68" i="17"/>
  <c r="U68" i="17" s="1"/>
  <c r="T71" i="17"/>
  <c r="U71" i="17" s="1"/>
  <c r="T72" i="17"/>
  <c r="U72" i="17" s="1"/>
  <c r="T70" i="17"/>
  <c r="U70" i="17" s="1"/>
  <c r="T68" i="71"/>
  <c r="U68" i="71" s="1"/>
  <c r="T71" i="71"/>
  <c r="U71" i="71" s="1"/>
  <c r="T72" i="71"/>
  <c r="U72" i="71" s="1"/>
  <c r="T70" i="71"/>
  <c r="U70" i="71" s="1"/>
  <c r="T68" i="32"/>
  <c r="U68" i="32" s="1"/>
  <c r="T71" i="32"/>
  <c r="U71" i="32" s="1"/>
  <c r="T72" i="32"/>
  <c r="U72" i="32" s="1"/>
  <c r="T70" i="32"/>
  <c r="U70" i="32" s="1"/>
  <c r="T29" i="48"/>
  <c r="R45" i="48" s="1"/>
  <c r="P65" i="48" s="1"/>
  <c r="T66" i="48" s="1"/>
  <c r="U13" i="48"/>
  <c r="U29" i="48" s="1"/>
  <c r="U45" i="48" s="1"/>
  <c r="O90" i="48"/>
  <c r="U13" i="70"/>
  <c r="U29" i="70" s="1"/>
  <c r="U45" i="70" s="1"/>
  <c r="T29" i="70"/>
  <c r="R45" i="70" s="1"/>
  <c r="P65" i="70" s="1"/>
  <c r="T66" i="70" s="1"/>
  <c r="O90" i="70"/>
  <c r="T68" i="33"/>
  <c r="U68" i="33" s="1"/>
  <c r="T71" i="33"/>
  <c r="U71" i="33" s="1"/>
  <c r="T70" i="33"/>
  <c r="U70" i="33" s="1"/>
  <c r="T72" i="33"/>
  <c r="U72" i="33" s="1"/>
  <c r="T29" i="21"/>
  <c r="R45" i="21" s="1"/>
  <c r="P65" i="21" s="1"/>
  <c r="T66" i="21" s="1"/>
  <c r="O90" i="21"/>
  <c r="U13" i="21"/>
  <c r="U29" i="21" s="1"/>
  <c r="U45" i="21" s="1"/>
  <c r="U13" i="30"/>
  <c r="U29" i="30" s="1"/>
  <c r="U45" i="30" s="1"/>
  <c r="O90" i="30"/>
  <c r="T29" i="30"/>
  <c r="R45" i="30" s="1"/>
  <c r="P65" i="30" s="1"/>
  <c r="T66" i="30" s="1"/>
  <c r="T70" i="55"/>
  <c r="U70" i="55" s="1"/>
  <c r="T72" i="55"/>
  <c r="U72" i="55" s="1"/>
  <c r="T68" i="55"/>
  <c r="U68" i="55" s="1"/>
  <c r="T71" i="55"/>
  <c r="U71" i="55" s="1"/>
  <c r="T29" i="24"/>
  <c r="R45" i="24" s="1"/>
  <c r="P65" i="24" s="1"/>
  <c r="T66" i="24" s="1"/>
  <c r="U13" i="24"/>
  <c r="U29" i="24" s="1"/>
  <c r="U45" i="24" s="1"/>
  <c r="O90" i="24"/>
  <c r="I122" i="48"/>
  <c r="I134" i="48" s="1"/>
  <c r="T70" i="48"/>
  <c r="U70" i="48" s="1"/>
  <c r="T72" i="48"/>
  <c r="U72" i="48" s="1"/>
  <c r="T68" i="48"/>
  <c r="U68" i="48" s="1"/>
  <c r="T71" i="48"/>
  <c r="U71" i="48" s="1"/>
  <c r="T29" i="77"/>
  <c r="R45" i="77" s="1"/>
  <c r="P65" i="77" s="1"/>
  <c r="T66" i="77" s="1"/>
  <c r="U13" i="77"/>
  <c r="U29" i="77" s="1"/>
  <c r="U45" i="77" s="1"/>
  <c r="O90" i="77"/>
  <c r="T70" i="70"/>
  <c r="U70" i="70" s="1"/>
  <c r="T71" i="70"/>
  <c r="U71" i="70" s="1"/>
  <c r="T72" i="70"/>
  <c r="U72" i="70" s="1"/>
  <c r="T68" i="70"/>
  <c r="U68" i="70" s="1"/>
  <c r="U13" i="33"/>
  <c r="U29" i="33" s="1"/>
  <c r="U45" i="33" s="1"/>
  <c r="O90" i="33"/>
  <c r="T29" i="33"/>
  <c r="R45" i="33" s="1"/>
  <c r="P65" i="33" s="1"/>
  <c r="T66" i="33" s="1"/>
  <c r="T68" i="20"/>
  <c r="U68" i="20" s="1"/>
  <c r="T71" i="20"/>
  <c r="U71" i="20" s="1"/>
  <c r="T72" i="20"/>
  <c r="U72" i="20" s="1"/>
  <c r="T70" i="20"/>
  <c r="U70" i="20" s="1"/>
  <c r="T68" i="76"/>
  <c r="U68" i="76" s="1"/>
  <c r="T71" i="76"/>
  <c r="U71" i="76" s="1"/>
  <c r="T70" i="76"/>
  <c r="U70" i="76" s="1"/>
  <c r="T72" i="76"/>
  <c r="U72" i="76" s="1"/>
  <c r="T70" i="21"/>
  <c r="U70" i="21" s="1"/>
  <c r="T72" i="21"/>
  <c r="U72" i="21" s="1"/>
  <c r="T68" i="21"/>
  <c r="U68" i="21" s="1"/>
  <c r="T71" i="21"/>
  <c r="U71" i="21" s="1"/>
  <c r="T29" i="55"/>
  <c r="R45" i="55" s="1"/>
  <c r="P65" i="55" s="1"/>
  <c r="T66" i="55" s="1"/>
  <c r="U13" i="55"/>
  <c r="U29" i="55" s="1"/>
  <c r="U45" i="55" s="1"/>
  <c r="O90" i="55"/>
  <c r="T29" i="38"/>
  <c r="R45" i="38" s="1"/>
  <c r="P65" i="38" s="1"/>
  <c r="T66" i="38" s="1"/>
  <c r="O90" i="38"/>
  <c r="U13" i="38"/>
  <c r="U29" i="38" s="1"/>
  <c r="U45" i="38" s="1"/>
  <c r="I122" i="38"/>
  <c r="T29" i="31"/>
  <c r="R45" i="31" s="1"/>
  <c r="P65" i="31" s="1"/>
  <c r="T66" i="31" s="1"/>
  <c r="U13" i="31"/>
  <c r="U29" i="31" s="1"/>
  <c r="U45" i="31" s="1"/>
  <c r="O90" i="31"/>
  <c r="T68" i="27"/>
  <c r="U68" i="27" s="1"/>
  <c r="T71" i="27"/>
  <c r="U71" i="27" s="1"/>
  <c r="T72" i="27"/>
  <c r="U72" i="27" s="1"/>
  <c r="T70" i="27"/>
  <c r="U70" i="27" s="1"/>
  <c r="T70" i="77"/>
  <c r="U70" i="77" s="1"/>
  <c r="T72" i="77"/>
  <c r="U72" i="77" s="1"/>
  <c r="T68" i="77"/>
  <c r="U68" i="77" s="1"/>
  <c r="T71" i="77"/>
  <c r="U71" i="77" s="1"/>
  <c r="U13" i="26"/>
  <c r="U29" i="26" s="1"/>
  <c r="U45" i="26" s="1"/>
  <c r="O90" i="26"/>
  <c r="T29" i="26"/>
  <c r="R45" i="26" s="1"/>
  <c r="P65" i="26" s="1"/>
  <c r="T66" i="26" s="1"/>
  <c r="U13" i="20"/>
  <c r="U29" i="20" s="1"/>
  <c r="U45" i="20" s="1"/>
  <c r="O90" i="20"/>
  <c r="T29" i="20"/>
  <c r="R45" i="20" s="1"/>
  <c r="P65" i="20" s="1"/>
  <c r="T66" i="20" s="1"/>
  <c r="U13" i="76"/>
  <c r="U29" i="76" s="1"/>
  <c r="U45" i="76" s="1"/>
  <c r="O90" i="76"/>
  <c r="T29" i="76"/>
  <c r="R45" i="76" s="1"/>
  <c r="P65" i="76" s="1"/>
  <c r="T66" i="76" s="1"/>
  <c r="T29" i="35"/>
  <c r="R45" i="35" s="1"/>
  <c r="P65" i="35" s="1"/>
  <c r="T66" i="35" s="1"/>
  <c r="U13" i="35"/>
  <c r="U29" i="35" s="1"/>
  <c r="U45" i="35" s="1"/>
  <c r="O90" i="35"/>
  <c r="T70" i="38"/>
  <c r="U70" i="38" s="1"/>
  <c r="T72" i="38"/>
  <c r="U72" i="38" s="1"/>
  <c r="T71" i="38"/>
  <c r="U71" i="38" s="1"/>
  <c r="T68" i="38"/>
  <c r="U68" i="38" s="1"/>
  <c r="U13" i="78"/>
  <c r="U29" i="78" s="1"/>
  <c r="U45" i="78" s="1"/>
  <c r="O90" i="78"/>
  <c r="T29" i="78"/>
  <c r="R45" i="78" s="1"/>
  <c r="P65" i="78" s="1"/>
  <c r="T66" i="78" s="1"/>
  <c r="T70" i="68"/>
  <c r="U70" i="68" s="1"/>
  <c r="T72" i="68"/>
  <c r="U72" i="68" s="1"/>
  <c r="T68" i="68"/>
  <c r="U68" i="68" s="1"/>
  <c r="T71" i="68"/>
  <c r="U71" i="68" s="1"/>
  <c r="T71" i="7"/>
  <c r="U71" i="7" s="1"/>
  <c r="T68" i="7"/>
  <c r="U68" i="7" s="1"/>
  <c r="T72" i="7"/>
  <c r="U72" i="7" s="1"/>
  <c r="T70" i="7"/>
  <c r="U70" i="7" s="1"/>
  <c r="T70" i="31"/>
  <c r="U70" i="31" s="1"/>
  <c r="T72" i="31"/>
  <c r="U72" i="31" s="1"/>
  <c r="T68" i="31"/>
  <c r="U68" i="31" s="1"/>
  <c r="T71" i="31"/>
  <c r="U71" i="31" s="1"/>
  <c r="U13" i="27"/>
  <c r="U29" i="27" s="1"/>
  <c r="U45" i="27" s="1"/>
  <c r="O90" i="27"/>
  <c r="T29" i="27"/>
  <c r="R45" i="27" s="1"/>
  <c r="P65" i="27" s="1"/>
  <c r="T66" i="27" s="1"/>
  <c r="T68" i="26"/>
  <c r="U68" i="26" s="1"/>
  <c r="T71" i="26"/>
  <c r="U71" i="26" s="1"/>
  <c r="T72" i="26"/>
  <c r="U72" i="26" s="1"/>
  <c r="T70" i="26"/>
  <c r="U70" i="26" s="1"/>
  <c r="T29" i="67"/>
  <c r="R45" i="67" s="1"/>
  <c r="P65" i="67" s="1"/>
  <c r="T66" i="67" s="1"/>
  <c r="U13" i="67"/>
  <c r="U29" i="67" s="1"/>
  <c r="U45" i="67" s="1"/>
  <c r="O90" i="67"/>
  <c r="T70" i="35"/>
  <c r="U70" i="35" s="1"/>
  <c r="T72" i="35"/>
  <c r="U72" i="35" s="1"/>
  <c r="T68" i="35"/>
  <c r="U68" i="35" s="1"/>
  <c r="T71" i="35"/>
  <c r="U71" i="35" s="1"/>
  <c r="O90" i="71"/>
  <c r="U13" i="71"/>
  <c r="U29" i="71" s="1"/>
  <c r="U45" i="71" s="1"/>
  <c r="T29" i="71"/>
  <c r="R45" i="71" s="1"/>
  <c r="P65" i="71" s="1"/>
  <c r="T66" i="71" s="1"/>
  <c r="T68" i="78"/>
  <c r="U68" i="78" s="1"/>
  <c r="T71" i="78"/>
  <c r="U71" i="78" s="1"/>
  <c r="T70" i="78"/>
  <c r="U70" i="78" s="1"/>
  <c r="T72" i="78"/>
  <c r="U72" i="78" s="1"/>
  <c r="U13" i="68"/>
  <c r="U29" i="68" s="1"/>
  <c r="U45" i="68" s="1"/>
  <c r="O90" i="68"/>
  <c r="T29" i="68"/>
  <c r="R45" i="68" s="1"/>
  <c r="P65" i="68" s="1"/>
  <c r="T66" i="68" s="1"/>
  <c r="U13" i="7"/>
  <c r="U29" i="7" s="1"/>
  <c r="U45" i="7" s="1"/>
  <c r="O90" i="7"/>
  <c r="T29" i="7"/>
  <c r="R45" i="7" s="1"/>
  <c r="P65" i="7" s="1"/>
  <c r="T66" i="7" s="1"/>
  <c r="T29" i="58"/>
  <c r="R45" i="58" s="1"/>
  <c r="P65" i="58" s="1"/>
  <c r="T66" i="58" s="1"/>
  <c r="U13" i="58"/>
  <c r="U29" i="58" s="1"/>
  <c r="U45" i="58" s="1"/>
  <c r="O90" i="58"/>
  <c r="T29" i="50"/>
  <c r="R45" i="50" s="1"/>
  <c r="P65" i="50" s="1"/>
  <c r="T66" i="50" s="1"/>
  <c r="U13" i="50"/>
  <c r="U29" i="50" s="1"/>
  <c r="U45" i="50" s="1"/>
  <c r="O90" i="50"/>
  <c r="T70" i="42"/>
  <c r="U70" i="42" s="1"/>
  <c r="T72" i="42"/>
  <c r="U72" i="42" s="1"/>
  <c r="T68" i="42"/>
  <c r="U68" i="42" s="1"/>
  <c r="T71" i="42"/>
  <c r="U71" i="42" s="1"/>
  <c r="T72" i="67"/>
  <c r="U72" i="67" s="1"/>
  <c r="T70" i="67"/>
  <c r="U70" i="67" s="1"/>
  <c r="T71" i="67"/>
  <c r="U71" i="67" s="1"/>
  <c r="T68" i="67"/>
  <c r="U68" i="67" s="1"/>
  <c r="O90" i="17"/>
  <c r="T29" i="17"/>
  <c r="R45" i="17" s="1"/>
  <c r="P65" i="17" s="1"/>
  <c r="T66" i="17" s="1"/>
  <c r="U13" i="17"/>
  <c r="U29" i="17" s="1"/>
  <c r="U45" i="17" s="1"/>
  <c r="T70" i="58"/>
  <c r="U70" i="58" s="1"/>
  <c r="T71" i="58"/>
  <c r="U71" i="58" s="1"/>
  <c r="T68" i="58"/>
  <c r="U68" i="58" s="1"/>
  <c r="T72" i="58"/>
  <c r="U72" i="58" s="1"/>
  <c r="T70" i="50"/>
  <c r="U70" i="50" s="1"/>
  <c r="T72" i="50"/>
  <c r="U72" i="50" s="1"/>
  <c r="T68" i="50"/>
  <c r="U68" i="50" s="1"/>
  <c r="T71" i="50"/>
  <c r="U71" i="50" s="1"/>
  <c r="T29" i="42"/>
  <c r="R45" i="42" s="1"/>
  <c r="P65" i="42" s="1"/>
  <c r="T66" i="42" s="1"/>
  <c r="U13" i="42"/>
  <c r="U29" i="42" s="1"/>
  <c r="U45" i="42" s="1"/>
  <c r="O90" i="42"/>
  <c r="U13" i="18"/>
  <c r="U29" i="18" s="1"/>
  <c r="U45" i="18" s="1"/>
  <c r="O90" i="18"/>
  <c r="T29" i="18"/>
  <c r="R45" i="18" s="1"/>
  <c r="P65" i="18" s="1"/>
  <c r="T66" i="18" s="1"/>
  <c r="O90" i="56"/>
  <c r="T29" i="56"/>
  <c r="R45" i="56" s="1"/>
  <c r="P65" i="56" s="1"/>
  <c r="T66" i="56" s="1"/>
  <c r="U13" i="56"/>
  <c r="U29" i="56" s="1"/>
  <c r="U45" i="56" s="1"/>
  <c r="O90" i="69"/>
  <c r="T29" i="69"/>
  <c r="R45" i="69" s="1"/>
  <c r="P65" i="69" s="1"/>
  <c r="T66" i="69" s="1"/>
  <c r="U13" i="69"/>
  <c r="U29" i="69" s="1"/>
  <c r="U45" i="69" s="1"/>
  <c r="T70" i="25"/>
  <c r="U70" i="25" s="1"/>
  <c r="T72" i="25"/>
  <c r="U72" i="25" s="1"/>
  <c r="T68" i="25"/>
  <c r="U68" i="25" s="1"/>
  <c r="T71" i="25"/>
  <c r="U71" i="25" s="1"/>
  <c r="T68" i="36"/>
  <c r="U68" i="36" s="1"/>
  <c r="T72" i="36"/>
  <c r="U72" i="36" s="1"/>
  <c r="T70" i="36"/>
  <c r="U70" i="36" s="1"/>
  <c r="T71" i="36"/>
  <c r="U71" i="36" s="1"/>
  <c r="I122" i="66"/>
  <c r="I134" i="66" s="1"/>
  <c r="T68" i="18"/>
  <c r="U68" i="18" s="1"/>
  <c r="T71" i="18"/>
  <c r="U71" i="18" s="1"/>
  <c r="T72" i="18"/>
  <c r="U72" i="18" s="1"/>
  <c r="T70" i="18"/>
  <c r="U70" i="18" s="1"/>
  <c r="O93" i="34"/>
  <c r="T90" i="34"/>
  <c r="U93" i="34" s="1"/>
  <c r="T70" i="56"/>
  <c r="U70" i="56" s="1"/>
  <c r="T72" i="56"/>
  <c r="U72" i="56" s="1"/>
  <c r="T68" i="56"/>
  <c r="U68" i="56" s="1"/>
  <c r="T71" i="56"/>
  <c r="U71" i="56" s="1"/>
  <c r="T68" i="69"/>
  <c r="U68" i="69" s="1"/>
  <c r="T71" i="69"/>
  <c r="U71" i="69" s="1"/>
  <c r="T70" i="69"/>
  <c r="U70" i="69" s="1"/>
  <c r="T72" i="69"/>
  <c r="U72" i="69" s="1"/>
  <c r="I122" i="33"/>
  <c r="T68" i="15"/>
  <c r="U68" i="15" s="1"/>
  <c r="T71" i="15"/>
  <c r="U71" i="15" s="1"/>
  <c r="T70" i="15"/>
  <c r="U70" i="15" s="1"/>
  <c r="T72" i="15"/>
  <c r="U72" i="15" s="1"/>
  <c r="T68" i="75"/>
  <c r="U68" i="75" s="1"/>
  <c r="T71" i="75"/>
  <c r="U71" i="75" s="1"/>
  <c r="T70" i="75"/>
  <c r="U70" i="75" s="1"/>
  <c r="T72" i="75"/>
  <c r="U72" i="75" s="1"/>
  <c r="T29" i="40"/>
  <c r="R45" i="40" s="1"/>
  <c r="P65" i="40" s="1"/>
  <c r="T66" i="40" s="1"/>
  <c r="O90" i="40"/>
  <c r="U13" i="40"/>
  <c r="U29" i="40" s="1"/>
  <c r="U45" i="40" s="1"/>
  <c r="U13" i="57"/>
  <c r="U29" i="57" s="1"/>
  <c r="U45" i="57" s="1"/>
  <c r="T29" i="57"/>
  <c r="R45" i="57" s="1"/>
  <c r="P65" i="57" s="1"/>
  <c r="T66" i="57" s="1"/>
  <c r="O90" i="57"/>
  <c r="T29" i="36"/>
  <c r="R45" i="36" s="1"/>
  <c r="P65" i="36" s="1"/>
  <c r="T66" i="36" s="1"/>
  <c r="O90" i="36"/>
  <c r="U13" i="36"/>
  <c r="U29" i="36" s="1"/>
  <c r="U45" i="36" s="1"/>
  <c r="T68" i="16"/>
  <c r="U68" i="16" s="1"/>
  <c r="T71" i="16"/>
  <c r="U71" i="16" s="1"/>
  <c r="T70" i="16"/>
  <c r="U70" i="16" s="1"/>
  <c r="T72" i="16"/>
  <c r="U72" i="16" s="1"/>
  <c r="T70" i="40"/>
  <c r="U70" i="40" s="1"/>
  <c r="T72" i="40"/>
  <c r="U72" i="40" s="1"/>
  <c r="T68" i="40"/>
  <c r="U68" i="40" s="1"/>
  <c r="T71" i="40"/>
  <c r="U71" i="40" s="1"/>
  <c r="O90" i="75"/>
  <c r="U13" i="75"/>
  <c r="U29" i="75" s="1"/>
  <c r="U45" i="75" s="1"/>
  <c r="T29" i="75"/>
  <c r="R45" i="75" s="1"/>
  <c r="P65" i="75" s="1"/>
  <c r="T66" i="75" s="1"/>
  <c r="I122" i="21"/>
  <c r="T70" i="57"/>
  <c r="U70" i="57" s="1"/>
  <c r="T72" i="57"/>
  <c r="U72" i="57" s="1"/>
  <c r="T68" i="57"/>
  <c r="U68" i="57" s="1"/>
  <c r="T71" i="57"/>
  <c r="U71" i="57" s="1"/>
  <c r="T29" i="45"/>
  <c r="R45" i="45" s="1"/>
  <c r="P65" i="45" s="1"/>
  <c r="T66" i="45" s="1"/>
  <c r="O90" i="45"/>
  <c r="U13" i="45"/>
  <c r="U29" i="45" s="1"/>
  <c r="U45" i="45" s="1"/>
  <c r="T85" i="34"/>
  <c r="U85" i="34" s="1"/>
  <c r="T79" i="34"/>
  <c r="U79" i="34" s="1"/>
  <c r="T78" i="34"/>
  <c r="U78" i="34" s="1"/>
  <c r="T80" i="34"/>
  <c r="U80" i="34" s="1"/>
  <c r="U13" i="16"/>
  <c r="U29" i="16" s="1"/>
  <c r="U45" i="16" s="1"/>
  <c r="O90" i="16"/>
  <c r="T29" i="16"/>
  <c r="R45" i="16" s="1"/>
  <c r="P65" i="16" s="1"/>
  <c r="T66" i="16" s="1"/>
  <c r="I122" i="44"/>
  <c r="I134" i="28" l="1"/>
  <c r="I124" i="28"/>
  <c r="I128" i="28" s="1"/>
  <c r="I132" i="28" s="1"/>
  <c r="E133" i="64" s="1"/>
  <c r="G133" i="64" s="1"/>
  <c r="I124" i="69"/>
  <c r="I128" i="69" s="1"/>
  <c r="I132" i="69" s="1"/>
  <c r="E395" i="64" s="1"/>
  <c r="G395" i="64" s="1"/>
  <c r="I134" i="69"/>
  <c r="I122" i="57"/>
  <c r="I124" i="43"/>
  <c r="I128" i="43" s="1"/>
  <c r="I132" i="43" s="1"/>
  <c r="I134" i="43"/>
  <c r="I124" i="25"/>
  <c r="I128" i="25" s="1"/>
  <c r="I132" i="25" s="1"/>
  <c r="E90" i="64" s="1"/>
  <c r="G90" i="64" s="1"/>
  <c r="I134" i="25"/>
  <c r="U114" i="34"/>
  <c r="I120" i="34" s="1"/>
  <c r="U114" i="52"/>
  <c r="I120" i="52" s="1"/>
  <c r="I122" i="77"/>
  <c r="I124" i="77" s="1"/>
  <c r="I128" i="77" s="1"/>
  <c r="I132" i="77" s="1"/>
  <c r="T79" i="7"/>
  <c r="U79" i="7" s="1"/>
  <c r="T80" i="7"/>
  <c r="U80" i="7" s="1"/>
  <c r="T78" i="7"/>
  <c r="U78" i="7" s="1"/>
  <c r="T85" i="7"/>
  <c r="U85" i="7" s="1"/>
  <c r="T78" i="71"/>
  <c r="U78" i="71" s="1"/>
  <c r="T79" i="71"/>
  <c r="U79" i="71" s="1"/>
  <c r="T85" i="71"/>
  <c r="U85" i="71" s="1"/>
  <c r="T80" i="71"/>
  <c r="U80" i="71" s="1"/>
  <c r="T78" i="70"/>
  <c r="U78" i="70" s="1"/>
  <c r="T80" i="70"/>
  <c r="U80" i="70" s="1"/>
  <c r="T85" i="70"/>
  <c r="U85" i="70" s="1"/>
  <c r="T79" i="70"/>
  <c r="U79" i="70" s="1"/>
  <c r="T78" i="26"/>
  <c r="U78" i="26" s="1"/>
  <c r="T80" i="26"/>
  <c r="U80" i="26" s="1"/>
  <c r="T79" i="26"/>
  <c r="U79" i="26" s="1"/>
  <c r="T85" i="26"/>
  <c r="U85" i="26" s="1"/>
  <c r="T79" i="33"/>
  <c r="U79" i="33" s="1"/>
  <c r="T78" i="33"/>
  <c r="U78" i="33" s="1"/>
  <c r="T80" i="33"/>
  <c r="U80" i="33" s="1"/>
  <c r="T85" i="33"/>
  <c r="U85" i="33" s="1"/>
  <c r="T78" i="25"/>
  <c r="U78" i="25" s="1"/>
  <c r="T80" i="25"/>
  <c r="U80" i="25" s="1"/>
  <c r="T85" i="25"/>
  <c r="U85" i="25" s="1"/>
  <c r="T79" i="25"/>
  <c r="U79" i="25" s="1"/>
  <c r="T78" i="38"/>
  <c r="U78" i="38" s="1"/>
  <c r="T80" i="38"/>
  <c r="U80" i="38" s="1"/>
  <c r="T85" i="38"/>
  <c r="U85" i="38" s="1"/>
  <c r="T79" i="38"/>
  <c r="U79" i="38" s="1"/>
  <c r="T85" i="21"/>
  <c r="U85" i="21" s="1"/>
  <c r="T79" i="21"/>
  <c r="U79" i="21" s="1"/>
  <c r="T78" i="21"/>
  <c r="U78" i="21" s="1"/>
  <c r="T80" i="21"/>
  <c r="U80" i="21" s="1"/>
  <c r="T78" i="69"/>
  <c r="U78" i="69" s="1"/>
  <c r="T80" i="69"/>
  <c r="U80" i="69" s="1"/>
  <c r="T79" i="69"/>
  <c r="U79" i="69" s="1"/>
  <c r="T85" i="69"/>
  <c r="U85" i="69" s="1"/>
  <c r="T85" i="40"/>
  <c r="U85" i="40" s="1"/>
  <c r="T79" i="40"/>
  <c r="U79" i="40" s="1"/>
  <c r="T78" i="40"/>
  <c r="U78" i="40" s="1"/>
  <c r="T80" i="40"/>
  <c r="U80" i="40" s="1"/>
  <c r="T85" i="68"/>
  <c r="U85" i="68" s="1"/>
  <c r="T79" i="68"/>
  <c r="U79" i="68" s="1"/>
  <c r="T78" i="68"/>
  <c r="U78" i="68" s="1"/>
  <c r="T80" i="68"/>
  <c r="U80" i="68" s="1"/>
  <c r="T78" i="31"/>
  <c r="U78" i="31" s="1"/>
  <c r="T80" i="31"/>
  <c r="U80" i="31" s="1"/>
  <c r="T85" i="31"/>
  <c r="U85" i="31" s="1"/>
  <c r="T79" i="31"/>
  <c r="U79" i="31" s="1"/>
  <c r="T85" i="56"/>
  <c r="U85" i="56" s="1"/>
  <c r="T80" i="56"/>
  <c r="U80" i="56" s="1"/>
  <c r="T78" i="56"/>
  <c r="U78" i="56" s="1"/>
  <c r="T79" i="56"/>
  <c r="U79" i="56" s="1"/>
  <c r="T85" i="48"/>
  <c r="U85" i="48" s="1"/>
  <c r="T79" i="48"/>
  <c r="U79" i="48" s="1"/>
  <c r="T80" i="48"/>
  <c r="U80" i="48" s="1"/>
  <c r="T78" i="48"/>
  <c r="U78" i="48" s="1"/>
  <c r="T78" i="35"/>
  <c r="U78" i="35" s="1"/>
  <c r="T80" i="35"/>
  <c r="U80" i="35" s="1"/>
  <c r="T85" i="35"/>
  <c r="U85" i="35" s="1"/>
  <c r="T79" i="35"/>
  <c r="U79" i="35" s="1"/>
  <c r="T79" i="36"/>
  <c r="U79" i="36" s="1"/>
  <c r="T78" i="36"/>
  <c r="U78" i="36" s="1"/>
  <c r="T80" i="36"/>
  <c r="U80" i="36" s="1"/>
  <c r="T85" i="36"/>
  <c r="U85" i="36" s="1"/>
  <c r="T78" i="45"/>
  <c r="U78" i="45" s="1"/>
  <c r="T80" i="45"/>
  <c r="U80" i="45" s="1"/>
  <c r="T85" i="45"/>
  <c r="U85" i="45" s="1"/>
  <c r="T79" i="45"/>
  <c r="U79" i="45" s="1"/>
  <c r="T85" i="42"/>
  <c r="U85" i="42" s="1"/>
  <c r="T79" i="42"/>
  <c r="U79" i="42" s="1"/>
  <c r="T78" i="42"/>
  <c r="U78" i="42" s="1"/>
  <c r="T80" i="42"/>
  <c r="U80" i="42" s="1"/>
  <c r="T78" i="75"/>
  <c r="U78" i="75" s="1"/>
  <c r="T80" i="75"/>
  <c r="U80" i="75" s="1"/>
  <c r="T85" i="75"/>
  <c r="U85" i="75" s="1"/>
  <c r="T79" i="75"/>
  <c r="U79" i="75" s="1"/>
  <c r="T85" i="57"/>
  <c r="U85" i="57" s="1"/>
  <c r="T79" i="57"/>
  <c r="U79" i="57" s="1"/>
  <c r="T80" i="57"/>
  <c r="U80" i="57" s="1"/>
  <c r="T78" i="57"/>
  <c r="U78" i="57" s="1"/>
  <c r="T78" i="78"/>
  <c r="U78" i="78" s="1"/>
  <c r="T80" i="78"/>
  <c r="U80" i="78" s="1"/>
  <c r="T85" i="78"/>
  <c r="U85" i="78" s="1"/>
  <c r="T79" i="78"/>
  <c r="U79" i="78" s="1"/>
  <c r="T78" i="22"/>
  <c r="U78" i="22" s="1"/>
  <c r="T80" i="22"/>
  <c r="U80" i="22" s="1"/>
  <c r="T85" i="22"/>
  <c r="U85" i="22" s="1"/>
  <c r="T79" i="22"/>
  <c r="U79" i="22" s="1"/>
  <c r="I124" i="76"/>
  <c r="I128" i="76" s="1"/>
  <c r="I132" i="76" s="1"/>
  <c r="I122" i="55"/>
  <c r="T90" i="69"/>
  <c r="U93" i="69" s="1"/>
  <c r="O93" i="69"/>
  <c r="T79" i="20"/>
  <c r="U79" i="20" s="1"/>
  <c r="T78" i="20"/>
  <c r="U78" i="20" s="1"/>
  <c r="T80" i="20"/>
  <c r="U80" i="20" s="1"/>
  <c r="T85" i="20"/>
  <c r="U85" i="20" s="1"/>
  <c r="T90" i="7"/>
  <c r="U93" i="7" s="1"/>
  <c r="O93" i="7"/>
  <c r="T90" i="35"/>
  <c r="U93" i="35" s="1"/>
  <c r="O93" i="35"/>
  <c r="O93" i="26"/>
  <c r="T90" i="26"/>
  <c r="U93" i="26" s="1"/>
  <c r="T90" i="38"/>
  <c r="U93" i="38" s="1"/>
  <c r="O93" i="38"/>
  <c r="I122" i="42"/>
  <c r="I134" i="42" s="1"/>
  <c r="O93" i="24"/>
  <c r="T90" i="24"/>
  <c r="U93" i="24" s="1"/>
  <c r="O93" i="21"/>
  <c r="T90" i="21"/>
  <c r="U93" i="21" s="1"/>
  <c r="I122" i="27"/>
  <c r="I134" i="27" s="1"/>
  <c r="O93" i="28"/>
  <c r="T90" i="28"/>
  <c r="U93" i="28" s="1"/>
  <c r="I124" i="58"/>
  <c r="I128" i="58" s="1"/>
  <c r="I132" i="58" s="1"/>
  <c r="T79" i="30"/>
  <c r="U79" i="30" s="1"/>
  <c r="T78" i="30"/>
  <c r="U78" i="30" s="1"/>
  <c r="T80" i="30"/>
  <c r="U80" i="30" s="1"/>
  <c r="T85" i="30"/>
  <c r="U85" i="30" s="1"/>
  <c r="I122" i="32"/>
  <c r="T78" i="32"/>
  <c r="U78" i="32" s="1"/>
  <c r="T80" i="32"/>
  <c r="U80" i="32" s="1"/>
  <c r="T79" i="32"/>
  <c r="U79" i="32" s="1"/>
  <c r="T85" i="32"/>
  <c r="U85" i="32" s="1"/>
  <c r="I122" i="51"/>
  <c r="I134" i="51" s="1"/>
  <c r="I124" i="37"/>
  <c r="I128" i="37" s="1"/>
  <c r="I132" i="37" s="1"/>
  <c r="T79" i="16"/>
  <c r="U79" i="16" s="1"/>
  <c r="T78" i="16"/>
  <c r="U78" i="16" s="1"/>
  <c r="T80" i="16"/>
  <c r="U80" i="16" s="1"/>
  <c r="T85" i="16"/>
  <c r="U85" i="16" s="1"/>
  <c r="I124" i="44"/>
  <c r="I128" i="44" s="1"/>
  <c r="I132" i="44" s="1"/>
  <c r="I122" i="68"/>
  <c r="T78" i="50"/>
  <c r="U78" i="50" s="1"/>
  <c r="T80" i="50"/>
  <c r="U80" i="50" s="1"/>
  <c r="T85" i="50"/>
  <c r="U85" i="50" s="1"/>
  <c r="T79" i="50"/>
  <c r="U79" i="50" s="1"/>
  <c r="I122" i="50"/>
  <c r="I134" i="50" s="1"/>
  <c r="T90" i="31"/>
  <c r="U93" i="31" s="1"/>
  <c r="O93" i="31"/>
  <c r="T90" i="77"/>
  <c r="U93" i="77" s="1"/>
  <c r="O93" i="77"/>
  <c r="T85" i="28"/>
  <c r="U85" i="28" s="1"/>
  <c r="T79" i="28"/>
  <c r="U79" i="28" s="1"/>
  <c r="T78" i="28"/>
  <c r="U78" i="28" s="1"/>
  <c r="T80" i="28"/>
  <c r="U80" i="28" s="1"/>
  <c r="I134" i="37"/>
  <c r="T90" i="43"/>
  <c r="U93" i="43" s="1"/>
  <c r="O93" i="43"/>
  <c r="T78" i="17"/>
  <c r="U78" i="17" s="1"/>
  <c r="T80" i="17"/>
  <c r="U80" i="17" s="1"/>
  <c r="T79" i="17"/>
  <c r="U79" i="17" s="1"/>
  <c r="T85" i="17"/>
  <c r="U85" i="17" s="1"/>
  <c r="T78" i="58"/>
  <c r="U78" i="58" s="1"/>
  <c r="T80" i="58"/>
  <c r="U80" i="58" s="1"/>
  <c r="T85" i="58"/>
  <c r="U85" i="58" s="1"/>
  <c r="T79" i="58"/>
  <c r="U79" i="58" s="1"/>
  <c r="T80" i="67"/>
  <c r="U80" i="67" s="1"/>
  <c r="T85" i="67"/>
  <c r="U85" i="67" s="1"/>
  <c r="T78" i="67"/>
  <c r="U78" i="67" s="1"/>
  <c r="T79" i="67"/>
  <c r="U79" i="67" s="1"/>
  <c r="O93" i="55"/>
  <c r="T90" i="55"/>
  <c r="U93" i="55" s="1"/>
  <c r="T90" i="48"/>
  <c r="U93" i="48" s="1"/>
  <c r="O93" i="48"/>
  <c r="T90" i="15"/>
  <c r="U93" i="15" s="1"/>
  <c r="O93" i="15"/>
  <c r="T90" i="22"/>
  <c r="U93" i="22" s="1"/>
  <c r="O93" i="22"/>
  <c r="T90" i="57"/>
  <c r="U93" i="57" s="1"/>
  <c r="O93" i="57"/>
  <c r="T78" i="66"/>
  <c r="U78" i="66" s="1"/>
  <c r="T80" i="66"/>
  <c r="U80" i="66" s="1"/>
  <c r="T85" i="66"/>
  <c r="U85" i="66" s="1"/>
  <c r="T79" i="66"/>
  <c r="U79" i="66" s="1"/>
  <c r="O93" i="39"/>
  <c r="T90" i="39"/>
  <c r="U93" i="39" s="1"/>
  <c r="I124" i="40"/>
  <c r="I128" i="40" s="1"/>
  <c r="I132" i="40" s="1"/>
  <c r="I134" i="44"/>
  <c r="I124" i="66"/>
  <c r="I128" i="66" s="1"/>
  <c r="I132" i="66" s="1"/>
  <c r="O93" i="56"/>
  <c r="T90" i="56"/>
  <c r="U93" i="56" s="1"/>
  <c r="O93" i="17"/>
  <c r="T90" i="17"/>
  <c r="U93" i="17" s="1"/>
  <c r="T90" i="50"/>
  <c r="U93" i="50" s="1"/>
  <c r="O93" i="50"/>
  <c r="T90" i="71"/>
  <c r="U93" i="71" s="1"/>
  <c r="O93" i="71"/>
  <c r="T78" i="77"/>
  <c r="U78" i="77" s="1"/>
  <c r="T80" i="77"/>
  <c r="U80" i="77" s="1"/>
  <c r="T85" i="77"/>
  <c r="U85" i="77" s="1"/>
  <c r="T79" i="77"/>
  <c r="U79" i="77" s="1"/>
  <c r="I122" i="36"/>
  <c r="I122" i="35"/>
  <c r="I134" i="35" s="1"/>
  <c r="T90" i="32"/>
  <c r="U93" i="32" s="1"/>
  <c r="O93" i="32"/>
  <c r="T90" i="66"/>
  <c r="U93" i="66" s="1"/>
  <c r="O93" i="66"/>
  <c r="I122" i="70"/>
  <c r="T90" i="25"/>
  <c r="U93" i="25" s="1"/>
  <c r="O93" i="25"/>
  <c r="T90" i="23"/>
  <c r="U93" i="23" s="1"/>
  <c r="O93" i="23"/>
  <c r="I124" i="52"/>
  <c r="I128" i="52" s="1"/>
  <c r="I132" i="52" s="1"/>
  <c r="O93" i="42"/>
  <c r="T90" i="42"/>
  <c r="U93" i="42" s="1"/>
  <c r="T78" i="23"/>
  <c r="U78" i="23" s="1"/>
  <c r="T80" i="23"/>
  <c r="U80" i="23" s="1"/>
  <c r="T85" i="23"/>
  <c r="U85" i="23" s="1"/>
  <c r="T79" i="23"/>
  <c r="U79" i="23" s="1"/>
  <c r="O93" i="27"/>
  <c r="T90" i="27"/>
  <c r="U93" i="27" s="1"/>
  <c r="T79" i="76"/>
  <c r="U79" i="76" s="1"/>
  <c r="T78" i="76"/>
  <c r="U78" i="76" s="1"/>
  <c r="T80" i="76"/>
  <c r="U80" i="76" s="1"/>
  <c r="T85" i="76"/>
  <c r="U85" i="76" s="1"/>
  <c r="O93" i="76"/>
  <c r="T90" i="76"/>
  <c r="U93" i="76" s="1"/>
  <c r="T79" i="24"/>
  <c r="U79" i="24" s="1"/>
  <c r="T78" i="24"/>
  <c r="U78" i="24" s="1"/>
  <c r="T80" i="24"/>
  <c r="U80" i="24" s="1"/>
  <c r="T85" i="24"/>
  <c r="U85" i="24" s="1"/>
  <c r="I122" i="30"/>
  <c r="O93" i="37"/>
  <c r="T90" i="37"/>
  <c r="U93" i="37" s="1"/>
  <c r="T85" i="44"/>
  <c r="U85" i="44" s="1"/>
  <c r="T79" i="44"/>
  <c r="U79" i="44" s="1"/>
  <c r="T80" i="44"/>
  <c r="U80" i="44" s="1"/>
  <c r="T78" i="44"/>
  <c r="U78" i="44" s="1"/>
  <c r="T78" i="37"/>
  <c r="U78" i="37" s="1"/>
  <c r="T80" i="37"/>
  <c r="U80" i="37" s="1"/>
  <c r="T85" i="37"/>
  <c r="U85" i="37" s="1"/>
  <c r="T79" i="37"/>
  <c r="U79" i="37" s="1"/>
  <c r="T79" i="27"/>
  <c r="U79" i="27" s="1"/>
  <c r="T78" i="27"/>
  <c r="U78" i="27" s="1"/>
  <c r="T80" i="27"/>
  <c r="U80" i="27" s="1"/>
  <c r="T85" i="27"/>
  <c r="U85" i="27" s="1"/>
  <c r="T90" i="67"/>
  <c r="U93" i="67" s="1"/>
  <c r="O93" i="67"/>
  <c r="T78" i="47"/>
  <c r="U78" i="47" s="1"/>
  <c r="T80" i="47"/>
  <c r="U80" i="47" s="1"/>
  <c r="T85" i="47"/>
  <c r="U85" i="47" s="1"/>
  <c r="T79" i="47"/>
  <c r="U79" i="47" s="1"/>
  <c r="I124" i="38"/>
  <c r="I128" i="38" s="1"/>
  <c r="I132" i="38" s="1"/>
  <c r="I122" i="47"/>
  <c r="T90" i="47"/>
  <c r="U93" i="47" s="1"/>
  <c r="O93" i="47"/>
  <c r="T78" i="18"/>
  <c r="U78" i="18" s="1"/>
  <c r="T80" i="18"/>
  <c r="U80" i="18" s="1"/>
  <c r="T85" i="18"/>
  <c r="U85" i="18" s="1"/>
  <c r="T79" i="18"/>
  <c r="U79" i="18" s="1"/>
  <c r="I124" i="21"/>
  <c r="I128" i="21" s="1"/>
  <c r="I132" i="21" s="1"/>
  <c r="I122" i="39"/>
  <c r="I134" i="39" s="1"/>
  <c r="I122" i="75"/>
  <c r="I134" i="75" s="1"/>
  <c r="I124" i="45"/>
  <c r="I128" i="45" s="1"/>
  <c r="I132" i="45" s="1"/>
  <c r="O93" i="58"/>
  <c r="T90" i="58"/>
  <c r="U93" i="58" s="1"/>
  <c r="O93" i="68"/>
  <c r="T90" i="68"/>
  <c r="U93" i="68" s="1"/>
  <c r="I134" i="38"/>
  <c r="O93" i="33"/>
  <c r="T90" i="33"/>
  <c r="U93" i="33" s="1"/>
  <c r="T78" i="15"/>
  <c r="U78" i="15" s="1"/>
  <c r="T80" i="15"/>
  <c r="U80" i="15" s="1"/>
  <c r="T85" i="15"/>
  <c r="U85" i="15" s="1"/>
  <c r="T79" i="15"/>
  <c r="U79" i="15" s="1"/>
  <c r="O93" i="16"/>
  <c r="T90" i="16"/>
  <c r="U93" i="16" s="1"/>
  <c r="T90" i="45"/>
  <c r="U93" i="45" s="1"/>
  <c r="O93" i="45"/>
  <c r="I124" i="33"/>
  <c r="I128" i="33" s="1"/>
  <c r="I132" i="33" s="1"/>
  <c r="I124" i="34"/>
  <c r="I128" i="34" s="1"/>
  <c r="I132" i="34" s="1"/>
  <c r="I122" i="56"/>
  <c r="O93" i="20"/>
  <c r="T90" i="20"/>
  <c r="U93" i="20" s="1"/>
  <c r="I124" i="67"/>
  <c r="I128" i="67" s="1"/>
  <c r="I132" i="67" s="1"/>
  <c r="I134" i="21"/>
  <c r="T78" i="43"/>
  <c r="U78" i="43" s="1"/>
  <c r="T80" i="43"/>
  <c r="U80" i="43" s="1"/>
  <c r="T85" i="43"/>
  <c r="U85" i="43" s="1"/>
  <c r="T79" i="43"/>
  <c r="U79" i="43" s="1"/>
  <c r="O93" i="36"/>
  <c r="T90" i="36"/>
  <c r="U93" i="36" s="1"/>
  <c r="I134" i="33"/>
  <c r="O93" i="18"/>
  <c r="T90" i="18"/>
  <c r="U93" i="18" s="1"/>
  <c r="I134" i="34"/>
  <c r="O93" i="78"/>
  <c r="T90" i="78"/>
  <c r="U93" i="78" s="1"/>
  <c r="O93" i="30"/>
  <c r="T90" i="30"/>
  <c r="U93" i="30" s="1"/>
  <c r="T78" i="51"/>
  <c r="U78" i="51" s="1"/>
  <c r="T80" i="51"/>
  <c r="U80" i="51" s="1"/>
  <c r="T85" i="51"/>
  <c r="U85" i="51" s="1"/>
  <c r="T79" i="51"/>
  <c r="U79" i="51" s="1"/>
  <c r="I124" i="78"/>
  <c r="I128" i="78" s="1"/>
  <c r="I132" i="78" s="1"/>
  <c r="O93" i="51"/>
  <c r="T90" i="51"/>
  <c r="U93" i="51" s="1"/>
  <c r="O93" i="75"/>
  <c r="T90" i="75"/>
  <c r="U93" i="75" s="1"/>
  <c r="T85" i="55"/>
  <c r="U85" i="55" s="1"/>
  <c r="T79" i="55"/>
  <c r="U79" i="55" s="1"/>
  <c r="T78" i="55"/>
  <c r="U78" i="55" s="1"/>
  <c r="T80" i="55"/>
  <c r="U80" i="55" s="1"/>
  <c r="T79" i="39"/>
  <c r="U79" i="39" s="1"/>
  <c r="T78" i="39"/>
  <c r="U78" i="39" s="1"/>
  <c r="T80" i="39"/>
  <c r="U80" i="39" s="1"/>
  <c r="T85" i="39"/>
  <c r="U85" i="39" s="1"/>
  <c r="O93" i="40"/>
  <c r="T90" i="40"/>
  <c r="U93" i="40" s="1"/>
  <c r="I124" i="48"/>
  <c r="I128" i="48" s="1"/>
  <c r="I132" i="48" s="1"/>
  <c r="O93" i="70"/>
  <c r="T90" i="70"/>
  <c r="U93" i="70" s="1"/>
  <c r="I134" i="78"/>
  <c r="T90" i="44"/>
  <c r="U93" i="44" s="1"/>
  <c r="O93" i="44"/>
  <c r="U114" i="17" l="1"/>
  <c r="I120" i="17" s="1"/>
  <c r="I124" i="30"/>
  <c r="I128" i="30" s="1"/>
  <c r="I132" i="30" s="1"/>
  <c r="I124" i="57"/>
  <c r="I128" i="57" s="1"/>
  <c r="I132" i="57" s="1"/>
  <c r="I134" i="57"/>
  <c r="E252" i="64"/>
  <c r="G252" i="64" s="1"/>
  <c r="U114" i="25"/>
  <c r="I120" i="25" s="1"/>
  <c r="U114" i="70"/>
  <c r="I120" i="70" s="1"/>
  <c r="U114" i="30"/>
  <c r="I120" i="30" s="1"/>
  <c r="U114" i="31"/>
  <c r="I120" i="31" s="1"/>
  <c r="H122" i="31" s="1"/>
  <c r="U114" i="68"/>
  <c r="I120" i="68" s="1"/>
  <c r="U114" i="45"/>
  <c r="I120" i="45" s="1"/>
  <c r="U114" i="67"/>
  <c r="I120" i="67" s="1"/>
  <c r="U114" i="20"/>
  <c r="I120" i="20" s="1"/>
  <c r="H122" i="20" s="1"/>
  <c r="U114" i="71"/>
  <c r="I120" i="71" s="1"/>
  <c r="U114" i="16"/>
  <c r="I120" i="16" s="1"/>
  <c r="U114" i="37"/>
  <c r="I120" i="37" s="1"/>
  <c r="U114" i="32"/>
  <c r="I120" i="32" s="1"/>
  <c r="U114" i="21"/>
  <c r="I120" i="21" s="1"/>
  <c r="U114" i="51"/>
  <c r="I120" i="51" s="1"/>
  <c r="U114" i="22"/>
  <c r="I120" i="22" s="1"/>
  <c r="U114" i="26"/>
  <c r="I120" i="26" s="1"/>
  <c r="U114" i="42"/>
  <c r="I120" i="42" s="1"/>
  <c r="U114" i="48"/>
  <c r="I120" i="48" s="1"/>
  <c r="U114" i="35"/>
  <c r="I120" i="35" s="1"/>
  <c r="U114" i="44"/>
  <c r="I120" i="44" s="1"/>
  <c r="U114" i="36"/>
  <c r="I120" i="36" s="1"/>
  <c r="U114" i="47"/>
  <c r="I120" i="47" s="1"/>
  <c r="U114" i="50"/>
  <c r="I120" i="50" s="1"/>
  <c r="U114" i="55"/>
  <c r="I120" i="55" s="1"/>
  <c r="U114" i="77"/>
  <c r="I120" i="77" s="1"/>
  <c r="U114" i="24"/>
  <c r="I120" i="24" s="1"/>
  <c r="H122" i="24" s="1"/>
  <c r="U114" i="33"/>
  <c r="I120" i="33" s="1"/>
  <c r="U114" i="43"/>
  <c r="I120" i="43" s="1"/>
  <c r="U114" i="56"/>
  <c r="I120" i="56" s="1"/>
  <c r="U114" i="75"/>
  <c r="I120" i="75" s="1"/>
  <c r="U114" i="27"/>
  <c r="I120" i="27" s="1"/>
  <c r="U114" i="57"/>
  <c r="I120" i="57" s="1"/>
  <c r="U114" i="78"/>
  <c r="I120" i="78" s="1"/>
  <c r="U114" i="23"/>
  <c r="I120" i="23" s="1"/>
  <c r="H122" i="23" s="1"/>
  <c r="U114" i="38"/>
  <c r="I120" i="38" s="1"/>
  <c r="U114" i="69"/>
  <c r="I120" i="69" s="1"/>
  <c r="U114" i="15"/>
  <c r="I120" i="15" s="1"/>
  <c r="U114" i="40"/>
  <c r="I120" i="40" s="1"/>
  <c r="U114" i="18"/>
  <c r="I120" i="18" s="1"/>
  <c r="H122" i="18" s="1"/>
  <c r="U114" i="58"/>
  <c r="I120" i="58" s="1"/>
  <c r="U114" i="39"/>
  <c r="I120" i="39" s="1"/>
  <c r="U114" i="28"/>
  <c r="I120" i="28" s="1"/>
  <c r="U114" i="76"/>
  <c r="I120" i="76" s="1"/>
  <c r="U114" i="66"/>
  <c r="I120" i="66" s="1"/>
  <c r="U114" i="7"/>
  <c r="I120" i="7" s="1"/>
  <c r="I134" i="77"/>
  <c r="I134" i="30"/>
  <c r="E442" i="64"/>
  <c r="G442" i="64" s="1"/>
  <c r="I124" i="75"/>
  <c r="I128" i="75" s="1"/>
  <c r="I132" i="75" s="1"/>
  <c r="E161" i="64"/>
  <c r="G161" i="64" s="1"/>
  <c r="E314" i="64"/>
  <c r="G314" i="64" s="1"/>
  <c r="I124" i="35"/>
  <c r="I128" i="35" s="1"/>
  <c r="I132" i="35" s="1"/>
  <c r="I124" i="50"/>
  <c r="I128" i="50" s="1"/>
  <c r="I132" i="50" s="1"/>
  <c r="I124" i="47"/>
  <c r="I128" i="47" s="1"/>
  <c r="I132" i="47" s="1"/>
  <c r="E370" i="64"/>
  <c r="G370" i="64" s="1"/>
  <c r="I134" i="47"/>
  <c r="I124" i="36"/>
  <c r="I128" i="36" s="1"/>
  <c r="I132" i="36" s="1"/>
  <c r="E432" i="64"/>
  <c r="G432" i="64" s="1"/>
  <c r="I124" i="55"/>
  <c r="I128" i="55" s="1"/>
  <c r="I132" i="55" s="1"/>
  <c r="I124" i="56"/>
  <c r="I128" i="56" s="1"/>
  <c r="I132" i="56" s="1"/>
  <c r="I134" i="56"/>
  <c r="I124" i="39"/>
  <c r="I128" i="39" s="1"/>
  <c r="I132" i="39" s="1"/>
  <c r="E212" i="64"/>
  <c r="G212" i="64" s="1"/>
  <c r="I134" i="36"/>
  <c r="I134" i="55"/>
  <c r="I128" i="15"/>
  <c r="I132" i="15" s="1"/>
  <c r="E204" i="64"/>
  <c r="G204" i="64" s="1"/>
  <c r="I124" i="32"/>
  <c r="I128" i="32" s="1"/>
  <c r="I132" i="32" s="1"/>
  <c r="I124" i="27"/>
  <c r="I128" i="27" s="1"/>
  <c r="I132" i="27" s="1"/>
  <c r="E333" i="64"/>
  <c r="G333" i="64" s="1"/>
  <c r="I124" i="51"/>
  <c r="I128" i="51" s="1"/>
  <c r="I132" i="51" s="1"/>
  <c r="E80" i="64"/>
  <c r="G80" i="64" s="1"/>
  <c r="I134" i="15"/>
  <c r="I134" i="32"/>
  <c r="E287" i="64"/>
  <c r="G287" i="64" s="1"/>
  <c r="I124" i="70"/>
  <c r="I128" i="70" s="1"/>
  <c r="I132" i="70" s="1"/>
  <c r="E379" i="64"/>
  <c r="G379" i="64" s="1"/>
  <c r="E262" i="64"/>
  <c r="G262" i="64" s="1"/>
  <c r="I134" i="70"/>
  <c r="E386" i="64"/>
  <c r="G386" i="64" s="1"/>
  <c r="I124" i="68"/>
  <c r="I128" i="68" s="1"/>
  <c r="I132" i="68" s="1"/>
  <c r="I124" i="42"/>
  <c r="I128" i="42" s="1"/>
  <c r="I132" i="42" s="1"/>
  <c r="E170" i="64"/>
  <c r="G170" i="64" s="1"/>
  <c r="E270" i="64"/>
  <c r="G270" i="64" s="1"/>
  <c r="E233" i="64"/>
  <c r="G233" i="64" s="1"/>
  <c r="I134" i="68"/>
  <c r="E451" i="64" l="1"/>
  <c r="G451" i="64" s="1"/>
  <c r="E361" i="64"/>
  <c r="G361" i="64" s="1"/>
  <c r="H122" i="26"/>
  <c r="I122" i="26" s="1"/>
  <c r="H122" i="22"/>
  <c r="I122" i="22" s="1"/>
  <c r="H122" i="17"/>
  <c r="I122" i="17" s="1"/>
  <c r="H122" i="71"/>
  <c r="I122" i="71" s="1"/>
  <c r="E323" i="64"/>
  <c r="G323" i="64" s="1"/>
  <c r="I122" i="31"/>
  <c r="E15" i="64"/>
  <c r="G15" i="64" s="1"/>
  <c r="I122" i="23"/>
  <c r="I134" i="23" s="1"/>
  <c r="E343" i="64"/>
  <c r="G343" i="64" s="1"/>
  <c r="I122" i="20"/>
  <c r="E193" i="64"/>
  <c r="G193" i="64" s="1"/>
  <c r="E305" i="64"/>
  <c r="G305" i="64" s="1"/>
  <c r="I122" i="24"/>
  <c r="E405" i="64"/>
  <c r="G405" i="64" s="1"/>
  <c r="E242" i="64"/>
  <c r="G242" i="64" s="1"/>
  <c r="E297" i="64"/>
  <c r="G297" i="64" s="1"/>
  <c r="I122" i="18"/>
  <c r="E223" i="64"/>
  <c r="G223" i="64" s="1"/>
  <c r="E124" i="64"/>
  <c r="G124" i="64" s="1"/>
  <c r="E424" i="64"/>
  <c r="G424" i="64" s="1"/>
  <c r="I120" i="60"/>
  <c r="E178" i="64"/>
  <c r="G178" i="64" s="1"/>
  <c r="E278" i="64"/>
  <c r="G278" i="64" s="1"/>
  <c r="E151" i="64"/>
  <c r="G151" i="64" s="1"/>
  <c r="E354" i="64"/>
  <c r="G354" i="64" s="1"/>
  <c r="I134" i="17" l="1"/>
  <c r="I124" i="17"/>
  <c r="I128" i="17" s="1"/>
  <c r="I132" i="17" s="1"/>
  <c r="E53" i="64" s="1"/>
  <c r="G53" i="64" s="1"/>
  <c r="I124" i="22"/>
  <c r="I128" i="22" s="1"/>
  <c r="I132" i="22" s="1"/>
  <c r="E109" i="64" s="1"/>
  <c r="G109" i="64" s="1"/>
  <c r="I134" i="71"/>
  <c r="I124" i="71"/>
  <c r="I128" i="71" s="1"/>
  <c r="I132" i="71" s="1"/>
  <c r="E415" i="64" s="1"/>
  <c r="G415" i="64" s="1"/>
  <c r="I134" i="26"/>
  <c r="I124" i="26"/>
  <c r="I128" i="26" s="1"/>
  <c r="I132" i="26" s="1"/>
  <c r="I134" i="22"/>
  <c r="I124" i="20"/>
  <c r="I128" i="20" s="1"/>
  <c r="I132" i="20" s="1"/>
  <c r="I134" i="20"/>
  <c r="I124" i="18"/>
  <c r="I128" i="18" s="1"/>
  <c r="I132" i="18" s="1"/>
  <c r="I124" i="24"/>
  <c r="I128" i="24" s="1"/>
  <c r="I132" i="24" s="1"/>
  <c r="I134" i="24"/>
  <c r="I124" i="23"/>
  <c r="I128" i="23" s="1"/>
  <c r="I132" i="23" s="1"/>
  <c r="I134" i="18"/>
  <c r="I124" i="31"/>
  <c r="I128" i="31" s="1"/>
  <c r="I132" i="31" s="1"/>
  <c r="I134" i="31"/>
  <c r="E117" i="64" l="1"/>
  <c r="G117" i="64" s="1"/>
  <c r="E72" i="64"/>
  <c r="G72" i="64" s="1"/>
  <c r="E100" i="64"/>
  <c r="G100" i="64" s="1"/>
  <c r="E60" i="64"/>
  <c r="G60" i="64" s="1"/>
  <c r="E142" i="64"/>
  <c r="G142" i="64" s="1"/>
  <c r="E185" i="64"/>
  <c r="G185" i="64" s="1"/>
  <c r="E52" i="7" l="1"/>
  <c r="E55" i="7"/>
  <c r="I55" i="7" s="1"/>
  <c r="E58" i="7"/>
  <c r="I58" i="7" s="1"/>
  <c r="E53" i="7"/>
  <c r="E56" i="7"/>
  <c r="I56" i="7" s="1"/>
  <c r="E50" i="7"/>
  <c r="E54" i="7"/>
  <c r="E51" i="7"/>
  <c r="I51" i="7" s="1"/>
  <c r="C50" i="60"/>
  <c r="E57" i="7"/>
  <c r="I57" i="7" s="1"/>
  <c r="C53" i="60"/>
  <c r="C54" i="60"/>
  <c r="C51" i="60"/>
  <c r="C55" i="60"/>
  <c r="C59" i="7"/>
  <c r="C56" i="60"/>
  <c r="C57" i="60"/>
  <c r="C52" i="60"/>
  <c r="C58" i="60"/>
  <c r="J16" i="7" l="1"/>
  <c r="I52" i="7"/>
  <c r="E59" i="7"/>
  <c r="I54" i="7"/>
  <c r="I50" i="7"/>
  <c r="C59" i="60"/>
  <c r="J18" i="7"/>
  <c r="I53" i="7"/>
  <c r="J14" i="7"/>
  <c r="I59" i="7" l="1"/>
  <c r="I115" i="7" s="1"/>
  <c r="I117" i="7" l="1"/>
  <c r="H122" i="7" l="1"/>
  <c r="I122" i="7" l="1"/>
  <c r="I124" i="7" l="1"/>
  <c r="I134" i="7"/>
  <c r="I128" i="7" l="1"/>
  <c r="I132" i="7" s="1"/>
  <c r="E5" i="64" l="1"/>
  <c r="G5" i="64" l="1"/>
  <c r="D53" i="60" l="1"/>
  <c r="D57" i="60"/>
  <c r="D50" i="60"/>
  <c r="D54" i="60"/>
  <c r="D55" i="60"/>
  <c r="D52" i="60"/>
  <c r="D56" i="60"/>
  <c r="D51" i="60"/>
  <c r="D59" i="16"/>
  <c r="E57" i="16" s="1"/>
  <c r="D58" i="60"/>
  <c r="D59" i="60" l="1"/>
  <c r="E57" i="60"/>
  <c r="I57" i="16"/>
  <c r="I57" i="60" s="1"/>
  <c r="E58" i="16"/>
  <c r="E55" i="16"/>
  <c r="E50" i="16"/>
  <c r="E53" i="16"/>
  <c r="E51" i="16"/>
  <c r="E109" i="16"/>
  <c r="E52" i="16"/>
  <c r="E54" i="16"/>
  <c r="E108" i="16"/>
  <c r="E107" i="16"/>
  <c r="E56" i="16"/>
  <c r="E54" i="60" l="1"/>
  <c r="I54" i="16"/>
  <c r="I54" i="60" s="1"/>
  <c r="I107" i="16"/>
  <c r="E107" i="60"/>
  <c r="E52" i="60"/>
  <c r="I52" i="16"/>
  <c r="I52" i="60" s="1"/>
  <c r="I55" i="16"/>
  <c r="I55" i="60" s="1"/>
  <c r="E55" i="60"/>
  <c r="E108" i="60"/>
  <c r="I108" i="16"/>
  <c r="I108" i="60" s="1"/>
  <c r="E109" i="60"/>
  <c r="I109" i="16"/>
  <c r="I109" i="60" s="1"/>
  <c r="E51" i="60"/>
  <c r="I51" i="16"/>
  <c r="I51" i="60" s="1"/>
  <c r="I53" i="16"/>
  <c r="I53" i="60" s="1"/>
  <c r="J16" i="16"/>
  <c r="E53" i="60"/>
  <c r="E59" i="16"/>
  <c r="J14" i="16"/>
  <c r="E50" i="60"/>
  <c r="I50" i="16"/>
  <c r="I58" i="16"/>
  <c r="I58" i="60" s="1"/>
  <c r="E58" i="60"/>
  <c r="J18" i="16"/>
  <c r="E56" i="60"/>
  <c r="I56" i="16"/>
  <c r="I56" i="60" s="1"/>
  <c r="E59" i="60" l="1"/>
  <c r="I59" i="16"/>
  <c r="I50" i="60"/>
  <c r="I59" i="60" s="1"/>
  <c r="I110" i="16"/>
  <c r="I115" i="16" s="1"/>
  <c r="I107" i="60"/>
  <c r="I110" i="60" s="1"/>
  <c r="I115" i="60" l="1"/>
  <c r="I117" i="16"/>
  <c r="J115" i="60" l="1"/>
  <c r="H122" i="60"/>
  <c r="H122" i="16"/>
  <c r="I117" i="60"/>
  <c r="I122" i="16" l="1"/>
  <c r="I134" i="16" s="1"/>
  <c r="I134" i="60" s="1"/>
  <c r="I122" i="60" l="1"/>
  <c r="I124" i="16"/>
  <c r="I128" i="16" l="1"/>
  <c r="I132" i="16" s="1"/>
  <c r="I124" i="60"/>
  <c r="I128" i="60" s="1"/>
  <c r="J124" i="60" l="1"/>
  <c r="I132" i="60"/>
  <c r="E37" i="64"/>
  <c r="G37" i="64" l="1"/>
  <c r="G465" i="64" s="1"/>
  <c r="E465" i="64"/>
  <c r="E472" i="64"/>
  <c r="J132" i="60"/>
  <c r="G472" i="64" l="1"/>
  <c r="G494" i="64" s="1"/>
  <c r="G495" i="64" s="1"/>
  <c r="E494" i="64"/>
  <c r="E495" i="64" s="1"/>
  <c r="G466"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400-000001000000}">
      <text>
        <r>
          <rPr>
            <sz val="9"/>
            <color indexed="81"/>
            <rFont val="Tahoma"/>
            <family val="2"/>
          </rPr>
          <t>Check that Program 111 = lines 47-49</t>
        </r>
      </text>
    </comment>
    <comment ref="J16" authorId="0" shapeId="0" xr:uid="{00000000-0006-0000-0400-000002000000}">
      <text>
        <r>
          <rPr>
            <sz val="9"/>
            <color indexed="81"/>
            <rFont val="Tahoma"/>
            <family val="2"/>
          </rPr>
          <t>Check that Program 112 = lines 50 - 52</t>
        </r>
      </text>
    </comment>
    <comment ref="J18" authorId="0" shapeId="0" xr:uid="{00000000-0006-0000-0400-000003000000}">
      <text>
        <r>
          <rPr>
            <sz val="9"/>
            <color indexed="81"/>
            <rFont val="Tahoma"/>
            <family val="2"/>
          </rPr>
          <t>Check that Program 113 = lines 53 - 55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500-000001000000}">
      <text>
        <r>
          <rPr>
            <sz val="9"/>
            <color indexed="81"/>
            <rFont val="Tahoma"/>
            <family val="2"/>
          </rPr>
          <t>Check that Program 111 = lines 47-49</t>
        </r>
      </text>
    </comment>
    <comment ref="J16" authorId="0" shapeId="0" xr:uid="{00000000-0006-0000-0500-000002000000}">
      <text>
        <r>
          <rPr>
            <sz val="9"/>
            <color indexed="81"/>
            <rFont val="Tahoma"/>
            <family val="2"/>
          </rPr>
          <t>Check that Program 112 = lines 50 - 52</t>
        </r>
      </text>
    </comment>
    <comment ref="J18" authorId="0" shapeId="0" xr:uid="{00000000-0006-0000-0500-000003000000}">
      <text>
        <r>
          <rPr>
            <sz val="9"/>
            <color indexed="81"/>
            <rFont val="Tahoma"/>
            <family val="2"/>
          </rPr>
          <t>Check that Program 113 = lines 53 - 55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600-000001000000}">
      <text>
        <r>
          <rPr>
            <sz val="9"/>
            <color indexed="81"/>
            <rFont val="Tahoma"/>
            <family val="2"/>
          </rPr>
          <t>Check that Program 111 = lines 47-49</t>
        </r>
      </text>
    </comment>
    <comment ref="J16" authorId="0" shapeId="0" xr:uid="{00000000-0006-0000-0600-000002000000}">
      <text>
        <r>
          <rPr>
            <sz val="9"/>
            <color indexed="81"/>
            <rFont val="Tahoma"/>
            <family val="2"/>
          </rPr>
          <t>Check that Program 112 = lines 50 - 52</t>
        </r>
      </text>
    </comment>
    <comment ref="J18" authorId="0" shapeId="0" xr:uid="{00000000-0006-0000-0600-000003000000}">
      <text>
        <r>
          <rPr>
            <sz val="9"/>
            <color indexed="81"/>
            <rFont val="Tahoma"/>
            <family val="2"/>
          </rPr>
          <t>Check that Program 113 = lines 53 - 55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700-000001000000}">
      <text>
        <r>
          <rPr>
            <sz val="9"/>
            <color indexed="81"/>
            <rFont val="Tahoma"/>
            <family val="2"/>
          </rPr>
          <t>Check that Program 111 = lines 47-49</t>
        </r>
      </text>
    </comment>
    <comment ref="J16" authorId="0" shapeId="0" xr:uid="{00000000-0006-0000-0700-000002000000}">
      <text>
        <r>
          <rPr>
            <sz val="9"/>
            <color indexed="81"/>
            <rFont val="Tahoma"/>
            <family val="2"/>
          </rPr>
          <t>Check that Program 112 = lines 50 - 52</t>
        </r>
      </text>
    </comment>
    <comment ref="J18" authorId="0" shapeId="0" xr:uid="{00000000-0006-0000-0700-000003000000}">
      <text>
        <r>
          <rPr>
            <sz val="9"/>
            <color indexed="81"/>
            <rFont val="Tahoma"/>
            <family val="2"/>
          </rPr>
          <t>Check that Program 113 = lines 56
 - 58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800-000001000000}">
      <text>
        <r>
          <rPr>
            <sz val="9"/>
            <color indexed="81"/>
            <rFont val="Tahoma"/>
            <family val="2"/>
          </rPr>
          <t>Check that Program 111 = lines 47-49</t>
        </r>
      </text>
    </comment>
    <comment ref="J16" authorId="0" shapeId="0" xr:uid="{00000000-0006-0000-0800-000002000000}">
      <text>
        <r>
          <rPr>
            <sz val="9"/>
            <color indexed="81"/>
            <rFont val="Tahoma"/>
            <family val="2"/>
          </rPr>
          <t>Check that Program 112 = lines 50 - 52</t>
        </r>
      </text>
    </comment>
    <comment ref="J18" authorId="0" shapeId="0" xr:uid="{00000000-0006-0000-0800-000003000000}">
      <text>
        <r>
          <rPr>
            <sz val="9"/>
            <color indexed="81"/>
            <rFont val="Tahoma"/>
            <family val="2"/>
          </rPr>
          <t>Check that Program 113 = lines 53 - 55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900-000001000000}">
      <text>
        <r>
          <rPr>
            <sz val="9"/>
            <color indexed="81"/>
            <rFont val="Tahoma"/>
            <family val="2"/>
          </rPr>
          <t>Check that Program 111 = lines 47-49</t>
        </r>
      </text>
    </comment>
    <comment ref="J16" authorId="0" shapeId="0" xr:uid="{00000000-0006-0000-0900-000002000000}">
      <text>
        <r>
          <rPr>
            <sz val="9"/>
            <color indexed="81"/>
            <rFont val="Tahoma"/>
            <family val="2"/>
          </rPr>
          <t>Check that Program 112 = lines 50 - 52</t>
        </r>
      </text>
    </comment>
    <comment ref="J18" authorId="0" shapeId="0" xr:uid="{00000000-0006-0000-0900-000003000000}">
      <text>
        <r>
          <rPr>
            <sz val="9"/>
            <color indexed="81"/>
            <rFont val="Tahoma"/>
            <family val="2"/>
          </rPr>
          <t>Check that Program 113 = lines 53 - 55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A00-000001000000}">
      <text>
        <r>
          <rPr>
            <sz val="9"/>
            <color indexed="81"/>
            <rFont val="Tahoma"/>
            <family val="2"/>
          </rPr>
          <t>Check that Program 111 = lines 47-49</t>
        </r>
      </text>
    </comment>
    <comment ref="J16" authorId="0" shapeId="0" xr:uid="{00000000-0006-0000-0A00-000002000000}">
      <text>
        <r>
          <rPr>
            <sz val="9"/>
            <color indexed="81"/>
            <rFont val="Tahoma"/>
            <family val="2"/>
          </rPr>
          <t>Check that Program 112 = lines 50 - 52</t>
        </r>
      </text>
    </comment>
    <comment ref="J18" authorId="0" shapeId="0" xr:uid="{00000000-0006-0000-0A00-000003000000}">
      <text>
        <r>
          <rPr>
            <sz val="9"/>
            <color indexed="81"/>
            <rFont val="Tahoma"/>
            <family val="2"/>
          </rPr>
          <t>Check that Program 113 = lines 53 - 55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B00-000001000000}">
      <text>
        <r>
          <rPr>
            <sz val="9"/>
            <color indexed="81"/>
            <rFont val="Tahoma"/>
            <family val="2"/>
          </rPr>
          <t>Check that Program 111 = lines 47-49</t>
        </r>
      </text>
    </comment>
    <comment ref="J16" authorId="0" shapeId="0" xr:uid="{00000000-0006-0000-0B00-000002000000}">
      <text>
        <r>
          <rPr>
            <sz val="9"/>
            <color indexed="81"/>
            <rFont val="Tahoma"/>
            <family val="2"/>
          </rPr>
          <t>Check that Program 112 = lines 50 - 52</t>
        </r>
      </text>
    </comment>
    <comment ref="J18" authorId="0" shapeId="0" xr:uid="{00000000-0006-0000-0B00-000003000000}">
      <text>
        <r>
          <rPr>
            <sz val="9"/>
            <color indexed="81"/>
            <rFont val="Tahoma"/>
            <family val="2"/>
          </rPr>
          <t>Check that Program 113 = lines 53 - 55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C00-000001000000}">
      <text>
        <r>
          <rPr>
            <sz val="9"/>
            <color indexed="81"/>
            <rFont val="Tahoma"/>
            <family val="2"/>
          </rPr>
          <t>Check that Program 111 = lines 50-52</t>
        </r>
      </text>
    </comment>
    <comment ref="J16" authorId="0" shapeId="0" xr:uid="{00000000-0006-0000-0C00-000002000000}">
      <text>
        <r>
          <rPr>
            <sz val="9"/>
            <color indexed="81"/>
            <rFont val="Tahoma"/>
            <family val="2"/>
          </rPr>
          <t>Check that Program 112 = lines 50 - 52</t>
        </r>
      </text>
    </comment>
    <comment ref="J18" authorId="0" shapeId="0" xr:uid="{00000000-0006-0000-0C00-000003000000}">
      <text>
        <r>
          <rPr>
            <sz val="9"/>
            <color indexed="81"/>
            <rFont val="Tahoma"/>
            <family val="2"/>
          </rPr>
          <t>Check that Program 113 = lines 53 - 55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D00-000001000000}">
      <text>
        <r>
          <rPr>
            <sz val="9"/>
            <color indexed="81"/>
            <rFont val="Tahoma"/>
            <family val="2"/>
          </rPr>
          <t>Check that Program 111 = lines 47-49</t>
        </r>
      </text>
    </comment>
    <comment ref="J16" authorId="0" shapeId="0" xr:uid="{00000000-0006-0000-0D00-000002000000}">
      <text>
        <r>
          <rPr>
            <sz val="9"/>
            <color indexed="81"/>
            <rFont val="Tahoma"/>
            <family val="2"/>
          </rPr>
          <t>Check that Program 112 = lines 50 - 52</t>
        </r>
      </text>
    </comment>
    <comment ref="J18" authorId="0" shapeId="0" xr:uid="{00000000-0006-0000-0D00-000003000000}">
      <text>
        <r>
          <rPr>
            <sz val="9"/>
            <color indexed="81"/>
            <rFont val="Tahoma"/>
            <family val="2"/>
          </rPr>
          <t>Check that Program 113 = lines 53 - 55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E00-000001000000}">
      <text>
        <r>
          <rPr>
            <sz val="9"/>
            <color indexed="81"/>
            <rFont val="Tahoma"/>
            <family val="2"/>
          </rPr>
          <t>Check that Program 111 = lines 47-49</t>
        </r>
      </text>
    </comment>
    <comment ref="J16" authorId="0" shapeId="0" xr:uid="{00000000-0006-0000-0E00-000002000000}">
      <text>
        <r>
          <rPr>
            <sz val="9"/>
            <color indexed="81"/>
            <rFont val="Tahoma"/>
            <family val="2"/>
          </rPr>
          <t>Check that Program 112 = lines 50 - 52</t>
        </r>
      </text>
    </comment>
    <comment ref="J18" authorId="0" shapeId="0" xr:uid="{00000000-0006-0000-0E00-000003000000}">
      <text>
        <r>
          <rPr>
            <sz val="9"/>
            <color indexed="81"/>
            <rFont val="Tahoma"/>
            <family val="2"/>
          </rPr>
          <t>Check that Program 113 = lines 53 - 55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0F00-000001000000}">
      <text>
        <r>
          <rPr>
            <sz val="9"/>
            <color indexed="81"/>
            <rFont val="Tahoma"/>
            <family val="2"/>
          </rPr>
          <t>Check that Program 111 = lines 47-49</t>
        </r>
      </text>
    </comment>
    <comment ref="J16" authorId="0" shapeId="0" xr:uid="{00000000-0006-0000-0F00-000002000000}">
      <text>
        <r>
          <rPr>
            <sz val="9"/>
            <color indexed="81"/>
            <rFont val="Tahoma"/>
            <family val="2"/>
          </rPr>
          <t>Check that Program 112 = lines 50 - 52</t>
        </r>
      </text>
    </comment>
    <comment ref="J18" authorId="0" shapeId="0" xr:uid="{00000000-0006-0000-0F00-000003000000}">
      <text>
        <r>
          <rPr>
            <sz val="9"/>
            <color indexed="81"/>
            <rFont val="Tahoma"/>
            <family val="2"/>
          </rPr>
          <t>Check that Program 113 = lines 53 - 55</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000-000001000000}">
      <text>
        <r>
          <rPr>
            <sz val="9"/>
            <color indexed="81"/>
            <rFont val="Tahoma"/>
            <family val="2"/>
          </rPr>
          <t>Check that Program 111 = lines 47-49</t>
        </r>
      </text>
    </comment>
    <comment ref="J16" authorId="0" shapeId="0" xr:uid="{00000000-0006-0000-1000-000002000000}">
      <text>
        <r>
          <rPr>
            <sz val="9"/>
            <color indexed="81"/>
            <rFont val="Tahoma"/>
            <family val="2"/>
          </rPr>
          <t>Check that Program 112 = lines 50 - 52</t>
        </r>
      </text>
    </comment>
    <comment ref="J18" authorId="0" shapeId="0" xr:uid="{00000000-0006-0000-1000-000003000000}">
      <text>
        <r>
          <rPr>
            <sz val="9"/>
            <color indexed="81"/>
            <rFont val="Tahoma"/>
            <family val="2"/>
          </rPr>
          <t>Check that Program 113 = lines 53 - 55</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100-000001000000}">
      <text>
        <r>
          <rPr>
            <sz val="9"/>
            <color indexed="81"/>
            <rFont val="Tahoma"/>
            <family val="2"/>
          </rPr>
          <t>Check that Program 111 = lines 47-49</t>
        </r>
      </text>
    </comment>
    <comment ref="J16" authorId="0" shapeId="0" xr:uid="{00000000-0006-0000-1100-000002000000}">
      <text>
        <r>
          <rPr>
            <sz val="9"/>
            <color indexed="81"/>
            <rFont val="Tahoma"/>
            <family val="2"/>
          </rPr>
          <t>Check that Program 112 = lines 50 - 52</t>
        </r>
      </text>
    </comment>
    <comment ref="J18" authorId="0" shapeId="0" xr:uid="{00000000-0006-0000-1100-000003000000}">
      <text>
        <r>
          <rPr>
            <sz val="9"/>
            <color indexed="81"/>
            <rFont val="Tahoma"/>
            <family val="2"/>
          </rPr>
          <t>Check that Program 113 = lines 53 - 55</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200-000001000000}">
      <text>
        <r>
          <rPr>
            <sz val="9"/>
            <color indexed="81"/>
            <rFont val="Tahoma"/>
            <family val="2"/>
          </rPr>
          <t>Check that Program 111 = lines 47-49</t>
        </r>
      </text>
    </comment>
    <comment ref="J16" authorId="0" shapeId="0" xr:uid="{00000000-0006-0000-1200-000002000000}">
      <text>
        <r>
          <rPr>
            <sz val="9"/>
            <color indexed="81"/>
            <rFont val="Tahoma"/>
            <family val="2"/>
          </rPr>
          <t>Check that Program 112 = lines 50 - 52</t>
        </r>
      </text>
    </comment>
    <comment ref="J18" authorId="0" shapeId="0" xr:uid="{00000000-0006-0000-1200-000003000000}">
      <text>
        <r>
          <rPr>
            <sz val="9"/>
            <color indexed="81"/>
            <rFont val="Tahoma"/>
            <family val="2"/>
          </rPr>
          <t>Check that Program 113 = lines 53 - 55</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300-000001000000}">
      <text>
        <r>
          <rPr>
            <sz val="9"/>
            <color indexed="81"/>
            <rFont val="Tahoma"/>
            <family val="2"/>
          </rPr>
          <t>Check that Program 111 = lines 47-49</t>
        </r>
      </text>
    </comment>
    <comment ref="J16" authorId="0" shapeId="0" xr:uid="{00000000-0006-0000-1300-000002000000}">
      <text>
        <r>
          <rPr>
            <sz val="9"/>
            <color indexed="81"/>
            <rFont val="Tahoma"/>
            <family val="2"/>
          </rPr>
          <t>Check that Program 112 = lines 50 - 52</t>
        </r>
      </text>
    </comment>
    <comment ref="J18" authorId="0" shapeId="0" xr:uid="{00000000-0006-0000-1300-000003000000}">
      <text>
        <r>
          <rPr>
            <sz val="9"/>
            <color indexed="81"/>
            <rFont val="Tahoma"/>
            <family val="2"/>
          </rPr>
          <t>Check that Program 113 = lines 53 - 55</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400-000001000000}">
      <text>
        <r>
          <rPr>
            <sz val="9"/>
            <color indexed="81"/>
            <rFont val="Tahoma"/>
            <family val="2"/>
          </rPr>
          <t>Check that Program 111 = lines 47-49</t>
        </r>
      </text>
    </comment>
    <comment ref="J16" authorId="0" shapeId="0" xr:uid="{00000000-0006-0000-1400-000002000000}">
      <text>
        <r>
          <rPr>
            <sz val="9"/>
            <color indexed="81"/>
            <rFont val="Tahoma"/>
            <family val="2"/>
          </rPr>
          <t>Check that Program 112 = lines 50 - 52</t>
        </r>
      </text>
    </comment>
    <comment ref="J18" authorId="0" shapeId="0" xr:uid="{00000000-0006-0000-1400-000003000000}">
      <text>
        <r>
          <rPr>
            <sz val="9"/>
            <color indexed="81"/>
            <rFont val="Tahoma"/>
            <family val="2"/>
          </rPr>
          <t>Check that Program 113 = lines 53 - 55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500-000001000000}">
      <text>
        <r>
          <rPr>
            <sz val="9"/>
            <color indexed="81"/>
            <rFont val="Tahoma"/>
            <family val="2"/>
          </rPr>
          <t>Check that Program 111 = lines 47-49</t>
        </r>
      </text>
    </comment>
    <comment ref="J16" authorId="0" shapeId="0" xr:uid="{00000000-0006-0000-1500-000002000000}">
      <text>
        <r>
          <rPr>
            <sz val="9"/>
            <color indexed="81"/>
            <rFont val="Tahoma"/>
            <family val="2"/>
          </rPr>
          <t>Check that Program 112 = lines 50 - 52</t>
        </r>
      </text>
    </comment>
    <comment ref="J18" authorId="0" shapeId="0" xr:uid="{00000000-0006-0000-1500-000003000000}">
      <text>
        <r>
          <rPr>
            <sz val="9"/>
            <color indexed="81"/>
            <rFont val="Tahoma"/>
            <family val="2"/>
          </rPr>
          <t>Check that Program 113 = lines 53 - 55</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600-000001000000}">
      <text>
        <r>
          <rPr>
            <sz val="9"/>
            <color indexed="81"/>
            <rFont val="Tahoma"/>
            <family val="2"/>
          </rPr>
          <t>Check that Program 111 = lines 47-49</t>
        </r>
      </text>
    </comment>
    <comment ref="J16" authorId="0" shapeId="0" xr:uid="{00000000-0006-0000-1600-000002000000}">
      <text>
        <r>
          <rPr>
            <sz val="9"/>
            <color indexed="81"/>
            <rFont val="Tahoma"/>
            <family val="2"/>
          </rPr>
          <t>Check that Program 112 = lines 50 - 52</t>
        </r>
      </text>
    </comment>
    <comment ref="J18" authorId="0" shapeId="0" xr:uid="{00000000-0006-0000-1600-000003000000}">
      <text>
        <r>
          <rPr>
            <sz val="9"/>
            <color indexed="81"/>
            <rFont val="Tahoma"/>
            <family val="2"/>
          </rPr>
          <t>Check that Program 113 = lines 53 - 55</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700-000001000000}">
      <text>
        <r>
          <rPr>
            <sz val="9"/>
            <color indexed="81"/>
            <rFont val="Tahoma"/>
            <family val="2"/>
          </rPr>
          <t>Check that Program 111 = lines 47-49</t>
        </r>
      </text>
    </comment>
    <comment ref="J16" authorId="0" shapeId="0" xr:uid="{00000000-0006-0000-1700-000002000000}">
      <text>
        <r>
          <rPr>
            <sz val="9"/>
            <color indexed="81"/>
            <rFont val="Tahoma"/>
            <family val="2"/>
          </rPr>
          <t>Check that Program 112 = lines 50 - 52</t>
        </r>
      </text>
    </comment>
    <comment ref="J18" authorId="0" shapeId="0" xr:uid="{00000000-0006-0000-1700-000003000000}">
      <text>
        <r>
          <rPr>
            <sz val="9"/>
            <color indexed="81"/>
            <rFont val="Tahoma"/>
            <family val="2"/>
          </rPr>
          <t>Check that Program 113 = lines 53 - 55</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800-000001000000}">
      <text>
        <r>
          <rPr>
            <sz val="9"/>
            <color indexed="81"/>
            <rFont val="Tahoma"/>
            <family val="2"/>
          </rPr>
          <t>Check that Program 111 = lines 47-49</t>
        </r>
      </text>
    </comment>
    <comment ref="J16" authorId="0" shapeId="0" xr:uid="{00000000-0006-0000-1800-000002000000}">
      <text>
        <r>
          <rPr>
            <sz val="9"/>
            <color indexed="81"/>
            <rFont val="Tahoma"/>
            <family val="2"/>
          </rPr>
          <t>Check that Program 112 = lines 50 - 52</t>
        </r>
      </text>
    </comment>
    <comment ref="J18" authorId="0" shapeId="0" xr:uid="{00000000-0006-0000-1800-000003000000}">
      <text>
        <r>
          <rPr>
            <sz val="9"/>
            <color indexed="81"/>
            <rFont val="Tahoma"/>
            <family val="2"/>
          </rPr>
          <t>Check that Program 113 = lines 53 - 55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900-000001000000}">
      <text>
        <r>
          <rPr>
            <sz val="9"/>
            <color indexed="81"/>
            <rFont val="Tahoma"/>
            <family val="2"/>
          </rPr>
          <t>Check that Program 111 = lines 47-49</t>
        </r>
      </text>
    </comment>
    <comment ref="J16" authorId="0" shapeId="0" xr:uid="{00000000-0006-0000-1900-000002000000}">
      <text>
        <r>
          <rPr>
            <sz val="9"/>
            <color indexed="81"/>
            <rFont val="Tahoma"/>
            <family val="2"/>
          </rPr>
          <t>Check that Program 112 = lines 50 - 52</t>
        </r>
      </text>
    </comment>
    <comment ref="J18" authorId="0" shapeId="0" xr:uid="{00000000-0006-0000-1900-000003000000}">
      <text>
        <r>
          <rPr>
            <sz val="9"/>
            <color indexed="81"/>
            <rFont val="Tahoma"/>
            <family val="2"/>
          </rPr>
          <t>Check that Program 113 = lines 53 - 55</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A00-000001000000}">
      <text>
        <r>
          <rPr>
            <sz val="9"/>
            <color indexed="81"/>
            <rFont val="Tahoma"/>
            <family val="2"/>
          </rPr>
          <t>Check that Program 111 = lines 47-49</t>
        </r>
      </text>
    </comment>
    <comment ref="J16" authorId="0" shapeId="0" xr:uid="{00000000-0006-0000-1A00-000002000000}">
      <text>
        <r>
          <rPr>
            <sz val="9"/>
            <color indexed="81"/>
            <rFont val="Tahoma"/>
            <family val="2"/>
          </rPr>
          <t>Check that Program 112 = lines 50 - 52</t>
        </r>
      </text>
    </comment>
    <comment ref="J18" authorId="0" shapeId="0" xr:uid="{00000000-0006-0000-1A00-000003000000}">
      <text>
        <r>
          <rPr>
            <sz val="9"/>
            <color indexed="81"/>
            <rFont val="Tahoma"/>
            <family val="2"/>
          </rPr>
          <t>Check that Program 113 = lines 53 - 55</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B00-000001000000}">
      <text>
        <r>
          <rPr>
            <sz val="9"/>
            <color indexed="81"/>
            <rFont val="Tahoma"/>
            <family val="2"/>
          </rPr>
          <t>Check that Program 111 = lines 47-49</t>
        </r>
      </text>
    </comment>
    <comment ref="J16" authorId="0" shapeId="0" xr:uid="{00000000-0006-0000-1B00-000002000000}">
      <text>
        <r>
          <rPr>
            <sz val="9"/>
            <color indexed="81"/>
            <rFont val="Tahoma"/>
            <family val="2"/>
          </rPr>
          <t>Check that Program 112 = lines 50 - 52</t>
        </r>
      </text>
    </comment>
    <comment ref="J18" authorId="0" shapeId="0" xr:uid="{00000000-0006-0000-1B00-000003000000}">
      <text>
        <r>
          <rPr>
            <sz val="9"/>
            <color indexed="81"/>
            <rFont val="Tahoma"/>
            <family val="2"/>
          </rPr>
          <t>Check that Program 113 = lines 53 - 55</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C00-000001000000}">
      <text>
        <r>
          <rPr>
            <sz val="9"/>
            <color indexed="81"/>
            <rFont val="Tahoma"/>
            <family val="2"/>
          </rPr>
          <t>Check that Program 111 = lines 47-49</t>
        </r>
      </text>
    </comment>
    <comment ref="J16" authorId="0" shapeId="0" xr:uid="{00000000-0006-0000-1C00-000002000000}">
      <text>
        <r>
          <rPr>
            <sz val="9"/>
            <color indexed="81"/>
            <rFont val="Tahoma"/>
            <family val="2"/>
          </rPr>
          <t>Check that Program 112 = lines 50 - 52</t>
        </r>
      </text>
    </comment>
    <comment ref="J18" authorId="0" shapeId="0" xr:uid="{00000000-0006-0000-1C00-000003000000}">
      <text>
        <r>
          <rPr>
            <sz val="9"/>
            <color indexed="81"/>
            <rFont val="Tahoma"/>
            <family val="2"/>
          </rPr>
          <t>Check that Program 113 = lines 53 - 55</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D00-000001000000}">
      <text>
        <r>
          <rPr>
            <sz val="9"/>
            <color indexed="81"/>
            <rFont val="Tahoma"/>
            <family val="2"/>
          </rPr>
          <t>Check that Program 111 = lines 47-49</t>
        </r>
      </text>
    </comment>
    <comment ref="J16" authorId="0" shapeId="0" xr:uid="{00000000-0006-0000-1D00-000002000000}">
      <text>
        <r>
          <rPr>
            <sz val="9"/>
            <color indexed="81"/>
            <rFont val="Tahoma"/>
            <family val="2"/>
          </rPr>
          <t>Check that Program 112 = lines 50 - 52</t>
        </r>
      </text>
    </comment>
    <comment ref="J18" authorId="0" shapeId="0" xr:uid="{00000000-0006-0000-1D00-000003000000}">
      <text>
        <r>
          <rPr>
            <sz val="9"/>
            <color indexed="81"/>
            <rFont val="Tahoma"/>
            <family val="2"/>
          </rPr>
          <t>Check that Program 113 = lines 53 - 55</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E00-000001000000}">
      <text>
        <r>
          <rPr>
            <sz val="9"/>
            <color indexed="81"/>
            <rFont val="Tahoma"/>
            <family val="2"/>
          </rPr>
          <t>Check that Program 111 = lines 47-49</t>
        </r>
      </text>
    </comment>
    <comment ref="J16" authorId="0" shapeId="0" xr:uid="{00000000-0006-0000-1E00-000002000000}">
      <text>
        <r>
          <rPr>
            <sz val="9"/>
            <color indexed="81"/>
            <rFont val="Tahoma"/>
            <family val="2"/>
          </rPr>
          <t>Check that Program 112 = lines 50 - 52</t>
        </r>
      </text>
    </comment>
    <comment ref="J18" authorId="0" shapeId="0" xr:uid="{00000000-0006-0000-1E00-000003000000}">
      <text>
        <r>
          <rPr>
            <sz val="9"/>
            <color indexed="81"/>
            <rFont val="Tahoma"/>
            <family val="2"/>
          </rPr>
          <t>Check that Program 113 = lines 53 - 55</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1F00-000001000000}">
      <text>
        <r>
          <rPr>
            <sz val="9"/>
            <color indexed="81"/>
            <rFont val="Tahoma"/>
            <family val="2"/>
          </rPr>
          <t>Check that Program 111 = lines 47-49</t>
        </r>
      </text>
    </comment>
    <comment ref="J16" authorId="0" shapeId="0" xr:uid="{00000000-0006-0000-1F00-000002000000}">
      <text>
        <r>
          <rPr>
            <sz val="9"/>
            <color indexed="81"/>
            <rFont val="Tahoma"/>
            <family val="2"/>
          </rPr>
          <t>Check that Program 112 = lines 50 - 52</t>
        </r>
      </text>
    </comment>
    <comment ref="J18" authorId="0" shapeId="0" xr:uid="{00000000-0006-0000-1F00-000003000000}">
      <text>
        <r>
          <rPr>
            <sz val="9"/>
            <color indexed="81"/>
            <rFont val="Tahoma"/>
            <family val="2"/>
          </rPr>
          <t>Check that Program 113 = lines 53 - 55</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000-000001000000}">
      <text>
        <r>
          <rPr>
            <sz val="9"/>
            <color indexed="81"/>
            <rFont val="Tahoma"/>
            <family val="2"/>
          </rPr>
          <t>Check that Program 111 = lines 47-49</t>
        </r>
      </text>
    </comment>
    <comment ref="J16" authorId="0" shapeId="0" xr:uid="{00000000-0006-0000-2000-000002000000}">
      <text>
        <r>
          <rPr>
            <sz val="9"/>
            <color indexed="81"/>
            <rFont val="Tahoma"/>
            <family val="2"/>
          </rPr>
          <t>Check that Program 112 = lines 50 - 52</t>
        </r>
      </text>
    </comment>
    <comment ref="J18" authorId="0" shapeId="0" xr:uid="{00000000-0006-0000-2000-000003000000}">
      <text>
        <r>
          <rPr>
            <sz val="9"/>
            <color indexed="81"/>
            <rFont val="Tahoma"/>
            <family val="2"/>
          </rPr>
          <t>Check that Program 113 = lines 53 - 55</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100-000001000000}">
      <text>
        <r>
          <rPr>
            <sz val="9"/>
            <color indexed="81"/>
            <rFont val="Tahoma"/>
            <family val="2"/>
          </rPr>
          <t>Check that Program 111 = lines 47-49</t>
        </r>
      </text>
    </comment>
    <comment ref="J16" authorId="0" shapeId="0" xr:uid="{00000000-0006-0000-2100-000002000000}">
      <text>
        <r>
          <rPr>
            <sz val="9"/>
            <color indexed="81"/>
            <rFont val="Tahoma"/>
            <family val="2"/>
          </rPr>
          <t>Check that Program 112 = lines 50 - 52</t>
        </r>
      </text>
    </comment>
    <comment ref="J18" authorId="0" shapeId="0" xr:uid="{00000000-0006-0000-2100-000003000000}">
      <text>
        <r>
          <rPr>
            <sz val="9"/>
            <color indexed="81"/>
            <rFont val="Tahoma"/>
            <family val="2"/>
          </rPr>
          <t>Check that Program 113 = lines 53 - 55</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200-000001000000}">
      <text>
        <r>
          <rPr>
            <sz val="9"/>
            <color indexed="81"/>
            <rFont val="Tahoma"/>
            <family val="2"/>
          </rPr>
          <t>Check that Program 111 = lines 47-49</t>
        </r>
      </text>
    </comment>
    <comment ref="J16" authorId="0" shapeId="0" xr:uid="{00000000-0006-0000-2200-000002000000}">
      <text>
        <r>
          <rPr>
            <sz val="9"/>
            <color indexed="81"/>
            <rFont val="Tahoma"/>
            <family val="2"/>
          </rPr>
          <t>Check that Program 112 = lines 50 - 52</t>
        </r>
      </text>
    </comment>
    <comment ref="J18" authorId="0" shapeId="0" xr:uid="{00000000-0006-0000-2200-000003000000}">
      <text>
        <r>
          <rPr>
            <sz val="9"/>
            <color indexed="81"/>
            <rFont val="Tahoma"/>
            <family val="2"/>
          </rPr>
          <t>Check that Program 113 = lines 53 - 55</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300-000001000000}">
      <text>
        <r>
          <rPr>
            <sz val="9"/>
            <color indexed="81"/>
            <rFont val="Tahoma"/>
            <family val="2"/>
          </rPr>
          <t>Check that Program 111 = lines 47-49</t>
        </r>
      </text>
    </comment>
    <comment ref="J16" authorId="0" shapeId="0" xr:uid="{00000000-0006-0000-2300-000002000000}">
      <text>
        <r>
          <rPr>
            <sz val="9"/>
            <color indexed="81"/>
            <rFont val="Tahoma"/>
            <family val="2"/>
          </rPr>
          <t>Check that Program 112 = lines 50 - 52</t>
        </r>
      </text>
    </comment>
    <comment ref="J18" authorId="0" shapeId="0" xr:uid="{00000000-0006-0000-2300-000003000000}">
      <text>
        <r>
          <rPr>
            <sz val="9"/>
            <color indexed="81"/>
            <rFont val="Tahoma"/>
            <family val="2"/>
          </rPr>
          <t>Check that Program 113 = lines 53 - 55</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400-000001000000}">
      <text>
        <r>
          <rPr>
            <sz val="9"/>
            <color indexed="81"/>
            <rFont val="Tahoma"/>
            <family val="2"/>
          </rPr>
          <t>Check that Program 111 = lines 47-49</t>
        </r>
      </text>
    </comment>
    <comment ref="J16" authorId="0" shapeId="0" xr:uid="{00000000-0006-0000-2400-000002000000}">
      <text>
        <r>
          <rPr>
            <sz val="9"/>
            <color indexed="81"/>
            <rFont val="Tahoma"/>
            <family val="2"/>
          </rPr>
          <t>Check that Program 112 = lines 50 - 52</t>
        </r>
      </text>
    </comment>
    <comment ref="J18" authorId="0" shapeId="0" xr:uid="{00000000-0006-0000-2400-000003000000}">
      <text>
        <r>
          <rPr>
            <sz val="9"/>
            <color indexed="81"/>
            <rFont val="Tahoma"/>
            <family val="2"/>
          </rPr>
          <t>Check that Program 113 = lines 53 - 55</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500-000001000000}">
      <text>
        <r>
          <rPr>
            <sz val="9"/>
            <color indexed="81"/>
            <rFont val="Tahoma"/>
            <family val="2"/>
          </rPr>
          <t>Check that Program 111 = lines 47-49</t>
        </r>
      </text>
    </comment>
    <comment ref="J16" authorId="0" shapeId="0" xr:uid="{00000000-0006-0000-2500-000002000000}">
      <text>
        <r>
          <rPr>
            <sz val="9"/>
            <color indexed="81"/>
            <rFont val="Tahoma"/>
            <family val="2"/>
          </rPr>
          <t>Check that Program 112 = lines 50 - 52</t>
        </r>
      </text>
    </comment>
    <comment ref="J18" authorId="0" shapeId="0" xr:uid="{00000000-0006-0000-2500-000003000000}">
      <text>
        <r>
          <rPr>
            <sz val="9"/>
            <color indexed="81"/>
            <rFont val="Tahoma"/>
            <family val="2"/>
          </rPr>
          <t>Check that Program 113 = lines 53 - 55</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600-000001000000}">
      <text>
        <r>
          <rPr>
            <sz val="9"/>
            <color indexed="81"/>
            <rFont val="Tahoma"/>
            <family val="2"/>
          </rPr>
          <t>Check that Program 111 = lines 47-49</t>
        </r>
      </text>
    </comment>
    <comment ref="J16" authorId="0" shapeId="0" xr:uid="{00000000-0006-0000-2600-000002000000}">
      <text>
        <r>
          <rPr>
            <sz val="9"/>
            <color indexed="81"/>
            <rFont val="Tahoma"/>
            <family val="2"/>
          </rPr>
          <t>Check that Program 112 = lines 50 - 52</t>
        </r>
      </text>
    </comment>
    <comment ref="J18" authorId="0" shapeId="0" xr:uid="{00000000-0006-0000-2600-000003000000}">
      <text>
        <r>
          <rPr>
            <sz val="9"/>
            <color indexed="81"/>
            <rFont val="Tahoma"/>
            <family val="2"/>
          </rPr>
          <t>Check that Program 113 = lines 53 - 55</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700-000001000000}">
      <text>
        <r>
          <rPr>
            <sz val="9"/>
            <color indexed="81"/>
            <rFont val="Tahoma"/>
            <family val="2"/>
          </rPr>
          <t>Check that Program 111 = lines 47-49</t>
        </r>
      </text>
    </comment>
    <comment ref="J16" authorId="0" shapeId="0" xr:uid="{00000000-0006-0000-2700-000002000000}">
      <text>
        <r>
          <rPr>
            <sz val="9"/>
            <color indexed="81"/>
            <rFont val="Tahoma"/>
            <family val="2"/>
          </rPr>
          <t>Check that Program 112 = lines 50 - 52</t>
        </r>
      </text>
    </comment>
    <comment ref="J18" authorId="0" shapeId="0" xr:uid="{00000000-0006-0000-2700-000003000000}">
      <text>
        <r>
          <rPr>
            <sz val="9"/>
            <color indexed="81"/>
            <rFont val="Tahoma"/>
            <family val="2"/>
          </rPr>
          <t>Check that Program 113 = lines 53 - 55</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800-000001000000}">
      <text>
        <r>
          <rPr>
            <sz val="9"/>
            <color indexed="81"/>
            <rFont val="Tahoma"/>
            <family val="2"/>
          </rPr>
          <t>Check that Program 111 = lines 47-49</t>
        </r>
      </text>
    </comment>
    <comment ref="J16" authorId="0" shapeId="0" xr:uid="{00000000-0006-0000-2800-000002000000}">
      <text>
        <r>
          <rPr>
            <sz val="9"/>
            <color indexed="81"/>
            <rFont val="Tahoma"/>
            <family val="2"/>
          </rPr>
          <t>Check that Program 112 = lines 50 - 52</t>
        </r>
      </text>
    </comment>
    <comment ref="J18" authorId="0" shapeId="0" xr:uid="{00000000-0006-0000-2800-000003000000}">
      <text>
        <r>
          <rPr>
            <sz val="9"/>
            <color indexed="81"/>
            <rFont val="Tahoma"/>
            <family val="2"/>
          </rPr>
          <t>Check that Program 113 = lines 53 - 55</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900-000001000000}">
      <text>
        <r>
          <rPr>
            <sz val="9"/>
            <color indexed="81"/>
            <rFont val="Tahoma"/>
            <family val="2"/>
          </rPr>
          <t>Check that Program 111 = lines 47-49</t>
        </r>
      </text>
    </comment>
    <comment ref="J16" authorId="0" shapeId="0" xr:uid="{00000000-0006-0000-2900-000002000000}">
      <text>
        <r>
          <rPr>
            <sz val="9"/>
            <color indexed="81"/>
            <rFont val="Tahoma"/>
            <family val="2"/>
          </rPr>
          <t>Check that Program 112 = lines 50 - 52</t>
        </r>
      </text>
    </comment>
    <comment ref="J18" authorId="0" shapeId="0" xr:uid="{00000000-0006-0000-2900-000003000000}">
      <text>
        <r>
          <rPr>
            <sz val="9"/>
            <color indexed="81"/>
            <rFont val="Tahoma"/>
            <family val="2"/>
          </rPr>
          <t>Check that Program 113 = lines 53 - 55</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A00-000001000000}">
      <text>
        <r>
          <rPr>
            <sz val="9"/>
            <color indexed="81"/>
            <rFont val="Tahoma"/>
            <family val="2"/>
          </rPr>
          <t>Check that Program 111 = lines 47-49</t>
        </r>
      </text>
    </comment>
    <comment ref="J16" authorId="0" shapeId="0" xr:uid="{00000000-0006-0000-2A00-000002000000}">
      <text>
        <r>
          <rPr>
            <sz val="9"/>
            <color indexed="81"/>
            <rFont val="Tahoma"/>
            <family val="2"/>
          </rPr>
          <t>Check that Program 112 = lines 50 - 52</t>
        </r>
      </text>
    </comment>
    <comment ref="J18" authorId="0" shapeId="0" xr:uid="{00000000-0006-0000-2A00-000003000000}">
      <text>
        <r>
          <rPr>
            <sz val="9"/>
            <color indexed="81"/>
            <rFont val="Tahoma"/>
            <family val="2"/>
          </rPr>
          <t>Check that Program 113 = lines 53 - 55</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B00-000001000000}">
      <text>
        <r>
          <rPr>
            <sz val="9"/>
            <color indexed="81"/>
            <rFont val="Tahoma"/>
            <family val="2"/>
          </rPr>
          <t>Check that Program 111 = lines 47-49</t>
        </r>
      </text>
    </comment>
    <comment ref="J16" authorId="0" shapeId="0" xr:uid="{00000000-0006-0000-2B00-000002000000}">
      <text>
        <r>
          <rPr>
            <sz val="9"/>
            <color indexed="81"/>
            <rFont val="Tahoma"/>
            <family val="2"/>
          </rPr>
          <t>Check that Program 112 = lines 50 - 52</t>
        </r>
      </text>
    </comment>
    <comment ref="J18" authorId="0" shapeId="0" xr:uid="{00000000-0006-0000-2B00-000003000000}">
      <text>
        <r>
          <rPr>
            <sz val="9"/>
            <color indexed="81"/>
            <rFont val="Tahoma"/>
            <family val="2"/>
          </rPr>
          <t>Check that Program 113 = lines 53 - 55</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C00-000001000000}">
      <text>
        <r>
          <rPr>
            <sz val="9"/>
            <color indexed="81"/>
            <rFont val="Tahoma"/>
            <family val="2"/>
          </rPr>
          <t>Check that Program 111 = lines 47-49</t>
        </r>
      </text>
    </comment>
    <comment ref="J16" authorId="0" shapeId="0" xr:uid="{00000000-0006-0000-2C00-000002000000}">
      <text>
        <r>
          <rPr>
            <sz val="9"/>
            <color indexed="81"/>
            <rFont val="Tahoma"/>
            <family val="2"/>
          </rPr>
          <t>Check that Program 112 = lines 50 - 52</t>
        </r>
      </text>
    </comment>
    <comment ref="J18" authorId="0" shapeId="0" xr:uid="{00000000-0006-0000-2C00-000003000000}">
      <text>
        <r>
          <rPr>
            <sz val="9"/>
            <color indexed="81"/>
            <rFont val="Tahoma"/>
            <family val="2"/>
          </rPr>
          <t>Check that Program 113 = lines 53 - 55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D00-000001000000}">
      <text>
        <r>
          <rPr>
            <sz val="9"/>
            <color indexed="81"/>
            <rFont val="Tahoma"/>
            <family val="2"/>
          </rPr>
          <t>Check that Program 111 = lines 47-49</t>
        </r>
      </text>
    </comment>
    <comment ref="J16" authorId="0" shapeId="0" xr:uid="{00000000-0006-0000-2D00-000002000000}">
      <text>
        <r>
          <rPr>
            <sz val="9"/>
            <color indexed="81"/>
            <rFont val="Tahoma"/>
            <family val="2"/>
          </rPr>
          <t>Check that Program 112 = lines 50 - 52</t>
        </r>
      </text>
    </comment>
    <comment ref="J18" authorId="0" shapeId="0" xr:uid="{00000000-0006-0000-2D00-000003000000}">
      <text>
        <r>
          <rPr>
            <sz val="9"/>
            <color indexed="81"/>
            <rFont val="Tahoma"/>
            <family val="2"/>
          </rPr>
          <t>Check that Program 113 = lines 53 - 55</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E00-000001000000}">
      <text>
        <r>
          <rPr>
            <sz val="9"/>
            <color indexed="81"/>
            <rFont val="Tahoma"/>
            <family val="2"/>
          </rPr>
          <t>Check that Program 111 = lines 47-49</t>
        </r>
      </text>
    </comment>
    <comment ref="J16" authorId="0" shapeId="0" xr:uid="{00000000-0006-0000-2E00-000002000000}">
      <text>
        <r>
          <rPr>
            <sz val="9"/>
            <color indexed="81"/>
            <rFont val="Tahoma"/>
            <family val="2"/>
          </rPr>
          <t>Check that Program 112 = lines 50 - 52</t>
        </r>
      </text>
    </comment>
    <comment ref="J18" authorId="0" shapeId="0" xr:uid="{00000000-0006-0000-2E00-000003000000}">
      <text>
        <r>
          <rPr>
            <sz val="9"/>
            <color indexed="81"/>
            <rFont val="Tahoma"/>
            <family val="2"/>
          </rPr>
          <t>Check that Program 113 = lines 53 - 55</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2F00-000001000000}">
      <text>
        <r>
          <rPr>
            <sz val="9"/>
            <color indexed="81"/>
            <rFont val="Tahoma"/>
            <family val="2"/>
          </rPr>
          <t>Check that Program 111 = lines 47-49</t>
        </r>
      </text>
    </comment>
    <comment ref="J16" authorId="0" shapeId="0" xr:uid="{00000000-0006-0000-2F00-000002000000}">
      <text>
        <r>
          <rPr>
            <sz val="9"/>
            <color indexed="81"/>
            <rFont val="Tahoma"/>
            <family val="2"/>
          </rPr>
          <t>Check that Program 112 = lines 50 - 52</t>
        </r>
      </text>
    </comment>
    <comment ref="J18" authorId="0" shapeId="0" xr:uid="{00000000-0006-0000-2F00-000003000000}">
      <text>
        <r>
          <rPr>
            <sz val="9"/>
            <color indexed="81"/>
            <rFont val="Tahoma"/>
            <family val="2"/>
          </rPr>
          <t>Check that Program 113 = lines 53 - 55</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3000-000001000000}">
      <text>
        <r>
          <rPr>
            <sz val="9"/>
            <color indexed="81"/>
            <rFont val="Tahoma"/>
            <family val="2"/>
          </rPr>
          <t>Check that Program 111 = lines 47-49</t>
        </r>
      </text>
    </comment>
    <comment ref="J16" authorId="0" shapeId="0" xr:uid="{00000000-0006-0000-3000-000002000000}">
      <text>
        <r>
          <rPr>
            <sz val="9"/>
            <color indexed="81"/>
            <rFont val="Tahoma"/>
            <family val="2"/>
          </rPr>
          <t>Check that Program 112 = lines 50 - 52</t>
        </r>
      </text>
    </comment>
    <comment ref="J18" authorId="0" shapeId="0" xr:uid="{00000000-0006-0000-3000-000003000000}">
      <text>
        <r>
          <rPr>
            <sz val="9"/>
            <color indexed="81"/>
            <rFont val="Tahoma"/>
            <family val="2"/>
          </rPr>
          <t>Check that Program 113 = lines 53 - 55</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3100-000001000000}">
      <text>
        <r>
          <rPr>
            <sz val="9"/>
            <color indexed="81"/>
            <rFont val="Tahoma"/>
            <family val="2"/>
          </rPr>
          <t>Check that Program 111 = lines 47-49</t>
        </r>
      </text>
    </comment>
    <comment ref="J16" authorId="0" shapeId="0" xr:uid="{00000000-0006-0000-3100-000002000000}">
      <text>
        <r>
          <rPr>
            <sz val="9"/>
            <color indexed="81"/>
            <rFont val="Tahoma"/>
            <family val="2"/>
          </rPr>
          <t>Check that Program 112 = lines 50 - 52</t>
        </r>
      </text>
    </comment>
    <comment ref="J18" authorId="0" shapeId="0" xr:uid="{00000000-0006-0000-3100-000003000000}">
      <text>
        <r>
          <rPr>
            <sz val="9"/>
            <color indexed="81"/>
            <rFont val="Tahoma"/>
            <family val="2"/>
          </rPr>
          <t>Check that Program 113 = lines 53 - 55</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3200-000001000000}">
      <text>
        <r>
          <rPr>
            <sz val="9"/>
            <color indexed="81"/>
            <rFont val="Tahoma"/>
            <family val="2"/>
          </rPr>
          <t>Check that Program 111 = lines 47-49</t>
        </r>
      </text>
    </comment>
    <comment ref="J16" authorId="0" shapeId="0" xr:uid="{00000000-0006-0000-3200-000002000000}">
      <text>
        <r>
          <rPr>
            <sz val="9"/>
            <color indexed="81"/>
            <rFont val="Tahoma"/>
            <family val="2"/>
          </rPr>
          <t>Check that Program 112 = lines 50 - 52</t>
        </r>
      </text>
    </comment>
    <comment ref="J18" authorId="0" shapeId="0" xr:uid="{00000000-0006-0000-3200-000003000000}">
      <text>
        <r>
          <rPr>
            <sz val="9"/>
            <color indexed="81"/>
            <rFont val="Tahoma"/>
            <family val="2"/>
          </rPr>
          <t>Check that Program 113 = lines 53 - 55</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3300-000001000000}">
      <text>
        <r>
          <rPr>
            <sz val="9"/>
            <color indexed="81"/>
            <rFont val="Tahoma"/>
            <family val="2"/>
          </rPr>
          <t>Check that Program 111 = lines 47-49</t>
        </r>
      </text>
    </comment>
    <comment ref="J16" authorId="0" shapeId="0" xr:uid="{00000000-0006-0000-3300-000002000000}">
      <text>
        <r>
          <rPr>
            <sz val="9"/>
            <color indexed="81"/>
            <rFont val="Tahoma"/>
            <family val="2"/>
          </rPr>
          <t>Check that Program 112 = lines 50 - 52</t>
        </r>
      </text>
    </comment>
    <comment ref="J18" authorId="0" shapeId="0" xr:uid="{00000000-0006-0000-3300-000003000000}">
      <text>
        <r>
          <rPr>
            <sz val="9"/>
            <color indexed="81"/>
            <rFont val="Tahoma"/>
            <family val="2"/>
          </rPr>
          <t>Check that Program 113 = lines 53 - 55</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RSO</author>
  </authors>
  <commentList>
    <comment ref="J14" authorId="0" shapeId="0" xr:uid="{00000000-0006-0000-3400-000001000000}">
      <text>
        <r>
          <rPr>
            <sz val="9"/>
            <color indexed="81"/>
            <rFont val="Tahoma"/>
            <family val="2"/>
          </rPr>
          <t>Check that Program 111 = lines 47-49</t>
        </r>
      </text>
    </comment>
    <comment ref="J16" authorId="0" shapeId="0" xr:uid="{00000000-0006-0000-3400-000002000000}">
      <text>
        <r>
          <rPr>
            <sz val="9"/>
            <color indexed="81"/>
            <rFont val="Tahoma"/>
            <family val="2"/>
          </rPr>
          <t>Check that Program 112 = lines 50 - 52</t>
        </r>
      </text>
    </comment>
    <comment ref="J18" authorId="0" shapeId="0" xr:uid="{00000000-0006-0000-3400-000003000000}">
      <text>
        <r>
          <rPr>
            <sz val="9"/>
            <color indexed="81"/>
            <rFont val="Tahoma"/>
            <family val="2"/>
          </rPr>
          <t>Check that Program 113 = lines 53 - 55</t>
        </r>
      </text>
    </comment>
  </commentList>
</comments>
</file>

<file path=xl/sharedStrings.xml><?xml version="1.0" encoding="utf-8"?>
<sst xmlns="http://schemas.openxmlformats.org/spreadsheetml/2006/main" count="17723" uniqueCount="486">
  <si>
    <t xml:space="preserve">School District: </t>
  </si>
  <si>
    <t>Program</t>
  </si>
  <si>
    <t>FTE</t>
  </si>
  <si>
    <t>(b)</t>
  </si>
  <si>
    <t>(c)</t>
  </si>
  <si>
    <t>Totals</t>
  </si>
  <si>
    <t>x</t>
  </si>
  <si>
    <t>NOTES:</t>
  </si>
  <si>
    <t>Total</t>
  </si>
  <si>
    <t>Palm Beach</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</si>
  <si>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</si>
  <si>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</si>
  <si>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</si>
  <si>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</si>
  <si>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</si>
  <si>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</si>
  <si>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</si>
  <si>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(Insert district number in cell A1, enter, then strike F9. Your district data then pulls from Calculation Detail Sheets)</t>
  </si>
  <si>
    <t>Total Class Size Reduction Funds</t>
  </si>
  <si>
    <t xml:space="preserve">to obtain school's UFTE share.  </t>
  </si>
  <si>
    <t xml:space="preserve">to obtain school's WFTE share. </t>
  </si>
  <si>
    <t>PK-3</t>
  </si>
  <si>
    <t>PK - 3</t>
  </si>
  <si>
    <t xml:space="preserve"> Revenue Estimate Worksheet for___________Charter School </t>
  </si>
  <si>
    <t>Number of FTE</t>
  </si>
  <si>
    <t>Grade Level</t>
  </si>
  <si>
    <t>Matrix Level</t>
  </si>
  <si>
    <t>Guarantee Per Student</t>
  </si>
  <si>
    <t>Additional Funding from the ESE Guaranteed Allocation. Enter the FTE from 111,112, &amp; 113 by grade and matrix level.  Students who do not have a matrix level should be considered 251.  This total should equal all FTE from programs 111, 112 &amp; 113 above.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</si>
  <si>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</si>
  <si>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</si>
  <si>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</si>
  <si>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</si>
  <si>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</si>
  <si>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</si>
  <si>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</si>
  <si>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</si>
  <si>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</si>
  <si>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</si>
  <si>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</si>
  <si>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</si>
  <si>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</si>
  <si>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</si>
  <si>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 xml:space="preserve">ESE Applications Allocation: </t>
  </si>
  <si>
    <t>Charter schools should contact their school district sponsor regarding eligibility and distribution of ESE Application funds.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</si>
  <si>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</si>
  <si>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</si>
  <si>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</si>
  <si>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</si>
  <si>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</si>
  <si>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</si>
  <si>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</si>
  <si>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</si>
  <si>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</si>
  <si>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</si>
  <si>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</si>
  <si>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</si>
  <si>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</si>
  <si>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</si>
  <si>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</si>
  <si>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</si>
  <si>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</si>
  <si>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</si>
  <si>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</si>
  <si>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</si>
  <si>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</si>
  <si>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</si>
  <si>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</si>
  <si>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</si>
  <si>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</si>
  <si>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</si>
  <si>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</si>
  <si>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</si>
  <si>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</si>
  <si>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</si>
  <si>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</si>
  <si>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</si>
  <si>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Total ESE Guarantee</t>
  </si>
  <si>
    <t>by district's total UFTE:</t>
  </si>
  <si>
    <t>by district's total WFTE:</t>
  </si>
  <si>
    <t>in Section 1, cell E38 above:</t>
  </si>
  <si>
    <t>Enter All Adjusted ESE Riders</t>
  </si>
  <si>
    <t>8.   Instructional Materials Allocation (UFTE share)</t>
  </si>
  <si>
    <t>7.   Safe Schools Allocation (UFTE share)</t>
  </si>
  <si>
    <t>5.   Discretionary Millage Compression Allocation (UFTE share)</t>
  </si>
  <si>
    <t>4.   Supplemental Academic Instruction (UFTE share)</t>
  </si>
  <si>
    <t>1.   2015-16 FEFP State and Local Funding</t>
  </si>
  <si>
    <t>2.   ESE Guaranteed Allocation:</t>
  </si>
  <si>
    <t xml:space="preserve">3A. Divide school's Unweighted FTE (UFTE) total computed </t>
  </si>
  <si>
    <t xml:space="preserve">3B. Divide school's Weighted FTE (WFTE) total computed </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</si>
  <si>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</si>
  <si>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</si>
  <si>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</si>
  <si>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</si>
  <si>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</si>
  <si>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</si>
  <si>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</si>
  <si>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</si>
  <si>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</si>
  <si>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</si>
  <si>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</si>
  <si>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</si>
  <si>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</si>
  <si>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</si>
  <si>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</si>
  <si>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</si>
  <si>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</si>
  <si>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</si>
  <si>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</si>
  <si>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</si>
  <si>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</si>
  <si>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</si>
  <si>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</si>
  <si>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</si>
  <si>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</si>
  <si>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</si>
  <si>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</si>
  <si>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</si>
  <si>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Dual Enrollment Instructional Materials Allocation (See footnote e</t>
    </r>
    <r>
      <rPr>
        <b/>
        <i/>
        <sz val="12"/>
        <rFont val="Calibri"/>
        <family val="2"/>
      </rPr>
      <t xml:space="preserve"> </t>
    </r>
    <r>
      <rPr>
        <b/>
        <sz val="12"/>
        <rFont val="Calibri"/>
        <family val="2"/>
      </rPr>
      <t xml:space="preserve">below) </t>
    </r>
  </si>
  <si>
    <r>
      <rPr>
        <b/>
        <sz val="12"/>
        <rFont val="Calibri"/>
        <family val="2"/>
      </rPr>
      <t xml:space="preserve">X             </t>
    </r>
    <r>
      <rPr>
        <b/>
        <u/>
        <sz val="12"/>
        <rFont val="Calibri"/>
        <family val="2"/>
      </rPr>
      <t>DCD</t>
    </r>
    <r>
      <rPr>
        <b/>
        <sz val="12"/>
        <rFont val="Calibri"/>
        <family val="2"/>
      </rPr>
      <t xml:space="preserve">            X</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</si>
  <si>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</si>
  <si>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</si>
  <si>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</si>
  <si>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</si>
  <si>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</si>
  <si>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</si>
  <si>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</si>
  <si>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</si>
  <si>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</si>
  <si>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</si>
  <si>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Grade</t>
  </si>
  <si>
    <t>Level</t>
  </si>
  <si>
    <t>Matrix</t>
  </si>
  <si>
    <t>Guarantee</t>
  </si>
  <si>
    <t>Per Student</t>
  </si>
  <si>
    <t xml:space="preserve">    ÷                    District's Total UFTE</t>
  </si>
  <si>
    <t>3A.   Divide school's Unweighted FTE (UFTE) total computed in Section 1, cell E28 above by the district's total UFTE to obtain school's</t>
  </si>
  <si>
    <t>3B.   Divide school's Weighted FTE (WFTE) total computed in Section 1, cell E41 above by the district's total WFTE to obtain school's</t>
  </si>
  <si>
    <t xml:space="preserve">          UFTE share.                Charter School UFTE: </t>
  </si>
  <si>
    <t xml:space="preserve">          WFTE share.              Charter School WFTE: </t>
  </si>
  <si>
    <t xml:space="preserve">    ÷                    District's Total WFTE</t>
  </si>
  <si>
    <t xml:space="preserve">        .748 Mills (UFTE share)</t>
  </si>
  <si>
    <t>ESE Applications Allocation</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</si>
  <si>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</si>
  <si>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</si>
  <si>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</si>
  <si>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</si>
  <si>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</si>
  <si>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</si>
  <si>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</si>
  <si>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r>
      <rPr>
        <b/>
        <sz val="12"/>
        <rFont val="Calibri"/>
        <family val="2"/>
      </rPr>
      <t xml:space="preserve">  X   </t>
    </r>
    <r>
      <rPr>
        <b/>
        <u/>
        <sz val="12"/>
        <rFont val="Calibri"/>
        <family val="2"/>
      </rPr>
      <t>DCD</t>
    </r>
    <r>
      <rPr>
        <b/>
        <sz val="12"/>
        <rFont val="Calibri"/>
        <family val="2"/>
      </rPr>
      <t xml:space="preserve">   X</t>
    </r>
  </si>
  <si>
    <t>Average</t>
  </si>
  <si>
    <t>Impact Aide</t>
  </si>
  <si>
    <t>Exempt Property</t>
  </si>
  <si>
    <t>Revenue Estimate Worksheet: Academy for Positive Learning - 0664</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</si>
  <si>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</si>
  <si>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</si>
  <si>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</si>
  <si>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</si>
  <si>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</si>
  <si>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</si>
  <si>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</si>
  <si>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</si>
  <si>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</si>
  <si>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</si>
  <si>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</si>
  <si>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</si>
  <si>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</si>
  <si>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</si>
  <si>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</si>
  <si>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</si>
  <si>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</si>
  <si>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</si>
  <si>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</si>
  <si>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</si>
  <si>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</si>
  <si>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</si>
  <si>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</si>
  <si>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</si>
  <si>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</si>
  <si>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</si>
  <si>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</si>
  <si>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</si>
  <si>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</si>
  <si>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</si>
  <si>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</si>
  <si>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</si>
  <si>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</si>
  <si>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</si>
  <si>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</si>
  <si>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</si>
  <si>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</si>
  <si>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</si>
  <si>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</si>
  <si>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</si>
  <si>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</si>
  <si>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</si>
  <si>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</si>
  <si>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</si>
  <si>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</si>
  <si>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</si>
  <si>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</si>
  <si>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 xml:space="preserve">          UFTE share.          Charter School UFTE: </t>
  </si>
  <si>
    <t>School #</t>
  </si>
  <si>
    <t>Description</t>
  </si>
  <si>
    <t>0664</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</si>
  <si>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</si>
  <si>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</si>
  <si>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</si>
  <si>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</si>
  <si>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</si>
  <si>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</si>
  <si>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</si>
  <si>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</si>
  <si>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</si>
  <si>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</si>
  <si>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</si>
  <si>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</si>
  <si>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</si>
  <si>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</si>
  <si>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</si>
  <si>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</si>
  <si>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</si>
  <si>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</si>
  <si>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</si>
  <si>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</si>
  <si>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</si>
  <si>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</si>
  <si>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</si>
  <si>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</si>
  <si>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</si>
  <si>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</si>
  <si>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</si>
  <si>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</si>
  <si>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</si>
  <si>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</si>
  <si>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</si>
  <si>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Academy for Positive Learning</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</si>
  <si>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</si>
  <si>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</si>
  <si>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</si>
  <si>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</si>
  <si>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</si>
  <si>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</si>
  <si>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</si>
  <si>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</si>
  <si>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</si>
  <si>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</si>
  <si>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</si>
  <si>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</si>
  <si>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</si>
  <si>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</si>
  <si>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</si>
  <si>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</si>
  <si>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</si>
  <si>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</si>
  <si>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</si>
  <si>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</si>
  <si>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</si>
  <si>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</si>
  <si>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</si>
  <si>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</si>
  <si>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</si>
  <si>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</si>
  <si>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</si>
  <si>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</si>
  <si>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</si>
  <si>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</si>
  <si>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</si>
  <si>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</si>
  <si>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</si>
  <si>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</si>
  <si>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</si>
  <si>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</si>
  <si>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</si>
  <si>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</si>
  <si>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</si>
  <si>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</si>
  <si>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</si>
  <si>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</si>
  <si>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Avaya</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</si>
  <si>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</si>
  <si>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</si>
  <si>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</si>
  <si>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</si>
  <si>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</si>
  <si>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</si>
  <si>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</si>
  <si>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</si>
  <si>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</si>
  <si>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</si>
  <si>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</si>
  <si>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</si>
  <si>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</si>
  <si>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</si>
  <si>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</si>
  <si>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</si>
  <si>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</si>
  <si>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</si>
  <si>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</si>
  <si>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</si>
  <si>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</si>
  <si>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</si>
  <si>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</si>
  <si>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</si>
  <si>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</si>
  <si>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</si>
  <si>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</si>
  <si>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</si>
  <si>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</si>
  <si>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3A.   Divide school's Unweighted FTE (UFTE) total computed in Section 1, cell E29 above by the district's total UFTE to obtain school's</t>
  </si>
  <si>
    <t>3B.   Divide school's Weighted FTE (WFTE) total computed in Section 1, cell H29 above by the district's total WFTE to obtain school's</t>
  </si>
  <si>
    <t>in Section 1, cell P29 above:</t>
  </si>
  <si>
    <t>(a) Additional FTE includes FTE earned through Advanced Placement, International Baccalaureate, Advanced International Certificate of Education, Industry Certified Career</t>
  </si>
  <si>
    <t xml:space="preserve">graduation under the dual enrollment program as provided in s. 1011.62(l)(i), F.S.  </t>
  </si>
  <si>
    <t>(g) Numbers entered here will be multiplied by the district level transportation funding per rider. "All Adjusted Fundable Riders" should include both basic and ESE Riders.</t>
  </si>
  <si>
    <t>"All Adjusted ESE Riders" should include only ESE Riders.</t>
  </si>
  <si>
    <t xml:space="preserve">(h) The Federally Connected Student Supplement provides additional funding for students on federal lands that receive Section 8003 impact aide pursuant to s. 1011.62(13), F.S. </t>
  </si>
  <si>
    <t xml:space="preserve">before September 1 of each year whose full-time or job-share responsibility is the classroom instruction of students in prekindergarten through grade 12, including </t>
  </si>
  <si>
    <t>full-time media specialists and certified school counselors serving students in prekindergarten through grade 12, who are funded through the FEFP.</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</si>
  <si>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</si>
  <si>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</si>
  <si>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</si>
  <si>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</si>
  <si>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</si>
  <si>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</si>
  <si>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</si>
  <si>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</si>
  <si>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</si>
  <si>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</si>
  <si>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</si>
  <si>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</si>
  <si>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</si>
  <si>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</si>
  <si>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</si>
  <si>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</si>
  <si>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</si>
  <si>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</si>
  <si>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</si>
  <si>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</si>
  <si>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</si>
  <si>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</si>
  <si>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</si>
  <si>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</si>
  <si>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</si>
  <si>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</si>
  <si>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(i) Teacher Classroom Supply Assistance Program allocation pursuant to s. 1012.71, F.S., for certified teachers employed by a public school district or public charter school</t>
  </si>
  <si>
    <t xml:space="preserve">(j) Funding based on student eligibility and meals provided, if participating in the National School Lunch Program. </t>
  </si>
  <si>
    <t>(k) Consistent with s. 1002.33(20)(a), F.S., for charter schools with a population of 75% or more ESE students, the administrative fee shall be calculated based on</t>
  </si>
  <si>
    <t>PY Class Size Cat.</t>
  </si>
  <si>
    <t>MS Course Recovery</t>
  </si>
  <si>
    <t>Feb 2018</t>
  </si>
  <si>
    <t>K-12 Initiative Grant</t>
  </si>
  <si>
    <t>(e)</t>
  </si>
  <si>
    <t>(i)</t>
  </si>
  <si>
    <t>(d) The Digital Classroom Allocation is provided pursuant to s. 1011.62(12), F.S.</t>
  </si>
  <si>
    <t xml:space="preserve">Education (CAPE), Early High School Graduation and the small district ESE Supplement, pursuant to s. 1011.62(1)(l-p), F.S. </t>
  </si>
  <si>
    <t>(e) School districts are required to pay for instructional materials used for the instruction of public high school students who are earning credit toward high school</t>
  </si>
  <si>
    <t>funding for which charter students may be eligible.  To calculate the administrative fee to be withheld for schools with more than 250 students, divide the school</t>
  </si>
  <si>
    <t xml:space="preserve">population into 250. Multiply that fraction times the funds available, then times 5%.  </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</si>
  <si>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</si>
  <si>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</si>
  <si>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19.  Federally Connected Student Supplement (g)</t>
  </si>
  <si>
    <t>2018-19</t>
  </si>
  <si>
    <t>Revenue Estimate Worksheet: Sports Leadership &amp; Management (SLAM) MHS (Boca) - 4103</t>
  </si>
  <si>
    <t>Sports Leadership Arts Management (SLAM) - Boca</t>
  </si>
  <si>
    <t>9.    Mental Health Assistance Allocation (UFTE share)</t>
  </si>
  <si>
    <t>10.  Total Funds Compression Allocation (UFTE share)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</si>
  <si>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</si>
  <si>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</si>
  <si>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</si>
  <si>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</si>
  <si>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</si>
  <si>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</si>
  <si>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</si>
  <si>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</si>
  <si>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</si>
  <si>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</si>
  <si>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</si>
  <si>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</si>
  <si>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</si>
  <si>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</si>
  <si>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</si>
  <si>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</si>
  <si>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</si>
  <si>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</si>
  <si>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</si>
  <si>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</si>
  <si>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</si>
  <si>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</si>
  <si>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</si>
  <si>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</si>
  <si>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11.  Sparsity Supplement (WFTE share)</t>
  </si>
  <si>
    <t>12.  Reading Allocation (WFTE share)</t>
  </si>
  <si>
    <t>(k)</t>
  </si>
  <si>
    <t>Somerset Academy Wellington</t>
  </si>
  <si>
    <t>Revenue Estimate Worksheet: Somerset Academy Wellington - 4031</t>
  </si>
  <si>
    <t>13.  Discretionary Local Effort (WFTE share)</t>
  </si>
  <si>
    <t>14.  Proration to Funds Available (WFTE share)</t>
  </si>
  <si>
    <t>PY Safe Schl Alloc</t>
  </si>
  <si>
    <t>WPB-229862</t>
  </si>
  <si>
    <t>WPB-229839</t>
  </si>
  <si>
    <t>SWA Fees</t>
  </si>
  <si>
    <t>FL AG - FY20</t>
  </si>
  <si>
    <t>FY21 TSIA</t>
  </si>
  <si>
    <t>2021-22</t>
  </si>
  <si>
    <t>(f) This allocation will be frozen as of the 2021-22 FEFP Second Calculation and will not be recalculated throughout the year. Charter school allocations should be</t>
  </si>
  <si>
    <t xml:space="preserve">distributed on weighted FTE (or base funding as is done in the FEFP) and should not be recalculated with fluctuations in student enrollment later in the year. </t>
  </si>
  <si>
    <t>WPB-241201</t>
  </si>
  <si>
    <t>Oct 2021</t>
  </si>
  <si>
    <t>Feb 2022</t>
  </si>
  <si>
    <t>WPB-242548</t>
  </si>
  <si>
    <t>WPB-242343</t>
  </si>
  <si>
    <t>FY21 CSTAG Training</t>
  </si>
  <si>
    <t>TSIA deducted 07/21</t>
  </si>
  <si>
    <t>Unused FY21 TSIA Funds</t>
  </si>
  <si>
    <t>Unused FY21 TSIA add'l adj</t>
  </si>
  <si>
    <t>-</t>
  </si>
  <si>
    <t>WPB-245543</t>
  </si>
  <si>
    <t>WPB-245095</t>
  </si>
  <si>
    <t>WPB-248085</t>
  </si>
  <si>
    <t>WPB-248086</t>
  </si>
  <si>
    <t>WPB-248087</t>
  </si>
  <si>
    <t>Ends June 2022</t>
  </si>
  <si>
    <t>Ends May 2022</t>
  </si>
  <si>
    <t>18.  Student Transportation</t>
  </si>
  <si>
    <t>20.  Florida Teachers Classroom Supply Assistance Program</t>
  </si>
  <si>
    <t>21.  Food Service Allocation</t>
  </si>
  <si>
    <t>17.  Class size Reduction Funds:</t>
  </si>
  <si>
    <t>WPB-249234</t>
  </si>
  <si>
    <t>WPB-249895</t>
  </si>
  <si>
    <t>TSIA deducted 02/22</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</si>
  <si>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</si>
  <si>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</si>
  <si>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</si>
  <si>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</si>
  <si>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</si>
  <si>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</si>
  <si>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</si>
  <si>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</si>
  <si>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</si>
  <si>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(c) (e)</t>
  </si>
  <si>
    <t>Growth Portion (WFTE share)</t>
  </si>
  <si>
    <t>Total TSIA Allocation (Maintenance + Growth)</t>
  </si>
  <si>
    <t>15.  Class Size Reduction Funds:</t>
  </si>
  <si>
    <t>16.  Student Transportation</t>
  </si>
  <si>
    <t>17.  Federally Connected Student Supplement</t>
  </si>
  <si>
    <t>18.  Florida Teachers Classroom Supply Assistance Program</t>
  </si>
  <si>
    <t>19.  Food Service Allocation</t>
  </si>
  <si>
    <t>Revenue Estimate Worksheet: Somerset Academy Wellington HS - 4131</t>
  </si>
  <si>
    <t>4131</t>
  </si>
  <si>
    <t>Somerset Academy Wellington HS</t>
  </si>
  <si>
    <t>WPB-254137</t>
  </si>
  <si>
    <t>WPB-255421</t>
  </si>
  <si>
    <t>Palm Beach Maritime Academy Secondary</t>
  </si>
  <si>
    <t>Palm Beach Maritime Academy Elementary</t>
  </si>
  <si>
    <t>WPB-255860</t>
  </si>
  <si>
    <t>Toussaint L'Ouverture High School</t>
  </si>
  <si>
    <t>Bright Futures Academy</t>
  </si>
  <si>
    <t>WPB-256551</t>
  </si>
  <si>
    <t>Oct 2022</t>
  </si>
  <si>
    <t>Feb 2023</t>
  </si>
  <si>
    <t>1.   2022-23 FEFP State and Local Funding</t>
  </si>
  <si>
    <t>20. Total Less TSIA (for administrative fee calculation)</t>
  </si>
  <si>
    <t>20a.  Funding for the purpose of calculating the administrative fee for ESE charter schools.</t>
  </si>
  <si>
    <t>20.  Total Less TSIA (for administrative fee calculation)</t>
  </si>
  <si>
    <t xml:space="preserve">Fundable Riders  </t>
  </si>
  <si>
    <t xml:space="preserve">ESE Riders (Member Category L)  </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</si>
  <si>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</si>
  <si>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</si>
  <si>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</si>
  <si>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</si>
  <si>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</si>
  <si>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2022-23</t>
  </si>
  <si>
    <t>WPB-262457</t>
  </si>
  <si>
    <t>Based on the FLDOE 2022-23 FEFP Fourth Calculation</t>
  </si>
  <si>
    <t>WPB-263848</t>
  </si>
  <si>
    <t>WPB-264048</t>
  </si>
  <si>
    <t>WPB-264181</t>
  </si>
  <si>
    <t>WPB-264049</t>
  </si>
  <si>
    <t>WPB-264182</t>
  </si>
  <si>
    <t>Final 2023</t>
  </si>
  <si>
    <t xml:space="preserve">1. The following file supporting the Final FY23 FEFP payment calculation has been uploaded to the District's </t>
  </si>
  <si>
    <t xml:space="preserve"> Charter School Fiscal Oversight web page.</t>
  </si>
  <si>
    <r>
      <rPr>
        <b/>
        <sz val="10"/>
        <rFont val="Calibri"/>
        <family val="2"/>
      </rPr>
      <t>• FDOE 2022-23 Final Survey</t>
    </r>
  </si>
  <si>
    <r>
      <t>Final</t>
    </r>
    <r>
      <rPr>
        <b/>
        <sz val="10"/>
        <color indexed="12"/>
        <rFont val="Calibri"/>
        <family val="2"/>
      </rPr>
      <t xml:space="preserve"> - </t>
    </r>
    <r>
      <rPr>
        <b/>
        <sz val="10"/>
        <rFont val="Calibri"/>
        <family val="2"/>
      </rPr>
      <t xml:space="preserve">FY </t>
    </r>
    <r>
      <rPr>
        <b/>
        <sz val="10"/>
        <color indexed="12"/>
        <rFont val="Calibri"/>
        <family val="2"/>
      </rPr>
      <t xml:space="preserve">2023 </t>
    </r>
    <r>
      <rPr>
        <b/>
        <sz val="10"/>
        <rFont val="Calibri"/>
        <family val="2"/>
      </rPr>
      <t>Charter School FTE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</si>
</sst>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42"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sz val="9"/>
      <color indexed="81"/>
      <name val="Tahoma"/>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indexed="8"/>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4" fontId="1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1" fillId="0" borderId="0"/>
    <xf numFmtId="9" fontId="11" fillId="0" borderId="0" applyFont="0" applyFill="0" applyBorder="0" applyAlignment="0" applyProtection="0"/>
  </cellStyleXfs>
  <cellXfs count="546">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164" fontId="13" fillId="0" borderId="1" xfId="6"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2" borderId="1" xfId="0" applyFont="1" applyFill="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0" fontId="15" fillId="0" borderId="1" xfId="0" quotePrefix="1" applyFont="1" applyBorder="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0" fontId="21" fillId="0" borderId="0" xfId="0" quotePrefix="1" applyFont="1" applyAlignment="1">
      <alignment horizontal="center"/>
    </xf>
    <xf numFmtId="0" fontId="21" fillId="0" borderId="1" xfId="0" quotePrefix="1" applyFont="1" applyBorder="1" applyAlignment="1">
      <alignment horizontal="center"/>
    </xf>
    <xf numFmtId="0" fontId="21" fillId="2" borderId="1" xfId="0" applyFont="1" applyFill="1" applyBorder="1" applyAlignment="1">
      <alignment horizontal="center"/>
    </xf>
    <xf numFmtId="43" fontId="22" fillId="4" borderId="1" xfId="1" applyFont="1" applyFill="1" applyBorder="1" applyAlignment="1"/>
    <xf numFmtId="170" fontId="21" fillId="2" borderId="1" xfId="6" applyNumberFormat="1" applyFont="1" applyFill="1" applyBorder="1" applyAlignment="1"/>
    <xf numFmtId="170" fontId="13" fillId="2" borderId="1" xfId="0" applyNumberFormat="1" applyFont="1" applyFill="1" applyBorder="1"/>
    <xf numFmtId="43" fontId="13" fillId="0" borderId="6" xfId="1" applyFont="1" applyBorder="1" applyAlignment="1"/>
    <xf numFmtId="170" fontId="13" fillId="2" borderId="6" xfId="6" applyNumberFormat="1" applyFont="1" applyFill="1" applyBorder="1" applyAlignment="1"/>
    <xf numFmtId="43" fontId="18" fillId="0" borderId="1" xfId="1" applyFont="1" applyBorder="1" applyAlignment="1">
      <alignment horizontal="center"/>
    </xf>
    <xf numFmtId="4" fontId="23"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0" fontId="13" fillId="0" borderId="1" xfId="0" applyFont="1" applyBorder="1" applyAlignment="1">
      <alignment horizontal="left"/>
    </xf>
    <xf numFmtId="166" fontId="18" fillId="0" borderId="1" xfId="0" applyNumberFormat="1" applyFont="1" applyBorder="1" applyAlignment="1">
      <alignment horizontal="center"/>
    </xf>
    <xf numFmtId="0" fontId="13" fillId="2" borderId="1" xfId="0" applyFont="1" applyFill="1" applyBorder="1" applyAlignment="1">
      <alignment horizontal="left"/>
    </xf>
    <xf numFmtId="166" fontId="18" fillId="2" borderId="0" xfId="0" applyNumberFormat="1" applyFont="1" applyFill="1" applyAlignment="1">
      <alignment horizontal="left"/>
    </xf>
    <xf numFmtId="166" fontId="18" fillId="2" borderId="1" xfId="0" applyNumberFormat="1" applyFont="1" applyFill="1" applyBorder="1" applyAlignment="1">
      <alignment horizontal="left"/>
    </xf>
    <xf numFmtId="166" fontId="13" fillId="0" borderId="0" xfId="0" applyNumberFormat="1" applyFont="1"/>
    <xf numFmtId="38" fontId="13" fillId="2" borderId="1" xfId="0" applyNumberFormat="1" applyFont="1" applyFill="1" applyBorder="1"/>
    <xf numFmtId="166" fontId="13" fillId="2" borderId="0" xfId="0" applyNumberFormat="1" applyFont="1" applyFill="1"/>
    <xf numFmtId="3" fontId="13" fillId="2" borderId="1" xfId="0" applyNumberFormat="1" applyFont="1" applyFill="1" applyBorder="1"/>
    <xf numFmtId="170" fontId="13" fillId="0" borderId="0" xfId="6" applyNumberFormat="1" applyFont="1" applyBorder="1" applyAlignment="1"/>
    <xf numFmtId="41" fontId="13" fillId="0" borderId="0" xfId="1" applyNumberFormat="1" applyFont="1" applyFill="1" applyBorder="1" applyAlignment="1"/>
    <xf numFmtId="3" fontId="13" fillId="2" borderId="0" xfId="0" applyNumberFormat="1" applyFont="1" applyFill="1"/>
    <xf numFmtId="0" fontId="23" fillId="0" borderId="0" xfId="0" applyFont="1"/>
    <xf numFmtId="0" fontId="23"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2" fontId="24" fillId="0" borderId="0" xfId="0" applyNumberFormat="1" applyFont="1" applyAlignment="1">
      <alignment horizontal="lef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3" fillId="4" borderId="6" xfId="1" applyFont="1" applyFill="1" applyBorder="1" applyAlignment="1"/>
    <xf numFmtId="43" fontId="22"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6" fillId="4" borderId="6" xfId="1" applyFont="1" applyFill="1" applyBorder="1" applyAlignment="1"/>
    <xf numFmtId="4" fontId="19"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170" fontId="13" fillId="0" borderId="0" xfId="6" applyNumberFormat="1" applyFont="1" applyFill="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7" fillId="0" borderId="0" xfId="9" applyFont="1"/>
    <xf numFmtId="0" fontId="22" fillId="0" borderId="10" xfId="9" applyFont="1" applyBorder="1" applyAlignment="1">
      <alignment horizontal="right"/>
    </xf>
    <xf numFmtId="0" fontId="19" fillId="0" borderId="11" xfId="9" applyFont="1" applyBorder="1"/>
    <xf numFmtId="0" fontId="13" fillId="0" borderId="0" xfId="9" applyFont="1"/>
    <xf numFmtId="0" fontId="28" fillId="0" borderId="0" xfId="9" applyFont="1"/>
    <xf numFmtId="0" fontId="19"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19" fillId="0" borderId="1" xfId="3" applyFont="1" applyBorder="1"/>
    <xf numFmtId="9" fontId="15" fillId="0" borderId="1" xfId="10"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3"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19"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3" fillId="0" borderId="6" xfId="1" applyFont="1" applyFill="1" applyBorder="1" applyAlignment="1"/>
    <xf numFmtId="43" fontId="13" fillId="0" borderId="0" xfId="1" applyFont="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6" fillId="0" borderId="0" xfId="7" applyFont="1"/>
    <xf numFmtId="49" fontId="29"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170" fontId="21" fillId="0" borderId="0" xfId="6" applyNumberFormat="1" applyFont="1" applyFill="1" applyBorder="1" applyAlignment="1"/>
    <xf numFmtId="43" fontId="18" fillId="0" borderId="1" xfId="1" applyFont="1" applyFill="1" applyBorder="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0" fontId="13" fillId="0" borderId="0" xfId="0" applyFont="1" applyAlignment="1">
      <alignment horizontal="left" indent="3"/>
    </xf>
    <xf numFmtId="0" fontId="13" fillId="0" borderId="0" xfId="0" quotePrefix="1" applyFont="1" applyAlignment="1">
      <alignment horizontal="left" indent="3"/>
    </xf>
    <xf numFmtId="0" fontId="15" fillId="0" borderId="0" xfId="0" applyFont="1" applyAlignment="1">
      <alignment horizontal="left" indent="3"/>
    </xf>
    <xf numFmtId="43" fontId="13" fillId="0" borderId="0" xfId="0" applyNumberFormat="1" applyFont="1"/>
    <xf numFmtId="1" fontId="30"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5" fillId="0" borderId="0" xfId="0" quotePrefix="1" applyFont="1" applyAlignment="1">
      <alignment horizontal="left"/>
    </xf>
    <xf numFmtId="43" fontId="22"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37" fontId="13" fillId="0" borderId="1" xfId="1" applyNumberFormat="1" applyFont="1" applyBorder="1" applyAlignment="1"/>
    <xf numFmtId="43" fontId="22"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43" fontId="22" fillId="0" borderId="1" xfId="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6" fillId="0" borderId="0" xfId="0" quotePrefix="1" applyNumberFormat="1" applyFo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quotePrefix="1" applyNumberFormat="1" applyFont="1" applyAlignment="1">
      <alignment horizontal="left"/>
    </xf>
    <xf numFmtId="49" fontId="16" fillId="0" borderId="0" xfId="0" applyNumberFormat="1" applyFont="1"/>
    <xf numFmtId="0" fontId="13" fillId="0" borderId="0" xfId="0" quotePrefix="1" applyFont="1" applyAlignment="1">
      <alignment horizontal="left" indent="1"/>
    </xf>
    <xf numFmtId="49" fontId="22"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170" fontId="21" fillId="6" borderId="0" xfId="6" applyNumberFormat="1" applyFont="1" applyFill="1" applyBorder="1" applyAlignment="1"/>
    <xf numFmtId="4" fontId="22" fillId="6" borderId="1" xfId="0" applyNumberFormat="1" applyFont="1" applyFill="1" applyBorder="1" applyAlignment="1">
      <alignment horizontal="center"/>
    </xf>
    <xf numFmtId="43" fontId="22" fillId="6" borderId="1" xfId="1" applyFont="1" applyFill="1" applyBorder="1" applyAlignment="1"/>
    <xf numFmtId="0" fontId="16" fillId="0" borderId="0" xfId="0" applyFont="1" applyAlignment="1">
      <alignment horizontal="left" indent="3"/>
    </xf>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6" fillId="0" borderId="0" xfId="0" applyNumberFormat="1" applyFont="1"/>
    <xf numFmtId="43" fontId="31"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3"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0" quotePrefix="1" applyFont="1" applyAlignment="1">
      <alignment horizontal="left"/>
    </xf>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0" fontId="17" fillId="0" borderId="0" xfId="0" applyFont="1" applyProtection="1">
      <protection locked="0"/>
    </xf>
    <xf numFmtId="0" fontId="17" fillId="0" borderId="0" xfId="0" quotePrefix="1" applyFont="1" applyAlignment="1" applyProtection="1">
      <alignment horizontal="left" indent="2"/>
      <protection locked="0"/>
    </xf>
    <xf numFmtId="170" fontId="13" fillId="0" borderId="0" xfId="6" quotePrefix="1" applyNumberFormat="1" applyFont="1" applyBorder="1" applyAlignment="1">
      <alignment horizontal="center"/>
    </xf>
    <xf numFmtId="0" fontId="34"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2"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4"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4" fillId="2" borderId="12" xfId="0" quotePrefix="1" applyFont="1" applyFill="1" applyBorder="1" applyAlignment="1">
      <alignment horizontal="left" indent="2"/>
    </xf>
    <xf numFmtId="0" fontId="34"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2" fillId="0" borderId="0" xfId="0" applyFont="1" applyAlignment="1">
      <alignment horizontal="left"/>
    </xf>
    <xf numFmtId="0" fontId="16" fillId="2" borderId="0" xfId="0" applyFont="1" applyFill="1" applyAlignment="1">
      <alignment horizontal="left" indent="3"/>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33" fillId="2" borderId="14" xfId="0" quotePrefix="1" applyNumberFormat="1" applyFont="1" applyFill="1" applyBorder="1" applyAlignment="1">
      <alignment horizontal="center"/>
    </xf>
    <xf numFmtId="49" fontId="17" fillId="2" borderId="2" xfId="0" applyNumberFormat="1" applyFont="1" applyFill="1" applyBorder="1"/>
    <xf numFmtId="49" fontId="17" fillId="2" borderId="15"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6"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16" fillId="0" borderId="0" xfId="0" quotePrefix="1" applyFont="1" applyAlignment="1">
      <alignment horizontal="left" vertical="center"/>
    </xf>
    <xf numFmtId="0" fontId="13" fillId="2" borderId="0" xfId="0" quotePrefix="1" applyFont="1" applyFill="1" applyAlignment="1">
      <alignment horizontal="left"/>
    </xf>
    <xf numFmtId="0" fontId="13" fillId="0" borderId="0" xfId="0" quotePrefix="1" applyFont="1" applyAlignment="1">
      <alignment horizontal="left" indent="2"/>
    </xf>
    <xf numFmtId="0" fontId="13" fillId="2" borderId="0" xfId="0" quotePrefix="1" applyFont="1" applyFill="1" applyAlignment="1">
      <alignment horizontal="left" indent="2"/>
    </xf>
    <xf numFmtId="0" fontId="13" fillId="2" borderId="0" xfId="0" quotePrefix="1" applyFont="1" applyFill="1" applyAlignment="1">
      <alignment horizontal="left" indent="3"/>
    </xf>
    <xf numFmtId="3" fontId="13" fillId="2" borderId="6" xfId="0" applyNumberFormat="1" applyFont="1" applyFill="1" applyBorder="1"/>
    <xf numFmtId="43" fontId="25" fillId="0" borderId="0" xfId="0" applyNumberFormat="1" applyFont="1"/>
    <xf numFmtId="0" fontId="9" fillId="0" borderId="16" xfId="0" quotePrefix="1" applyFont="1" applyBorder="1" applyAlignment="1">
      <alignment horizontal="left" indent="1"/>
    </xf>
    <xf numFmtId="0" fontId="22"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6" fillId="4" borderId="0" xfId="0" quotePrefix="1" applyNumberFormat="1" applyFont="1" applyFill="1" applyAlignment="1">
      <alignment horizontal="left"/>
    </xf>
    <xf numFmtId="0" fontId="17" fillId="4" borderId="0" xfId="0" quotePrefix="1" applyFont="1" applyFill="1" applyAlignment="1">
      <alignment horizontal="center"/>
    </xf>
    <xf numFmtId="0" fontId="13" fillId="0" borderId="0" xfId="0" quotePrefix="1" applyFont="1"/>
    <xf numFmtId="0" fontId="17" fillId="2" borderId="7" xfId="0" quotePrefix="1" applyFont="1" applyFill="1" applyBorder="1" applyAlignment="1">
      <alignment horizontal="left" indent="1"/>
    </xf>
    <xf numFmtId="49" fontId="16" fillId="0" borderId="0" xfId="0" quotePrefix="1" applyNumberFormat="1" applyFont="1" applyFill="1" applyAlignment="1">
      <alignment horizontal="left" indent="1"/>
    </xf>
    <xf numFmtId="49" fontId="17" fillId="2" borderId="17" xfId="0" quotePrefix="1" applyNumberFormat="1" applyFont="1" applyFill="1" applyBorder="1" applyAlignment="1">
      <alignment horizontal="center"/>
    </xf>
    <xf numFmtId="49" fontId="17" fillId="2" borderId="7" xfId="0" quotePrefix="1" applyNumberFormat="1" applyFont="1" applyFill="1" applyBorder="1" applyAlignment="1">
      <alignment horizontal="center"/>
    </xf>
    <xf numFmtId="49" fontId="17" fillId="2" borderId="23" xfId="0" quotePrefix="1" applyNumberFormat="1" applyFont="1" applyFill="1" applyBorder="1" applyAlignment="1">
      <alignment horizontal="left"/>
    </xf>
    <xf numFmtId="49" fontId="33" fillId="2" borderId="16" xfId="0" quotePrefix="1" applyNumberFormat="1" applyFont="1" applyFill="1" applyBorder="1" applyAlignment="1">
      <alignment horizontal="center"/>
    </xf>
    <xf numFmtId="49" fontId="33" fillId="2" borderId="24" xfId="0" quotePrefix="1" applyNumberFormat="1" applyFont="1" applyFill="1" applyBorder="1" applyAlignment="1">
      <alignment horizontal="center"/>
    </xf>
    <xf numFmtId="49" fontId="33" fillId="2" borderId="0" xfId="0" quotePrefix="1" applyNumberFormat="1" applyFont="1" applyFill="1" applyBorder="1" applyAlignment="1">
      <alignment horizontal="center"/>
    </xf>
    <xf numFmtId="0" fontId="17" fillId="0" borderId="0" xfId="0" quotePrefix="1" applyFont="1" applyAlignment="1">
      <alignment horizontal="center"/>
    </xf>
    <xf numFmtId="0" fontId="33" fillId="0" borderId="18" xfId="0" quotePrefix="1" applyFont="1" applyBorder="1" applyAlignment="1">
      <alignment horizontal="center"/>
    </xf>
    <xf numFmtId="0" fontId="33" fillId="0" borderId="19" xfId="0" quotePrefix="1" applyFont="1" applyBorder="1" applyAlignment="1">
      <alignment horizontal="center"/>
    </xf>
    <xf numFmtId="0" fontId="33" fillId="0" borderId="20"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quotePrefix="1" applyFont="1" applyAlignment="1">
      <alignment horizontal="center"/>
    </xf>
    <xf numFmtId="0" fontId="13" fillId="0" borderId="0" xfId="0" quotePrefix="1" applyFont="1" applyAlignment="1">
      <alignment horizontal="left" wrapText="1"/>
    </xf>
    <xf numFmtId="0" fontId="13" fillId="0" borderId="0" xfId="0" applyFont="1" applyAlignment="1">
      <alignment horizontal="center"/>
    </xf>
    <xf numFmtId="174" fontId="13" fillId="0" borderId="0" xfId="0" applyNumberFormat="1" applyFont="1"/>
    <xf numFmtId="7" fontId="13" fillId="0" borderId="0" xfId="0" applyNumberFormat="1" applyFont="1" applyAlignment="1">
      <alignment horizontal="right"/>
    </xf>
    <xf numFmtId="174" fontId="13" fillId="0" borderId="9" xfId="0" applyNumberFormat="1" applyFont="1" applyBorder="1"/>
    <xf numFmtId="2" fontId="24" fillId="0" borderId="0" xfId="0" applyNumberFormat="1" applyFont="1" applyAlignment="1">
      <alignment horizontal="left"/>
    </xf>
    <xf numFmtId="4" fontId="13" fillId="0" borderId="0" xfId="0" quotePrefix="1" applyNumberFormat="1" applyFont="1" applyAlignment="1">
      <alignment horizontal="center"/>
    </xf>
    <xf numFmtId="3" fontId="13" fillId="0" borderId="0" xfId="0" quotePrefix="1" applyNumberFormat="1" applyFont="1" applyAlignment="1">
      <alignment horizontal="center"/>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9" borderId="1" xfId="0" applyFont="1" applyFill="1" applyBorder="1" applyAlignment="1">
      <alignment horizontal="center"/>
    </xf>
    <xf numFmtId="0" fontId="17" fillId="2" borderId="0" xfId="0" applyFont="1" applyFill="1" applyAlignment="1">
      <alignment horizontal="left"/>
    </xf>
    <xf numFmtId="0" fontId="17" fillId="0" borderId="0" xfId="0" applyFont="1" applyAlignment="1">
      <alignment horizontal="left"/>
    </xf>
    <xf numFmtId="0" fontId="13" fillId="2" borderId="0" xfId="0" quotePrefix="1" applyFont="1" applyFill="1" applyAlignment="1">
      <alignment horizontal="left"/>
    </xf>
    <xf numFmtId="0" fontId="13" fillId="2" borderId="0" xfId="0" applyFont="1" applyFill="1" applyAlignment="1">
      <alignment horizontal="left"/>
    </xf>
    <xf numFmtId="0" fontId="13" fillId="2" borderId="0" xfId="0" applyFont="1" applyFill="1" applyAlignment="1">
      <alignment horizontal="right"/>
    </xf>
    <xf numFmtId="0" fontId="32" fillId="2" borderId="0" xfId="0" applyFont="1" applyFill="1" applyAlignment="1">
      <alignment horizontal="left"/>
    </xf>
    <xf numFmtId="0" fontId="13" fillId="2" borderId="1" xfId="0" applyFont="1" applyFill="1" applyBorder="1" applyAlignment="1">
      <alignment horizontal="left"/>
    </xf>
    <xf numFmtId="0" fontId="19" fillId="2" borderId="5" xfId="0" applyFont="1" applyFill="1" applyBorder="1" applyAlignment="1">
      <alignment horizontal="center"/>
    </xf>
    <xf numFmtId="0" fontId="13" fillId="2" borderId="1" xfId="0" applyFont="1" applyFill="1" applyBorder="1" applyAlignment="1">
      <alignment horizontal="center"/>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9" fillId="2" borderId="1" xfId="0" applyFont="1" applyFill="1" applyBorder="1" applyAlignment="1">
      <alignment horizontal="center"/>
    </xf>
    <xf numFmtId="169" fontId="37"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0" fontId="23" fillId="2" borderId="0" xfId="0" applyFont="1" applyFill="1" applyAlignment="1">
      <alignment horizontal="right"/>
    </xf>
    <xf numFmtId="0" fontId="23" fillId="2" borderId="0" xfId="0" applyFont="1" applyFill="1" applyAlignment="1">
      <alignment horizontal="center"/>
    </xf>
    <xf numFmtId="4" fontId="23" fillId="2" borderId="0" xfId="0" applyNumberFormat="1" applyFont="1" applyFill="1" applyAlignment="1">
      <alignment horizontal="left"/>
    </xf>
    <xf numFmtId="168" fontId="13" fillId="2" borderId="0" xfId="0" applyNumberFormat="1" applyFont="1" applyFill="1" applyAlignment="1">
      <alignment horizontal="left"/>
    </xf>
    <xf numFmtId="0" fontId="13" fillId="2" borderId="0" xfId="0" applyFont="1" applyFill="1" applyAlignment="1">
      <alignment horizontal="left" indent="3"/>
    </xf>
    <xf numFmtId="166" fontId="18" fillId="2" borderId="1" xfId="0" applyNumberFormat="1" applyFont="1" applyFill="1" applyBorder="1" applyAlignment="1">
      <alignment horizontal="left"/>
    </xf>
    <xf numFmtId="166" fontId="18" fillId="2" borderId="0" xfId="0" applyNumberFormat="1" applyFont="1" applyFill="1" applyAlignment="1">
      <alignment horizontal="left"/>
    </xf>
    <xf numFmtId="2" fontId="13" fillId="2" borderId="22" xfId="0" applyNumberFormat="1" applyFont="1" applyFill="1" applyBorder="1" applyAlignment="1">
      <alignment horizontal="center"/>
    </xf>
    <xf numFmtId="2" fontId="20" fillId="2" borderId="1" xfId="0" applyNumberFormat="1" applyFont="1" applyFill="1" applyBorder="1" applyAlignment="1">
      <alignment horizontal="center"/>
    </xf>
    <xf numFmtId="0" fontId="15" fillId="2" borderId="0" xfId="0" applyFont="1" applyFill="1" applyAlignment="1">
      <alignment horizontal="left" wrapText="1"/>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2" fontId="13" fillId="2" borderId="0" xfId="0" applyNumberFormat="1" applyFont="1" applyFill="1" applyAlignment="1">
      <alignment horizontal="center"/>
    </xf>
    <xf numFmtId="0" fontId="13" fillId="2" borderId="0" xfId="0"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168" fontId="13" fillId="2" borderId="0" xfId="0" applyNumberFormat="1" applyFont="1" applyFill="1" applyAlignment="1">
      <alignment horizontal="center"/>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8" fillId="0" borderId="7" xfId="0" applyFont="1" applyBorder="1" applyAlignment="1">
      <alignment horizontal="left"/>
    </xf>
    <xf numFmtId="0" fontId="38"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3" fillId="0" borderId="0" xfId="0" quotePrefix="1" applyFont="1" applyAlignment="1">
      <alignment horizontal="right"/>
    </xf>
    <xf numFmtId="168" fontId="13" fillId="6" borderId="6" xfId="0" applyNumberFormat="1" applyFont="1" applyFill="1" applyBorder="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2" fontId="39" fillId="0" borderId="0" xfId="0" applyNumberFormat="1" applyFont="1" applyAlignment="1">
      <alignment horizontal="left" indent="3"/>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1">
    <cellStyle name="Comma" xfId="1" builtinId="3"/>
    <cellStyle name="Comma 2" xfId="2" xr:uid="{00000000-0005-0000-0000-000001000000}"/>
    <cellStyle name="Comma 3 8" xfId="3" xr:uid="{00000000-0005-0000-0000-000002000000}"/>
    <cellStyle name="Comma_charter school revenue frame" xfId="4" xr:uid="{00000000-0005-0000-0000-000003000000}"/>
    <cellStyle name="Currency 2 8" xfId="5" xr:uid="{00000000-0005-0000-0000-000004000000}"/>
    <cellStyle name="Currency_charter school revenue frame" xfId="6" xr:uid="{00000000-0005-0000-0000-000005000000}"/>
    <cellStyle name="Normal" xfId="0" builtinId="0"/>
    <cellStyle name="Normal 2" xfId="7" xr:uid="{00000000-0005-0000-0000-000007000000}"/>
    <cellStyle name="Normal 2 2" xfId="8" xr:uid="{00000000-0005-0000-0000-000008000000}"/>
    <cellStyle name="Normal 3 8" xfId="9" xr:uid="{00000000-0005-0000-0000-000009000000}"/>
    <cellStyle name="Percent 3 8" xfId="10" xr:uid="{00000000-0005-0000-0000-00000B000000}"/>
  </cellStyles>
  <dxfs count="213">
    <dxf>
      <font>
        <color theme="0"/>
      </font>
    </dxf>
    <dxf>
      <font>
        <b/>
        <i val="0"/>
      </font>
    </dxf>
    <dxf>
      <font>
        <color theme="0"/>
      </font>
    </dxf>
    <dxf>
      <font>
        <b/>
        <i val="0"/>
        <color rgb="FFFF0000"/>
      </font>
    </dxf>
    <dxf>
      <font>
        <color theme="0"/>
      </font>
    </dxf>
    <dxf>
      <font>
        <b/>
        <i val="0"/>
        <color rgb="FFFF0000"/>
      </font>
    </dxf>
    <dxf>
      <font>
        <color theme="0"/>
      </font>
    </dxf>
    <dxf>
      <font>
        <b/>
        <i val="0"/>
        <color rgb="FFFF0000"/>
      </font>
    </dxf>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dxf>
    <dxf>
      <font>
        <b/>
        <i val="0"/>
        <color rgb="FFFF000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514"/>
  <sheetViews>
    <sheetView showGridLines="0" zoomScaleNormal="100" workbookViewId="0">
      <pane ySplit="4" topLeftCell="A5" activePane="bottomLeft" state="frozen"/>
      <selection activeCell="E78" sqref="E78"/>
      <selection pane="bottomLeft" activeCell="F80" sqref="F80"/>
    </sheetView>
  </sheetViews>
  <sheetFormatPr defaultRowHeight="12.75" customHeight="1" x14ac:dyDescent="0.2"/>
  <cols>
    <col min="1" max="1" width="3" style="212" bestFit="1" customWidth="1"/>
    <col min="2" max="2" width="7.28515625" style="212" customWidth="1"/>
    <col min="3" max="3" width="43.28515625" style="212" customWidth="1"/>
    <col min="4" max="4" width="18.5703125" style="212" customWidth="1"/>
    <col min="5" max="5" width="14.42578125" style="212" customWidth="1"/>
    <col min="6" max="6" width="12.140625" style="268" bestFit="1" customWidth="1"/>
    <col min="7" max="7" width="13.5703125" style="212" customWidth="1"/>
    <col min="8" max="8" width="4.28515625" style="268" customWidth="1"/>
    <col min="9" max="9" width="75.7109375" style="212" bestFit="1" customWidth="1"/>
    <col min="10" max="10" width="9.5703125" style="212" bestFit="1" customWidth="1"/>
    <col min="11" max="16384" width="9.140625" style="212"/>
  </cols>
  <sheetData>
    <row r="1" spans="1:9" ht="12.75" customHeight="1" x14ac:dyDescent="0.2">
      <c r="A1" s="213"/>
      <c r="B1" s="214" t="s">
        <v>485</v>
      </c>
      <c r="C1" s="241"/>
      <c r="I1" s="273"/>
    </row>
    <row r="2" spans="1:9" ht="12.75" customHeight="1" x14ac:dyDescent="0.2">
      <c r="B2" s="267" t="str">
        <f>'0664'!A3</f>
        <v>Based on the FLDOE 2022-23 FEFP Fourth Calculation</v>
      </c>
      <c r="C2" s="242"/>
      <c r="E2" s="256"/>
      <c r="F2" s="269"/>
      <c r="G2" s="256"/>
      <c r="I2" s="282"/>
    </row>
    <row r="3" spans="1:9" ht="12.75" customHeight="1" thickBot="1" x14ac:dyDescent="0.25">
      <c r="B3" s="215"/>
      <c r="C3" s="242"/>
      <c r="E3" s="256"/>
      <c r="F3" s="437"/>
      <c r="G3" s="437"/>
      <c r="I3" s="282"/>
    </row>
    <row r="4" spans="1:9" ht="12.75" customHeight="1" thickBot="1" x14ac:dyDescent="0.25">
      <c r="A4" s="216"/>
      <c r="B4" s="217" t="s">
        <v>203</v>
      </c>
      <c r="C4" s="245" t="s">
        <v>275</v>
      </c>
      <c r="D4" s="218" t="s">
        <v>204</v>
      </c>
      <c r="E4" s="260" t="s">
        <v>2</v>
      </c>
      <c r="F4" s="301" t="s">
        <v>301</v>
      </c>
      <c r="G4" s="260" t="s">
        <v>281</v>
      </c>
      <c r="I4" s="351" t="s">
        <v>336</v>
      </c>
    </row>
    <row r="5" spans="1:9" s="290" customFormat="1" ht="12.75" customHeight="1" x14ac:dyDescent="0.2">
      <c r="A5" s="219">
        <v>1</v>
      </c>
      <c r="B5" s="220" t="s">
        <v>205</v>
      </c>
      <c r="C5" s="243" t="s">
        <v>237</v>
      </c>
      <c r="D5" s="271" t="s">
        <v>337</v>
      </c>
      <c r="E5" s="222">
        <f>'0664'!I$132</f>
        <v>-131.41</v>
      </c>
      <c r="F5" s="365"/>
      <c r="G5" s="222">
        <f>SUBTOTAL(109,E5:F14)</f>
        <v>-131.41</v>
      </c>
      <c r="H5" s="289"/>
      <c r="I5" s="372"/>
    </row>
    <row r="6" spans="1:9" s="290" customFormat="1" ht="12.75" hidden="1" customHeight="1" x14ac:dyDescent="0.2">
      <c r="A6" s="219"/>
      <c r="B6" s="220"/>
      <c r="C6" s="270"/>
      <c r="D6" s="378" t="s">
        <v>337</v>
      </c>
      <c r="E6" s="222"/>
      <c r="F6" s="365"/>
      <c r="G6" s="222"/>
      <c r="H6" s="289"/>
      <c r="I6" s="373"/>
    </row>
    <row r="7" spans="1:9" s="290" customFormat="1" ht="12.75" hidden="1" customHeight="1" x14ac:dyDescent="0.2">
      <c r="A7" s="219"/>
      <c r="B7" s="220"/>
      <c r="C7" s="270"/>
      <c r="D7" s="378" t="s">
        <v>413</v>
      </c>
      <c r="E7" s="222"/>
      <c r="F7" s="365"/>
      <c r="G7" s="222"/>
      <c r="H7" s="289"/>
      <c r="I7" s="373"/>
    </row>
    <row r="8" spans="1:9" s="290" customFormat="1" ht="12.75" hidden="1" customHeight="1" x14ac:dyDescent="0.2">
      <c r="A8" s="219"/>
      <c r="B8" s="220"/>
      <c r="C8" s="243"/>
      <c r="D8" s="258" t="s">
        <v>339</v>
      </c>
      <c r="E8" s="222"/>
      <c r="F8" s="365"/>
      <c r="G8" s="222"/>
      <c r="H8" s="289"/>
      <c r="I8" s="412"/>
    </row>
    <row r="9" spans="1:9" s="290" customFormat="1" ht="12.75" hidden="1" customHeight="1" x14ac:dyDescent="0.2">
      <c r="A9" s="219"/>
      <c r="B9" s="220"/>
      <c r="C9" s="243"/>
      <c r="D9" s="258" t="s">
        <v>338</v>
      </c>
      <c r="E9" s="222"/>
      <c r="F9" s="365"/>
      <c r="G9" s="222"/>
      <c r="H9" s="289"/>
      <c r="I9" s="412"/>
    </row>
    <row r="10" spans="1:9" s="290" customFormat="1" ht="12.75" hidden="1" customHeight="1" x14ac:dyDescent="0.2">
      <c r="A10" s="219"/>
      <c r="B10" s="220"/>
      <c r="C10" s="243"/>
      <c r="D10" s="258" t="s">
        <v>349</v>
      </c>
      <c r="E10" s="222"/>
      <c r="F10" s="365"/>
      <c r="G10" s="222"/>
      <c r="H10" s="289"/>
      <c r="I10" s="373"/>
    </row>
    <row r="11" spans="1:9" s="290" customFormat="1" ht="12.75" hidden="1" customHeight="1" x14ac:dyDescent="0.2">
      <c r="A11" s="219"/>
      <c r="B11" s="220"/>
      <c r="C11" s="243"/>
      <c r="D11" s="258" t="s">
        <v>339</v>
      </c>
      <c r="E11" s="222"/>
      <c r="F11" s="365"/>
      <c r="G11" s="222"/>
      <c r="H11" s="289"/>
      <c r="I11" s="376"/>
    </row>
    <row r="12" spans="1:9" s="290" customFormat="1" ht="12.75" hidden="1" customHeight="1" x14ac:dyDescent="0.2">
      <c r="A12" s="219"/>
      <c r="B12" s="220"/>
      <c r="C12" s="243"/>
      <c r="D12" s="258" t="s">
        <v>338</v>
      </c>
      <c r="E12" s="222"/>
      <c r="F12" s="365"/>
      <c r="G12" s="222"/>
      <c r="H12" s="289"/>
      <c r="I12" s="376"/>
    </row>
    <row r="13" spans="1:9" s="290" customFormat="1" ht="12.75" hidden="1" customHeight="1" x14ac:dyDescent="0.2">
      <c r="A13" s="219"/>
      <c r="B13" s="220"/>
      <c r="C13" s="243"/>
      <c r="D13" s="258" t="s">
        <v>308</v>
      </c>
      <c r="E13" s="222"/>
      <c r="F13" s="365"/>
      <c r="G13" s="222"/>
      <c r="H13" s="289"/>
      <c r="I13" s="374"/>
    </row>
    <row r="14" spans="1:9" s="290" customFormat="1" ht="12.75" hidden="1" customHeight="1" x14ac:dyDescent="0.2">
      <c r="A14" s="219"/>
      <c r="B14" s="220"/>
      <c r="C14" s="243"/>
      <c r="D14" s="309" t="s">
        <v>452</v>
      </c>
      <c r="E14" s="222"/>
      <c r="F14" s="365">
        <v>0</v>
      </c>
      <c r="G14" s="222"/>
      <c r="H14" s="289"/>
      <c r="I14" s="374"/>
    </row>
    <row r="15" spans="1:9" s="290" customFormat="1" ht="12.75" customHeight="1" x14ac:dyDescent="0.2">
      <c r="A15" s="223">
        <f>1+A5</f>
        <v>2</v>
      </c>
      <c r="B15" s="224" t="s">
        <v>206</v>
      </c>
      <c r="C15" s="244" t="s">
        <v>239</v>
      </c>
      <c r="D15" s="310" t="str">
        <f>$D$5</f>
        <v>PY Final FEFP</v>
      </c>
      <c r="E15" s="225">
        <f>'1461'!I$132</f>
        <v>41723.72</v>
      </c>
      <c r="F15" s="364"/>
      <c r="G15" s="225">
        <f>SUBTOTAL(109,E15:F36)</f>
        <v>41723.72</v>
      </c>
      <c r="H15" s="289"/>
      <c r="I15" s="374" t="s">
        <v>372</v>
      </c>
    </row>
    <row r="16" spans="1:9" s="290" customFormat="1" ht="12.75" hidden="1" customHeight="1" x14ac:dyDescent="0.2">
      <c r="A16" s="223"/>
      <c r="B16" s="224"/>
      <c r="C16" s="244"/>
      <c r="D16" s="259" t="s">
        <v>337</v>
      </c>
      <c r="E16" s="225"/>
      <c r="F16" s="364"/>
      <c r="G16" s="225"/>
      <c r="H16" s="289"/>
      <c r="I16" s="375"/>
    </row>
    <row r="17" spans="1:12" s="290" customFormat="1" ht="12.75" hidden="1" customHeight="1" x14ac:dyDescent="0.2">
      <c r="A17" s="223"/>
      <c r="B17" s="224"/>
      <c r="C17" s="244"/>
      <c r="D17" s="411" t="s">
        <v>414</v>
      </c>
      <c r="E17" s="225"/>
      <c r="F17" s="364"/>
      <c r="G17" s="225"/>
      <c r="H17" s="289"/>
      <c r="I17" s="375"/>
    </row>
    <row r="18" spans="1:12" s="290" customFormat="1" ht="12.75" hidden="1" customHeight="1" x14ac:dyDescent="0.2">
      <c r="A18" s="223"/>
      <c r="B18" s="224"/>
      <c r="C18" s="244"/>
      <c r="D18" s="259" t="s">
        <v>339</v>
      </c>
      <c r="E18" s="225"/>
      <c r="F18" s="364"/>
      <c r="G18" s="225"/>
      <c r="H18" s="289"/>
      <c r="I18" s="376"/>
    </row>
    <row r="19" spans="1:12" s="290" customFormat="1" ht="12.75" hidden="1" customHeight="1" x14ac:dyDescent="0.2">
      <c r="A19" s="223"/>
      <c r="B19" s="224"/>
      <c r="C19" s="244"/>
      <c r="D19" s="259" t="s">
        <v>338</v>
      </c>
      <c r="E19" s="225"/>
      <c r="F19" s="364"/>
      <c r="G19" s="225"/>
      <c r="H19" s="289"/>
      <c r="I19" s="376"/>
    </row>
    <row r="20" spans="1:12" s="290" customFormat="1" ht="12.75" hidden="1" customHeight="1" x14ac:dyDescent="0.2">
      <c r="A20" s="223"/>
      <c r="B20" s="224"/>
      <c r="C20" s="244"/>
      <c r="D20" s="259" t="s">
        <v>349</v>
      </c>
      <c r="E20" s="225"/>
      <c r="F20" s="364"/>
      <c r="G20" s="225"/>
      <c r="H20" s="289"/>
      <c r="I20" s="376"/>
    </row>
    <row r="21" spans="1:12" s="290" customFormat="1" ht="12.75" hidden="1" customHeight="1" x14ac:dyDescent="0.2">
      <c r="A21" s="223"/>
      <c r="B21" s="224"/>
      <c r="C21" s="244"/>
      <c r="D21" s="259" t="s">
        <v>308</v>
      </c>
      <c r="E21" s="225"/>
      <c r="F21" s="364"/>
      <c r="G21" s="225"/>
      <c r="H21" s="289"/>
      <c r="I21" s="372"/>
    </row>
    <row r="22" spans="1:12" s="290" customFormat="1" ht="12.75" hidden="1" customHeight="1" x14ac:dyDescent="0.2">
      <c r="A22" s="223"/>
      <c r="B22" s="224"/>
      <c r="C22" s="255"/>
      <c r="D22" s="312"/>
      <c r="E22" s="225"/>
      <c r="F22" s="364"/>
      <c r="G22" s="225"/>
      <c r="H22" s="289"/>
      <c r="I22" s="374"/>
    </row>
    <row r="23" spans="1:12" s="290" customFormat="1" ht="12.75" customHeight="1" thickBot="1" x14ac:dyDescent="0.25">
      <c r="A23" s="223"/>
      <c r="B23" s="224"/>
      <c r="C23" s="255"/>
      <c r="D23" s="312"/>
      <c r="E23" s="225"/>
      <c r="F23" s="364"/>
      <c r="G23" s="225"/>
      <c r="H23" s="289"/>
      <c r="I23" s="377"/>
    </row>
    <row r="24" spans="1:12" s="290" customFormat="1" ht="12.75" hidden="1" customHeight="1" x14ac:dyDescent="0.2">
      <c r="A24" s="223"/>
      <c r="B24" s="224"/>
      <c r="C24" s="255"/>
      <c r="D24" s="312"/>
      <c r="E24" s="225"/>
      <c r="F24" s="364"/>
      <c r="G24" s="225"/>
      <c r="H24" s="289"/>
      <c r="I24" s="422"/>
    </row>
    <row r="25" spans="1:12" s="290" customFormat="1" ht="12.75" hidden="1" customHeight="1" x14ac:dyDescent="0.2">
      <c r="A25" s="223"/>
      <c r="B25" s="224"/>
      <c r="C25" s="255"/>
      <c r="D25" s="349"/>
      <c r="E25" s="225"/>
      <c r="F25" s="364"/>
      <c r="G25" s="225"/>
      <c r="H25" s="289"/>
    </row>
    <row r="26" spans="1:12" s="290" customFormat="1" ht="12.75" hidden="1" customHeight="1" x14ac:dyDescent="0.2">
      <c r="A26" s="223"/>
      <c r="B26" s="224"/>
      <c r="C26" s="255"/>
      <c r="D26" s="312"/>
      <c r="E26" s="225"/>
      <c r="F26" s="364"/>
      <c r="G26" s="225"/>
      <c r="H26" s="289"/>
      <c r="I26" s="354"/>
    </row>
    <row r="27" spans="1:12" s="290" customFormat="1" ht="12.75" hidden="1" customHeight="1" x14ac:dyDescent="0.2">
      <c r="A27" s="223"/>
      <c r="B27" s="224"/>
      <c r="C27" s="413" t="s">
        <v>423</v>
      </c>
      <c r="D27" s="349" t="s">
        <v>402</v>
      </c>
      <c r="E27" s="225"/>
      <c r="F27" s="364"/>
      <c r="G27" s="225"/>
      <c r="H27" s="289"/>
      <c r="I27" s="359"/>
    </row>
    <row r="28" spans="1:12" s="290" customFormat="1" ht="12.75" hidden="1" customHeight="1" x14ac:dyDescent="0.2">
      <c r="A28" s="223"/>
      <c r="B28" s="224"/>
      <c r="C28" s="255"/>
      <c r="D28" s="349" t="s">
        <v>404</v>
      </c>
      <c r="E28" s="225"/>
      <c r="F28" s="364"/>
      <c r="G28" s="225"/>
      <c r="H28" s="289"/>
      <c r="I28" s="359"/>
    </row>
    <row r="29" spans="1:12" s="290" customFormat="1" ht="12.75" hidden="1" customHeight="1" x14ac:dyDescent="0.2">
      <c r="A29" s="223"/>
      <c r="B29" s="224"/>
      <c r="C29" s="255"/>
      <c r="D29" s="349" t="s">
        <v>411</v>
      </c>
      <c r="E29" s="225"/>
      <c r="F29" s="364"/>
      <c r="G29" s="225"/>
      <c r="H29" s="289"/>
      <c r="I29" s="359"/>
    </row>
    <row r="30" spans="1:12" s="290" customFormat="1" ht="12.75" hidden="1" customHeight="1" x14ac:dyDescent="0.2">
      <c r="A30" s="223"/>
      <c r="B30" s="224"/>
      <c r="C30" s="255"/>
      <c r="D30" s="349" t="s">
        <v>418</v>
      </c>
      <c r="E30" s="225"/>
      <c r="F30" s="364"/>
      <c r="G30" s="225"/>
      <c r="H30" s="289"/>
      <c r="I30" s="359"/>
    </row>
    <row r="31" spans="1:12" s="290" customFormat="1" ht="12.75" hidden="1" customHeight="1" x14ac:dyDescent="0.2">
      <c r="A31" s="223"/>
      <c r="B31" s="224"/>
      <c r="C31" s="255"/>
      <c r="D31" s="349" t="s">
        <v>420</v>
      </c>
      <c r="E31" s="225"/>
      <c r="F31" s="364"/>
      <c r="G31" s="225"/>
      <c r="H31" s="289"/>
      <c r="I31" s="359"/>
      <c r="L31" s="353">
        <v>44630</v>
      </c>
    </row>
    <row r="32" spans="1:12" s="290" customFormat="1" ht="12.75" hidden="1" customHeight="1" x14ac:dyDescent="0.2">
      <c r="A32" s="223"/>
      <c r="B32" s="224"/>
      <c r="C32" s="255"/>
      <c r="D32" s="349" t="s">
        <v>421</v>
      </c>
      <c r="E32" s="225"/>
      <c r="F32" s="364"/>
      <c r="G32" s="225"/>
      <c r="H32" s="289"/>
      <c r="I32" s="359"/>
      <c r="L32" s="353">
        <f>L31-60</f>
        <v>44570</v>
      </c>
    </row>
    <row r="33" spans="1:13" s="290" customFormat="1" ht="12.75" hidden="1" customHeight="1" x14ac:dyDescent="0.2">
      <c r="A33" s="223"/>
      <c r="B33" s="224"/>
      <c r="C33" s="255"/>
      <c r="D33" s="349" t="s">
        <v>422</v>
      </c>
      <c r="E33" s="225"/>
      <c r="F33" s="364"/>
      <c r="G33" s="225"/>
      <c r="H33" s="289"/>
      <c r="I33" s="359"/>
    </row>
    <row r="34" spans="1:13" s="290" customFormat="1" ht="12.75" hidden="1" customHeight="1" x14ac:dyDescent="0.2">
      <c r="A34" s="223"/>
      <c r="B34" s="224"/>
      <c r="C34" s="255"/>
      <c r="D34" s="349" t="s">
        <v>429</v>
      </c>
      <c r="E34" s="225"/>
      <c r="F34" s="364"/>
      <c r="G34" s="225"/>
      <c r="H34" s="289"/>
      <c r="I34" s="359"/>
    </row>
    <row r="35" spans="1:13" s="290" customFormat="1" ht="12.75" hidden="1" customHeight="1" x14ac:dyDescent="0.2">
      <c r="A35" s="223"/>
      <c r="B35" s="224"/>
      <c r="C35" s="255"/>
      <c r="D35" s="349" t="s">
        <v>430</v>
      </c>
      <c r="E35" s="225"/>
      <c r="F35" s="364"/>
      <c r="G35" s="225"/>
      <c r="H35" s="289"/>
      <c r="I35" s="359"/>
    </row>
    <row r="36" spans="1:13" s="290" customFormat="1" ht="12.75" hidden="1" customHeight="1" x14ac:dyDescent="0.2">
      <c r="A36" s="223"/>
      <c r="B36" s="224"/>
      <c r="C36" s="255"/>
      <c r="D36" s="349" t="s">
        <v>474</v>
      </c>
      <c r="E36" s="225"/>
      <c r="F36" s="364">
        <v>0</v>
      </c>
      <c r="G36" s="225"/>
      <c r="H36" s="289"/>
      <c r="I36" s="354"/>
    </row>
    <row r="37" spans="1:13" s="290" customFormat="1" ht="12.75" customHeight="1" x14ac:dyDescent="0.2">
      <c r="A37" s="219">
        <f>1+A15</f>
        <v>3</v>
      </c>
      <c r="B37" s="220" t="s">
        <v>207</v>
      </c>
      <c r="C37" s="243" t="s">
        <v>241</v>
      </c>
      <c r="D37" s="308" t="str">
        <f>$D$5</f>
        <v>PY Final FEFP</v>
      </c>
      <c r="E37" s="222">
        <f>'1571'!I$132</f>
        <v>50713.73</v>
      </c>
      <c r="F37" s="365"/>
      <c r="G37" s="222">
        <f>SUBTOTAL(109,E37:F52)</f>
        <v>50713.73</v>
      </c>
      <c r="H37" s="289"/>
      <c r="I37" s="354"/>
    </row>
    <row r="38" spans="1:13" s="290" customFormat="1" ht="12.75" hidden="1" customHeight="1" x14ac:dyDescent="0.2">
      <c r="A38" s="219"/>
      <c r="B38" s="220"/>
      <c r="C38" s="402"/>
      <c r="D38" s="258" t="s">
        <v>337</v>
      </c>
      <c r="E38" s="222"/>
      <c r="F38" s="365"/>
      <c r="G38" s="222"/>
      <c r="H38" s="289"/>
      <c r="I38" s="354"/>
    </row>
    <row r="39" spans="1:13" s="290" customFormat="1" ht="12.75" hidden="1" customHeight="1" x14ac:dyDescent="0.2">
      <c r="A39" s="219"/>
      <c r="B39" s="220"/>
      <c r="C39" s="243"/>
      <c r="D39" s="378" t="s">
        <v>414</v>
      </c>
      <c r="E39" s="222"/>
      <c r="F39" s="365"/>
      <c r="G39" s="222"/>
      <c r="H39" s="332"/>
      <c r="I39" s="354"/>
    </row>
    <row r="40" spans="1:13" s="290" customFormat="1" ht="12.75" hidden="1" customHeight="1" x14ac:dyDescent="0.2">
      <c r="A40" s="219"/>
      <c r="B40" s="220"/>
      <c r="C40" s="270"/>
      <c r="D40" s="378" t="s">
        <v>413</v>
      </c>
      <c r="E40" s="222"/>
      <c r="F40" s="365"/>
      <c r="G40" s="222"/>
      <c r="H40" s="289"/>
      <c r="I40" s="354"/>
    </row>
    <row r="41" spans="1:13" s="290" customFormat="1" ht="12.75" hidden="1" customHeight="1" x14ac:dyDescent="0.2">
      <c r="A41" s="219"/>
      <c r="B41" s="220"/>
      <c r="C41" s="243"/>
      <c r="D41" s="258" t="s">
        <v>339</v>
      </c>
      <c r="E41" s="222"/>
      <c r="F41" s="365"/>
      <c r="G41" s="222"/>
      <c r="H41" s="289"/>
      <c r="I41" s="354"/>
    </row>
    <row r="42" spans="1:13" s="290" customFormat="1" ht="12.75" hidden="1" customHeight="1" x14ac:dyDescent="0.2">
      <c r="A42" s="219"/>
      <c r="B42" s="220"/>
      <c r="C42" s="243"/>
      <c r="D42" s="258" t="s">
        <v>338</v>
      </c>
      <c r="E42" s="222"/>
      <c r="F42" s="365"/>
      <c r="G42" s="222"/>
      <c r="H42" s="289"/>
      <c r="I42" s="354"/>
    </row>
    <row r="43" spans="1:13" s="290" customFormat="1" ht="12.75" hidden="1" customHeight="1" x14ac:dyDescent="0.2">
      <c r="A43" s="219"/>
      <c r="B43" s="220"/>
      <c r="C43" s="243"/>
      <c r="D43" s="258" t="s">
        <v>349</v>
      </c>
      <c r="E43" s="222"/>
      <c r="F43" s="365"/>
      <c r="G43" s="222"/>
      <c r="H43" s="289"/>
      <c r="I43" s="354"/>
    </row>
    <row r="44" spans="1:13" s="290" customFormat="1" ht="12.75" hidden="1" customHeight="1" x14ac:dyDescent="0.2">
      <c r="A44" s="219"/>
      <c r="B44" s="220"/>
      <c r="C44" s="243"/>
      <c r="D44" s="258" t="s">
        <v>308</v>
      </c>
      <c r="E44" s="222"/>
      <c r="F44" s="365"/>
      <c r="G44" s="222"/>
      <c r="H44" s="289"/>
      <c r="I44" s="354"/>
    </row>
    <row r="45" spans="1:13" s="290" customFormat="1" ht="12.75" hidden="1" customHeight="1" x14ac:dyDescent="0.2">
      <c r="A45" s="219"/>
      <c r="B45" s="220"/>
      <c r="C45" s="257"/>
      <c r="D45" s="309"/>
      <c r="E45" s="222"/>
      <c r="F45" s="365"/>
      <c r="G45" s="222"/>
      <c r="H45" s="289"/>
      <c r="I45" s="354"/>
    </row>
    <row r="46" spans="1:13" s="290" customFormat="1" ht="12.75" hidden="1" customHeight="1" x14ac:dyDescent="0.2">
      <c r="A46" s="219"/>
      <c r="B46" s="220"/>
      <c r="C46" s="257"/>
      <c r="D46" s="309"/>
      <c r="E46" s="222"/>
      <c r="F46" s="365"/>
      <c r="G46" s="222"/>
      <c r="H46" s="289"/>
      <c r="I46" s="354"/>
    </row>
    <row r="47" spans="1:13" s="290" customFormat="1" ht="12.75" hidden="1" customHeight="1" x14ac:dyDescent="0.2">
      <c r="A47" s="219"/>
      <c r="B47" s="220"/>
      <c r="C47" s="257"/>
      <c r="D47" s="309"/>
      <c r="E47" s="222"/>
      <c r="F47" s="365"/>
      <c r="G47" s="222"/>
      <c r="H47" s="289"/>
      <c r="I47" s="354"/>
      <c r="M47" s="353"/>
    </row>
    <row r="48" spans="1:13" ht="12.75" hidden="1" customHeight="1" x14ac:dyDescent="0.2">
      <c r="A48" s="219"/>
      <c r="B48" s="220"/>
      <c r="C48" s="257"/>
      <c r="D48" s="309"/>
      <c r="E48" s="222"/>
      <c r="F48" s="365"/>
      <c r="G48" s="222"/>
      <c r="I48" s="354"/>
      <c r="M48" s="331"/>
    </row>
    <row r="49" spans="1:12" ht="12.75" hidden="1" customHeight="1" x14ac:dyDescent="0.2">
      <c r="A49" s="219"/>
      <c r="B49" s="220"/>
      <c r="C49" s="414" t="s">
        <v>424</v>
      </c>
      <c r="D49" s="309" t="s">
        <v>402</v>
      </c>
      <c r="E49" s="222"/>
      <c r="F49" s="365">
        <v>0</v>
      </c>
      <c r="G49" s="222"/>
      <c r="I49" s="354"/>
      <c r="L49" s="331"/>
    </row>
    <row r="50" spans="1:12" s="290" customFormat="1" ht="12.75" hidden="1" customHeight="1" x14ac:dyDescent="0.2">
      <c r="A50" s="219"/>
      <c r="B50" s="220"/>
      <c r="C50" s="257"/>
      <c r="D50" s="379" t="s">
        <v>404</v>
      </c>
      <c r="E50" s="222"/>
      <c r="F50" s="365"/>
      <c r="G50" s="222"/>
      <c r="H50" s="332"/>
      <c r="I50" s="354"/>
    </row>
    <row r="51" spans="1:12" ht="12.75" hidden="1" customHeight="1" x14ac:dyDescent="0.2">
      <c r="A51" s="219"/>
      <c r="B51" s="220"/>
      <c r="C51" s="257"/>
      <c r="D51" s="309" t="s">
        <v>386</v>
      </c>
      <c r="E51" s="222"/>
      <c r="F51" s="365">
        <v>0</v>
      </c>
      <c r="G51" s="222"/>
      <c r="I51" s="354"/>
    </row>
    <row r="52" spans="1:12" ht="12.75" hidden="1" customHeight="1" x14ac:dyDescent="0.2">
      <c r="A52" s="219"/>
      <c r="B52" s="220"/>
      <c r="C52" s="257"/>
      <c r="D52" s="309" t="s">
        <v>459</v>
      </c>
      <c r="E52" s="222"/>
      <c r="F52" s="365"/>
      <c r="G52" s="222"/>
      <c r="I52" s="354"/>
    </row>
    <row r="53" spans="1:12" s="290" customFormat="1" ht="12.75" customHeight="1" x14ac:dyDescent="0.2">
      <c r="A53" s="223">
        <f>1+A37</f>
        <v>4</v>
      </c>
      <c r="B53" s="224" t="s">
        <v>208</v>
      </c>
      <c r="C53" s="244" t="s">
        <v>242</v>
      </c>
      <c r="D53" s="310" t="str">
        <f>$D$5</f>
        <v>PY Final FEFP</v>
      </c>
      <c r="E53" s="225">
        <f>'2521'!I$132</f>
        <v>-28713.85</v>
      </c>
      <c r="F53" s="364"/>
      <c r="G53" s="225">
        <f>SUBTOTAL(109,E53:F59)</f>
        <v>-28713.85</v>
      </c>
      <c r="H53" s="289"/>
      <c r="I53" s="342"/>
    </row>
    <row r="54" spans="1:12" s="290" customFormat="1" ht="12.75" hidden="1" customHeight="1" x14ac:dyDescent="0.2">
      <c r="A54" s="223"/>
      <c r="B54" s="224"/>
      <c r="C54" s="244"/>
      <c r="D54" s="259" t="s">
        <v>337</v>
      </c>
      <c r="E54" s="225"/>
      <c r="F54" s="364"/>
      <c r="G54" s="225"/>
      <c r="H54" s="289"/>
      <c r="I54" s="220"/>
    </row>
    <row r="55" spans="1:12" s="290" customFormat="1" ht="12.75" hidden="1" customHeight="1" x14ac:dyDescent="0.2">
      <c r="A55" s="223"/>
      <c r="B55" s="224"/>
      <c r="C55" s="244"/>
      <c r="D55" s="259" t="s">
        <v>339</v>
      </c>
      <c r="E55" s="225"/>
      <c r="F55" s="364"/>
      <c r="G55" s="225"/>
      <c r="H55" s="289"/>
      <c r="I55" s="220"/>
    </row>
    <row r="56" spans="1:12" s="290" customFormat="1" ht="12.75" hidden="1" customHeight="1" x14ac:dyDescent="0.2">
      <c r="A56" s="223"/>
      <c r="B56" s="224"/>
      <c r="C56" s="244"/>
      <c r="D56" s="259" t="s">
        <v>338</v>
      </c>
      <c r="E56" s="225"/>
      <c r="F56" s="364"/>
      <c r="G56" s="225"/>
      <c r="H56" s="289"/>
      <c r="I56" s="220"/>
    </row>
    <row r="57" spans="1:12" s="290" customFormat="1" ht="12.75" hidden="1" customHeight="1" x14ac:dyDescent="0.2">
      <c r="A57" s="223"/>
      <c r="B57" s="224"/>
      <c r="C57" s="244"/>
      <c r="D57" s="259" t="s">
        <v>349</v>
      </c>
      <c r="E57" s="225"/>
      <c r="F57" s="364"/>
      <c r="G57" s="225"/>
      <c r="H57" s="332"/>
      <c r="I57" s="342"/>
    </row>
    <row r="58" spans="1:12" s="290" customFormat="1" ht="12.75" hidden="1" customHeight="1" x14ac:dyDescent="0.2">
      <c r="A58" s="223"/>
      <c r="B58" s="224"/>
      <c r="C58" s="244"/>
      <c r="D58" s="259" t="s">
        <v>308</v>
      </c>
      <c r="E58" s="225"/>
      <c r="F58" s="364"/>
      <c r="G58" s="225"/>
      <c r="H58" s="289"/>
      <c r="I58" s="342"/>
    </row>
    <row r="59" spans="1:12" s="290" customFormat="1" ht="12.75" hidden="1" customHeight="1" x14ac:dyDescent="0.2">
      <c r="A59" s="223"/>
      <c r="B59" s="224"/>
      <c r="C59" s="244"/>
      <c r="D59" s="349" t="s">
        <v>386</v>
      </c>
      <c r="E59" s="225"/>
      <c r="F59" s="364"/>
      <c r="G59" s="225"/>
      <c r="H59" s="289"/>
      <c r="I59" s="342"/>
    </row>
    <row r="60" spans="1:12" s="290" customFormat="1" ht="12.75" customHeight="1" x14ac:dyDescent="0.2">
      <c r="A60" s="219">
        <f>1+A53</f>
        <v>5</v>
      </c>
      <c r="B60" s="220">
        <v>2531</v>
      </c>
      <c r="C60" s="243" t="s">
        <v>243</v>
      </c>
      <c r="D60" s="308" t="str">
        <f>$D$5</f>
        <v>PY Final FEFP</v>
      </c>
      <c r="E60" s="222">
        <f>'2531'!I$132</f>
        <v>-3691.8</v>
      </c>
      <c r="F60" s="365"/>
      <c r="G60" s="222">
        <f>SUBTOTAL(109,E60:F71)</f>
        <v>-3691.8</v>
      </c>
      <c r="H60" s="289"/>
      <c r="I60" s="354"/>
    </row>
    <row r="61" spans="1:12" s="290" customFormat="1" ht="12.75" hidden="1" customHeight="1" x14ac:dyDescent="0.2">
      <c r="A61" s="219"/>
      <c r="B61" s="220"/>
      <c r="C61" s="243"/>
      <c r="D61" s="258" t="s">
        <v>337</v>
      </c>
      <c r="E61" s="222"/>
      <c r="F61" s="365"/>
      <c r="G61" s="222"/>
      <c r="H61" s="289"/>
      <c r="I61" s="257"/>
    </row>
    <row r="62" spans="1:12" s="290" customFormat="1" ht="12.75" hidden="1" customHeight="1" x14ac:dyDescent="0.2">
      <c r="A62" s="219"/>
      <c r="B62" s="220"/>
      <c r="C62" s="243"/>
      <c r="D62" s="378" t="s">
        <v>431</v>
      </c>
      <c r="E62" s="222"/>
      <c r="F62" s="365"/>
      <c r="G62" s="222"/>
      <c r="H62" s="332"/>
      <c r="I62" s="359"/>
    </row>
    <row r="63" spans="1:12" s="290" customFormat="1" ht="12.75" hidden="1" customHeight="1" x14ac:dyDescent="0.2">
      <c r="A63" s="219"/>
      <c r="B63" s="220"/>
      <c r="C63" s="243"/>
      <c r="D63" s="258" t="s">
        <v>415</v>
      </c>
      <c r="E63" s="222"/>
      <c r="F63" s="365"/>
      <c r="G63" s="222"/>
      <c r="H63" s="289"/>
      <c r="I63" s="257"/>
    </row>
    <row r="64" spans="1:12" s="290" customFormat="1" ht="12.75" hidden="1" customHeight="1" x14ac:dyDescent="0.2">
      <c r="A64" s="219"/>
      <c r="B64" s="220"/>
      <c r="C64" s="243"/>
      <c r="D64" s="378" t="s">
        <v>413</v>
      </c>
      <c r="E64" s="222"/>
      <c r="F64" s="365"/>
      <c r="G64" s="222"/>
      <c r="H64" s="289"/>
      <c r="I64" s="257"/>
    </row>
    <row r="65" spans="1:9" s="290" customFormat="1" ht="12.75" hidden="1" customHeight="1" x14ac:dyDescent="0.2">
      <c r="A65" s="219"/>
      <c r="B65" s="220"/>
      <c r="C65" s="243"/>
      <c r="D65" s="258" t="s">
        <v>339</v>
      </c>
      <c r="E65" s="222"/>
      <c r="F65" s="365"/>
      <c r="G65" s="222"/>
      <c r="H65" s="289"/>
      <c r="I65" s="257"/>
    </row>
    <row r="66" spans="1:9" s="290" customFormat="1" ht="12.75" hidden="1" customHeight="1" x14ac:dyDescent="0.2">
      <c r="A66" s="219"/>
      <c r="B66" s="220"/>
      <c r="C66" s="243"/>
      <c r="D66" s="258" t="s">
        <v>338</v>
      </c>
      <c r="E66" s="222"/>
      <c r="F66" s="365"/>
      <c r="G66" s="222"/>
      <c r="H66" s="289"/>
      <c r="I66" s="257"/>
    </row>
    <row r="67" spans="1:9" s="290" customFormat="1" ht="12.75" hidden="1" customHeight="1" x14ac:dyDescent="0.2">
      <c r="A67" s="219"/>
      <c r="B67" s="220"/>
      <c r="C67" s="243"/>
      <c r="D67" s="258" t="s">
        <v>349</v>
      </c>
      <c r="E67" s="222"/>
      <c r="F67" s="365"/>
      <c r="G67" s="222"/>
      <c r="H67" s="289"/>
      <c r="I67" s="354"/>
    </row>
    <row r="68" spans="1:9" s="290" customFormat="1" ht="12.75" hidden="1" customHeight="1" x14ac:dyDescent="0.2">
      <c r="A68" s="219"/>
      <c r="B68" s="220"/>
      <c r="C68" s="243"/>
      <c r="D68" s="258" t="s">
        <v>308</v>
      </c>
      <c r="E68" s="222"/>
      <c r="F68" s="365"/>
      <c r="G68" s="222"/>
      <c r="H68" s="289"/>
      <c r="I68" s="354"/>
    </row>
    <row r="69" spans="1:9" s="290" customFormat="1" ht="12.75" hidden="1" customHeight="1" x14ac:dyDescent="0.2">
      <c r="A69" s="219"/>
      <c r="B69" s="220"/>
      <c r="C69" s="243"/>
      <c r="D69" s="258" t="s">
        <v>385</v>
      </c>
      <c r="E69" s="222"/>
      <c r="F69" s="365"/>
      <c r="G69" s="222"/>
      <c r="H69" s="289"/>
      <c r="I69" s="354"/>
    </row>
    <row r="70" spans="1:9" s="290" customFormat="1" ht="12.75" hidden="1" customHeight="1" x14ac:dyDescent="0.2">
      <c r="A70" s="219"/>
      <c r="B70" s="220"/>
      <c r="C70" s="257"/>
      <c r="D70" s="379" t="s">
        <v>404</v>
      </c>
      <c r="E70" s="222"/>
      <c r="F70" s="365"/>
      <c r="G70" s="222"/>
      <c r="H70" s="332"/>
      <c r="I70" s="359"/>
    </row>
    <row r="71" spans="1:9" s="290" customFormat="1" ht="12.75" hidden="1" customHeight="1" x14ac:dyDescent="0.2">
      <c r="A71" s="219"/>
      <c r="B71" s="220"/>
      <c r="C71" s="243"/>
      <c r="D71" s="309" t="s">
        <v>386</v>
      </c>
      <c r="E71" s="222"/>
      <c r="F71" s="365"/>
      <c r="G71" s="222"/>
      <c r="H71" s="289"/>
      <c r="I71" s="354"/>
    </row>
    <row r="72" spans="1:9" s="290" customFormat="1" ht="12.75" customHeight="1" x14ac:dyDescent="0.2">
      <c r="A72" s="223">
        <f>1+A60</f>
        <v>6</v>
      </c>
      <c r="B72" s="224" t="s">
        <v>210</v>
      </c>
      <c r="C72" s="292" t="s">
        <v>306</v>
      </c>
      <c r="D72" s="310" t="str">
        <f>$D$5</f>
        <v>PY Final FEFP</v>
      </c>
      <c r="E72" s="225">
        <f>'2791'!I$132</f>
        <v>0</v>
      </c>
      <c r="F72" s="364"/>
      <c r="G72" s="225">
        <f>SUBTOTAL(109,E72:F79)</f>
        <v>0</v>
      </c>
      <c r="H72" s="332"/>
      <c r="I72" s="342"/>
    </row>
    <row r="73" spans="1:9" s="290" customFormat="1" ht="12.75" hidden="1" customHeight="1" x14ac:dyDescent="0.2">
      <c r="A73" s="223"/>
      <c r="B73" s="224"/>
      <c r="C73" s="244"/>
      <c r="D73" s="259" t="s">
        <v>337</v>
      </c>
      <c r="E73" s="225"/>
      <c r="F73" s="364"/>
      <c r="G73" s="225"/>
      <c r="H73" s="332"/>
      <c r="I73" s="220"/>
    </row>
    <row r="74" spans="1:9" s="290" customFormat="1" ht="12.75" hidden="1" customHeight="1" x14ac:dyDescent="0.2">
      <c r="A74" s="223"/>
      <c r="B74" s="224"/>
      <c r="C74" s="244"/>
      <c r="D74" s="411" t="s">
        <v>413</v>
      </c>
      <c r="E74" s="225"/>
      <c r="F74" s="364"/>
      <c r="G74" s="225"/>
      <c r="H74" s="289"/>
      <c r="I74" s="257"/>
    </row>
    <row r="75" spans="1:9" s="290" customFormat="1" ht="12.75" hidden="1" customHeight="1" x14ac:dyDescent="0.2">
      <c r="A75" s="223"/>
      <c r="B75" s="224"/>
      <c r="C75" s="244"/>
      <c r="D75" s="259" t="s">
        <v>339</v>
      </c>
      <c r="E75" s="225"/>
      <c r="F75" s="364"/>
      <c r="G75" s="225"/>
      <c r="H75" s="332"/>
      <c r="I75" s="220"/>
    </row>
    <row r="76" spans="1:9" s="290" customFormat="1" ht="12.75" hidden="1" customHeight="1" x14ac:dyDescent="0.2">
      <c r="A76" s="223"/>
      <c r="B76" s="224"/>
      <c r="C76" s="244"/>
      <c r="D76" s="259" t="s">
        <v>338</v>
      </c>
      <c r="E76" s="225"/>
      <c r="F76" s="364"/>
      <c r="G76" s="225"/>
      <c r="H76" s="332"/>
      <c r="I76" s="220"/>
    </row>
    <row r="77" spans="1:9" s="290" customFormat="1" ht="12.75" hidden="1" customHeight="1" x14ac:dyDescent="0.2">
      <c r="A77" s="223"/>
      <c r="B77" s="224"/>
      <c r="C77" s="244"/>
      <c r="D77" s="259" t="s">
        <v>349</v>
      </c>
      <c r="E77" s="225"/>
      <c r="F77" s="364"/>
      <c r="G77" s="225"/>
      <c r="H77" s="332"/>
      <c r="I77" s="342"/>
    </row>
    <row r="78" spans="1:9" s="290" customFormat="1" ht="12.75" hidden="1" customHeight="1" x14ac:dyDescent="0.2">
      <c r="A78" s="223"/>
      <c r="B78" s="224"/>
      <c r="C78" s="244"/>
      <c r="D78" s="259" t="s">
        <v>308</v>
      </c>
      <c r="E78" s="225"/>
      <c r="F78" s="364"/>
      <c r="G78" s="225"/>
      <c r="H78" s="289"/>
      <c r="I78" s="342"/>
    </row>
    <row r="79" spans="1:9" s="290" customFormat="1" ht="12.75" hidden="1" customHeight="1" x14ac:dyDescent="0.2">
      <c r="A79" s="223"/>
      <c r="B79" s="224"/>
      <c r="C79" s="244"/>
      <c r="D79" s="349" t="s">
        <v>386</v>
      </c>
      <c r="E79" s="225"/>
      <c r="F79" s="364"/>
      <c r="G79" s="225"/>
      <c r="H79" s="289"/>
      <c r="I79" s="342"/>
    </row>
    <row r="80" spans="1:9" s="290" customFormat="1" ht="12.75" customHeight="1" x14ac:dyDescent="0.2">
      <c r="A80" s="219">
        <f>A72+1</f>
        <v>7</v>
      </c>
      <c r="B80" s="220" t="s">
        <v>211</v>
      </c>
      <c r="C80" s="291" t="s">
        <v>455</v>
      </c>
      <c r="D80" s="308" t="str">
        <f>$D$5</f>
        <v>PY Final FEFP</v>
      </c>
      <c r="E80" s="222">
        <f>'2801'!I$132</f>
        <v>1681.22</v>
      </c>
      <c r="F80" s="365"/>
      <c r="G80" s="222">
        <f>SUBTOTAL(109,E80:F89)</f>
        <v>1681.22</v>
      </c>
      <c r="H80" s="332"/>
      <c r="I80" s="220"/>
    </row>
    <row r="81" spans="1:9" s="290" customFormat="1" ht="12.75" hidden="1" customHeight="1" x14ac:dyDescent="0.2">
      <c r="A81" s="219"/>
      <c r="B81" s="220"/>
      <c r="C81" s="243"/>
      <c r="D81" s="258" t="s">
        <v>337</v>
      </c>
      <c r="E81" s="222"/>
      <c r="F81" s="365">
        <v>0</v>
      </c>
      <c r="G81" s="222"/>
      <c r="H81" s="332"/>
      <c r="I81" s="220"/>
    </row>
    <row r="82" spans="1:9" s="290" customFormat="1" ht="12.75" hidden="1" customHeight="1" x14ac:dyDescent="0.2">
      <c r="A82" s="219"/>
      <c r="B82" s="220"/>
      <c r="C82" s="243"/>
      <c r="D82" s="378" t="s">
        <v>413</v>
      </c>
      <c r="E82" s="222"/>
      <c r="F82" s="365"/>
      <c r="G82" s="222"/>
      <c r="H82" s="289"/>
      <c r="I82" s="257"/>
    </row>
    <row r="83" spans="1:9" s="290" customFormat="1" ht="12.75" hidden="1" customHeight="1" x14ac:dyDescent="0.2">
      <c r="A83" s="219"/>
      <c r="B83" s="220"/>
      <c r="C83" s="243"/>
      <c r="D83" s="258" t="s">
        <v>339</v>
      </c>
      <c r="E83" s="222"/>
      <c r="F83" s="365"/>
      <c r="G83" s="222"/>
      <c r="H83" s="332"/>
      <c r="I83" s="220"/>
    </row>
    <row r="84" spans="1:9" s="290" customFormat="1" ht="12.75" hidden="1" customHeight="1" x14ac:dyDescent="0.2">
      <c r="A84" s="219"/>
      <c r="B84" s="220"/>
      <c r="C84" s="243"/>
      <c r="D84" s="258" t="s">
        <v>399</v>
      </c>
      <c r="E84" s="222"/>
      <c r="F84" s="365">
        <v>0</v>
      </c>
      <c r="G84" s="222"/>
      <c r="H84" s="332"/>
      <c r="I84" s="220"/>
    </row>
    <row r="85" spans="1:9" s="290" customFormat="1" ht="12.75" hidden="1" customHeight="1" x14ac:dyDescent="0.2">
      <c r="A85" s="219"/>
      <c r="B85" s="220"/>
      <c r="C85" s="243"/>
      <c r="D85" s="258" t="s">
        <v>349</v>
      </c>
      <c r="E85" s="222"/>
      <c r="F85" s="365"/>
      <c r="G85" s="222"/>
      <c r="H85" s="332"/>
      <c r="I85" s="220"/>
    </row>
    <row r="86" spans="1:9" s="290" customFormat="1" ht="12.75" hidden="1" customHeight="1" x14ac:dyDescent="0.2">
      <c r="A86" s="219"/>
      <c r="B86" s="220"/>
      <c r="C86" s="243"/>
      <c r="D86" s="258" t="s">
        <v>308</v>
      </c>
      <c r="E86" s="222"/>
      <c r="F86" s="365"/>
      <c r="G86" s="222"/>
      <c r="H86" s="289"/>
      <c r="I86" s="352"/>
    </row>
    <row r="87" spans="1:9" s="290" customFormat="1" ht="12.75" hidden="1" customHeight="1" x14ac:dyDescent="0.2">
      <c r="A87" s="219"/>
      <c r="B87" s="220"/>
      <c r="C87" s="243"/>
      <c r="D87" s="258" t="s">
        <v>350</v>
      </c>
      <c r="E87" s="222"/>
      <c r="F87" s="365"/>
      <c r="G87" s="222"/>
      <c r="H87" s="332"/>
    </row>
    <row r="88" spans="1:9" s="290" customFormat="1" ht="12.75" hidden="1" customHeight="1" x14ac:dyDescent="0.2">
      <c r="A88" s="219"/>
      <c r="B88" s="220"/>
      <c r="C88" s="243"/>
      <c r="D88" s="258" t="s">
        <v>385</v>
      </c>
      <c r="E88" s="222"/>
      <c r="F88" s="365"/>
      <c r="G88" s="222"/>
      <c r="H88" s="332"/>
      <c r="I88" s="220"/>
    </row>
    <row r="89" spans="1:9" s="290" customFormat="1" ht="12.75" hidden="1" customHeight="1" x14ac:dyDescent="0.2">
      <c r="A89" s="219"/>
      <c r="B89" s="220"/>
      <c r="C89" s="243"/>
      <c r="D89" s="309" t="s">
        <v>453</v>
      </c>
      <c r="E89" s="222"/>
      <c r="F89" s="365">
        <v>0</v>
      </c>
      <c r="G89" s="222"/>
      <c r="H89" s="332"/>
      <c r="I89" s="342"/>
    </row>
    <row r="90" spans="1:9" s="290" customFormat="1" ht="12.75" customHeight="1" x14ac:dyDescent="0.2">
      <c r="A90" s="223">
        <f>A80+1</f>
        <v>8</v>
      </c>
      <c r="B90" s="224" t="s">
        <v>212</v>
      </c>
      <c r="C90" s="244" t="s">
        <v>245</v>
      </c>
      <c r="D90" s="310" t="str">
        <f>$D$5</f>
        <v>PY Final FEFP</v>
      </c>
      <c r="E90" s="225">
        <f>'2911'!I$132</f>
        <v>230.43</v>
      </c>
      <c r="F90" s="364"/>
      <c r="G90" s="225">
        <f>SUBTOTAL(109,E90:F99)</f>
        <v>230.43</v>
      </c>
      <c r="H90" s="332"/>
      <c r="I90" s="220"/>
    </row>
    <row r="91" spans="1:9" s="290" customFormat="1" ht="12.75" hidden="1" customHeight="1" x14ac:dyDescent="0.2">
      <c r="A91" s="223"/>
      <c r="B91" s="224"/>
      <c r="C91" s="244"/>
      <c r="D91" s="259" t="s">
        <v>337</v>
      </c>
      <c r="E91" s="225"/>
      <c r="F91" s="364"/>
      <c r="G91" s="225"/>
      <c r="H91" s="332"/>
      <c r="I91" s="220"/>
    </row>
    <row r="92" spans="1:9" s="290" customFormat="1" ht="12.75" hidden="1" customHeight="1" x14ac:dyDescent="0.2">
      <c r="A92" s="223"/>
      <c r="B92" s="224"/>
      <c r="C92" s="244"/>
      <c r="D92" s="411" t="s">
        <v>413</v>
      </c>
      <c r="E92" s="225"/>
      <c r="F92" s="364"/>
      <c r="G92" s="225"/>
      <c r="H92" s="289"/>
      <c r="I92" s="257"/>
    </row>
    <row r="93" spans="1:9" s="290" customFormat="1" ht="12.75" hidden="1" customHeight="1" x14ac:dyDescent="0.2">
      <c r="A93" s="223"/>
      <c r="B93" s="224"/>
      <c r="C93" s="244"/>
      <c r="D93" s="259" t="s">
        <v>339</v>
      </c>
      <c r="E93" s="225"/>
      <c r="F93" s="364"/>
      <c r="G93" s="225"/>
      <c r="H93" s="332"/>
      <c r="I93" s="220"/>
    </row>
    <row r="94" spans="1:9" s="290" customFormat="1" ht="12.75" hidden="1" customHeight="1" x14ac:dyDescent="0.2">
      <c r="A94" s="223"/>
      <c r="B94" s="224"/>
      <c r="C94" s="244"/>
      <c r="D94" s="259" t="s">
        <v>338</v>
      </c>
      <c r="E94" s="225"/>
      <c r="F94" s="364"/>
      <c r="G94" s="225"/>
      <c r="H94" s="332"/>
      <c r="I94" s="220"/>
    </row>
    <row r="95" spans="1:9" s="290" customFormat="1" ht="12.75" hidden="1" customHeight="1" x14ac:dyDescent="0.2">
      <c r="A95" s="223"/>
      <c r="B95" s="224"/>
      <c r="C95" s="244"/>
      <c r="D95" s="259" t="s">
        <v>349</v>
      </c>
      <c r="E95" s="225"/>
      <c r="F95" s="364"/>
      <c r="G95" s="225"/>
      <c r="H95" s="332"/>
      <c r="I95" s="220"/>
    </row>
    <row r="96" spans="1:9" s="290" customFormat="1" ht="12.75" hidden="1" customHeight="1" x14ac:dyDescent="0.2">
      <c r="A96" s="223"/>
      <c r="B96" s="224"/>
      <c r="C96" s="244"/>
      <c r="D96" s="259" t="s">
        <v>308</v>
      </c>
      <c r="E96" s="225"/>
      <c r="F96" s="364"/>
      <c r="G96" s="225"/>
      <c r="H96" s="289"/>
      <c r="I96" s="352"/>
    </row>
    <row r="97" spans="1:12" s="290" customFormat="1" ht="12.75" hidden="1" customHeight="1" x14ac:dyDescent="0.2">
      <c r="A97" s="223"/>
      <c r="B97" s="224"/>
      <c r="C97" s="244"/>
      <c r="D97" s="259" t="s">
        <v>350</v>
      </c>
      <c r="E97" s="225"/>
      <c r="F97" s="364"/>
      <c r="G97" s="225"/>
      <c r="H97" s="332"/>
      <c r="I97" s="342"/>
    </row>
    <row r="98" spans="1:12" s="290" customFormat="1" ht="12.75" hidden="1" customHeight="1" x14ac:dyDescent="0.2">
      <c r="A98" s="223"/>
      <c r="B98" s="224"/>
      <c r="C98" s="255"/>
      <c r="D98" s="349" t="s">
        <v>456</v>
      </c>
      <c r="E98" s="225"/>
      <c r="F98" s="364">
        <v>0</v>
      </c>
      <c r="G98" s="225"/>
      <c r="H98" s="289"/>
      <c r="I98" s="342"/>
      <c r="J98" s="379"/>
      <c r="K98" s="222"/>
      <c r="L98" s="270"/>
    </row>
    <row r="99" spans="1:12" s="290" customFormat="1" ht="12.75" hidden="1" customHeight="1" x14ac:dyDescent="0.2">
      <c r="A99" s="223"/>
      <c r="B99" s="224"/>
      <c r="C99" s="255"/>
      <c r="D99" s="349" t="s">
        <v>472</v>
      </c>
      <c r="E99" s="225"/>
      <c r="F99" s="364"/>
      <c r="G99" s="225"/>
      <c r="H99" s="289"/>
      <c r="I99" s="342"/>
      <c r="J99" s="379"/>
      <c r="K99" s="222"/>
      <c r="L99" s="270"/>
    </row>
    <row r="100" spans="1:12" s="290" customFormat="1" ht="12.75" customHeight="1" x14ac:dyDescent="0.2">
      <c r="A100" s="219">
        <f>A90+1</f>
        <v>9</v>
      </c>
      <c r="B100" s="220" t="s">
        <v>213</v>
      </c>
      <c r="C100" s="243" t="s">
        <v>246</v>
      </c>
      <c r="D100" s="308" t="str">
        <f>$D$5</f>
        <v>PY Final FEFP</v>
      </c>
      <c r="E100" s="222">
        <f>'2941'!I$132</f>
        <v>-25223.53</v>
      </c>
      <c r="F100" s="365"/>
      <c r="G100" s="222">
        <f>SUBTOTAL(109,E100:F108)</f>
        <v>-25223.53</v>
      </c>
      <c r="H100" s="332"/>
      <c r="I100" s="220"/>
    </row>
    <row r="101" spans="1:12" s="290" customFormat="1" ht="12.75" hidden="1" customHeight="1" x14ac:dyDescent="0.2">
      <c r="A101" s="219"/>
      <c r="B101" s="220"/>
      <c r="C101" s="243"/>
      <c r="D101" s="258" t="s">
        <v>337</v>
      </c>
      <c r="E101" s="222"/>
      <c r="F101" s="365">
        <v>0</v>
      </c>
      <c r="G101" s="222"/>
      <c r="H101" s="332"/>
      <c r="I101" s="220"/>
    </row>
    <row r="102" spans="1:12" s="290" customFormat="1" ht="12.75" hidden="1" customHeight="1" x14ac:dyDescent="0.2">
      <c r="A102" s="219"/>
      <c r="B102" s="220"/>
      <c r="C102" s="243"/>
      <c r="D102" s="378" t="s">
        <v>413</v>
      </c>
      <c r="E102" s="222"/>
      <c r="F102" s="365"/>
      <c r="G102" s="222"/>
      <c r="H102" s="289"/>
      <c r="I102" s="257"/>
    </row>
    <row r="103" spans="1:12" s="290" customFormat="1" ht="12.75" hidden="1" customHeight="1" x14ac:dyDescent="0.2">
      <c r="A103" s="219"/>
      <c r="B103" s="220"/>
      <c r="C103" s="243"/>
      <c r="D103" s="258" t="s">
        <v>339</v>
      </c>
      <c r="E103" s="222"/>
      <c r="F103" s="365"/>
      <c r="G103" s="222"/>
      <c r="H103" s="332"/>
      <c r="I103" s="220"/>
    </row>
    <row r="104" spans="1:12" s="290" customFormat="1" ht="12.75" hidden="1" customHeight="1" x14ac:dyDescent="0.2">
      <c r="A104" s="219"/>
      <c r="B104" s="220"/>
      <c r="C104" s="243"/>
      <c r="D104" s="258" t="s">
        <v>338</v>
      </c>
      <c r="E104" s="222"/>
      <c r="F104" s="365"/>
      <c r="G104" s="222"/>
      <c r="H104" s="332"/>
      <c r="I104" s="220"/>
    </row>
    <row r="105" spans="1:12" s="290" customFormat="1" ht="12.75" hidden="1" customHeight="1" x14ac:dyDescent="0.2">
      <c r="A105" s="219"/>
      <c r="B105" s="220"/>
      <c r="C105" s="243"/>
      <c r="D105" s="258" t="s">
        <v>349</v>
      </c>
      <c r="E105" s="222"/>
      <c r="F105" s="365"/>
      <c r="G105" s="222"/>
      <c r="H105" s="332"/>
      <c r="I105" s="220"/>
    </row>
    <row r="106" spans="1:12" s="290" customFormat="1" ht="12.75" hidden="1" customHeight="1" x14ac:dyDescent="0.2">
      <c r="A106" s="219"/>
      <c r="B106" s="220"/>
      <c r="C106" s="243"/>
      <c r="D106" s="258" t="s">
        <v>308</v>
      </c>
      <c r="E106" s="222"/>
      <c r="F106" s="365"/>
      <c r="G106" s="222"/>
      <c r="H106" s="289"/>
      <c r="I106" s="352"/>
    </row>
    <row r="107" spans="1:12" s="290" customFormat="1" ht="12.75" hidden="1" customHeight="1" x14ac:dyDescent="0.2">
      <c r="A107" s="219"/>
      <c r="B107" s="220"/>
      <c r="C107" s="243"/>
      <c r="D107" s="258" t="s">
        <v>385</v>
      </c>
      <c r="E107" s="222"/>
      <c r="F107" s="365"/>
      <c r="G107" s="222"/>
      <c r="H107" s="289"/>
      <c r="I107" s="352"/>
    </row>
    <row r="108" spans="1:12" s="290" customFormat="1" ht="12.75" hidden="1" customHeight="1" x14ac:dyDescent="0.2">
      <c r="A108" s="219"/>
      <c r="B108" s="220"/>
      <c r="C108" s="243"/>
      <c r="D108" s="309" t="s">
        <v>386</v>
      </c>
      <c r="E108" s="222"/>
      <c r="F108" s="365"/>
      <c r="G108" s="222"/>
      <c r="H108" s="289"/>
      <c r="I108" s="352"/>
    </row>
    <row r="109" spans="1:12" s="290" customFormat="1" ht="12.75" customHeight="1" x14ac:dyDescent="0.2">
      <c r="A109" s="223">
        <f>A100+1</f>
        <v>10</v>
      </c>
      <c r="B109" s="224" t="s">
        <v>214</v>
      </c>
      <c r="C109" s="292" t="s">
        <v>378</v>
      </c>
      <c r="D109" s="310" t="str">
        <f>$D$5</f>
        <v>PY Final FEFP</v>
      </c>
      <c r="E109" s="225">
        <f>'3083'!I$132</f>
        <v>0</v>
      </c>
      <c r="F109" s="364"/>
      <c r="G109" s="225">
        <f>SUBTOTAL(109,E109:F116)</f>
        <v>0</v>
      </c>
      <c r="H109" s="332"/>
      <c r="I109" s="220"/>
    </row>
    <row r="110" spans="1:12" s="290" customFormat="1" ht="12.75" hidden="1" customHeight="1" x14ac:dyDescent="0.2">
      <c r="A110" s="223"/>
      <c r="B110" s="224"/>
      <c r="C110" s="244"/>
      <c r="D110" s="259" t="s">
        <v>337</v>
      </c>
      <c r="E110" s="225"/>
      <c r="F110" s="364"/>
      <c r="G110" s="225"/>
      <c r="H110" s="332"/>
      <c r="I110" s="220"/>
    </row>
    <row r="111" spans="1:12" s="290" customFormat="1" ht="12.75" hidden="1" customHeight="1" x14ac:dyDescent="0.2">
      <c r="A111" s="223"/>
      <c r="B111" s="224"/>
      <c r="C111" s="244"/>
      <c r="D111" s="411" t="s">
        <v>413</v>
      </c>
      <c r="E111" s="225"/>
      <c r="F111" s="364"/>
      <c r="G111" s="225"/>
      <c r="H111" s="289"/>
      <c r="I111" s="257"/>
    </row>
    <row r="112" spans="1:12" s="290" customFormat="1" ht="12.75" hidden="1" customHeight="1" x14ac:dyDescent="0.2">
      <c r="A112" s="223"/>
      <c r="B112" s="224"/>
      <c r="C112" s="244"/>
      <c r="D112" s="259" t="s">
        <v>339</v>
      </c>
      <c r="E112" s="225"/>
      <c r="F112" s="364"/>
      <c r="G112" s="225"/>
      <c r="H112" s="332"/>
      <c r="I112" s="220"/>
    </row>
    <row r="113" spans="1:9" s="290" customFormat="1" ht="12.75" hidden="1" customHeight="1" x14ac:dyDescent="0.2">
      <c r="A113" s="223"/>
      <c r="B113" s="224"/>
      <c r="C113" s="244"/>
      <c r="D113" s="259" t="s">
        <v>338</v>
      </c>
      <c r="E113" s="225"/>
      <c r="F113" s="364"/>
      <c r="G113" s="225"/>
      <c r="H113" s="332"/>
      <c r="I113" s="220"/>
    </row>
    <row r="114" spans="1:9" s="290" customFormat="1" ht="12.75" hidden="1" customHeight="1" x14ac:dyDescent="0.2">
      <c r="A114" s="223"/>
      <c r="B114" s="224"/>
      <c r="C114" s="244"/>
      <c r="D114" s="311" t="s">
        <v>349</v>
      </c>
      <c r="E114" s="225"/>
      <c r="F114" s="364"/>
      <c r="G114" s="225"/>
      <c r="H114" s="332"/>
      <c r="I114" s="220"/>
    </row>
    <row r="115" spans="1:9" s="290" customFormat="1" ht="12.75" hidden="1" customHeight="1" x14ac:dyDescent="0.2">
      <c r="A115" s="223"/>
      <c r="B115" s="224"/>
      <c r="C115" s="244"/>
      <c r="D115" s="259" t="s">
        <v>308</v>
      </c>
      <c r="E115" s="225"/>
      <c r="F115" s="364"/>
      <c r="G115" s="225"/>
      <c r="H115" s="289"/>
      <c r="I115" s="352"/>
    </row>
    <row r="116" spans="1:9" ht="12.75" hidden="1" customHeight="1" x14ac:dyDescent="0.2">
      <c r="A116" s="223"/>
      <c r="B116" s="224"/>
      <c r="C116" s="244"/>
      <c r="D116" s="311" t="s">
        <v>386</v>
      </c>
      <c r="E116" s="225"/>
      <c r="F116" s="364"/>
      <c r="G116" s="225"/>
      <c r="H116" s="333"/>
      <c r="I116" s="220"/>
    </row>
    <row r="117" spans="1:9" s="290" customFormat="1" ht="12.75" customHeight="1" x14ac:dyDescent="0.2">
      <c r="A117" s="219">
        <f>A109+1</f>
        <v>11</v>
      </c>
      <c r="B117" s="220" t="s">
        <v>215</v>
      </c>
      <c r="C117" s="291" t="s">
        <v>471</v>
      </c>
      <c r="D117" s="308" t="str">
        <f>$D$5</f>
        <v>PY Final FEFP</v>
      </c>
      <c r="E117" s="222">
        <f>'3345'!I$132</f>
        <v>0</v>
      </c>
      <c r="F117" s="365"/>
      <c r="G117" s="222">
        <f>SUBTOTAL(109,E117:F123)</f>
        <v>0</v>
      </c>
      <c r="H117" s="332"/>
      <c r="I117" s="220"/>
    </row>
    <row r="118" spans="1:9" s="290" customFormat="1" ht="12.75" hidden="1" customHeight="1" x14ac:dyDescent="0.2">
      <c r="A118" s="219"/>
      <c r="B118" s="220"/>
      <c r="C118" s="291"/>
      <c r="D118" s="258" t="s">
        <v>337</v>
      </c>
      <c r="E118" s="222"/>
      <c r="F118" s="365"/>
      <c r="G118" s="222"/>
      <c r="H118" s="332"/>
      <c r="I118" s="220"/>
    </row>
    <row r="119" spans="1:9" s="290" customFormat="1" ht="12.75" hidden="1" customHeight="1" x14ac:dyDescent="0.2">
      <c r="A119" s="219"/>
      <c r="B119" s="220"/>
      <c r="C119" s="291"/>
      <c r="D119" s="258" t="s">
        <v>339</v>
      </c>
      <c r="E119" s="222"/>
      <c r="F119" s="365"/>
      <c r="G119" s="222"/>
      <c r="H119" s="332"/>
      <c r="I119" s="220"/>
    </row>
    <row r="120" spans="1:9" s="290" customFormat="1" ht="12.75" hidden="1" customHeight="1" x14ac:dyDescent="0.2">
      <c r="A120" s="219"/>
      <c r="B120" s="220"/>
      <c r="C120" s="243"/>
      <c r="D120" s="258" t="s">
        <v>338</v>
      </c>
      <c r="E120" s="222"/>
      <c r="F120" s="365"/>
      <c r="G120" s="222"/>
      <c r="H120" s="332"/>
      <c r="I120" s="220"/>
    </row>
    <row r="121" spans="1:9" s="290" customFormat="1" ht="12.75" hidden="1" customHeight="1" x14ac:dyDescent="0.2">
      <c r="A121" s="219"/>
      <c r="B121" s="220"/>
      <c r="C121" s="243"/>
      <c r="D121" s="258" t="s">
        <v>349</v>
      </c>
      <c r="E121" s="222"/>
      <c r="F121" s="365"/>
      <c r="G121" s="222"/>
      <c r="H121" s="332"/>
      <c r="I121" s="220"/>
    </row>
    <row r="122" spans="1:9" s="290" customFormat="1" ht="12.75" hidden="1" customHeight="1" x14ac:dyDescent="0.2">
      <c r="A122" s="219"/>
      <c r="B122" s="220"/>
      <c r="C122" s="243"/>
      <c r="D122" s="258" t="s">
        <v>308</v>
      </c>
      <c r="E122" s="222"/>
      <c r="F122" s="365"/>
      <c r="G122" s="222"/>
      <c r="H122" s="289"/>
      <c r="I122" s="352"/>
    </row>
    <row r="123" spans="1:9" s="290" customFormat="1" ht="12.75" hidden="1" customHeight="1" x14ac:dyDescent="0.2">
      <c r="A123" s="219"/>
      <c r="B123" s="220"/>
      <c r="C123" s="243"/>
      <c r="D123" s="309" t="s">
        <v>386</v>
      </c>
      <c r="E123" s="222"/>
      <c r="F123" s="365"/>
      <c r="G123" s="222"/>
      <c r="H123" s="289"/>
      <c r="I123" s="352"/>
    </row>
    <row r="124" spans="1:9" s="290" customFormat="1" ht="12.75" customHeight="1" x14ac:dyDescent="0.2">
      <c r="A124" s="223">
        <f>A117+1</f>
        <v>12</v>
      </c>
      <c r="B124" s="224" t="s">
        <v>216</v>
      </c>
      <c r="C124" s="244" t="s">
        <v>249</v>
      </c>
      <c r="D124" s="310" t="str">
        <f>$D$5</f>
        <v>PY Final FEFP</v>
      </c>
      <c r="E124" s="225">
        <f>'3381'!I$132</f>
        <v>5901</v>
      </c>
      <c r="F124" s="364"/>
      <c r="G124" s="225">
        <f>SUBTOTAL(109,E124:F132)</f>
        <v>5901</v>
      </c>
      <c r="H124" s="332"/>
      <c r="I124" s="220"/>
    </row>
    <row r="125" spans="1:9" s="290" customFormat="1" ht="12.75" hidden="1" customHeight="1" x14ac:dyDescent="0.2">
      <c r="A125" s="223"/>
      <c r="B125" s="224"/>
      <c r="C125" s="244"/>
      <c r="D125" s="259" t="s">
        <v>337</v>
      </c>
      <c r="E125" s="225"/>
      <c r="F125" s="364"/>
      <c r="G125" s="225"/>
      <c r="H125" s="332"/>
      <c r="I125" s="220"/>
    </row>
    <row r="126" spans="1:9" s="290" customFormat="1" ht="12.75" hidden="1" customHeight="1" x14ac:dyDescent="0.2">
      <c r="A126" s="223"/>
      <c r="B126" s="224"/>
      <c r="C126" s="244"/>
      <c r="D126" s="411" t="s">
        <v>413</v>
      </c>
      <c r="E126" s="225"/>
      <c r="F126" s="364"/>
      <c r="G126" s="225"/>
      <c r="H126" s="289"/>
      <c r="I126" s="257"/>
    </row>
    <row r="127" spans="1:9" s="290" customFormat="1" ht="12.75" hidden="1" customHeight="1" x14ac:dyDescent="0.2">
      <c r="A127" s="223"/>
      <c r="B127" s="224"/>
      <c r="C127" s="244"/>
      <c r="D127" s="259" t="s">
        <v>339</v>
      </c>
      <c r="E127" s="225"/>
      <c r="F127" s="364"/>
      <c r="G127" s="225"/>
      <c r="H127" s="332"/>
      <c r="I127" s="220"/>
    </row>
    <row r="128" spans="1:9" s="290" customFormat="1" ht="12.75" hidden="1" customHeight="1" x14ac:dyDescent="0.2">
      <c r="A128" s="223"/>
      <c r="B128" s="224"/>
      <c r="C128" s="244"/>
      <c r="D128" s="259" t="s">
        <v>338</v>
      </c>
      <c r="E128" s="225"/>
      <c r="F128" s="364"/>
      <c r="G128" s="225"/>
      <c r="H128" s="332"/>
      <c r="I128" s="220"/>
    </row>
    <row r="129" spans="1:16" s="290" customFormat="1" ht="12.75" hidden="1" customHeight="1" x14ac:dyDescent="0.2">
      <c r="A129" s="223"/>
      <c r="B129" s="224"/>
      <c r="C129" s="244"/>
      <c r="D129" s="259" t="s">
        <v>349</v>
      </c>
      <c r="E129" s="225"/>
      <c r="F129" s="364"/>
      <c r="G129" s="225"/>
      <c r="H129" s="332"/>
      <c r="I129" s="220"/>
    </row>
    <row r="130" spans="1:16" s="290" customFormat="1" ht="12.75" hidden="1" customHeight="1" x14ac:dyDescent="0.2">
      <c r="A130" s="223"/>
      <c r="B130" s="224"/>
      <c r="C130" s="244"/>
      <c r="D130" s="259" t="s">
        <v>308</v>
      </c>
      <c r="E130" s="225"/>
      <c r="F130" s="364"/>
      <c r="G130" s="225"/>
      <c r="H130" s="289"/>
      <c r="I130" s="352"/>
    </row>
    <row r="131" spans="1:16" s="290" customFormat="1" ht="12.75" hidden="1" customHeight="1" x14ac:dyDescent="0.2">
      <c r="A131" s="223"/>
      <c r="B131" s="224"/>
      <c r="C131" s="244"/>
      <c r="D131" s="259" t="s">
        <v>403</v>
      </c>
      <c r="E131" s="225"/>
      <c r="F131" s="364"/>
      <c r="G131" s="225"/>
      <c r="H131" s="289"/>
      <c r="I131" s="354"/>
    </row>
    <row r="132" spans="1:16" ht="12.75" hidden="1" customHeight="1" x14ac:dyDescent="0.2">
      <c r="A132" s="223"/>
      <c r="B132" s="224"/>
      <c r="C132" s="244"/>
      <c r="D132" s="311" t="s">
        <v>386</v>
      </c>
      <c r="E132" s="225"/>
      <c r="F132" s="364"/>
      <c r="G132" s="225"/>
      <c r="H132" s="333"/>
      <c r="I132" s="220"/>
    </row>
    <row r="133" spans="1:16" s="290" customFormat="1" ht="12.75" customHeight="1" x14ac:dyDescent="0.2">
      <c r="A133" s="219">
        <f>A124+1</f>
        <v>13</v>
      </c>
      <c r="B133" s="220" t="s">
        <v>217</v>
      </c>
      <c r="C133" s="243" t="s">
        <v>251</v>
      </c>
      <c r="D133" s="308" t="str">
        <f>$D$5</f>
        <v>PY Final FEFP</v>
      </c>
      <c r="E133" s="222">
        <f>'3382'!I$132</f>
        <v>2049.29</v>
      </c>
      <c r="F133" s="365"/>
      <c r="G133" s="222">
        <f>SUBTOTAL(109,E133:F141)</f>
        <v>2049.29</v>
      </c>
      <c r="H133" s="332"/>
      <c r="I133" s="220"/>
      <c r="P133" s="353"/>
    </row>
    <row r="134" spans="1:16" s="290" customFormat="1" ht="12.75" hidden="1" customHeight="1" x14ac:dyDescent="0.2">
      <c r="A134" s="219"/>
      <c r="B134" s="220"/>
      <c r="C134" s="243"/>
      <c r="D134" s="258" t="s">
        <v>337</v>
      </c>
      <c r="E134" s="222"/>
      <c r="F134" s="365"/>
      <c r="G134" s="222"/>
      <c r="H134" s="332"/>
      <c r="I134" s="220"/>
    </row>
    <row r="135" spans="1:16" s="290" customFormat="1" ht="12.75" hidden="1" customHeight="1" x14ac:dyDescent="0.2">
      <c r="A135" s="219"/>
      <c r="B135" s="220"/>
      <c r="C135" s="243"/>
      <c r="D135" s="378" t="s">
        <v>413</v>
      </c>
      <c r="E135" s="222"/>
      <c r="F135" s="365"/>
      <c r="G135" s="222"/>
      <c r="H135" s="289"/>
      <c r="I135" s="257"/>
    </row>
    <row r="136" spans="1:16" s="290" customFormat="1" ht="12.75" hidden="1" customHeight="1" x14ac:dyDescent="0.2">
      <c r="A136" s="219"/>
      <c r="B136" s="220"/>
      <c r="C136" s="243"/>
      <c r="D136" s="258" t="s">
        <v>339</v>
      </c>
      <c r="E136" s="222"/>
      <c r="F136" s="365"/>
      <c r="G136" s="222"/>
      <c r="H136" s="332"/>
      <c r="I136" s="220"/>
    </row>
    <row r="137" spans="1:16" s="290" customFormat="1" ht="12.75" hidden="1" customHeight="1" x14ac:dyDescent="0.2">
      <c r="A137" s="219"/>
      <c r="B137" s="220"/>
      <c r="C137" s="243"/>
      <c r="D137" s="258" t="s">
        <v>338</v>
      </c>
      <c r="E137" s="222"/>
      <c r="F137" s="365"/>
      <c r="G137" s="222"/>
      <c r="H137" s="332"/>
      <c r="I137" s="220"/>
    </row>
    <row r="138" spans="1:16" s="290" customFormat="1" ht="12.75" hidden="1" customHeight="1" x14ac:dyDescent="0.2">
      <c r="A138" s="219"/>
      <c r="B138" s="220"/>
      <c r="C138" s="243"/>
      <c r="D138" s="258" t="s">
        <v>349</v>
      </c>
      <c r="E138" s="222"/>
      <c r="F138" s="365"/>
      <c r="G138" s="222"/>
      <c r="H138" s="332"/>
      <c r="I138" s="220"/>
    </row>
    <row r="139" spans="1:16" s="290" customFormat="1" ht="12.75" hidden="1" customHeight="1" x14ac:dyDescent="0.2">
      <c r="A139" s="219"/>
      <c r="B139" s="220"/>
      <c r="C139" s="243"/>
      <c r="D139" s="258" t="s">
        <v>308</v>
      </c>
      <c r="E139" s="222"/>
      <c r="F139" s="365"/>
      <c r="G139" s="222"/>
      <c r="H139" s="289"/>
      <c r="I139" s="352"/>
    </row>
    <row r="140" spans="1:16" s="290" customFormat="1" ht="12.75" hidden="1" customHeight="1" x14ac:dyDescent="0.2">
      <c r="A140" s="219"/>
      <c r="B140" s="220"/>
      <c r="C140" s="243"/>
      <c r="D140" s="258" t="s">
        <v>385</v>
      </c>
      <c r="E140" s="222"/>
      <c r="F140" s="365"/>
      <c r="G140" s="222"/>
      <c r="H140" s="332"/>
      <c r="I140" s="352"/>
    </row>
    <row r="141" spans="1:16" ht="12.75" hidden="1" customHeight="1" x14ac:dyDescent="0.2">
      <c r="A141" s="219"/>
      <c r="B141" s="220"/>
      <c r="C141" s="257"/>
      <c r="D141" s="309" t="s">
        <v>386</v>
      </c>
      <c r="E141" s="222"/>
      <c r="F141" s="365"/>
      <c r="G141" s="222"/>
      <c r="H141" s="333"/>
      <c r="I141" s="220"/>
    </row>
    <row r="142" spans="1:16" s="290" customFormat="1" ht="12.75" customHeight="1" x14ac:dyDescent="0.2">
      <c r="A142" s="223">
        <f>A133+1</f>
        <v>14</v>
      </c>
      <c r="B142" s="224" t="s">
        <v>218</v>
      </c>
      <c r="C142" s="244" t="s">
        <v>253</v>
      </c>
      <c r="D142" s="310" t="str">
        <f>$D$5</f>
        <v>PY Final FEFP</v>
      </c>
      <c r="E142" s="225">
        <f>'3391'!I$132</f>
        <v>0</v>
      </c>
      <c r="F142" s="364"/>
      <c r="G142" s="225">
        <f>SUBTOTAL(109,E142:F150)</f>
        <v>0</v>
      </c>
      <c r="H142" s="332"/>
      <c r="I142" s="318"/>
    </row>
    <row r="143" spans="1:16" s="290" customFormat="1" ht="12.75" hidden="1" customHeight="1" x14ac:dyDescent="0.2">
      <c r="A143" s="223"/>
      <c r="B143" s="224"/>
      <c r="C143" s="244"/>
      <c r="D143" s="259" t="s">
        <v>337</v>
      </c>
      <c r="E143" s="225"/>
      <c r="F143" s="364"/>
      <c r="G143" s="225"/>
      <c r="H143" s="332"/>
      <c r="I143" s="318"/>
    </row>
    <row r="144" spans="1:16" s="290" customFormat="1" ht="12.75" hidden="1" customHeight="1" x14ac:dyDescent="0.2">
      <c r="A144" s="223"/>
      <c r="B144" s="224"/>
      <c r="C144" s="244"/>
      <c r="D144" s="259" t="s">
        <v>415</v>
      </c>
      <c r="E144" s="225"/>
      <c r="F144" s="364"/>
      <c r="G144" s="225"/>
      <c r="H144" s="289"/>
      <c r="I144" s="257"/>
    </row>
    <row r="145" spans="1:9" s="290" customFormat="1" ht="12.75" hidden="1" customHeight="1" x14ac:dyDescent="0.2">
      <c r="A145" s="223"/>
      <c r="B145" s="224"/>
      <c r="C145" s="244"/>
      <c r="D145" s="411" t="s">
        <v>413</v>
      </c>
      <c r="E145" s="225"/>
      <c r="F145" s="364"/>
      <c r="G145" s="225"/>
      <c r="H145" s="289"/>
      <c r="I145" s="257"/>
    </row>
    <row r="146" spans="1:9" s="290" customFormat="1" ht="12.75" hidden="1" customHeight="1" x14ac:dyDescent="0.2">
      <c r="A146" s="223"/>
      <c r="B146" s="224"/>
      <c r="C146" s="244"/>
      <c r="D146" s="259" t="s">
        <v>339</v>
      </c>
      <c r="E146" s="225"/>
      <c r="F146" s="364"/>
      <c r="G146" s="225"/>
      <c r="H146" s="332"/>
      <c r="I146" s="318"/>
    </row>
    <row r="147" spans="1:9" s="290" customFormat="1" ht="12.75" hidden="1" customHeight="1" x14ac:dyDescent="0.2">
      <c r="A147" s="223"/>
      <c r="B147" s="224"/>
      <c r="C147" s="244"/>
      <c r="D147" s="259" t="s">
        <v>338</v>
      </c>
      <c r="E147" s="225"/>
      <c r="F147" s="364"/>
      <c r="G147" s="225"/>
      <c r="H147" s="332"/>
      <c r="I147" s="318"/>
    </row>
    <row r="148" spans="1:9" s="290" customFormat="1" ht="12.75" hidden="1" customHeight="1" x14ac:dyDescent="0.2">
      <c r="A148" s="223"/>
      <c r="B148" s="224"/>
      <c r="C148" s="244"/>
      <c r="D148" s="259" t="s">
        <v>349</v>
      </c>
      <c r="E148" s="225"/>
      <c r="F148" s="364"/>
      <c r="G148" s="225"/>
      <c r="H148" s="332"/>
      <c r="I148" s="318"/>
    </row>
    <row r="149" spans="1:9" s="290" customFormat="1" ht="12.75" hidden="1" customHeight="1" x14ac:dyDescent="0.2">
      <c r="A149" s="223"/>
      <c r="B149" s="224"/>
      <c r="C149" s="244"/>
      <c r="D149" s="259" t="s">
        <v>308</v>
      </c>
      <c r="E149" s="225"/>
      <c r="F149" s="364"/>
      <c r="G149" s="225"/>
      <c r="H149" s="289"/>
      <c r="I149" s="352"/>
    </row>
    <row r="150" spans="1:9" s="290" customFormat="1" ht="12.75" hidden="1" customHeight="1" x14ac:dyDescent="0.2">
      <c r="A150" s="223"/>
      <c r="B150" s="224"/>
      <c r="C150" s="244"/>
      <c r="D150" s="311" t="s">
        <v>386</v>
      </c>
      <c r="E150" s="225"/>
      <c r="F150" s="364"/>
      <c r="G150" s="225"/>
      <c r="H150" s="289"/>
      <c r="I150" s="352"/>
    </row>
    <row r="151" spans="1:9" s="290" customFormat="1" ht="12.75" customHeight="1" x14ac:dyDescent="0.2">
      <c r="A151" s="219">
        <f>A142+1</f>
        <v>15</v>
      </c>
      <c r="B151" s="220" t="s">
        <v>219</v>
      </c>
      <c r="C151" s="243" t="s">
        <v>254</v>
      </c>
      <c r="D151" s="308" t="str">
        <f>$D$5</f>
        <v>PY Final FEFP</v>
      </c>
      <c r="E151" s="222">
        <f>'3394'!I$132</f>
        <v>430.32</v>
      </c>
      <c r="F151" s="365"/>
      <c r="G151" s="222">
        <f>SUBTOTAL(109,E151:F160)</f>
        <v>430.32</v>
      </c>
      <c r="H151" s="332"/>
      <c r="I151" s="318"/>
    </row>
    <row r="152" spans="1:9" s="290" customFormat="1" ht="12.75" hidden="1" customHeight="1" x14ac:dyDescent="0.2">
      <c r="A152" s="219"/>
      <c r="B152" s="220"/>
      <c r="C152" s="243"/>
      <c r="D152" s="258" t="s">
        <v>337</v>
      </c>
      <c r="E152" s="222"/>
      <c r="F152" s="365"/>
      <c r="G152" s="222"/>
      <c r="H152" s="332"/>
      <c r="I152" s="318"/>
    </row>
    <row r="153" spans="1:9" s="290" customFormat="1" ht="12.75" hidden="1" customHeight="1" x14ac:dyDescent="0.2">
      <c r="A153" s="219"/>
      <c r="B153" s="220"/>
      <c r="C153" s="243"/>
      <c r="D153" s="378" t="s">
        <v>413</v>
      </c>
      <c r="E153" s="222"/>
      <c r="F153" s="365"/>
      <c r="G153" s="222"/>
      <c r="H153" s="289"/>
      <c r="I153" s="257"/>
    </row>
    <row r="154" spans="1:9" s="290" customFormat="1" ht="12.75" hidden="1" customHeight="1" x14ac:dyDescent="0.2">
      <c r="A154" s="219"/>
      <c r="B154" s="220"/>
      <c r="C154" s="243"/>
      <c r="D154" s="258" t="s">
        <v>339</v>
      </c>
      <c r="E154" s="222"/>
      <c r="F154" s="365"/>
      <c r="G154" s="222"/>
      <c r="H154" s="332"/>
      <c r="I154" s="318"/>
    </row>
    <row r="155" spans="1:9" s="290" customFormat="1" ht="12.75" hidden="1" customHeight="1" x14ac:dyDescent="0.2">
      <c r="A155" s="219"/>
      <c r="B155" s="220"/>
      <c r="C155" s="243"/>
      <c r="D155" s="258" t="s">
        <v>338</v>
      </c>
      <c r="E155" s="222"/>
      <c r="F155" s="365"/>
      <c r="G155" s="222"/>
      <c r="H155" s="332"/>
      <c r="I155" s="318"/>
    </row>
    <row r="156" spans="1:9" s="290" customFormat="1" ht="12.75" hidden="1" customHeight="1" x14ac:dyDescent="0.2">
      <c r="A156" s="219"/>
      <c r="B156" s="220"/>
      <c r="C156" s="243"/>
      <c r="D156" s="258" t="s">
        <v>349</v>
      </c>
      <c r="E156" s="222"/>
      <c r="F156" s="365"/>
      <c r="G156" s="222"/>
      <c r="H156" s="332"/>
      <c r="I156" s="318"/>
    </row>
    <row r="157" spans="1:9" s="290" customFormat="1" ht="12.75" hidden="1" customHeight="1" x14ac:dyDescent="0.2">
      <c r="A157" s="219"/>
      <c r="B157" s="220"/>
      <c r="C157" s="243"/>
      <c r="D157" s="258" t="s">
        <v>308</v>
      </c>
      <c r="E157" s="222"/>
      <c r="F157" s="365"/>
      <c r="G157" s="222"/>
      <c r="H157" s="289"/>
      <c r="I157" s="352"/>
    </row>
    <row r="158" spans="1:9" s="290" customFormat="1" ht="12.75" hidden="1" customHeight="1" x14ac:dyDescent="0.2">
      <c r="A158" s="219"/>
      <c r="B158" s="220"/>
      <c r="C158" s="243"/>
      <c r="D158" s="258" t="s">
        <v>403</v>
      </c>
      <c r="E158" s="222"/>
      <c r="F158" s="365"/>
      <c r="G158" s="222"/>
      <c r="H158" s="332"/>
      <c r="I158" s="354"/>
    </row>
    <row r="159" spans="1:9" s="290" customFormat="1" ht="12.75" hidden="1" customHeight="1" x14ac:dyDescent="0.2">
      <c r="A159" s="219"/>
      <c r="B159" s="220"/>
      <c r="C159" s="243"/>
      <c r="D159" s="309" t="s">
        <v>476</v>
      </c>
      <c r="E159" s="222"/>
      <c r="F159" s="365">
        <v>0</v>
      </c>
      <c r="G159" s="222"/>
      <c r="H159" s="332"/>
      <c r="I159" s="354"/>
    </row>
    <row r="160" spans="1:9" s="290" customFormat="1" ht="12.75" hidden="1" customHeight="1" x14ac:dyDescent="0.2">
      <c r="A160" s="219"/>
      <c r="B160" s="220"/>
      <c r="C160" s="243"/>
      <c r="D160" s="430" t="s">
        <v>477</v>
      </c>
      <c r="E160" s="222"/>
      <c r="F160" s="365">
        <v>0</v>
      </c>
      <c r="G160" s="222"/>
      <c r="H160" s="332"/>
      <c r="I160" s="318"/>
    </row>
    <row r="161" spans="1:11" s="290" customFormat="1" ht="12.75" customHeight="1" x14ac:dyDescent="0.2">
      <c r="A161" s="223">
        <f>A151+1</f>
        <v>16</v>
      </c>
      <c r="B161" s="224" t="s">
        <v>220</v>
      </c>
      <c r="C161" s="292" t="s">
        <v>345</v>
      </c>
      <c r="D161" s="310" t="str">
        <f>$D$5</f>
        <v>PY Final FEFP</v>
      </c>
      <c r="E161" s="225">
        <f>'3395'!I$132</f>
        <v>295.41000000000003</v>
      </c>
      <c r="F161" s="364"/>
      <c r="G161" s="225">
        <f>SUBTOTAL(109,E161:F169)</f>
        <v>295.41000000000003</v>
      </c>
      <c r="H161" s="332"/>
      <c r="I161" s="318"/>
    </row>
    <row r="162" spans="1:11" s="290" customFormat="1" ht="12.75" hidden="1" customHeight="1" x14ac:dyDescent="0.2">
      <c r="A162" s="223"/>
      <c r="B162" s="224"/>
      <c r="C162" s="244"/>
      <c r="D162" s="259" t="s">
        <v>337</v>
      </c>
      <c r="E162" s="225"/>
      <c r="F162" s="364"/>
      <c r="G162" s="225"/>
      <c r="H162" s="332"/>
      <c r="I162" s="318"/>
    </row>
    <row r="163" spans="1:11" s="290" customFormat="1" ht="12.75" hidden="1" customHeight="1" x14ac:dyDescent="0.2">
      <c r="A163" s="223"/>
      <c r="B163" s="224"/>
      <c r="C163" s="244"/>
      <c r="D163" s="411" t="s">
        <v>413</v>
      </c>
      <c r="E163" s="225"/>
      <c r="F163" s="364"/>
      <c r="G163" s="225"/>
      <c r="H163" s="289"/>
      <c r="I163" s="257"/>
    </row>
    <row r="164" spans="1:11" s="290" customFormat="1" ht="12.75" hidden="1" customHeight="1" x14ac:dyDescent="0.2">
      <c r="A164" s="223"/>
      <c r="B164" s="224"/>
      <c r="C164" s="244"/>
      <c r="D164" s="259" t="s">
        <v>339</v>
      </c>
      <c r="E164" s="225"/>
      <c r="F164" s="364"/>
      <c r="G164" s="225"/>
      <c r="H164" s="332"/>
      <c r="I164" s="318"/>
    </row>
    <row r="165" spans="1:11" s="290" customFormat="1" ht="12.75" hidden="1" customHeight="1" x14ac:dyDescent="0.2">
      <c r="A165" s="223"/>
      <c r="B165" s="224"/>
      <c r="C165" s="244"/>
      <c r="D165" s="259" t="s">
        <v>338</v>
      </c>
      <c r="E165" s="225"/>
      <c r="F165" s="364"/>
      <c r="G165" s="225"/>
      <c r="H165" s="332"/>
      <c r="I165" s="318"/>
    </row>
    <row r="166" spans="1:11" s="290" customFormat="1" ht="12.75" hidden="1" customHeight="1" x14ac:dyDescent="0.2">
      <c r="A166" s="223"/>
      <c r="B166" s="224"/>
      <c r="C166" s="244"/>
      <c r="D166" s="259" t="s">
        <v>349</v>
      </c>
      <c r="E166" s="225"/>
      <c r="F166" s="364"/>
      <c r="G166" s="225"/>
      <c r="H166" s="332"/>
      <c r="I166" s="318"/>
    </row>
    <row r="167" spans="1:11" s="290" customFormat="1" ht="12.75" hidden="1" customHeight="1" x14ac:dyDescent="0.2">
      <c r="A167" s="223"/>
      <c r="B167" s="224"/>
      <c r="C167" s="244"/>
      <c r="D167" s="259" t="s">
        <v>308</v>
      </c>
      <c r="E167" s="225"/>
      <c r="F167" s="364"/>
      <c r="G167" s="225"/>
      <c r="H167" s="289"/>
      <c r="I167" s="352"/>
    </row>
    <row r="168" spans="1:11" s="290" customFormat="1" ht="12.75" hidden="1" customHeight="1" x14ac:dyDescent="0.2">
      <c r="A168" s="223"/>
      <c r="B168" s="224"/>
      <c r="C168" s="244"/>
      <c r="D168" s="349" t="s">
        <v>478</v>
      </c>
      <c r="E168" s="225"/>
      <c r="F168" s="364"/>
      <c r="G168" s="225"/>
      <c r="H168" s="332"/>
      <c r="I168" s="354"/>
    </row>
    <row r="169" spans="1:11" ht="12.75" hidden="1" customHeight="1" x14ac:dyDescent="0.2">
      <c r="A169" s="368"/>
      <c r="B169" s="224"/>
      <c r="C169" s="244"/>
      <c r="D169" s="349"/>
      <c r="E169" s="225"/>
      <c r="F169" s="364"/>
      <c r="G169" s="225"/>
      <c r="H169" s="333"/>
      <c r="I169" s="369"/>
    </row>
    <row r="170" spans="1:11" s="290" customFormat="1" ht="12.75" customHeight="1" x14ac:dyDescent="0.2">
      <c r="A170" s="219">
        <f>A161+1</f>
        <v>17</v>
      </c>
      <c r="B170" s="220" t="s">
        <v>221</v>
      </c>
      <c r="C170" s="291" t="s">
        <v>276</v>
      </c>
      <c r="D170" s="308" t="str">
        <f>$D$5</f>
        <v>PY Final FEFP</v>
      </c>
      <c r="E170" s="222">
        <f>'3396'!I$132</f>
        <v>6423.48</v>
      </c>
      <c r="F170" s="365"/>
      <c r="G170" s="222">
        <f>SUBTOTAL(109,E170:F177)</f>
        <v>6423.48</v>
      </c>
      <c r="H170" s="332"/>
      <c r="I170" s="318"/>
      <c r="K170" s="353"/>
    </row>
    <row r="171" spans="1:11" s="290" customFormat="1" ht="12.75" hidden="1" customHeight="1" x14ac:dyDescent="0.2">
      <c r="A171" s="219"/>
      <c r="B171" s="220"/>
      <c r="C171" s="291"/>
      <c r="D171" s="258" t="s">
        <v>337</v>
      </c>
      <c r="E171" s="222"/>
      <c r="F171" s="365"/>
      <c r="G171" s="222"/>
      <c r="H171" s="332"/>
      <c r="I171" s="318"/>
    </row>
    <row r="172" spans="1:11" s="290" customFormat="1" ht="12.75" hidden="1" customHeight="1" x14ac:dyDescent="0.2">
      <c r="A172" s="219"/>
      <c r="B172" s="220"/>
      <c r="C172" s="291"/>
      <c r="D172" s="258" t="s">
        <v>339</v>
      </c>
      <c r="E172" s="222"/>
      <c r="F172" s="365"/>
      <c r="G172" s="222"/>
      <c r="H172" s="332"/>
    </row>
    <row r="173" spans="1:11" s="290" customFormat="1" ht="12.75" hidden="1" customHeight="1" x14ac:dyDescent="0.2">
      <c r="A173" s="219"/>
      <c r="B173" s="220"/>
      <c r="C173" s="291"/>
      <c r="D173" s="258" t="s">
        <v>338</v>
      </c>
      <c r="E173" s="222"/>
      <c r="F173" s="365"/>
      <c r="G173" s="222"/>
      <c r="H173" s="332"/>
    </row>
    <row r="174" spans="1:11" s="290" customFormat="1" ht="12.75" hidden="1" customHeight="1" x14ac:dyDescent="0.2">
      <c r="A174" s="219"/>
      <c r="B174" s="220"/>
      <c r="C174" s="291"/>
      <c r="D174" s="258" t="s">
        <v>349</v>
      </c>
      <c r="E174" s="222"/>
      <c r="F174" s="365"/>
      <c r="G174" s="222"/>
      <c r="H174" s="332"/>
    </row>
    <row r="175" spans="1:11" s="290" customFormat="1" ht="12.75" hidden="1" customHeight="1" x14ac:dyDescent="0.2">
      <c r="A175" s="219"/>
      <c r="B175" s="220"/>
      <c r="C175" s="243"/>
      <c r="D175" s="258" t="s">
        <v>308</v>
      </c>
      <c r="E175" s="222"/>
      <c r="F175" s="365"/>
      <c r="G175" s="222"/>
      <c r="H175" s="289"/>
      <c r="I175" s="352"/>
    </row>
    <row r="176" spans="1:11" s="290" customFormat="1" ht="12.75" hidden="1" customHeight="1" x14ac:dyDescent="0.2">
      <c r="A176" s="219"/>
      <c r="B176" s="220"/>
      <c r="C176" s="243"/>
      <c r="D176" s="258" t="s">
        <v>403</v>
      </c>
      <c r="E176" s="222"/>
      <c r="F176" s="365"/>
      <c r="G176" s="222"/>
      <c r="H176" s="332"/>
      <c r="I176" s="354"/>
    </row>
    <row r="177" spans="1:9" s="290" customFormat="1" ht="12.75" hidden="1" customHeight="1" x14ac:dyDescent="0.2">
      <c r="A177" s="219"/>
      <c r="B177" s="220"/>
      <c r="C177" s="243"/>
      <c r="D177" s="309" t="s">
        <v>386</v>
      </c>
      <c r="E177" s="222"/>
      <c r="F177" s="365"/>
      <c r="G177" s="222"/>
      <c r="H177" s="332"/>
      <c r="I177" s="318"/>
    </row>
    <row r="178" spans="1:9" s="290" customFormat="1" ht="12.75" customHeight="1" x14ac:dyDescent="0.2">
      <c r="A178" s="223">
        <f>A170+1</f>
        <v>18</v>
      </c>
      <c r="B178" s="224" t="s">
        <v>222</v>
      </c>
      <c r="C178" s="244" t="s">
        <v>244</v>
      </c>
      <c r="D178" s="310" t="str">
        <f>$D$5</f>
        <v>PY Final FEFP</v>
      </c>
      <c r="E178" s="225">
        <f>'3398'!I$132</f>
        <v>-1100.79</v>
      </c>
      <c r="F178" s="364"/>
      <c r="G178" s="225">
        <f>SUBTOTAL(109,E178:F184)</f>
        <v>-1100.79</v>
      </c>
      <c r="H178" s="332"/>
      <c r="I178" s="318"/>
    </row>
    <row r="179" spans="1:9" s="290" customFormat="1" ht="12.75" hidden="1" customHeight="1" x14ac:dyDescent="0.2">
      <c r="A179" s="223"/>
      <c r="B179" s="224"/>
      <c r="C179" s="244"/>
      <c r="D179" s="259" t="s">
        <v>337</v>
      </c>
      <c r="E179" s="225"/>
      <c r="F179" s="364"/>
      <c r="G179" s="225"/>
      <c r="H179" s="332"/>
      <c r="I179" s="318"/>
    </row>
    <row r="180" spans="1:9" s="290" customFormat="1" ht="12.75" hidden="1" customHeight="1" x14ac:dyDescent="0.2">
      <c r="A180" s="223"/>
      <c r="B180" s="224"/>
      <c r="C180" s="244"/>
      <c r="D180" s="259" t="s">
        <v>339</v>
      </c>
      <c r="E180" s="225"/>
      <c r="F180" s="364"/>
      <c r="G180" s="225"/>
      <c r="H180" s="332"/>
    </row>
    <row r="181" spans="1:9" s="290" customFormat="1" ht="12.75" hidden="1" customHeight="1" x14ac:dyDescent="0.2">
      <c r="A181" s="223"/>
      <c r="B181" s="224"/>
      <c r="C181" s="244"/>
      <c r="D181" s="259" t="s">
        <v>338</v>
      </c>
      <c r="E181" s="225"/>
      <c r="F181" s="364"/>
      <c r="G181" s="225"/>
      <c r="H181" s="332"/>
      <c r="I181" s="212"/>
    </row>
    <row r="182" spans="1:9" ht="12.75" hidden="1" customHeight="1" x14ac:dyDescent="0.2">
      <c r="A182" s="223"/>
      <c r="B182" s="224"/>
      <c r="C182" s="255"/>
      <c r="D182" s="259" t="s">
        <v>349</v>
      </c>
      <c r="E182" s="225"/>
      <c r="F182" s="364"/>
      <c r="G182" s="225"/>
      <c r="H182" s="333"/>
    </row>
    <row r="183" spans="1:9" s="290" customFormat="1" ht="12.75" hidden="1" customHeight="1" x14ac:dyDescent="0.2">
      <c r="A183" s="223"/>
      <c r="B183" s="224"/>
      <c r="C183" s="244"/>
      <c r="D183" s="259" t="s">
        <v>308</v>
      </c>
      <c r="E183" s="225"/>
      <c r="F183" s="364"/>
      <c r="G183" s="225"/>
      <c r="H183" s="289"/>
      <c r="I183" s="352"/>
    </row>
    <row r="184" spans="1:9" ht="12.75" hidden="1" customHeight="1" x14ac:dyDescent="0.2">
      <c r="A184" s="223"/>
      <c r="B184" s="224"/>
      <c r="C184" s="255"/>
      <c r="D184" s="311" t="s">
        <v>386</v>
      </c>
      <c r="E184" s="225"/>
      <c r="F184" s="364"/>
      <c r="G184" s="225"/>
      <c r="H184" s="333"/>
      <c r="I184" s="318"/>
    </row>
    <row r="185" spans="1:9" s="290" customFormat="1" ht="12.75" customHeight="1" x14ac:dyDescent="0.2">
      <c r="A185" s="219">
        <f>A178+1</f>
        <v>19</v>
      </c>
      <c r="B185" s="220" t="s">
        <v>223</v>
      </c>
      <c r="C185" s="243" t="s">
        <v>238</v>
      </c>
      <c r="D185" s="308" t="str">
        <f>$D$5</f>
        <v>PY Final FEFP</v>
      </c>
      <c r="E185" s="222">
        <f>'3400'!I$132</f>
        <v>1604.22</v>
      </c>
      <c r="F185" s="365"/>
      <c r="G185" s="222">
        <f>SUBTOTAL(109,E185:F192)</f>
        <v>1604.22</v>
      </c>
      <c r="H185" s="332"/>
      <c r="I185" s="318"/>
    </row>
    <row r="186" spans="1:9" s="290" customFormat="1" ht="12.75" hidden="1" customHeight="1" x14ac:dyDescent="0.2">
      <c r="A186" s="219"/>
      <c r="B186" s="220"/>
      <c r="C186" s="243"/>
      <c r="D186" s="258" t="s">
        <v>337</v>
      </c>
      <c r="E186" s="222"/>
      <c r="F186" s="365"/>
      <c r="G186" s="222"/>
      <c r="H186" s="332"/>
      <c r="I186" s="318"/>
    </row>
    <row r="187" spans="1:9" s="290" customFormat="1" ht="12.75" hidden="1" customHeight="1" x14ac:dyDescent="0.2">
      <c r="A187" s="219"/>
      <c r="B187" s="220"/>
      <c r="C187" s="243"/>
      <c r="D187" s="378" t="s">
        <v>413</v>
      </c>
      <c r="E187" s="222"/>
      <c r="F187" s="365"/>
      <c r="G187" s="222"/>
      <c r="H187" s="289"/>
      <c r="I187" s="257"/>
    </row>
    <row r="188" spans="1:9" s="290" customFormat="1" ht="12.75" hidden="1" customHeight="1" x14ac:dyDescent="0.2">
      <c r="A188" s="219"/>
      <c r="B188" s="220"/>
      <c r="C188" s="243"/>
      <c r="D188" s="258" t="s">
        <v>339</v>
      </c>
      <c r="E188" s="222"/>
      <c r="F188" s="365"/>
      <c r="G188" s="222"/>
      <c r="H188" s="332"/>
    </row>
    <row r="189" spans="1:9" s="290" customFormat="1" ht="12.75" hidden="1" customHeight="1" x14ac:dyDescent="0.2">
      <c r="A189" s="219"/>
      <c r="B189" s="220"/>
      <c r="C189" s="243"/>
      <c r="D189" s="258" t="s">
        <v>338</v>
      </c>
      <c r="E189" s="222"/>
      <c r="F189" s="365"/>
      <c r="G189" s="222"/>
      <c r="H189" s="332"/>
    </row>
    <row r="190" spans="1:9" s="290" customFormat="1" ht="12.75" hidden="1" customHeight="1" x14ac:dyDescent="0.2">
      <c r="A190" s="219"/>
      <c r="B190" s="220"/>
      <c r="C190" s="243"/>
      <c r="D190" s="258" t="s">
        <v>349</v>
      </c>
      <c r="E190" s="222"/>
      <c r="F190" s="365"/>
      <c r="G190" s="222"/>
      <c r="H190" s="332"/>
      <c r="I190" s="220"/>
    </row>
    <row r="191" spans="1:9" s="290" customFormat="1" ht="12.75" hidden="1" customHeight="1" x14ac:dyDescent="0.2">
      <c r="A191" s="219"/>
      <c r="B191" s="220"/>
      <c r="C191" s="243"/>
      <c r="D191" s="258" t="s">
        <v>308</v>
      </c>
      <c r="E191" s="222"/>
      <c r="F191" s="365"/>
      <c r="G191" s="222"/>
      <c r="H191" s="289"/>
      <c r="I191" s="352"/>
    </row>
    <row r="192" spans="1:9" s="290" customFormat="1" ht="12.75" hidden="1" customHeight="1" x14ac:dyDescent="0.2">
      <c r="A192" s="219"/>
      <c r="B192" s="220"/>
      <c r="C192" s="243"/>
      <c r="D192" s="309" t="s">
        <v>386</v>
      </c>
      <c r="E192" s="222"/>
      <c r="F192" s="365"/>
      <c r="G192" s="222"/>
      <c r="H192" s="289"/>
      <c r="I192" s="352"/>
    </row>
    <row r="193" spans="1:9" s="290" customFormat="1" ht="12.75" customHeight="1" x14ac:dyDescent="0.2">
      <c r="A193" s="223">
        <f>A185+1</f>
        <v>20</v>
      </c>
      <c r="B193" s="224" t="s">
        <v>224</v>
      </c>
      <c r="C193" s="244" t="s">
        <v>255</v>
      </c>
      <c r="D193" s="310" t="str">
        <f>$D$5</f>
        <v>PY Final FEFP</v>
      </c>
      <c r="E193" s="225">
        <f>'3401'!I$132</f>
        <v>-3637.81</v>
      </c>
      <c r="F193" s="364"/>
      <c r="G193" s="225">
        <f>SUBTOTAL(109,E193:F203)</f>
        <v>-3637.81</v>
      </c>
      <c r="H193" s="332"/>
      <c r="I193" s="220"/>
    </row>
    <row r="194" spans="1:9" s="290" customFormat="1" ht="12.75" hidden="1" customHeight="1" x14ac:dyDescent="0.2">
      <c r="A194" s="223"/>
      <c r="B194" s="224"/>
      <c r="C194" s="244"/>
      <c r="D194" s="259" t="s">
        <v>337</v>
      </c>
      <c r="E194" s="225"/>
      <c r="F194" s="364"/>
      <c r="G194" s="225"/>
      <c r="H194" s="332"/>
      <c r="I194" s="220"/>
    </row>
    <row r="195" spans="1:9" s="290" customFormat="1" ht="12.75" hidden="1" customHeight="1" x14ac:dyDescent="0.2">
      <c r="A195" s="223"/>
      <c r="B195" s="224"/>
      <c r="C195" s="244"/>
      <c r="D195" s="411" t="s">
        <v>431</v>
      </c>
      <c r="E195" s="225"/>
      <c r="F195" s="364"/>
      <c r="G195" s="225"/>
      <c r="H195" s="332"/>
      <c r="I195" s="220"/>
    </row>
    <row r="196" spans="1:9" s="290" customFormat="1" ht="12.75" hidden="1" customHeight="1" x14ac:dyDescent="0.2">
      <c r="A196" s="223"/>
      <c r="B196" s="224"/>
      <c r="C196" s="244"/>
      <c r="D196" s="259" t="s">
        <v>415</v>
      </c>
      <c r="E196" s="225"/>
      <c r="F196" s="364"/>
      <c r="G196" s="225"/>
      <c r="H196" s="332"/>
      <c r="I196" s="220"/>
    </row>
    <row r="197" spans="1:9" s="290" customFormat="1" ht="12.75" hidden="1" customHeight="1" x14ac:dyDescent="0.2">
      <c r="A197" s="223"/>
      <c r="B197" s="224"/>
      <c r="C197" s="244"/>
      <c r="D197" s="259" t="s">
        <v>416</v>
      </c>
      <c r="E197" s="225"/>
      <c r="F197" s="364"/>
      <c r="G197" s="225"/>
      <c r="H197" s="332"/>
      <c r="I197" s="220"/>
    </row>
    <row r="198" spans="1:9" s="290" customFormat="1" ht="12.75" hidden="1" customHeight="1" x14ac:dyDescent="0.2">
      <c r="A198" s="223"/>
      <c r="B198" s="224"/>
      <c r="C198" s="244"/>
      <c r="D198" s="259" t="s">
        <v>339</v>
      </c>
      <c r="E198" s="225"/>
      <c r="F198" s="364"/>
      <c r="G198" s="225"/>
      <c r="H198" s="332"/>
      <c r="I198" s="220"/>
    </row>
    <row r="199" spans="1:9" s="290" customFormat="1" ht="12.75" hidden="1" customHeight="1" x14ac:dyDescent="0.2">
      <c r="A199" s="223"/>
      <c r="B199" s="224"/>
      <c r="C199" s="244"/>
      <c r="D199" s="259" t="s">
        <v>338</v>
      </c>
      <c r="E199" s="225"/>
      <c r="F199" s="364"/>
      <c r="G199" s="225"/>
      <c r="H199" s="332"/>
      <c r="I199" s="220"/>
    </row>
    <row r="200" spans="1:9" s="290" customFormat="1" ht="12.75" hidden="1" customHeight="1" x14ac:dyDescent="0.2">
      <c r="A200" s="223"/>
      <c r="B200" s="224"/>
      <c r="C200" s="244"/>
      <c r="D200" s="259" t="s">
        <v>349</v>
      </c>
      <c r="E200" s="225"/>
      <c r="F200" s="364"/>
      <c r="G200" s="225"/>
      <c r="H200" s="332"/>
      <c r="I200" s="220"/>
    </row>
    <row r="201" spans="1:9" s="290" customFormat="1" ht="12.75" hidden="1" customHeight="1" x14ac:dyDescent="0.2">
      <c r="A201" s="223"/>
      <c r="B201" s="224"/>
      <c r="C201" s="244"/>
      <c r="D201" s="259" t="s">
        <v>308</v>
      </c>
      <c r="E201" s="225"/>
      <c r="F201" s="364"/>
      <c r="G201" s="225"/>
      <c r="H201" s="289"/>
      <c r="I201" s="352"/>
    </row>
    <row r="202" spans="1:9" s="290" customFormat="1" ht="12.75" hidden="1" customHeight="1" x14ac:dyDescent="0.2">
      <c r="A202" s="223"/>
      <c r="B202" s="224"/>
      <c r="C202" s="255"/>
      <c r="D202" s="349" t="s">
        <v>404</v>
      </c>
      <c r="E202" s="225"/>
      <c r="F202" s="364"/>
      <c r="G202" s="225"/>
      <c r="H202" s="332"/>
      <c r="I202" s="359"/>
    </row>
    <row r="203" spans="1:9" s="290" customFormat="1" ht="12.75" hidden="1" customHeight="1" x14ac:dyDescent="0.2">
      <c r="A203" s="223"/>
      <c r="B203" s="224"/>
      <c r="C203" s="244"/>
      <c r="D203" s="311" t="s">
        <v>386</v>
      </c>
      <c r="E203" s="225"/>
      <c r="F203" s="364"/>
      <c r="G203" s="225"/>
      <c r="H203" s="289"/>
      <c r="I203" s="352"/>
    </row>
    <row r="204" spans="1:9" s="290" customFormat="1" ht="12.75" customHeight="1" x14ac:dyDescent="0.2">
      <c r="A204" s="219">
        <f>A193+1</f>
        <v>21</v>
      </c>
      <c r="B204" s="220" t="s">
        <v>225</v>
      </c>
      <c r="C204" s="243" t="s">
        <v>256</v>
      </c>
      <c r="D204" s="308" t="str">
        <f>$D$5</f>
        <v>PY Final FEFP</v>
      </c>
      <c r="E204" s="222">
        <f>'3413'!I$132</f>
        <v>-112.48</v>
      </c>
      <c r="F204" s="365"/>
      <c r="G204" s="222">
        <f>SUBTOTAL(109,E204:F211)</f>
        <v>-112.48</v>
      </c>
      <c r="H204" s="332"/>
      <c r="I204" s="220"/>
    </row>
    <row r="205" spans="1:9" s="290" customFormat="1" ht="12.75" hidden="1" customHeight="1" x14ac:dyDescent="0.2">
      <c r="A205" s="219"/>
      <c r="B205" s="220"/>
      <c r="C205" s="243"/>
      <c r="D205" s="258" t="s">
        <v>337</v>
      </c>
      <c r="E205" s="222"/>
      <c r="F205" s="365"/>
      <c r="G205" s="222"/>
      <c r="H205" s="332"/>
      <c r="I205" s="220"/>
    </row>
    <row r="206" spans="1:9" s="290" customFormat="1" ht="12.75" hidden="1" customHeight="1" x14ac:dyDescent="0.2">
      <c r="A206" s="219"/>
      <c r="B206" s="220"/>
      <c r="C206" s="243"/>
      <c r="D206" s="378" t="s">
        <v>413</v>
      </c>
      <c r="E206" s="222"/>
      <c r="F206" s="365"/>
      <c r="G206" s="222"/>
      <c r="H206" s="289"/>
      <c r="I206" s="257"/>
    </row>
    <row r="207" spans="1:9" s="290" customFormat="1" ht="12.75" hidden="1" customHeight="1" x14ac:dyDescent="0.2">
      <c r="A207" s="219"/>
      <c r="B207" s="220"/>
      <c r="C207" s="243"/>
      <c r="D207" s="258" t="s">
        <v>339</v>
      </c>
      <c r="E207" s="222"/>
      <c r="F207" s="365"/>
      <c r="G207" s="222"/>
      <c r="H207" s="332"/>
    </row>
    <row r="208" spans="1:9" s="290" customFormat="1" ht="12.75" hidden="1" customHeight="1" x14ac:dyDescent="0.2">
      <c r="A208" s="219"/>
      <c r="B208" s="220"/>
      <c r="C208" s="243"/>
      <c r="D208" s="258" t="s">
        <v>338</v>
      </c>
      <c r="E208" s="222"/>
      <c r="F208" s="365"/>
      <c r="G208" s="222"/>
      <c r="H208" s="332"/>
    </row>
    <row r="209" spans="1:9" s="290" customFormat="1" ht="12.75" hidden="1" customHeight="1" x14ac:dyDescent="0.2">
      <c r="A209" s="219"/>
      <c r="B209" s="220"/>
      <c r="C209" s="243"/>
      <c r="D209" s="258" t="s">
        <v>349</v>
      </c>
      <c r="E209" s="222"/>
      <c r="F209" s="365"/>
      <c r="G209" s="222"/>
      <c r="H209" s="332"/>
    </row>
    <row r="210" spans="1:9" s="290" customFormat="1" ht="12.75" hidden="1" customHeight="1" x14ac:dyDescent="0.2">
      <c r="A210" s="219"/>
      <c r="B210" s="220"/>
      <c r="C210" s="243"/>
      <c r="D210" s="258" t="s">
        <v>308</v>
      </c>
      <c r="E210" s="222"/>
      <c r="F210" s="365"/>
      <c r="G210" s="222"/>
      <c r="H210" s="289"/>
      <c r="I210" s="352"/>
    </row>
    <row r="211" spans="1:9" s="290" customFormat="1" ht="12.75" hidden="1" customHeight="1" x14ac:dyDescent="0.2">
      <c r="A211" s="219"/>
      <c r="B211" s="220"/>
      <c r="C211" s="243"/>
      <c r="D211" s="309" t="s">
        <v>386</v>
      </c>
      <c r="E211" s="222"/>
      <c r="F211" s="365"/>
      <c r="G211" s="222"/>
      <c r="H211" s="289"/>
      <c r="I211" s="352"/>
    </row>
    <row r="212" spans="1:9" s="290" customFormat="1" ht="12.75" customHeight="1" x14ac:dyDescent="0.2">
      <c r="A212" s="223">
        <f>A204+1</f>
        <v>22</v>
      </c>
      <c r="B212" s="224" t="s">
        <v>226</v>
      </c>
      <c r="C212" s="244" t="s">
        <v>257</v>
      </c>
      <c r="D212" s="310" t="str">
        <f>$D$5</f>
        <v>PY Final FEFP</v>
      </c>
      <c r="E212" s="225">
        <f>'3421'!I$132</f>
        <v>-2189.7800000000002</v>
      </c>
      <c r="F212" s="364"/>
      <c r="G212" s="225">
        <f>SUBTOTAL(109,E212:F222)</f>
        <v>-2189.7800000000002</v>
      </c>
      <c r="H212" s="332"/>
    </row>
    <row r="213" spans="1:9" s="290" customFormat="1" ht="12.75" hidden="1" customHeight="1" x14ac:dyDescent="0.2">
      <c r="A213" s="223"/>
      <c r="B213" s="224"/>
      <c r="C213" s="244"/>
      <c r="D213" s="259" t="s">
        <v>337</v>
      </c>
      <c r="E213" s="225"/>
      <c r="F213" s="364"/>
      <c r="G213" s="225"/>
      <c r="H213" s="332"/>
    </row>
    <row r="214" spans="1:9" s="290" customFormat="1" ht="12.75" hidden="1" customHeight="1" x14ac:dyDescent="0.2">
      <c r="A214" s="223"/>
      <c r="B214" s="224"/>
      <c r="C214" s="244"/>
      <c r="D214" s="411" t="s">
        <v>431</v>
      </c>
      <c r="E214" s="225"/>
      <c r="F214" s="364"/>
      <c r="G214" s="225"/>
      <c r="H214" s="332"/>
      <c r="I214" s="220"/>
    </row>
    <row r="215" spans="1:9" s="290" customFormat="1" ht="12.75" hidden="1" customHeight="1" x14ac:dyDescent="0.2">
      <c r="A215" s="223"/>
      <c r="B215" s="224"/>
      <c r="C215" s="244"/>
      <c r="D215" s="259" t="s">
        <v>415</v>
      </c>
      <c r="E215" s="225"/>
      <c r="F215" s="364"/>
      <c r="G215" s="225"/>
      <c r="H215" s="332"/>
      <c r="I215" s="220"/>
    </row>
    <row r="216" spans="1:9" s="290" customFormat="1" ht="12.75" hidden="1" customHeight="1" x14ac:dyDescent="0.2">
      <c r="A216" s="223"/>
      <c r="B216" s="224"/>
      <c r="C216" s="244"/>
      <c r="D216" s="259" t="s">
        <v>416</v>
      </c>
      <c r="E216" s="225"/>
      <c r="F216" s="364"/>
      <c r="G216" s="225"/>
      <c r="H216" s="332"/>
      <c r="I216" s="220"/>
    </row>
    <row r="217" spans="1:9" s="290" customFormat="1" ht="12.75" hidden="1" customHeight="1" x14ac:dyDescent="0.2">
      <c r="A217" s="223"/>
      <c r="B217" s="224"/>
      <c r="C217" s="244"/>
      <c r="D217" s="259" t="s">
        <v>339</v>
      </c>
      <c r="E217" s="225"/>
      <c r="F217" s="364"/>
      <c r="G217" s="225"/>
      <c r="H217" s="332"/>
    </row>
    <row r="218" spans="1:9" s="290" customFormat="1" ht="12.75" hidden="1" customHeight="1" x14ac:dyDescent="0.2">
      <c r="A218" s="223"/>
      <c r="B218" s="224"/>
      <c r="C218" s="244"/>
      <c r="D218" s="259" t="s">
        <v>338</v>
      </c>
      <c r="E218" s="225"/>
      <c r="F218" s="364"/>
      <c r="G218" s="225"/>
      <c r="H218" s="332"/>
      <c r="I218" s="220"/>
    </row>
    <row r="219" spans="1:9" s="290" customFormat="1" ht="12.75" hidden="1" customHeight="1" x14ac:dyDescent="0.2">
      <c r="A219" s="223"/>
      <c r="B219" s="224"/>
      <c r="C219" s="244"/>
      <c r="D219" s="259" t="s">
        <v>349</v>
      </c>
      <c r="E219" s="225"/>
      <c r="F219" s="364"/>
      <c r="G219" s="225"/>
      <c r="H219" s="332"/>
    </row>
    <row r="220" spans="1:9" s="290" customFormat="1" ht="12.75" hidden="1" customHeight="1" x14ac:dyDescent="0.2">
      <c r="A220" s="223"/>
      <c r="B220" s="224"/>
      <c r="C220" s="244"/>
      <c r="D220" s="259" t="s">
        <v>308</v>
      </c>
      <c r="E220" s="225"/>
      <c r="F220" s="364"/>
      <c r="G220" s="225"/>
      <c r="H220" s="289"/>
      <c r="I220" s="352"/>
    </row>
    <row r="221" spans="1:9" s="290" customFormat="1" ht="12.75" hidden="1" customHeight="1" x14ac:dyDescent="0.2">
      <c r="A221" s="223"/>
      <c r="B221" s="224"/>
      <c r="C221" s="255"/>
      <c r="D221" s="349" t="s">
        <v>404</v>
      </c>
      <c r="E221" s="225"/>
      <c r="F221" s="364"/>
      <c r="G221" s="225"/>
      <c r="H221" s="332"/>
      <c r="I221" s="359"/>
    </row>
    <row r="222" spans="1:9" s="290" customFormat="1" ht="12.75" hidden="1" customHeight="1" x14ac:dyDescent="0.2">
      <c r="A222" s="223"/>
      <c r="B222" s="224"/>
      <c r="C222" s="244"/>
      <c r="D222" s="311" t="s">
        <v>386</v>
      </c>
      <c r="E222" s="225"/>
      <c r="F222" s="364"/>
      <c r="G222" s="225"/>
      <c r="H222" s="289"/>
      <c r="I222" s="352"/>
    </row>
    <row r="223" spans="1:9" s="290" customFormat="1" ht="12.75" customHeight="1" x14ac:dyDescent="0.2">
      <c r="A223" s="219">
        <f>A212+1</f>
        <v>23</v>
      </c>
      <c r="B223" s="220" t="s">
        <v>227</v>
      </c>
      <c r="C223" s="243" t="s">
        <v>259</v>
      </c>
      <c r="D223" s="308" t="str">
        <f>$D$5</f>
        <v>PY Final FEFP</v>
      </c>
      <c r="E223" s="222">
        <f>'3431'!I$132</f>
        <v>2606.36</v>
      </c>
      <c r="F223" s="365"/>
      <c r="G223" s="222">
        <f>SUBTOTAL(109,E223:F232)</f>
        <v>2606.36</v>
      </c>
      <c r="H223" s="332"/>
    </row>
    <row r="224" spans="1:9" s="290" customFormat="1" ht="12.75" hidden="1" customHeight="1" x14ac:dyDescent="0.2">
      <c r="A224" s="219"/>
      <c r="B224" s="220"/>
      <c r="C224" s="243"/>
      <c r="D224" s="258" t="s">
        <v>337</v>
      </c>
      <c r="E224" s="222"/>
      <c r="F224" s="365"/>
      <c r="G224" s="222"/>
      <c r="H224" s="332"/>
    </row>
    <row r="225" spans="1:9" s="290" customFormat="1" ht="12.75" hidden="1" customHeight="1" x14ac:dyDescent="0.2">
      <c r="A225" s="219"/>
      <c r="B225" s="220"/>
      <c r="C225" s="243"/>
      <c r="D225" s="378" t="s">
        <v>414</v>
      </c>
      <c r="E225" s="222"/>
      <c r="F225" s="365"/>
      <c r="G225" s="222"/>
      <c r="H225" s="332"/>
      <c r="I225" s="220"/>
    </row>
    <row r="226" spans="1:9" s="290" customFormat="1" ht="12.75" hidden="1" customHeight="1" x14ac:dyDescent="0.2">
      <c r="A226" s="219"/>
      <c r="B226" s="220"/>
      <c r="C226" s="243"/>
      <c r="D226" s="258" t="s">
        <v>339</v>
      </c>
      <c r="E226" s="222"/>
      <c r="F226" s="365"/>
      <c r="G226" s="222"/>
      <c r="H226" s="332"/>
    </row>
    <row r="227" spans="1:9" s="290" customFormat="1" ht="12.75" hidden="1" customHeight="1" x14ac:dyDescent="0.2">
      <c r="A227" s="219"/>
      <c r="B227" s="220"/>
      <c r="C227" s="243"/>
      <c r="D227" s="258" t="s">
        <v>399</v>
      </c>
      <c r="E227" s="222"/>
      <c r="F227" s="365"/>
      <c r="G227" s="222"/>
      <c r="H227" s="332"/>
      <c r="I227" s="220"/>
    </row>
    <row r="228" spans="1:9" s="290" customFormat="1" ht="12.75" hidden="1" customHeight="1" x14ac:dyDescent="0.2">
      <c r="A228" s="219"/>
      <c r="B228" s="220"/>
      <c r="C228" s="243"/>
      <c r="D228" s="258" t="s">
        <v>349</v>
      </c>
      <c r="E228" s="222"/>
      <c r="F228" s="365"/>
      <c r="G228" s="222"/>
      <c r="H228" s="332"/>
      <c r="I228" s="220"/>
    </row>
    <row r="229" spans="1:9" s="290" customFormat="1" ht="12.75" hidden="1" customHeight="1" x14ac:dyDescent="0.2">
      <c r="A229" s="219"/>
      <c r="B229" s="220"/>
      <c r="C229" s="243"/>
      <c r="D229" s="258" t="s">
        <v>308</v>
      </c>
      <c r="E229" s="222"/>
      <c r="F229" s="365"/>
      <c r="G229" s="222"/>
      <c r="H229" s="332"/>
      <c r="I229" s="352"/>
    </row>
    <row r="230" spans="1:9" s="290" customFormat="1" ht="12.75" hidden="1" customHeight="1" x14ac:dyDescent="0.2">
      <c r="A230" s="219"/>
      <c r="B230" s="220"/>
      <c r="C230" s="243"/>
      <c r="D230" s="258" t="s">
        <v>350</v>
      </c>
      <c r="E230" s="222"/>
      <c r="F230" s="365"/>
      <c r="G230" s="222"/>
      <c r="H230" s="332"/>
      <c r="I230" s="318"/>
    </row>
    <row r="231" spans="1:9" s="290" customFormat="1" ht="12.75" hidden="1" customHeight="1" x14ac:dyDescent="0.2">
      <c r="A231" s="219"/>
      <c r="B231" s="220"/>
      <c r="C231" s="257"/>
      <c r="D231" s="379" t="s">
        <v>404</v>
      </c>
      <c r="E231" s="222"/>
      <c r="F231" s="365"/>
      <c r="G231" s="222"/>
      <c r="H231" s="332"/>
      <c r="I231" s="359"/>
    </row>
    <row r="232" spans="1:9" s="290" customFormat="1" ht="12.75" hidden="1" customHeight="1" x14ac:dyDescent="0.2">
      <c r="A232" s="219"/>
      <c r="B232" s="220"/>
      <c r="C232" s="243"/>
      <c r="D232" s="309" t="s">
        <v>412</v>
      </c>
      <c r="E232" s="222"/>
      <c r="F232" s="365"/>
      <c r="G232" s="222"/>
      <c r="H232" s="332"/>
    </row>
    <row r="233" spans="1:9" s="290" customFormat="1" ht="12.75" customHeight="1" x14ac:dyDescent="0.2">
      <c r="A233" s="223">
        <f>A223+1</f>
        <v>24</v>
      </c>
      <c r="B233" s="224">
        <v>3441</v>
      </c>
      <c r="C233" s="292" t="s">
        <v>277</v>
      </c>
      <c r="D233" s="310" t="str">
        <f>$D$5</f>
        <v>PY Final FEFP</v>
      </c>
      <c r="E233" s="225">
        <f>'3441'!I$132</f>
        <v>4227.25</v>
      </c>
      <c r="F233" s="364"/>
      <c r="G233" s="225">
        <f>SUBTOTAL(109,E233:F241)</f>
        <v>4227.25</v>
      </c>
      <c r="H233" s="332"/>
    </row>
    <row r="234" spans="1:9" s="290" customFormat="1" ht="12.75" hidden="1" customHeight="1" x14ac:dyDescent="0.2">
      <c r="A234" s="223"/>
      <c r="B234" s="224"/>
      <c r="C234" s="292"/>
      <c r="D234" s="259" t="s">
        <v>337</v>
      </c>
      <c r="E234" s="225"/>
      <c r="F234" s="364"/>
      <c r="G234" s="225"/>
      <c r="H234" s="332"/>
    </row>
    <row r="235" spans="1:9" s="290" customFormat="1" ht="12.75" hidden="1" customHeight="1" x14ac:dyDescent="0.2">
      <c r="A235" s="223"/>
      <c r="B235" s="224"/>
      <c r="C235" s="244"/>
      <c r="D235" s="411" t="s">
        <v>413</v>
      </c>
      <c r="E235" s="225"/>
      <c r="F235" s="364"/>
      <c r="G235" s="225"/>
      <c r="H235" s="289"/>
      <c r="I235" s="257"/>
    </row>
    <row r="236" spans="1:9" s="290" customFormat="1" ht="12.75" hidden="1" customHeight="1" x14ac:dyDescent="0.2">
      <c r="A236" s="223"/>
      <c r="B236" s="224"/>
      <c r="C236" s="292"/>
      <c r="D236" s="259" t="s">
        <v>339</v>
      </c>
      <c r="E236" s="225"/>
      <c r="F236" s="364"/>
      <c r="G236" s="225"/>
      <c r="H236" s="332"/>
    </row>
    <row r="237" spans="1:9" s="290" customFormat="1" ht="12.75" hidden="1" customHeight="1" x14ac:dyDescent="0.2">
      <c r="A237" s="223"/>
      <c r="B237" s="224"/>
      <c r="C237" s="244"/>
      <c r="D237" s="259" t="s">
        <v>338</v>
      </c>
      <c r="E237" s="225"/>
      <c r="F237" s="364"/>
      <c r="G237" s="225"/>
      <c r="H237" s="332"/>
    </row>
    <row r="238" spans="1:9" s="290" customFormat="1" ht="12.75" hidden="1" customHeight="1" x14ac:dyDescent="0.2">
      <c r="A238" s="223"/>
      <c r="B238" s="224"/>
      <c r="C238" s="244"/>
      <c r="D238" s="259" t="s">
        <v>349</v>
      </c>
      <c r="E238" s="225"/>
      <c r="F238" s="364"/>
      <c r="G238" s="225"/>
      <c r="H238" s="332"/>
      <c r="I238" s="220"/>
    </row>
    <row r="239" spans="1:9" s="290" customFormat="1" ht="12.75" hidden="1" customHeight="1" x14ac:dyDescent="0.2">
      <c r="A239" s="223"/>
      <c r="B239" s="224"/>
      <c r="C239" s="244"/>
      <c r="D239" s="259" t="s">
        <v>308</v>
      </c>
      <c r="E239" s="225"/>
      <c r="F239" s="364"/>
      <c r="G239" s="225"/>
      <c r="H239" s="289"/>
      <c r="I239" s="352"/>
    </row>
    <row r="240" spans="1:9" s="290" customFormat="1" ht="12.75" hidden="1" customHeight="1" x14ac:dyDescent="0.2">
      <c r="A240" s="223"/>
      <c r="B240" s="224"/>
      <c r="C240" s="244"/>
      <c r="D240" s="259" t="s">
        <v>350</v>
      </c>
      <c r="E240" s="225"/>
      <c r="F240" s="364"/>
      <c r="G240" s="225"/>
      <c r="H240" s="332"/>
    </row>
    <row r="241" spans="1:9" s="290" customFormat="1" ht="12.75" hidden="1" customHeight="1" x14ac:dyDescent="0.2">
      <c r="A241" s="223"/>
      <c r="B241" s="224"/>
      <c r="C241" s="244"/>
      <c r="D241" s="311" t="s">
        <v>386</v>
      </c>
      <c r="E241" s="225"/>
      <c r="F241" s="364"/>
      <c r="G241" s="225"/>
      <c r="H241" s="332"/>
    </row>
    <row r="242" spans="1:9" s="290" customFormat="1" ht="12.75" customHeight="1" x14ac:dyDescent="0.2">
      <c r="A242" s="219">
        <f>A233+1</f>
        <v>25</v>
      </c>
      <c r="B242" s="220">
        <v>3924</v>
      </c>
      <c r="C242" s="291" t="s">
        <v>454</v>
      </c>
      <c r="D242" s="308" t="str">
        <f>$D$5</f>
        <v>PY Final FEFP</v>
      </c>
      <c r="E242" s="222">
        <f>'3924'!I$132</f>
        <v>-2758.78</v>
      </c>
      <c r="F242" s="365"/>
      <c r="G242" s="222">
        <f>SUBTOTAL(109,E242:F251)</f>
        <v>-2758.78</v>
      </c>
      <c r="H242" s="332"/>
    </row>
    <row r="243" spans="1:9" s="290" customFormat="1" ht="12.75" hidden="1" customHeight="1" x14ac:dyDescent="0.2">
      <c r="A243" s="219"/>
      <c r="B243" s="220"/>
      <c r="C243" s="243"/>
      <c r="D243" s="258" t="s">
        <v>337</v>
      </c>
      <c r="E243" s="222"/>
      <c r="F243" s="365"/>
      <c r="G243" s="222"/>
      <c r="H243" s="332"/>
    </row>
    <row r="244" spans="1:9" s="290" customFormat="1" ht="12.75" hidden="1" customHeight="1" x14ac:dyDescent="0.2">
      <c r="A244" s="219"/>
      <c r="B244" s="220"/>
      <c r="C244" s="243"/>
      <c r="D244" s="378" t="s">
        <v>414</v>
      </c>
      <c r="E244" s="222"/>
      <c r="F244" s="365"/>
      <c r="G244" s="222"/>
      <c r="H244" s="332"/>
      <c r="I244" s="220"/>
    </row>
    <row r="245" spans="1:9" s="290" customFormat="1" ht="12.75" hidden="1" customHeight="1" x14ac:dyDescent="0.2">
      <c r="A245" s="219"/>
      <c r="B245" s="220"/>
      <c r="C245" s="243"/>
      <c r="D245" s="378" t="s">
        <v>413</v>
      </c>
      <c r="E245" s="222"/>
      <c r="F245" s="365"/>
      <c r="G245" s="222"/>
      <c r="H245" s="332"/>
      <c r="I245" s="220"/>
    </row>
    <row r="246" spans="1:9" s="290" customFormat="1" ht="12.75" hidden="1" customHeight="1" x14ac:dyDescent="0.2">
      <c r="A246" s="219"/>
      <c r="B246" s="220"/>
      <c r="C246" s="243"/>
      <c r="D246" s="258" t="s">
        <v>339</v>
      </c>
      <c r="E246" s="222"/>
      <c r="F246" s="365"/>
      <c r="G246" s="222"/>
      <c r="H246" s="332"/>
    </row>
    <row r="247" spans="1:9" s="290" customFormat="1" ht="12.75" hidden="1" customHeight="1" x14ac:dyDescent="0.2">
      <c r="A247" s="219"/>
      <c r="B247" s="220"/>
      <c r="C247" s="243"/>
      <c r="D247" s="258" t="s">
        <v>338</v>
      </c>
      <c r="E247" s="222"/>
      <c r="F247" s="365"/>
      <c r="G247" s="222"/>
      <c r="H247" s="332"/>
    </row>
    <row r="248" spans="1:9" s="290" customFormat="1" ht="12.75" hidden="1" customHeight="1" x14ac:dyDescent="0.2">
      <c r="A248" s="219"/>
      <c r="B248" s="220"/>
      <c r="C248" s="243"/>
      <c r="D248" s="258" t="s">
        <v>349</v>
      </c>
      <c r="E248" s="222"/>
      <c r="F248" s="365"/>
      <c r="G248" s="222"/>
      <c r="H248" s="332"/>
    </row>
    <row r="249" spans="1:9" s="290" customFormat="1" ht="12.75" hidden="1" customHeight="1" x14ac:dyDescent="0.2">
      <c r="A249" s="219"/>
      <c r="B249" s="220"/>
      <c r="C249" s="243"/>
      <c r="D249" s="258" t="s">
        <v>308</v>
      </c>
      <c r="E249" s="222"/>
      <c r="F249" s="365"/>
      <c r="G249" s="222"/>
      <c r="H249" s="332"/>
      <c r="I249" s="352"/>
    </row>
    <row r="250" spans="1:9" s="290" customFormat="1" ht="12.75" hidden="1" customHeight="1" x14ac:dyDescent="0.2">
      <c r="A250" s="219"/>
      <c r="B250" s="220"/>
      <c r="C250" s="257"/>
      <c r="D250" s="379" t="s">
        <v>404</v>
      </c>
      <c r="E250" s="222"/>
      <c r="F250" s="365"/>
      <c r="G250" s="222"/>
      <c r="H250" s="332"/>
      <c r="I250" s="359"/>
    </row>
    <row r="251" spans="1:9" s="290" customFormat="1" ht="12.75" hidden="1" customHeight="1" x14ac:dyDescent="0.2">
      <c r="A251" s="219"/>
      <c r="B251" s="220"/>
      <c r="C251" s="243"/>
      <c r="D251" s="430" t="s">
        <v>479</v>
      </c>
      <c r="E251" s="222"/>
      <c r="F251" s="365">
        <v>0</v>
      </c>
      <c r="G251" s="222"/>
      <c r="H251" s="332"/>
      <c r="I251" s="352"/>
    </row>
    <row r="252" spans="1:9" s="290" customFormat="1" ht="12.75" customHeight="1" x14ac:dyDescent="0.2">
      <c r="A252" s="223">
        <f>A242+1</f>
        <v>26</v>
      </c>
      <c r="B252" s="224" t="s">
        <v>228</v>
      </c>
      <c r="C252" s="244" t="s">
        <v>240</v>
      </c>
      <c r="D252" s="310" t="str">
        <f>$D$5</f>
        <v>PY Final FEFP</v>
      </c>
      <c r="E252" s="225">
        <f>'3941'!I$132</f>
        <v>-1204.8399999999999</v>
      </c>
      <c r="F252" s="364"/>
      <c r="G252" s="225">
        <f>SUBTOTAL(109,E252:F261)</f>
        <v>-1204.8399999999999</v>
      </c>
      <c r="H252" s="332"/>
    </row>
    <row r="253" spans="1:9" s="290" customFormat="1" ht="12.75" hidden="1" customHeight="1" x14ac:dyDescent="0.2">
      <c r="A253" s="223"/>
      <c r="B253" s="224"/>
      <c r="C253" s="244"/>
      <c r="D253" s="259" t="s">
        <v>337</v>
      </c>
      <c r="E253" s="225"/>
      <c r="F253" s="364"/>
      <c r="G253" s="225"/>
      <c r="H253" s="332"/>
    </row>
    <row r="254" spans="1:9" s="290" customFormat="1" ht="12.75" hidden="1" customHeight="1" x14ac:dyDescent="0.2">
      <c r="A254" s="223"/>
      <c r="B254" s="224"/>
      <c r="C254" s="244"/>
      <c r="D254" s="411" t="s">
        <v>414</v>
      </c>
      <c r="E254" s="225"/>
      <c r="F254" s="364"/>
      <c r="G254" s="225"/>
      <c r="H254" s="332"/>
      <c r="I254" s="220"/>
    </row>
    <row r="255" spans="1:9" s="290" customFormat="1" ht="12.75" hidden="1" customHeight="1" x14ac:dyDescent="0.2">
      <c r="A255" s="223"/>
      <c r="B255" s="224"/>
      <c r="C255" s="244"/>
      <c r="D255" s="259" t="s">
        <v>339</v>
      </c>
      <c r="E255" s="225"/>
      <c r="F255" s="364"/>
      <c r="G255" s="225"/>
      <c r="H255" s="332"/>
    </row>
    <row r="256" spans="1:9" s="290" customFormat="1" ht="12.75" hidden="1" customHeight="1" x14ac:dyDescent="0.2">
      <c r="A256" s="223"/>
      <c r="B256" s="224"/>
      <c r="C256" s="244"/>
      <c r="D256" s="259" t="s">
        <v>338</v>
      </c>
      <c r="E256" s="225"/>
      <c r="F256" s="364"/>
      <c r="G256" s="225"/>
      <c r="H256" s="332"/>
    </row>
    <row r="257" spans="1:9" s="290" customFormat="1" ht="12.75" hidden="1" customHeight="1" x14ac:dyDescent="0.2">
      <c r="A257" s="223"/>
      <c r="B257" s="224"/>
      <c r="C257" s="244"/>
      <c r="D257" s="259" t="s">
        <v>349</v>
      </c>
      <c r="E257" s="225"/>
      <c r="F257" s="364"/>
      <c r="G257" s="225"/>
      <c r="H257" s="332"/>
    </row>
    <row r="258" spans="1:9" s="290" customFormat="1" ht="12.75" hidden="1" customHeight="1" x14ac:dyDescent="0.2">
      <c r="A258" s="223"/>
      <c r="B258" s="224"/>
      <c r="C258" s="244"/>
      <c r="D258" s="259" t="s">
        <v>308</v>
      </c>
      <c r="E258" s="225"/>
      <c r="F258" s="364"/>
      <c r="G258" s="225"/>
      <c r="H258" s="289"/>
      <c r="I258" s="352"/>
    </row>
    <row r="259" spans="1:9" s="290" customFormat="1" ht="12.75" hidden="1" customHeight="1" x14ac:dyDescent="0.2">
      <c r="A259" s="223"/>
      <c r="B259" s="224"/>
      <c r="C259" s="244"/>
      <c r="D259" s="259" t="s">
        <v>381</v>
      </c>
      <c r="E259" s="225"/>
      <c r="F259" s="364"/>
      <c r="G259" s="225"/>
      <c r="H259" s="289"/>
      <c r="I259" s="352"/>
    </row>
    <row r="260" spans="1:9" s="290" customFormat="1" ht="12.75" hidden="1" customHeight="1" x14ac:dyDescent="0.2">
      <c r="A260" s="223"/>
      <c r="B260" s="224"/>
      <c r="C260" s="244"/>
      <c r="D260" s="259" t="s">
        <v>404</v>
      </c>
      <c r="E260" s="225"/>
      <c r="F260" s="364"/>
      <c r="G260" s="225"/>
      <c r="H260" s="289"/>
      <c r="I260" s="352"/>
    </row>
    <row r="261" spans="1:9" s="290" customFormat="1" ht="12.75" hidden="1" customHeight="1" x14ac:dyDescent="0.2">
      <c r="A261" s="223"/>
      <c r="B261" s="224"/>
      <c r="C261" s="244"/>
      <c r="D261" s="259" t="s">
        <v>386</v>
      </c>
      <c r="E261" s="225"/>
      <c r="F261" s="364"/>
      <c r="G261" s="225"/>
      <c r="H261" s="332"/>
    </row>
    <row r="262" spans="1:9" s="290" customFormat="1" ht="12.75" customHeight="1" x14ac:dyDescent="0.2">
      <c r="A262" s="219">
        <f>A252+1</f>
        <v>27</v>
      </c>
      <c r="B262" s="220" t="s">
        <v>229</v>
      </c>
      <c r="C262" s="243" t="s">
        <v>250</v>
      </c>
      <c r="D262" s="308" t="str">
        <f>$D$5</f>
        <v>PY Final FEFP</v>
      </c>
      <c r="E262" s="222">
        <f>'3961'!I$132</f>
        <v>-11969.09</v>
      </c>
      <c r="F262" s="365"/>
      <c r="G262" s="222">
        <f>SUBTOTAL(109,E262:F269)</f>
        <v>-11969.09</v>
      </c>
      <c r="H262" s="332"/>
    </row>
    <row r="263" spans="1:9" s="290" customFormat="1" ht="12.75" hidden="1" customHeight="1" x14ac:dyDescent="0.2">
      <c r="A263" s="219"/>
      <c r="B263" s="220"/>
      <c r="C263" s="243"/>
      <c r="D263" s="258" t="s">
        <v>337</v>
      </c>
      <c r="E263" s="222"/>
      <c r="F263" s="365"/>
      <c r="G263" s="222"/>
      <c r="H263" s="332"/>
    </row>
    <row r="264" spans="1:9" s="290" customFormat="1" ht="12.75" hidden="1" customHeight="1" x14ac:dyDescent="0.2">
      <c r="A264" s="219"/>
      <c r="B264" s="220"/>
      <c r="C264" s="243"/>
      <c r="D264" s="378" t="s">
        <v>413</v>
      </c>
      <c r="E264" s="222"/>
      <c r="F264" s="365"/>
      <c r="G264" s="222"/>
      <c r="H264" s="332"/>
      <c r="I264" s="220"/>
    </row>
    <row r="265" spans="1:9" s="290" customFormat="1" ht="12.75" hidden="1" customHeight="1" x14ac:dyDescent="0.2">
      <c r="A265" s="219"/>
      <c r="B265" s="220"/>
      <c r="C265" s="243"/>
      <c r="D265" s="258" t="s">
        <v>339</v>
      </c>
      <c r="E265" s="222"/>
      <c r="F265" s="365"/>
      <c r="G265" s="222"/>
      <c r="H265" s="332"/>
    </row>
    <row r="266" spans="1:9" s="290" customFormat="1" ht="12.75" hidden="1" customHeight="1" x14ac:dyDescent="0.2">
      <c r="A266" s="219"/>
      <c r="B266" s="220"/>
      <c r="C266" s="243"/>
      <c r="D266" s="258" t="s">
        <v>338</v>
      </c>
      <c r="E266" s="222"/>
      <c r="F266" s="365"/>
      <c r="G266" s="222"/>
      <c r="H266" s="332"/>
    </row>
    <row r="267" spans="1:9" s="290" customFormat="1" ht="12.75" hidden="1" customHeight="1" x14ac:dyDescent="0.2">
      <c r="A267" s="219"/>
      <c r="B267" s="220"/>
      <c r="C267" s="243"/>
      <c r="D267" s="258" t="s">
        <v>349</v>
      </c>
      <c r="E267" s="222"/>
      <c r="F267" s="365"/>
      <c r="G267" s="222"/>
      <c r="H267" s="332"/>
      <c r="I267" s="212"/>
    </row>
    <row r="268" spans="1:9" s="290" customFormat="1" ht="12.75" hidden="1" customHeight="1" x14ac:dyDescent="0.2">
      <c r="A268" s="219"/>
      <c r="B268" s="220"/>
      <c r="C268" s="243"/>
      <c r="D268" s="258" t="s">
        <v>308</v>
      </c>
      <c r="E268" s="222"/>
      <c r="F268" s="365"/>
      <c r="G268" s="222"/>
      <c r="H268" s="332"/>
      <c r="I268" s="352"/>
    </row>
    <row r="269" spans="1:9" ht="12.75" hidden="1" customHeight="1" x14ac:dyDescent="0.2">
      <c r="A269" s="219"/>
      <c r="B269" s="220"/>
      <c r="C269" s="257"/>
      <c r="D269" s="309" t="s">
        <v>408</v>
      </c>
      <c r="E269" s="222"/>
      <c r="F269" s="365"/>
      <c r="G269" s="222"/>
      <c r="H269" s="333"/>
      <c r="I269" s="290"/>
    </row>
    <row r="270" spans="1:9" s="290" customFormat="1" ht="12.75" customHeight="1" x14ac:dyDescent="0.2">
      <c r="A270" s="223">
        <f>A262+1</f>
        <v>28</v>
      </c>
      <c r="B270" s="224" t="s">
        <v>230</v>
      </c>
      <c r="C270" s="244" t="s">
        <v>382</v>
      </c>
      <c r="D270" s="310" t="str">
        <f>$D$5</f>
        <v>PY Final FEFP</v>
      </c>
      <c r="E270" s="225">
        <f>'3971'!I$132</f>
        <v>1978.36</v>
      </c>
      <c r="F270" s="364"/>
      <c r="G270" s="225">
        <f>SUBTOTAL(109,E270:F277)</f>
        <v>1978.36</v>
      </c>
      <c r="H270" s="332"/>
    </row>
    <row r="271" spans="1:9" s="290" customFormat="1" ht="12.75" hidden="1" customHeight="1" x14ac:dyDescent="0.2">
      <c r="A271" s="223"/>
      <c r="B271" s="224"/>
      <c r="C271" s="244"/>
      <c r="D271" s="259" t="s">
        <v>337</v>
      </c>
      <c r="E271" s="225"/>
      <c r="F271" s="364"/>
      <c r="G271" s="225"/>
      <c r="H271" s="332"/>
    </row>
    <row r="272" spans="1:9" s="290" customFormat="1" ht="12.75" hidden="1" customHeight="1" x14ac:dyDescent="0.2">
      <c r="A272" s="223"/>
      <c r="B272" s="224"/>
      <c r="C272" s="244"/>
      <c r="D272" s="411" t="s">
        <v>431</v>
      </c>
      <c r="E272" s="225"/>
      <c r="F272" s="364"/>
      <c r="G272" s="225"/>
      <c r="H272" s="332"/>
      <c r="I272" s="220"/>
    </row>
    <row r="273" spans="1:9" s="290" customFormat="1" ht="12.75" hidden="1" customHeight="1" x14ac:dyDescent="0.2">
      <c r="A273" s="223"/>
      <c r="B273" s="224"/>
      <c r="C273" s="244"/>
      <c r="D273" s="259" t="s">
        <v>339</v>
      </c>
      <c r="E273" s="225"/>
      <c r="F273" s="364"/>
      <c r="G273" s="225"/>
      <c r="H273" s="332"/>
    </row>
    <row r="274" spans="1:9" s="290" customFormat="1" ht="12.75" hidden="1" customHeight="1" x14ac:dyDescent="0.2">
      <c r="A274" s="223"/>
      <c r="B274" s="224"/>
      <c r="C274" s="244"/>
      <c r="D274" s="259" t="s">
        <v>338</v>
      </c>
      <c r="E274" s="225"/>
      <c r="F274" s="364"/>
      <c r="G274" s="225"/>
      <c r="H274" s="332"/>
    </row>
    <row r="275" spans="1:9" s="290" customFormat="1" ht="12.75" hidden="1" customHeight="1" x14ac:dyDescent="0.2">
      <c r="A275" s="223"/>
      <c r="B275" s="224"/>
      <c r="C275" s="244"/>
      <c r="D275" s="259" t="s">
        <v>349</v>
      </c>
      <c r="E275" s="225"/>
      <c r="F275" s="364"/>
      <c r="G275" s="225"/>
      <c r="H275" s="332"/>
    </row>
    <row r="276" spans="1:9" s="290" customFormat="1" ht="12.75" hidden="1" customHeight="1" x14ac:dyDescent="0.2">
      <c r="A276" s="223"/>
      <c r="B276" s="224"/>
      <c r="C276" s="244"/>
      <c r="D276" s="259" t="s">
        <v>308</v>
      </c>
      <c r="E276" s="225"/>
      <c r="F276" s="364"/>
      <c r="G276" s="225"/>
      <c r="H276" s="289"/>
      <c r="I276" s="352"/>
    </row>
    <row r="277" spans="1:9" s="290" customFormat="1" ht="12.75" hidden="1" customHeight="1" x14ac:dyDescent="0.2">
      <c r="A277" s="223"/>
      <c r="B277" s="224"/>
      <c r="C277" s="244"/>
      <c r="D277" s="311" t="s">
        <v>419</v>
      </c>
      <c r="E277" s="225"/>
      <c r="F277" s="364"/>
      <c r="G277" s="225"/>
      <c r="H277" s="332"/>
    </row>
    <row r="278" spans="1:9" s="290" customFormat="1" ht="12.75" customHeight="1" x14ac:dyDescent="0.2">
      <c r="A278" s="219">
        <f>A270+1</f>
        <v>29</v>
      </c>
      <c r="B278" s="220" t="s">
        <v>231</v>
      </c>
      <c r="C278" s="243" t="s">
        <v>268</v>
      </c>
      <c r="D278" s="308" t="str">
        <f>$D$5</f>
        <v>PY Final FEFP</v>
      </c>
      <c r="E278" s="403">
        <f>'4001'!I$132</f>
        <v>1110.58</v>
      </c>
      <c r="F278" s="365"/>
      <c r="G278" s="222">
        <f>SUBTOTAL(109,E278:F286)</f>
        <v>1110.58</v>
      </c>
      <c r="H278" s="332"/>
    </row>
    <row r="279" spans="1:9" s="290" customFormat="1" ht="12.75" hidden="1" customHeight="1" x14ac:dyDescent="0.2">
      <c r="A279" s="219"/>
      <c r="B279" s="220"/>
      <c r="C279" s="243"/>
      <c r="D279" s="258" t="s">
        <v>337</v>
      </c>
      <c r="E279" s="222"/>
      <c r="F279" s="365"/>
      <c r="G279" s="222"/>
      <c r="H279" s="332"/>
    </row>
    <row r="280" spans="1:9" s="290" customFormat="1" ht="12.75" hidden="1" customHeight="1" x14ac:dyDescent="0.2">
      <c r="A280" s="219"/>
      <c r="B280" s="220"/>
      <c r="C280" s="243"/>
      <c r="D280" s="378" t="s">
        <v>414</v>
      </c>
      <c r="E280" s="222"/>
      <c r="F280" s="365"/>
      <c r="G280" s="222"/>
      <c r="H280" s="332"/>
      <c r="I280" s="220"/>
    </row>
    <row r="281" spans="1:9" s="290" customFormat="1" ht="12.75" hidden="1" customHeight="1" x14ac:dyDescent="0.2">
      <c r="A281" s="219"/>
      <c r="B281" s="220"/>
      <c r="C281" s="243"/>
      <c r="D281" s="258" t="s">
        <v>339</v>
      </c>
      <c r="E281" s="222"/>
      <c r="F281" s="365"/>
      <c r="G281" s="222"/>
      <c r="H281" s="332"/>
    </row>
    <row r="282" spans="1:9" s="290" customFormat="1" ht="12.75" hidden="1" customHeight="1" x14ac:dyDescent="0.2">
      <c r="A282" s="219"/>
      <c r="B282" s="220"/>
      <c r="C282" s="243"/>
      <c r="D282" s="258" t="s">
        <v>338</v>
      </c>
      <c r="E282" s="222"/>
      <c r="F282" s="365"/>
      <c r="G282" s="222"/>
      <c r="H282" s="332"/>
    </row>
    <row r="283" spans="1:9" s="290" customFormat="1" ht="12.75" hidden="1" customHeight="1" x14ac:dyDescent="0.2">
      <c r="A283" s="219"/>
      <c r="B283" s="220"/>
      <c r="C283" s="243"/>
      <c r="D283" s="258" t="s">
        <v>349</v>
      </c>
      <c r="E283" s="222"/>
      <c r="F283" s="365"/>
      <c r="G283" s="222"/>
      <c r="H283" s="332"/>
    </row>
    <row r="284" spans="1:9" s="290" customFormat="1" ht="12.75" hidden="1" customHeight="1" x14ac:dyDescent="0.2">
      <c r="A284" s="219"/>
      <c r="B284" s="220"/>
      <c r="C284" s="243"/>
      <c r="D284" s="258" t="s">
        <v>308</v>
      </c>
      <c r="E284" s="222"/>
      <c r="F284" s="365"/>
      <c r="G284" s="222"/>
      <c r="H284" s="289"/>
      <c r="I284" s="352"/>
    </row>
    <row r="285" spans="1:9" s="290" customFormat="1" ht="12.75" hidden="1" customHeight="1" x14ac:dyDescent="0.2">
      <c r="A285" s="219"/>
      <c r="B285" s="220"/>
      <c r="C285" s="243"/>
      <c r="D285" s="258" t="s">
        <v>404</v>
      </c>
      <c r="E285" s="222"/>
      <c r="F285" s="365"/>
      <c r="G285" s="222"/>
      <c r="H285" s="332"/>
      <c r="I285" s="352"/>
    </row>
    <row r="286" spans="1:9" s="290" customFormat="1" ht="12.75" hidden="1" customHeight="1" x14ac:dyDescent="0.2">
      <c r="A286" s="219"/>
      <c r="B286" s="220"/>
      <c r="C286" s="243"/>
      <c r="D286" s="309" t="s">
        <v>386</v>
      </c>
      <c r="E286" s="222"/>
      <c r="F286" s="365"/>
      <c r="G286" s="222"/>
      <c r="H286" s="332"/>
    </row>
    <row r="287" spans="1:9" s="290" customFormat="1" ht="12.75" customHeight="1" x14ac:dyDescent="0.2">
      <c r="A287" s="223">
        <f>A278+1</f>
        <v>30</v>
      </c>
      <c r="B287" s="224">
        <v>4002</v>
      </c>
      <c r="C287" s="244" t="s">
        <v>267</v>
      </c>
      <c r="D287" s="310" t="str">
        <f>$D$5</f>
        <v>PY Final FEFP</v>
      </c>
      <c r="E287" s="225">
        <f>'4002'!I$132</f>
        <v>6756.13</v>
      </c>
      <c r="F287" s="364"/>
      <c r="G287" s="225">
        <f>SUBTOTAL(109,E287:F296)</f>
        <v>6756.13</v>
      </c>
      <c r="H287" s="332"/>
    </row>
    <row r="288" spans="1:9" s="290" customFormat="1" ht="12.75" hidden="1" customHeight="1" x14ac:dyDescent="0.2">
      <c r="A288" s="223"/>
      <c r="B288" s="224"/>
      <c r="C288" s="244"/>
      <c r="D288" s="259" t="s">
        <v>337</v>
      </c>
      <c r="E288" s="225"/>
      <c r="F288" s="364"/>
      <c r="G288" s="225"/>
      <c r="H288" s="332"/>
    </row>
    <row r="289" spans="1:9" s="290" customFormat="1" ht="12.75" hidden="1" customHeight="1" x14ac:dyDescent="0.2">
      <c r="A289" s="223"/>
      <c r="B289" s="224"/>
      <c r="C289" s="244"/>
      <c r="D289" s="411" t="s">
        <v>414</v>
      </c>
      <c r="E289" s="225"/>
      <c r="F289" s="364"/>
      <c r="G289" s="225"/>
      <c r="H289" s="332"/>
      <c r="I289" s="220"/>
    </row>
    <row r="290" spans="1:9" s="290" customFormat="1" ht="12.75" hidden="1" customHeight="1" x14ac:dyDescent="0.2">
      <c r="A290" s="223"/>
      <c r="B290" s="224"/>
      <c r="C290" s="244"/>
      <c r="D290" s="259" t="s">
        <v>339</v>
      </c>
      <c r="E290" s="225"/>
      <c r="F290" s="364"/>
      <c r="G290" s="225"/>
      <c r="H290" s="332"/>
    </row>
    <row r="291" spans="1:9" s="290" customFormat="1" ht="12.75" hidden="1" customHeight="1" x14ac:dyDescent="0.2">
      <c r="A291" s="223"/>
      <c r="B291" s="224"/>
      <c r="C291" s="244"/>
      <c r="D291" s="259" t="s">
        <v>338</v>
      </c>
      <c r="E291" s="225"/>
      <c r="F291" s="364"/>
      <c r="G291" s="225"/>
      <c r="H291" s="332"/>
    </row>
    <row r="292" spans="1:9" s="290" customFormat="1" ht="12.75" hidden="1" customHeight="1" x14ac:dyDescent="0.2">
      <c r="A292" s="223"/>
      <c r="B292" s="224"/>
      <c r="C292" s="244"/>
      <c r="D292" s="259" t="s">
        <v>349</v>
      </c>
      <c r="E292" s="225"/>
      <c r="F292" s="364"/>
      <c r="G292" s="225"/>
      <c r="H292" s="332"/>
    </row>
    <row r="293" spans="1:9" s="290" customFormat="1" ht="12.75" hidden="1" customHeight="1" x14ac:dyDescent="0.2">
      <c r="A293" s="223"/>
      <c r="B293" s="224"/>
      <c r="C293" s="244"/>
      <c r="D293" s="259" t="s">
        <v>308</v>
      </c>
      <c r="E293" s="225"/>
      <c r="F293" s="364"/>
      <c r="G293" s="225"/>
      <c r="H293" s="332"/>
    </row>
    <row r="294" spans="1:9" s="290" customFormat="1" ht="12.75" hidden="1" customHeight="1" x14ac:dyDescent="0.2">
      <c r="A294" s="223"/>
      <c r="B294" s="224"/>
      <c r="C294" s="244"/>
      <c r="D294" s="259" t="s">
        <v>403</v>
      </c>
      <c r="E294" s="225"/>
      <c r="F294" s="364"/>
      <c r="G294" s="225"/>
      <c r="H294" s="332"/>
      <c r="I294" s="354"/>
    </row>
    <row r="295" spans="1:9" s="290" customFormat="1" ht="12.75" hidden="1" customHeight="1" x14ac:dyDescent="0.2">
      <c r="A295" s="223"/>
      <c r="B295" s="224"/>
      <c r="C295" s="244"/>
      <c r="D295" s="259" t="s">
        <v>404</v>
      </c>
      <c r="E295" s="225"/>
      <c r="F295" s="364"/>
      <c r="G295" s="225"/>
      <c r="H295" s="332"/>
      <c r="I295" s="354"/>
    </row>
    <row r="296" spans="1:9" s="290" customFormat="1" ht="12.75" hidden="1" customHeight="1" x14ac:dyDescent="0.2">
      <c r="A296" s="223"/>
      <c r="B296" s="224"/>
      <c r="C296" s="244"/>
      <c r="D296" s="259" t="s">
        <v>400</v>
      </c>
      <c r="E296" s="225"/>
      <c r="F296" s="364"/>
      <c r="G296" s="225"/>
      <c r="H296" s="332"/>
    </row>
    <row r="297" spans="1:9" s="290" customFormat="1" ht="12.75" customHeight="1" x14ac:dyDescent="0.2">
      <c r="A297" s="219">
        <f>A287+1</f>
        <v>31</v>
      </c>
      <c r="B297" s="220">
        <v>4012</v>
      </c>
      <c r="C297" s="243" t="s">
        <v>270</v>
      </c>
      <c r="D297" s="308" t="str">
        <f>$D$5</f>
        <v>PY Final FEFP</v>
      </c>
      <c r="E297" s="222">
        <f>'4012'!I$132</f>
        <v>1769.97</v>
      </c>
      <c r="F297" s="365"/>
      <c r="G297" s="222">
        <f>SUBTOTAL(109,E297:F304)</f>
        <v>1769.97</v>
      </c>
      <c r="H297" s="332"/>
    </row>
    <row r="298" spans="1:9" s="290" customFormat="1" ht="12.75" hidden="1" customHeight="1" x14ac:dyDescent="0.2">
      <c r="A298" s="219"/>
      <c r="B298" s="220"/>
      <c r="C298" s="243"/>
      <c r="D298" s="258" t="s">
        <v>337</v>
      </c>
      <c r="E298" s="222"/>
      <c r="F298" s="365"/>
      <c r="G298" s="222"/>
      <c r="H298" s="332"/>
    </row>
    <row r="299" spans="1:9" s="290" customFormat="1" ht="12.75" hidden="1" customHeight="1" x14ac:dyDescent="0.2">
      <c r="A299" s="219"/>
      <c r="B299" s="220"/>
      <c r="C299" s="243"/>
      <c r="D299" s="258" t="s">
        <v>339</v>
      </c>
      <c r="E299" s="222"/>
      <c r="F299" s="365"/>
      <c r="G299" s="222"/>
      <c r="H299" s="332"/>
    </row>
    <row r="300" spans="1:9" s="290" customFormat="1" ht="12.75" hidden="1" customHeight="1" x14ac:dyDescent="0.2">
      <c r="A300" s="219"/>
      <c r="B300" s="220"/>
      <c r="C300" s="243"/>
      <c r="D300" s="258" t="s">
        <v>399</v>
      </c>
      <c r="E300" s="222"/>
      <c r="F300" s="365"/>
      <c r="G300" s="222"/>
      <c r="H300" s="332"/>
    </row>
    <row r="301" spans="1:9" s="290" customFormat="1" ht="12.75" hidden="1" customHeight="1" x14ac:dyDescent="0.2">
      <c r="A301" s="219"/>
      <c r="B301" s="220"/>
      <c r="C301" s="243"/>
      <c r="D301" s="258" t="s">
        <v>349</v>
      </c>
      <c r="E301" s="222"/>
      <c r="F301" s="365"/>
      <c r="G301" s="222"/>
      <c r="H301" s="332"/>
    </row>
    <row r="302" spans="1:9" s="290" customFormat="1" ht="12.75" hidden="1" customHeight="1" x14ac:dyDescent="0.2">
      <c r="A302" s="219"/>
      <c r="B302" s="220"/>
      <c r="C302" s="243"/>
      <c r="D302" s="258" t="s">
        <v>308</v>
      </c>
      <c r="E302" s="222"/>
      <c r="F302" s="365"/>
      <c r="G302" s="222"/>
      <c r="H302" s="289"/>
      <c r="I302" s="352"/>
    </row>
    <row r="303" spans="1:9" s="290" customFormat="1" ht="12.75" hidden="1" customHeight="1" x14ac:dyDescent="0.2">
      <c r="A303" s="219"/>
      <c r="B303" s="220"/>
      <c r="C303" s="243"/>
      <c r="D303" s="258" t="s">
        <v>350</v>
      </c>
      <c r="E303" s="222"/>
      <c r="F303" s="365"/>
      <c r="G303" s="222"/>
      <c r="H303" s="332"/>
      <c r="I303" s="342"/>
    </row>
    <row r="304" spans="1:9" s="290" customFormat="1" ht="12.75" hidden="1" customHeight="1" x14ac:dyDescent="0.2">
      <c r="A304" s="219"/>
      <c r="B304" s="220"/>
      <c r="C304" s="243"/>
      <c r="D304" s="309" t="s">
        <v>386</v>
      </c>
      <c r="E304" s="222"/>
      <c r="F304" s="365"/>
      <c r="G304" s="222"/>
      <c r="H304" s="332"/>
      <c r="I304" s="342"/>
    </row>
    <row r="305" spans="1:9" s="290" customFormat="1" ht="12.75" customHeight="1" x14ac:dyDescent="0.2">
      <c r="A305" s="223">
        <f>A297+1</f>
        <v>32</v>
      </c>
      <c r="B305" s="224">
        <v>4013</v>
      </c>
      <c r="C305" s="244" t="s">
        <v>272</v>
      </c>
      <c r="D305" s="310" t="str">
        <f>$D$5</f>
        <v>PY Final FEFP</v>
      </c>
      <c r="E305" s="225">
        <f>'4013'!I$132</f>
        <v>-2711.13</v>
      </c>
      <c r="F305" s="364"/>
      <c r="G305" s="225">
        <f>SUBTOTAL(109,E305:F313)</f>
        <v>-2711.13</v>
      </c>
      <c r="H305" s="332"/>
    </row>
    <row r="306" spans="1:9" s="290" customFormat="1" ht="12.75" hidden="1" customHeight="1" x14ac:dyDescent="0.2">
      <c r="A306" s="223"/>
      <c r="B306" s="224"/>
      <c r="C306" s="244"/>
      <c r="D306" s="259" t="s">
        <v>337</v>
      </c>
      <c r="E306" s="225"/>
      <c r="F306" s="364"/>
      <c r="G306" s="225"/>
      <c r="H306" s="332"/>
    </row>
    <row r="307" spans="1:9" s="290" customFormat="1" ht="12.75" hidden="1" customHeight="1" x14ac:dyDescent="0.2">
      <c r="A307" s="223"/>
      <c r="B307" s="224"/>
      <c r="C307" s="244"/>
      <c r="D307" s="411" t="s">
        <v>414</v>
      </c>
      <c r="E307" s="225"/>
      <c r="F307" s="364"/>
      <c r="G307" s="225"/>
      <c r="H307" s="332"/>
      <c r="I307" s="220"/>
    </row>
    <row r="308" spans="1:9" s="290" customFormat="1" ht="12.75" hidden="1" customHeight="1" x14ac:dyDescent="0.2">
      <c r="A308" s="223"/>
      <c r="B308" s="224"/>
      <c r="C308" s="244"/>
      <c r="D308" s="259" t="s">
        <v>339</v>
      </c>
      <c r="E308" s="225"/>
      <c r="F308" s="364"/>
      <c r="G308" s="225"/>
      <c r="H308" s="332"/>
    </row>
    <row r="309" spans="1:9" s="290" customFormat="1" ht="12.75" hidden="1" customHeight="1" x14ac:dyDescent="0.2">
      <c r="A309" s="223"/>
      <c r="B309" s="224"/>
      <c r="C309" s="244"/>
      <c r="D309" s="259" t="s">
        <v>399</v>
      </c>
      <c r="E309" s="225"/>
      <c r="F309" s="364"/>
      <c r="G309" s="225"/>
      <c r="H309" s="332"/>
    </row>
    <row r="310" spans="1:9" s="290" customFormat="1" ht="12.75" hidden="1" customHeight="1" x14ac:dyDescent="0.2">
      <c r="A310" s="223"/>
      <c r="B310" s="224"/>
      <c r="C310" s="244"/>
      <c r="D310" s="259" t="s">
        <v>349</v>
      </c>
      <c r="E310" s="225"/>
      <c r="F310" s="364"/>
      <c r="G310" s="225"/>
      <c r="H310" s="332"/>
    </row>
    <row r="311" spans="1:9" s="290" customFormat="1" ht="12.75" hidden="1" customHeight="1" x14ac:dyDescent="0.2">
      <c r="A311" s="223"/>
      <c r="B311" s="224"/>
      <c r="C311" s="244"/>
      <c r="D311" s="259" t="s">
        <v>308</v>
      </c>
      <c r="E311" s="225"/>
      <c r="F311" s="364"/>
      <c r="G311" s="225"/>
      <c r="H311" s="332"/>
    </row>
    <row r="312" spans="1:9" s="290" customFormat="1" ht="12.75" hidden="1" customHeight="1" x14ac:dyDescent="0.2">
      <c r="A312" s="223"/>
      <c r="B312" s="224"/>
      <c r="C312" s="244"/>
      <c r="D312" s="259" t="s">
        <v>404</v>
      </c>
      <c r="E312" s="225"/>
      <c r="F312" s="364"/>
      <c r="G312" s="225"/>
      <c r="H312" s="332"/>
      <c r="I312" s="354"/>
    </row>
    <row r="313" spans="1:9" s="290" customFormat="1" ht="12.75" hidden="1" customHeight="1" x14ac:dyDescent="0.2">
      <c r="A313" s="223"/>
      <c r="B313" s="224"/>
      <c r="C313" s="244"/>
      <c r="D313" s="259" t="s">
        <v>386</v>
      </c>
      <c r="E313" s="225"/>
      <c r="F313" s="364"/>
      <c r="G313" s="225"/>
      <c r="H313" s="332"/>
    </row>
    <row r="314" spans="1:9" s="290" customFormat="1" ht="12.75" customHeight="1" x14ac:dyDescent="0.2">
      <c r="A314" s="219">
        <f>A305+1</f>
        <v>33</v>
      </c>
      <c r="B314" s="220">
        <v>4020</v>
      </c>
      <c r="C314" s="291" t="s">
        <v>388</v>
      </c>
      <c r="D314" s="308" t="str">
        <f>$D$5</f>
        <v>PY Final FEFP</v>
      </c>
      <c r="E314" s="222">
        <f>'4020'!I$132</f>
        <v>6683.74</v>
      </c>
      <c r="F314" s="365"/>
      <c r="G314" s="222">
        <f>SUBTOTAL(109,E314:F322)</f>
        <v>6683.74</v>
      </c>
      <c r="H314" s="332"/>
    </row>
    <row r="315" spans="1:9" s="290" customFormat="1" ht="12.75" hidden="1" customHeight="1" x14ac:dyDescent="0.2">
      <c r="A315" s="219"/>
      <c r="B315" s="220"/>
      <c r="C315" s="243"/>
      <c r="D315" s="258" t="s">
        <v>337</v>
      </c>
      <c r="E315" s="222"/>
      <c r="F315" s="365"/>
      <c r="G315" s="222"/>
      <c r="H315" s="332"/>
    </row>
    <row r="316" spans="1:9" s="290" customFormat="1" ht="12.75" hidden="1" customHeight="1" x14ac:dyDescent="0.2">
      <c r="A316" s="219"/>
      <c r="B316" s="220"/>
      <c r="C316" s="243"/>
      <c r="D316" s="378" t="s">
        <v>413</v>
      </c>
      <c r="E316" s="222"/>
      <c r="F316" s="365"/>
      <c r="G316" s="222"/>
      <c r="H316" s="332"/>
      <c r="I316" s="220"/>
    </row>
    <row r="317" spans="1:9" s="290" customFormat="1" ht="12.75" hidden="1" customHeight="1" x14ac:dyDescent="0.2">
      <c r="A317" s="219"/>
      <c r="B317" s="220"/>
      <c r="C317" s="243"/>
      <c r="D317" s="258" t="s">
        <v>339</v>
      </c>
      <c r="E317" s="222"/>
      <c r="F317" s="365"/>
      <c r="G317" s="222"/>
      <c r="H317" s="332"/>
    </row>
    <row r="318" spans="1:9" s="290" customFormat="1" ht="12.75" hidden="1" customHeight="1" x14ac:dyDescent="0.2">
      <c r="A318" s="219"/>
      <c r="B318" s="220"/>
      <c r="C318" s="243"/>
      <c r="D318" s="258" t="s">
        <v>399</v>
      </c>
      <c r="E318" s="222"/>
      <c r="F318" s="365"/>
      <c r="G318" s="222"/>
      <c r="H318" s="332"/>
    </row>
    <row r="319" spans="1:9" s="290" customFormat="1" ht="12.75" hidden="1" customHeight="1" x14ac:dyDescent="0.2">
      <c r="A319" s="219"/>
      <c r="B319" s="220"/>
      <c r="C319" s="243"/>
      <c r="D319" s="258" t="s">
        <v>349</v>
      </c>
      <c r="E319" s="222"/>
      <c r="F319" s="365"/>
      <c r="G319" s="222"/>
      <c r="H319" s="332"/>
    </row>
    <row r="320" spans="1:9" s="290" customFormat="1" ht="12.75" hidden="1" customHeight="1" x14ac:dyDescent="0.2">
      <c r="A320" s="219"/>
      <c r="B320" s="220"/>
      <c r="C320" s="243"/>
      <c r="D320" s="258" t="s">
        <v>308</v>
      </c>
      <c r="E320" s="222"/>
      <c r="F320" s="365"/>
      <c r="G320" s="222"/>
      <c r="H320" s="289"/>
      <c r="I320" s="352"/>
    </row>
    <row r="321" spans="1:9" s="290" customFormat="1" ht="12.75" hidden="1" customHeight="1" x14ac:dyDescent="0.2">
      <c r="A321" s="219"/>
      <c r="B321" s="220"/>
      <c r="C321" s="243"/>
      <c r="D321" s="258" t="s">
        <v>403</v>
      </c>
      <c r="E321" s="222"/>
      <c r="F321" s="365"/>
      <c r="G321" s="222"/>
      <c r="H321" s="332"/>
      <c r="I321" s="354"/>
    </row>
    <row r="322" spans="1:9" s="290" customFormat="1" ht="12.75" hidden="1" customHeight="1" x14ac:dyDescent="0.2">
      <c r="A322" s="219"/>
      <c r="B322" s="220"/>
      <c r="C322" s="243"/>
      <c r="D322" s="309" t="s">
        <v>386</v>
      </c>
      <c r="E322" s="222"/>
      <c r="F322" s="365"/>
      <c r="G322" s="222"/>
      <c r="H322" s="332"/>
    </row>
    <row r="323" spans="1:9" s="290" customFormat="1" ht="12.75" customHeight="1" x14ac:dyDescent="0.2">
      <c r="A323" s="223">
        <f>A314+1</f>
        <v>34</v>
      </c>
      <c r="B323" s="224">
        <v>4030</v>
      </c>
      <c r="C323" s="244" t="s">
        <v>377</v>
      </c>
      <c r="D323" s="310" t="str">
        <f>$D$5</f>
        <v>PY Final FEFP</v>
      </c>
      <c r="E323" s="225">
        <f>'4030'!I$132</f>
        <v>31162.42</v>
      </c>
      <c r="F323" s="364"/>
      <c r="G323" s="225">
        <f>SUBTOTAL(109,E323:F332)</f>
        <v>31162.42</v>
      </c>
      <c r="H323" s="332"/>
    </row>
    <row r="324" spans="1:9" s="290" customFormat="1" ht="12.75" hidden="1" customHeight="1" x14ac:dyDescent="0.2">
      <c r="A324" s="223"/>
      <c r="B324" s="224"/>
      <c r="C324" s="244"/>
      <c r="D324" s="259" t="s">
        <v>337</v>
      </c>
      <c r="E324" s="225"/>
      <c r="F324" s="364"/>
      <c r="G324" s="225"/>
      <c r="H324" s="332"/>
    </row>
    <row r="325" spans="1:9" s="290" customFormat="1" ht="12.75" hidden="1" customHeight="1" x14ac:dyDescent="0.2">
      <c r="A325" s="223"/>
      <c r="B325" s="224"/>
      <c r="C325" s="244"/>
      <c r="D325" s="411" t="s">
        <v>414</v>
      </c>
      <c r="E325" s="225"/>
      <c r="F325" s="364"/>
      <c r="G325" s="225"/>
      <c r="H325" s="332"/>
      <c r="I325" s="220"/>
    </row>
    <row r="326" spans="1:9" s="290" customFormat="1" ht="12.75" hidden="1" customHeight="1" x14ac:dyDescent="0.2">
      <c r="A326" s="223"/>
      <c r="B326" s="224"/>
      <c r="C326" s="244"/>
      <c r="D326" s="411" t="s">
        <v>413</v>
      </c>
      <c r="E326" s="225"/>
      <c r="F326" s="364"/>
      <c r="G326" s="225"/>
      <c r="H326" s="332"/>
      <c r="I326" s="220"/>
    </row>
    <row r="327" spans="1:9" s="290" customFormat="1" ht="12.75" hidden="1" customHeight="1" x14ac:dyDescent="0.2">
      <c r="A327" s="223"/>
      <c r="B327" s="224"/>
      <c r="C327" s="244"/>
      <c r="D327" s="259" t="s">
        <v>339</v>
      </c>
      <c r="E327" s="225"/>
      <c r="F327" s="364"/>
      <c r="G327" s="225"/>
      <c r="H327" s="332"/>
    </row>
    <row r="328" spans="1:9" s="290" customFormat="1" ht="12.75" hidden="1" customHeight="1" x14ac:dyDescent="0.2">
      <c r="A328" s="223"/>
      <c r="B328" s="224"/>
      <c r="C328" s="244"/>
      <c r="D328" s="259" t="s">
        <v>338</v>
      </c>
      <c r="E328" s="225"/>
      <c r="F328" s="364"/>
      <c r="G328" s="225"/>
      <c r="H328" s="332"/>
    </row>
    <row r="329" spans="1:9" s="290" customFormat="1" ht="12.75" hidden="1" customHeight="1" x14ac:dyDescent="0.2">
      <c r="A329" s="223"/>
      <c r="B329" s="224"/>
      <c r="C329" s="244"/>
      <c r="D329" s="259" t="s">
        <v>349</v>
      </c>
      <c r="E329" s="225"/>
      <c r="F329" s="364"/>
      <c r="G329" s="225"/>
      <c r="H329" s="332"/>
    </row>
    <row r="330" spans="1:9" s="290" customFormat="1" ht="12.75" hidden="1" customHeight="1" x14ac:dyDescent="0.2">
      <c r="A330" s="223"/>
      <c r="B330" s="224"/>
      <c r="C330" s="244"/>
      <c r="D330" s="259" t="s">
        <v>308</v>
      </c>
      <c r="E330" s="225"/>
      <c r="F330" s="364"/>
      <c r="G330" s="225"/>
      <c r="H330" s="332"/>
    </row>
    <row r="331" spans="1:9" s="290" customFormat="1" ht="12.75" hidden="1" customHeight="1" x14ac:dyDescent="0.2">
      <c r="A331" s="223"/>
      <c r="B331" s="224"/>
      <c r="C331" s="244"/>
      <c r="D331" s="259" t="s">
        <v>404</v>
      </c>
      <c r="E331" s="225"/>
      <c r="F331" s="364"/>
      <c r="G331" s="225"/>
      <c r="H331" s="332"/>
      <c r="I331" s="354"/>
    </row>
    <row r="332" spans="1:9" s="290" customFormat="1" ht="12.75" hidden="1" customHeight="1" x14ac:dyDescent="0.2">
      <c r="A332" s="223"/>
      <c r="B332" s="224"/>
      <c r="C332" s="244"/>
      <c r="D332" s="259" t="s">
        <v>386</v>
      </c>
      <c r="E332" s="225"/>
      <c r="F332" s="364"/>
      <c r="G332" s="225"/>
      <c r="H332" s="332"/>
    </row>
    <row r="333" spans="1:9" s="290" customFormat="1" ht="12.75" customHeight="1" x14ac:dyDescent="0.2">
      <c r="A333" s="219">
        <f>A323+1</f>
        <v>35</v>
      </c>
      <c r="B333" s="220">
        <v>4031</v>
      </c>
      <c r="C333" s="291" t="s">
        <v>395</v>
      </c>
      <c r="D333" s="308" t="str">
        <f>$D$5</f>
        <v>PY Final FEFP</v>
      </c>
      <c r="E333" s="222">
        <f>'4031'!I$132</f>
        <v>-6870.76</v>
      </c>
      <c r="F333" s="365"/>
      <c r="G333" s="222">
        <f>SUBTOTAL(109,E333:F342)</f>
        <v>-6870.76</v>
      </c>
      <c r="H333" s="332"/>
    </row>
    <row r="334" spans="1:9" s="290" customFormat="1" ht="12.75" hidden="1" customHeight="1" x14ac:dyDescent="0.2">
      <c r="A334" s="219"/>
      <c r="B334" s="220"/>
      <c r="C334" s="243"/>
      <c r="D334" s="258" t="s">
        <v>337</v>
      </c>
      <c r="E334" s="222"/>
      <c r="F334" s="365"/>
      <c r="G334" s="222"/>
      <c r="H334" s="332"/>
    </row>
    <row r="335" spans="1:9" s="290" customFormat="1" ht="12.75" hidden="1" customHeight="1" x14ac:dyDescent="0.2">
      <c r="A335" s="219"/>
      <c r="B335" s="220"/>
      <c r="C335" s="243"/>
      <c r="D335" s="378" t="s">
        <v>414</v>
      </c>
      <c r="E335" s="222"/>
      <c r="F335" s="365"/>
      <c r="G335" s="222"/>
      <c r="H335" s="332"/>
      <c r="I335" s="220"/>
    </row>
    <row r="336" spans="1:9" s="290" customFormat="1" ht="12.75" hidden="1" customHeight="1" x14ac:dyDescent="0.2">
      <c r="A336" s="219"/>
      <c r="B336" s="220"/>
      <c r="C336" s="243"/>
      <c r="D336" s="378" t="s">
        <v>413</v>
      </c>
      <c r="E336" s="222"/>
      <c r="F336" s="365"/>
      <c r="G336" s="222"/>
      <c r="H336" s="332"/>
      <c r="I336" s="220"/>
    </row>
    <row r="337" spans="1:9" s="290" customFormat="1" ht="12.75" hidden="1" customHeight="1" x14ac:dyDescent="0.2">
      <c r="A337" s="219"/>
      <c r="B337" s="220"/>
      <c r="C337" s="243"/>
      <c r="D337" s="258" t="s">
        <v>339</v>
      </c>
      <c r="E337" s="222"/>
      <c r="F337" s="365"/>
      <c r="G337" s="222"/>
      <c r="H337" s="332"/>
    </row>
    <row r="338" spans="1:9" s="290" customFormat="1" ht="12.75" hidden="1" customHeight="1" x14ac:dyDescent="0.2">
      <c r="A338" s="219"/>
      <c r="B338" s="220"/>
      <c r="C338" s="243"/>
      <c r="D338" s="258" t="s">
        <v>338</v>
      </c>
      <c r="E338" s="222"/>
      <c r="F338" s="365"/>
      <c r="G338" s="222"/>
      <c r="H338" s="332"/>
    </row>
    <row r="339" spans="1:9" s="290" customFormat="1" ht="12.75" hidden="1" customHeight="1" x14ac:dyDescent="0.2">
      <c r="A339" s="219"/>
      <c r="B339" s="220"/>
      <c r="C339" s="243"/>
      <c r="D339" s="258" t="s">
        <v>349</v>
      </c>
      <c r="E339" s="222"/>
      <c r="F339" s="365"/>
      <c r="G339" s="222"/>
      <c r="H339" s="332"/>
      <c r="I339" s="220"/>
    </row>
    <row r="340" spans="1:9" s="290" customFormat="1" ht="12.75" hidden="1" customHeight="1" x14ac:dyDescent="0.2">
      <c r="A340" s="219"/>
      <c r="B340" s="220"/>
      <c r="C340" s="243"/>
      <c r="D340" s="258" t="s">
        <v>308</v>
      </c>
      <c r="E340" s="222"/>
      <c r="F340" s="365"/>
      <c r="G340" s="222"/>
      <c r="H340" s="332"/>
      <c r="I340" s="352"/>
    </row>
    <row r="341" spans="1:9" s="290" customFormat="1" ht="12.75" hidden="1" customHeight="1" x14ac:dyDescent="0.2">
      <c r="A341" s="219"/>
      <c r="B341" s="220"/>
      <c r="C341" s="243"/>
      <c r="D341" s="258" t="s">
        <v>404</v>
      </c>
      <c r="E341" s="222"/>
      <c r="F341" s="365"/>
      <c r="G341" s="222"/>
      <c r="H341" s="332"/>
      <c r="I341" s="354"/>
    </row>
    <row r="342" spans="1:9" s="290" customFormat="1" ht="12.75" hidden="1" customHeight="1" x14ac:dyDescent="0.2">
      <c r="A342" s="219"/>
      <c r="B342" s="220"/>
      <c r="C342" s="243"/>
      <c r="D342" s="309" t="s">
        <v>386</v>
      </c>
      <c r="E342" s="222"/>
      <c r="F342" s="365"/>
      <c r="G342" s="222"/>
      <c r="H342" s="332"/>
    </row>
    <row r="343" spans="1:9" s="290" customFormat="1" ht="12.75" customHeight="1" x14ac:dyDescent="0.2">
      <c r="A343" s="223">
        <f>A333+1</f>
        <v>36</v>
      </c>
      <c r="B343" s="224">
        <v>4041</v>
      </c>
      <c r="C343" s="244" t="s">
        <v>274</v>
      </c>
      <c r="D343" s="310" t="str">
        <f>$D$5</f>
        <v>PY Final FEFP</v>
      </c>
      <c r="E343" s="225">
        <f>'4041'!I$132</f>
        <v>5696.03</v>
      </c>
      <c r="F343" s="364"/>
      <c r="G343" s="225">
        <f>SUBTOTAL(109,E343:F353)</f>
        <v>5696.03</v>
      </c>
      <c r="H343" s="332"/>
    </row>
    <row r="344" spans="1:9" s="290" customFormat="1" ht="12.75" hidden="1" customHeight="1" x14ac:dyDescent="0.2">
      <c r="A344" s="223"/>
      <c r="B344" s="224"/>
      <c r="C344" s="244"/>
      <c r="D344" s="259" t="s">
        <v>337</v>
      </c>
      <c r="E344" s="225"/>
      <c r="F344" s="364"/>
      <c r="G344" s="225"/>
      <c r="H344" s="332"/>
    </row>
    <row r="345" spans="1:9" s="290" customFormat="1" ht="12.75" hidden="1" customHeight="1" x14ac:dyDescent="0.2">
      <c r="A345" s="223"/>
      <c r="B345" s="224"/>
      <c r="C345" s="244"/>
      <c r="D345" s="411" t="s">
        <v>414</v>
      </c>
      <c r="E345" s="225"/>
      <c r="F345" s="364"/>
      <c r="G345" s="225"/>
      <c r="H345" s="332"/>
      <c r="I345" s="220"/>
    </row>
    <row r="346" spans="1:9" s="290" customFormat="1" ht="12.75" hidden="1" customHeight="1" x14ac:dyDescent="0.2">
      <c r="A346" s="223"/>
      <c r="B346" s="224"/>
      <c r="C346" s="244"/>
      <c r="D346" s="411" t="s">
        <v>413</v>
      </c>
      <c r="E346" s="225"/>
      <c r="F346" s="364"/>
      <c r="G346" s="225"/>
      <c r="H346" s="332"/>
      <c r="I346" s="220"/>
    </row>
    <row r="347" spans="1:9" s="290" customFormat="1" ht="12.75" hidden="1" customHeight="1" x14ac:dyDescent="0.2">
      <c r="A347" s="223"/>
      <c r="B347" s="224"/>
      <c r="C347" s="244"/>
      <c r="D347" s="259" t="s">
        <v>339</v>
      </c>
      <c r="E347" s="225"/>
      <c r="F347" s="364"/>
      <c r="G347" s="225"/>
      <c r="H347" s="332"/>
    </row>
    <row r="348" spans="1:9" s="290" customFormat="1" ht="12.75" hidden="1" customHeight="1" x14ac:dyDescent="0.2">
      <c r="A348" s="223"/>
      <c r="B348" s="224"/>
      <c r="C348" s="244"/>
      <c r="D348" s="259" t="s">
        <v>338</v>
      </c>
      <c r="E348" s="225"/>
      <c r="F348" s="364"/>
      <c r="G348" s="225"/>
      <c r="H348" s="332"/>
    </row>
    <row r="349" spans="1:9" s="290" customFormat="1" ht="12.75" hidden="1" customHeight="1" x14ac:dyDescent="0.2">
      <c r="A349" s="223"/>
      <c r="B349" s="224"/>
      <c r="C349" s="244"/>
      <c r="D349" s="259" t="s">
        <v>349</v>
      </c>
      <c r="E349" s="225"/>
      <c r="F349" s="364"/>
      <c r="G349" s="225"/>
      <c r="H349" s="332"/>
    </row>
    <row r="350" spans="1:9" s="290" customFormat="1" ht="12.75" hidden="1" customHeight="1" x14ac:dyDescent="0.2">
      <c r="A350" s="223"/>
      <c r="B350" s="224"/>
      <c r="C350" s="244"/>
      <c r="D350" s="259" t="s">
        <v>308</v>
      </c>
      <c r="E350" s="225"/>
      <c r="F350" s="364"/>
      <c r="G350" s="225"/>
      <c r="H350" s="332"/>
    </row>
    <row r="351" spans="1:9" s="290" customFormat="1" ht="12.75" hidden="1" customHeight="1" x14ac:dyDescent="0.2">
      <c r="A351" s="223"/>
      <c r="B351" s="224"/>
      <c r="C351" s="244"/>
      <c r="D351" s="259" t="s">
        <v>350</v>
      </c>
      <c r="E351" s="225"/>
      <c r="F351" s="364"/>
      <c r="G351" s="225"/>
      <c r="H351" s="332"/>
    </row>
    <row r="352" spans="1:9" s="290" customFormat="1" ht="12.75" hidden="1" customHeight="1" x14ac:dyDescent="0.2">
      <c r="A352" s="223"/>
      <c r="B352" s="224"/>
      <c r="C352" s="244"/>
      <c r="D352" s="259" t="s">
        <v>404</v>
      </c>
      <c r="E352" s="225"/>
      <c r="F352" s="364"/>
      <c r="G352" s="225"/>
      <c r="H352" s="332"/>
      <c r="I352" s="354"/>
    </row>
    <row r="353" spans="1:9" s="290" customFormat="1" ht="12.75" hidden="1" customHeight="1" x14ac:dyDescent="0.2">
      <c r="A353" s="223"/>
      <c r="B353" s="224"/>
      <c r="C353" s="244"/>
      <c r="D353" s="259" t="s">
        <v>386</v>
      </c>
      <c r="E353" s="225"/>
      <c r="F353" s="364"/>
      <c r="G353" s="225"/>
      <c r="H353" s="332"/>
    </row>
    <row r="354" spans="1:9" s="290" customFormat="1" ht="12.75" customHeight="1" x14ac:dyDescent="0.2">
      <c r="A354" s="219">
        <f>A343+1</f>
        <v>37</v>
      </c>
      <c r="B354" s="293">
        <v>4050</v>
      </c>
      <c r="C354" s="294" t="s">
        <v>265</v>
      </c>
      <c r="D354" s="308" t="str">
        <f>$D$5</f>
        <v>PY Final FEFP</v>
      </c>
      <c r="E354" s="222">
        <f>'4050'!I$132</f>
        <v>-12149.9</v>
      </c>
      <c r="F354" s="365"/>
      <c r="G354" s="222">
        <f>SUBTOTAL(109,E354:F360)</f>
        <v>-12149.9</v>
      </c>
      <c r="H354" s="332"/>
    </row>
    <row r="355" spans="1:9" s="290" customFormat="1" ht="12.75" hidden="1" customHeight="1" x14ac:dyDescent="0.2">
      <c r="A355" s="219"/>
      <c r="B355" s="293"/>
      <c r="C355" s="294"/>
      <c r="D355" s="258" t="s">
        <v>337</v>
      </c>
      <c r="E355" s="222"/>
      <c r="F355" s="365"/>
      <c r="G355" s="222"/>
      <c r="H355" s="332"/>
    </row>
    <row r="356" spans="1:9" s="290" customFormat="1" ht="12.75" hidden="1" customHeight="1" x14ac:dyDescent="0.2">
      <c r="A356" s="219"/>
      <c r="B356" s="293"/>
      <c r="C356" s="294"/>
      <c r="D356" s="258" t="s">
        <v>339</v>
      </c>
      <c r="E356" s="222"/>
      <c r="F356" s="365"/>
      <c r="G356" s="222"/>
      <c r="H356" s="332"/>
    </row>
    <row r="357" spans="1:9" s="290" customFormat="1" ht="12.75" hidden="1" customHeight="1" x14ac:dyDescent="0.2">
      <c r="A357" s="219"/>
      <c r="B357" s="220"/>
      <c r="C357" s="243"/>
      <c r="D357" s="258" t="s">
        <v>338</v>
      </c>
      <c r="E357" s="222"/>
      <c r="F357" s="365"/>
      <c r="G357" s="222"/>
      <c r="H357" s="332"/>
    </row>
    <row r="358" spans="1:9" s="290" customFormat="1" ht="12.75" hidden="1" customHeight="1" x14ac:dyDescent="0.2">
      <c r="A358" s="219"/>
      <c r="B358" s="220"/>
      <c r="C358" s="243"/>
      <c r="D358" s="258" t="s">
        <v>349</v>
      </c>
      <c r="E358" s="222"/>
      <c r="F358" s="365"/>
      <c r="G358" s="222"/>
      <c r="H358" s="332"/>
    </row>
    <row r="359" spans="1:9" s="290" customFormat="1" ht="12.75" hidden="1" customHeight="1" x14ac:dyDescent="0.2">
      <c r="A359" s="219"/>
      <c r="B359" s="220"/>
      <c r="C359" s="243"/>
      <c r="D359" s="258" t="s">
        <v>308</v>
      </c>
      <c r="E359" s="222"/>
      <c r="F359" s="365"/>
      <c r="G359" s="222"/>
      <c r="H359" s="332"/>
      <c r="I359" s="352"/>
    </row>
    <row r="360" spans="1:9" s="290" customFormat="1" ht="12.75" hidden="1" customHeight="1" x14ac:dyDescent="0.2">
      <c r="A360" s="219"/>
      <c r="B360" s="220"/>
      <c r="C360" s="243"/>
      <c r="D360" s="309" t="s">
        <v>386</v>
      </c>
      <c r="E360" s="222"/>
      <c r="F360" s="365"/>
      <c r="G360" s="222"/>
      <c r="H360" s="332"/>
    </row>
    <row r="361" spans="1:9" s="290" customFormat="1" ht="12.75" customHeight="1" x14ac:dyDescent="0.2">
      <c r="A361" s="223">
        <f>A354+1</f>
        <v>38</v>
      </c>
      <c r="B361" s="224">
        <v>4051</v>
      </c>
      <c r="C361" s="244" t="s">
        <v>263</v>
      </c>
      <c r="D361" s="310" t="str">
        <f>$D$5</f>
        <v>PY Final FEFP</v>
      </c>
      <c r="E361" s="225">
        <f>'4051'!I$132</f>
        <v>11326.3</v>
      </c>
      <c r="F361" s="364"/>
      <c r="G361" s="225">
        <f>SUBTOTAL(109,E361:F369)</f>
        <v>11326.3</v>
      </c>
      <c r="H361" s="332"/>
    </row>
    <row r="362" spans="1:9" s="290" customFormat="1" ht="12.75" hidden="1" customHeight="1" x14ac:dyDescent="0.2">
      <c r="A362" s="223"/>
      <c r="B362" s="224"/>
      <c r="C362" s="244"/>
      <c r="D362" s="259" t="s">
        <v>337</v>
      </c>
      <c r="E362" s="225"/>
      <c r="F362" s="364"/>
      <c r="G362" s="225"/>
      <c r="H362" s="332"/>
    </row>
    <row r="363" spans="1:9" s="290" customFormat="1" ht="12.75" hidden="1" customHeight="1" x14ac:dyDescent="0.2">
      <c r="A363" s="223"/>
      <c r="B363" s="224"/>
      <c r="C363" s="244"/>
      <c r="D363" s="259" t="s">
        <v>339</v>
      </c>
      <c r="E363" s="225"/>
      <c r="F363" s="364"/>
      <c r="G363" s="225"/>
      <c r="H363" s="332"/>
    </row>
    <row r="364" spans="1:9" s="290" customFormat="1" ht="12.75" hidden="1" customHeight="1" x14ac:dyDescent="0.2">
      <c r="A364" s="223"/>
      <c r="B364" s="224"/>
      <c r="C364" s="244"/>
      <c r="D364" s="259" t="s">
        <v>338</v>
      </c>
      <c r="E364" s="225"/>
      <c r="F364" s="364"/>
      <c r="G364" s="225"/>
      <c r="H364" s="332"/>
    </row>
    <row r="365" spans="1:9" s="290" customFormat="1" ht="12.75" hidden="1" customHeight="1" x14ac:dyDescent="0.2">
      <c r="A365" s="223"/>
      <c r="B365" s="224"/>
      <c r="C365" s="244"/>
      <c r="D365" s="259" t="s">
        <v>349</v>
      </c>
      <c r="E365" s="225"/>
      <c r="F365" s="364"/>
      <c r="G365" s="225"/>
      <c r="H365" s="332"/>
    </row>
    <row r="366" spans="1:9" s="290" customFormat="1" ht="12.75" hidden="1" customHeight="1" x14ac:dyDescent="0.2">
      <c r="A366" s="223"/>
      <c r="B366" s="224"/>
      <c r="C366" s="244"/>
      <c r="D366" s="259" t="s">
        <v>308</v>
      </c>
      <c r="E366" s="225"/>
      <c r="F366" s="364"/>
      <c r="G366" s="225"/>
      <c r="H366" s="332"/>
    </row>
    <row r="367" spans="1:9" s="290" customFormat="1" ht="12.75" hidden="1" customHeight="1" x14ac:dyDescent="0.2">
      <c r="A367" s="223"/>
      <c r="B367" s="224"/>
      <c r="C367" s="244"/>
      <c r="D367" s="259" t="s">
        <v>350</v>
      </c>
      <c r="E367" s="225"/>
      <c r="F367" s="364"/>
      <c r="G367" s="225"/>
      <c r="H367" s="332"/>
    </row>
    <row r="368" spans="1:9" s="290" customFormat="1" ht="12.75" hidden="1" customHeight="1" x14ac:dyDescent="0.2">
      <c r="A368" s="223"/>
      <c r="B368" s="224"/>
      <c r="C368" s="244"/>
      <c r="D368" s="259" t="s">
        <v>403</v>
      </c>
      <c r="E368" s="225"/>
      <c r="F368" s="364"/>
      <c r="G368" s="225"/>
      <c r="H368" s="332"/>
      <c r="I368" s="354"/>
    </row>
    <row r="369" spans="1:9" s="290" customFormat="1" ht="12.75" hidden="1" customHeight="1" x14ac:dyDescent="0.2">
      <c r="A369" s="223"/>
      <c r="B369" s="224"/>
      <c r="C369" s="244"/>
      <c r="D369" s="259" t="s">
        <v>401</v>
      </c>
      <c r="E369" s="225"/>
      <c r="F369" s="364"/>
      <c r="G369" s="225"/>
      <c r="H369" s="332"/>
    </row>
    <row r="370" spans="1:9" s="290" customFormat="1" ht="12.75" customHeight="1" x14ac:dyDescent="0.2">
      <c r="A370" s="219">
        <f>A361+1</f>
        <v>39</v>
      </c>
      <c r="B370" s="293">
        <v>4061</v>
      </c>
      <c r="C370" s="295" t="s">
        <v>390</v>
      </c>
      <c r="D370" s="308" t="str">
        <f>$D$5</f>
        <v>PY Final FEFP</v>
      </c>
      <c r="E370" s="222">
        <f>'4061'!I$132</f>
        <v>19321.46</v>
      </c>
      <c r="F370" s="365"/>
      <c r="G370" s="222">
        <f>SUBTOTAL(109,E370:F378)</f>
        <v>19321.46</v>
      </c>
      <c r="H370" s="332"/>
    </row>
    <row r="371" spans="1:9" s="290" customFormat="1" ht="12.75" hidden="1" customHeight="1" x14ac:dyDescent="0.2">
      <c r="A371" s="219"/>
      <c r="B371" s="293"/>
      <c r="C371" s="294"/>
      <c r="D371" s="258" t="s">
        <v>337</v>
      </c>
      <c r="E371" s="222"/>
      <c r="F371" s="365"/>
      <c r="G371" s="222"/>
      <c r="H371" s="332"/>
    </row>
    <row r="372" spans="1:9" s="290" customFormat="1" ht="12.75" hidden="1" customHeight="1" x14ac:dyDescent="0.2">
      <c r="A372" s="219"/>
      <c r="B372" s="220"/>
      <c r="C372" s="243"/>
      <c r="D372" s="378" t="s">
        <v>413</v>
      </c>
      <c r="E372" s="222"/>
      <c r="F372" s="365"/>
      <c r="G372" s="222"/>
      <c r="H372" s="332"/>
      <c r="I372" s="220"/>
    </row>
    <row r="373" spans="1:9" s="290" customFormat="1" ht="12.75" hidden="1" customHeight="1" x14ac:dyDescent="0.2">
      <c r="A373" s="219"/>
      <c r="B373" s="293"/>
      <c r="C373" s="294"/>
      <c r="D373" s="258" t="s">
        <v>337</v>
      </c>
      <c r="E373" s="222"/>
      <c r="F373" s="365"/>
      <c r="G373" s="222"/>
      <c r="H373" s="332"/>
    </row>
    <row r="374" spans="1:9" s="290" customFormat="1" ht="12.75" hidden="1" customHeight="1" x14ac:dyDescent="0.2">
      <c r="A374" s="219"/>
      <c r="B374" s="293"/>
      <c r="C374" s="294"/>
      <c r="D374" s="258" t="s">
        <v>339</v>
      </c>
      <c r="E374" s="222"/>
      <c r="F374" s="365"/>
      <c r="G374" s="222"/>
      <c r="H374" s="332"/>
    </row>
    <row r="375" spans="1:9" s="290" customFormat="1" ht="12.75" hidden="1" customHeight="1" x14ac:dyDescent="0.2">
      <c r="A375" s="219"/>
      <c r="B375" s="220"/>
      <c r="C375" s="243"/>
      <c r="D375" s="258" t="s">
        <v>338</v>
      </c>
      <c r="E375" s="222"/>
      <c r="F375" s="365"/>
      <c r="G375" s="222"/>
      <c r="H375" s="332"/>
      <c r="I375" s="220"/>
    </row>
    <row r="376" spans="1:9" s="290" customFormat="1" ht="12.75" hidden="1" customHeight="1" x14ac:dyDescent="0.2">
      <c r="A376" s="219"/>
      <c r="B376" s="220"/>
      <c r="C376" s="243"/>
      <c r="D376" s="258" t="s">
        <v>349</v>
      </c>
      <c r="E376" s="222"/>
      <c r="F376" s="365"/>
      <c r="G376" s="222"/>
      <c r="H376" s="332"/>
    </row>
    <row r="377" spans="1:9" s="290" customFormat="1" ht="12.75" hidden="1" customHeight="1" x14ac:dyDescent="0.2">
      <c r="A377" s="219"/>
      <c r="B377" s="220"/>
      <c r="C377" s="243"/>
      <c r="D377" s="258" t="s">
        <v>308</v>
      </c>
      <c r="E377" s="222"/>
      <c r="F377" s="365"/>
      <c r="G377" s="222"/>
      <c r="H377" s="332"/>
      <c r="I377" s="352"/>
    </row>
    <row r="378" spans="1:9" s="290" customFormat="1" ht="12.75" hidden="1" customHeight="1" x14ac:dyDescent="0.2">
      <c r="A378" s="219"/>
      <c r="B378" s="220"/>
      <c r="C378" s="243"/>
      <c r="D378" s="309" t="s">
        <v>386</v>
      </c>
      <c r="E378" s="222"/>
      <c r="F378" s="365"/>
      <c r="G378" s="222"/>
      <c r="H378" s="332"/>
      <c r="I378" s="352"/>
    </row>
    <row r="379" spans="1:9" s="290" customFormat="1" ht="12.75" customHeight="1" x14ac:dyDescent="0.2">
      <c r="A379" s="223">
        <f>A370+1</f>
        <v>40</v>
      </c>
      <c r="B379" s="224">
        <v>4080</v>
      </c>
      <c r="C379" s="244" t="s">
        <v>288</v>
      </c>
      <c r="D379" s="310" t="str">
        <f>$D$5</f>
        <v>PY Final FEFP</v>
      </c>
      <c r="E379" s="225">
        <f>'4080'!I$132</f>
        <v>4363.41</v>
      </c>
      <c r="F379" s="364"/>
      <c r="G379" s="225">
        <f>SUBTOTAL(109,E379:F385)</f>
        <v>4363.41</v>
      </c>
      <c r="H379" s="332"/>
    </row>
    <row r="380" spans="1:9" s="290" customFormat="1" ht="12.75" hidden="1" customHeight="1" x14ac:dyDescent="0.2">
      <c r="A380" s="223"/>
      <c r="B380" s="224"/>
      <c r="C380" s="244"/>
      <c r="D380" s="259" t="s">
        <v>337</v>
      </c>
      <c r="E380" s="225"/>
      <c r="F380" s="364"/>
      <c r="G380" s="225"/>
      <c r="H380" s="332"/>
    </row>
    <row r="381" spans="1:9" s="290" customFormat="1" ht="12.75" hidden="1" customHeight="1" x14ac:dyDescent="0.2">
      <c r="A381" s="223"/>
      <c r="B381" s="224"/>
      <c r="C381" s="244"/>
      <c r="D381" s="259" t="s">
        <v>339</v>
      </c>
      <c r="E381" s="225"/>
      <c r="F381" s="364"/>
      <c r="G381" s="225"/>
      <c r="H381" s="332"/>
    </row>
    <row r="382" spans="1:9" s="290" customFormat="1" ht="12.75" hidden="1" customHeight="1" x14ac:dyDescent="0.2">
      <c r="A382" s="223"/>
      <c r="B382" s="224"/>
      <c r="C382" s="244"/>
      <c r="D382" s="259" t="s">
        <v>338</v>
      </c>
      <c r="E382" s="225"/>
      <c r="F382" s="364"/>
      <c r="G382" s="225"/>
      <c r="H382" s="332"/>
    </row>
    <row r="383" spans="1:9" s="290" customFormat="1" ht="12.75" hidden="1" customHeight="1" x14ac:dyDescent="0.2">
      <c r="A383" s="223"/>
      <c r="B383" s="224"/>
      <c r="C383" s="244"/>
      <c r="D383" s="259" t="s">
        <v>349</v>
      </c>
      <c r="E383" s="225"/>
      <c r="F383" s="364"/>
      <c r="G383" s="225"/>
      <c r="H383" s="332"/>
    </row>
    <row r="384" spans="1:9" s="290" customFormat="1" ht="12.75" hidden="1" customHeight="1" x14ac:dyDescent="0.2">
      <c r="A384" s="223"/>
      <c r="B384" s="224"/>
      <c r="C384" s="244"/>
      <c r="D384" s="259" t="s">
        <v>308</v>
      </c>
      <c r="E384" s="225"/>
      <c r="F384" s="364"/>
      <c r="G384" s="225"/>
      <c r="H384" s="332"/>
    </row>
    <row r="385" spans="1:12" s="290" customFormat="1" ht="12.75" hidden="1" customHeight="1" x14ac:dyDescent="0.2">
      <c r="A385" s="223"/>
      <c r="B385" s="224"/>
      <c r="C385" s="244"/>
      <c r="D385" s="259" t="s">
        <v>386</v>
      </c>
      <c r="E385" s="225"/>
      <c r="F385" s="364"/>
      <c r="G385" s="225"/>
      <c r="H385" s="332"/>
    </row>
    <row r="386" spans="1:12" s="290" customFormat="1" ht="12.75" customHeight="1" x14ac:dyDescent="0.2">
      <c r="A386" s="219">
        <f>1+A379</f>
        <v>41</v>
      </c>
      <c r="B386" s="293">
        <v>4081</v>
      </c>
      <c r="C386" s="295" t="s">
        <v>284</v>
      </c>
      <c r="D386" s="308" t="str">
        <f>$D$5</f>
        <v>PY Final FEFP</v>
      </c>
      <c r="E386" s="222">
        <f>'4081'!I$132</f>
        <v>-1295.1400000000001</v>
      </c>
      <c r="F386" s="365"/>
      <c r="G386" s="222">
        <f>SUBTOTAL(109,E386:F394)</f>
        <v>-1295.1400000000001</v>
      </c>
      <c r="H386" s="332"/>
      <c r="L386" s="353"/>
    </row>
    <row r="387" spans="1:12" s="290" customFormat="1" ht="12.75" hidden="1" customHeight="1" x14ac:dyDescent="0.2">
      <c r="A387" s="219"/>
      <c r="B387" s="293"/>
      <c r="C387" s="295"/>
      <c r="D387" s="258" t="s">
        <v>337</v>
      </c>
      <c r="E387" s="222"/>
      <c r="F387" s="365"/>
      <c r="G387" s="222"/>
      <c r="H387" s="332"/>
    </row>
    <row r="388" spans="1:12" s="290" customFormat="1" ht="12.75" hidden="1" customHeight="1" x14ac:dyDescent="0.2">
      <c r="A388" s="219"/>
      <c r="B388" s="220"/>
      <c r="C388" s="243"/>
      <c r="D388" s="378" t="s">
        <v>414</v>
      </c>
      <c r="E388" s="222"/>
      <c r="F388" s="365"/>
      <c r="G388" s="222"/>
      <c r="H388" s="332"/>
      <c r="I388" s="220"/>
    </row>
    <row r="389" spans="1:12" s="290" customFormat="1" ht="12.75" hidden="1" customHeight="1" x14ac:dyDescent="0.2">
      <c r="A389" s="219"/>
      <c r="B389" s="293"/>
      <c r="C389" s="295"/>
      <c r="D389" s="258" t="s">
        <v>339</v>
      </c>
      <c r="E389" s="222"/>
      <c r="F389" s="365"/>
      <c r="G389" s="222"/>
      <c r="H389" s="332"/>
    </row>
    <row r="390" spans="1:12" s="290" customFormat="1" ht="12.75" hidden="1" customHeight="1" x14ac:dyDescent="0.2">
      <c r="A390" s="219"/>
      <c r="B390" s="293"/>
      <c r="C390" s="295"/>
      <c r="D390" s="258" t="s">
        <v>338</v>
      </c>
      <c r="E390" s="222"/>
      <c r="F390" s="365"/>
      <c r="G390" s="222"/>
      <c r="H390" s="332"/>
    </row>
    <row r="391" spans="1:12" s="290" customFormat="1" ht="12.75" hidden="1" customHeight="1" x14ac:dyDescent="0.2">
      <c r="A391" s="219"/>
      <c r="B391" s="293"/>
      <c r="C391" s="295"/>
      <c r="D391" s="258" t="s">
        <v>349</v>
      </c>
      <c r="E391" s="222"/>
      <c r="F391" s="365"/>
      <c r="G391" s="222"/>
      <c r="H391" s="332"/>
    </row>
    <row r="392" spans="1:12" s="290" customFormat="1" ht="12.75" hidden="1" customHeight="1" x14ac:dyDescent="0.2">
      <c r="A392" s="219"/>
      <c r="B392" s="220"/>
      <c r="C392" s="243"/>
      <c r="D392" s="258" t="s">
        <v>308</v>
      </c>
      <c r="E392" s="222"/>
      <c r="F392" s="365"/>
      <c r="G392" s="222"/>
      <c r="H392" s="332"/>
      <c r="I392" s="352"/>
    </row>
    <row r="393" spans="1:12" s="290" customFormat="1" ht="12.75" hidden="1" customHeight="1" x14ac:dyDescent="0.2">
      <c r="A393" s="219"/>
      <c r="B393" s="220"/>
      <c r="C393" s="243"/>
      <c r="D393" s="258" t="s">
        <v>404</v>
      </c>
      <c r="E393" s="222"/>
      <c r="F393" s="365"/>
      <c r="G393" s="222"/>
      <c r="H393" s="332"/>
      <c r="I393" s="354"/>
    </row>
    <row r="394" spans="1:12" s="290" customFormat="1" ht="12.75" hidden="1" customHeight="1" x14ac:dyDescent="0.2">
      <c r="A394" s="219"/>
      <c r="B394" s="220"/>
      <c r="C394" s="243"/>
      <c r="D394" s="309" t="s">
        <v>386</v>
      </c>
      <c r="E394" s="222"/>
      <c r="F394" s="365"/>
      <c r="G394" s="222"/>
      <c r="H394" s="332"/>
      <c r="I394" s="352"/>
    </row>
    <row r="395" spans="1:12" s="290" customFormat="1" ht="12.75" customHeight="1" x14ac:dyDescent="0.2">
      <c r="A395" s="223">
        <f>1+A386</f>
        <v>42</v>
      </c>
      <c r="B395" s="224">
        <v>4090</v>
      </c>
      <c r="C395" s="244" t="s">
        <v>333</v>
      </c>
      <c r="D395" s="310" t="str">
        <f>$D$5</f>
        <v>PY Final FEFP</v>
      </c>
      <c r="E395" s="225">
        <f>'4090'!I$132</f>
        <v>26528.03</v>
      </c>
      <c r="F395" s="364"/>
      <c r="G395" s="225">
        <f>SUBTOTAL(109,E395:F404)</f>
        <v>26528.03</v>
      </c>
      <c r="H395" s="332"/>
      <c r="L395" s="353"/>
    </row>
    <row r="396" spans="1:12" s="290" customFormat="1" ht="12.75" hidden="1" customHeight="1" x14ac:dyDescent="0.2">
      <c r="A396" s="223"/>
      <c r="B396" s="224"/>
      <c r="C396" s="244"/>
      <c r="D396" s="259" t="s">
        <v>337</v>
      </c>
      <c r="E396" s="225"/>
      <c r="F396" s="364"/>
      <c r="G396" s="225"/>
      <c r="H396" s="332"/>
    </row>
    <row r="397" spans="1:12" s="290" customFormat="1" ht="12.75" hidden="1" customHeight="1" x14ac:dyDescent="0.2">
      <c r="A397" s="223"/>
      <c r="B397" s="224"/>
      <c r="C397" s="244"/>
      <c r="D397" s="411" t="s">
        <v>414</v>
      </c>
      <c r="E397" s="225"/>
      <c r="F397" s="364"/>
      <c r="G397" s="225"/>
      <c r="H397" s="332"/>
      <c r="I397" s="220"/>
    </row>
    <row r="398" spans="1:12" s="290" customFormat="1" ht="12.75" hidden="1" customHeight="1" x14ac:dyDescent="0.2">
      <c r="A398" s="223"/>
      <c r="B398" s="224"/>
      <c r="C398" s="244"/>
      <c r="D398" s="411" t="s">
        <v>413</v>
      </c>
      <c r="E398" s="225"/>
      <c r="F398" s="364"/>
      <c r="G398" s="225"/>
      <c r="H398" s="332"/>
      <c r="I398" s="220"/>
    </row>
    <row r="399" spans="1:12" s="290" customFormat="1" ht="12.75" hidden="1" customHeight="1" x14ac:dyDescent="0.2">
      <c r="A399" s="223"/>
      <c r="B399" s="224"/>
      <c r="C399" s="244"/>
      <c r="D399" s="259" t="s">
        <v>339</v>
      </c>
      <c r="E399" s="225"/>
      <c r="F399" s="364"/>
      <c r="G399" s="225"/>
      <c r="H399" s="332"/>
    </row>
    <row r="400" spans="1:12" s="290" customFormat="1" ht="12.75" hidden="1" customHeight="1" x14ac:dyDescent="0.2">
      <c r="A400" s="223"/>
      <c r="B400" s="224"/>
      <c r="C400" s="244"/>
      <c r="D400" s="259" t="s">
        <v>338</v>
      </c>
      <c r="E400" s="225"/>
      <c r="F400" s="364"/>
      <c r="G400" s="225"/>
      <c r="H400" s="332"/>
    </row>
    <row r="401" spans="1:13" s="290" customFormat="1" ht="12.75" hidden="1" customHeight="1" x14ac:dyDescent="0.2">
      <c r="A401" s="223"/>
      <c r="B401" s="224"/>
      <c r="C401" s="244"/>
      <c r="D401" s="259" t="s">
        <v>349</v>
      </c>
      <c r="E401" s="225"/>
      <c r="F401" s="364"/>
      <c r="G401" s="225"/>
      <c r="H401" s="332"/>
    </row>
    <row r="402" spans="1:13" s="290" customFormat="1" ht="12.75" hidden="1" customHeight="1" x14ac:dyDescent="0.2">
      <c r="A402" s="223"/>
      <c r="B402" s="224"/>
      <c r="C402" s="244"/>
      <c r="D402" s="259" t="s">
        <v>308</v>
      </c>
      <c r="E402" s="225"/>
      <c r="F402" s="364"/>
      <c r="G402" s="225"/>
      <c r="H402" s="332"/>
    </row>
    <row r="403" spans="1:13" s="290" customFormat="1" ht="12.75" hidden="1" customHeight="1" x14ac:dyDescent="0.2">
      <c r="A403" s="223"/>
      <c r="B403" s="224"/>
      <c r="C403" s="244"/>
      <c r="D403" s="259" t="s">
        <v>404</v>
      </c>
      <c r="E403" s="225"/>
      <c r="F403" s="364"/>
      <c r="G403" s="225"/>
      <c r="H403" s="332"/>
    </row>
    <row r="404" spans="1:13" s="290" customFormat="1" ht="12.75" hidden="1" customHeight="1" x14ac:dyDescent="0.2">
      <c r="A404" s="223"/>
      <c r="B404" s="224"/>
      <c r="C404" s="244"/>
      <c r="D404" s="259" t="s">
        <v>480</v>
      </c>
      <c r="E404" s="225"/>
      <c r="F404" s="364">
        <v>0</v>
      </c>
      <c r="G404" s="225"/>
      <c r="H404" s="332"/>
    </row>
    <row r="405" spans="1:13" s="290" customFormat="1" ht="12.75" customHeight="1" x14ac:dyDescent="0.2">
      <c r="A405" s="219">
        <f>1+A395</f>
        <v>43</v>
      </c>
      <c r="B405" s="293">
        <v>4091</v>
      </c>
      <c r="C405" s="295" t="s">
        <v>334</v>
      </c>
      <c r="D405" s="308" t="str">
        <f>$D$5</f>
        <v>PY Final FEFP</v>
      </c>
      <c r="E405" s="222">
        <f>'4091'!I$132</f>
        <v>-18006.240000000002</v>
      </c>
      <c r="F405" s="365"/>
      <c r="G405" s="222">
        <f>SUBTOTAL(109,E405:F414)</f>
        <v>-18006.240000000002</v>
      </c>
      <c r="H405" s="332"/>
      <c r="M405" s="353"/>
    </row>
    <row r="406" spans="1:13" s="290" customFormat="1" ht="12.75" hidden="1" customHeight="1" x14ac:dyDescent="0.2">
      <c r="A406" s="219"/>
      <c r="B406" s="293"/>
      <c r="C406" s="295"/>
      <c r="D406" s="258" t="s">
        <v>337</v>
      </c>
      <c r="E406" s="222"/>
      <c r="F406" s="365"/>
      <c r="G406" s="222"/>
      <c r="H406" s="332"/>
    </row>
    <row r="407" spans="1:13" s="290" customFormat="1" ht="12.75" hidden="1" customHeight="1" x14ac:dyDescent="0.2">
      <c r="A407" s="219"/>
      <c r="B407" s="220"/>
      <c r="C407" s="243"/>
      <c r="D407" s="378" t="s">
        <v>414</v>
      </c>
      <c r="E407" s="222"/>
      <c r="F407" s="365"/>
      <c r="G407" s="222"/>
      <c r="H407" s="332"/>
      <c r="I407" s="220"/>
    </row>
    <row r="408" spans="1:13" s="290" customFormat="1" ht="12.75" hidden="1" customHeight="1" x14ac:dyDescent="0.2">
      <c r="A408" s="219"/>
      <c r="B408" s="293"/>
      <c r="C408" s="295"/>
      <c r="D408" s="258" t="s">
        <v>339</v>
      </c>
      <c r="E408" s="222"/>
      <c r="F408" s="365"/>
      <c r="G408" s="222"/>
      <c r="H408" s="332"/>
    </row>
    <row r="409" spans="1:13" s="290" customFormat="1" ht="12.75" hidden="1" customHeight="1" x14ac:dyDescent="0.2">
      <c r="A409" s="219"/>
      <c r="B409" s="293"/>
      <c r="C409" s="295"/>
      <c r="D409" s="258" t="s">
        <v>338</v>
      </c>
      <c r="E409" s="222"/>
      <c r="F409" s="365"/>
      <c r="G409" s="222"/>
      <c r="H409" s="332"/>
    </row>
    <row r="410" spans="1:13" s="290" customFormat="1" ht="12.75" hidden="1" customHeight="1" x14ac:dyDescent="0.2">
      <c r="A410" s="219"/>
      <c r="B410" s="293"/>
      <c r="C410" s="295"/>
      <c r="D410" s="258" t="s">
        <v>349</v>
      </c>
      <c r="E410" s="222"/>
      <c r="F410" s="365"/>
      <c r="G410" s="222"/>
      <c r="H410" s="332"/>
    </row>
    <row r="411" spans="1:13" s="290" customFormat="1" ht="12.75" hidden="1" customHeight="1" x14ac:dyDescent="0.2">
      <c r="A411" s="219"/>
      <c r="B411" s="220"/>
      <c r="C411" s="243"/>
      <c r="D411" s="258" t="s">
        <v>308</v>
      </c>
      <c r="E411" s="222"/>
      <c r="F411" s="365"/>
      <c r="G411" s="222"/>
      <c r="H411" s="332"/>
      <c r="I411" s="352"/>
    </row>
    <row r="412" spans="1:13" s="290" customFormat="1" ht="12.75" hidden="1" customHeight="1" x14ac:dyDescent="0.2">
      <c r="A412" s="219"/>
      <c r="B412" s="220"/>
      <c r="C412" s="243"/>
      <c r="D412" s="258" t="s">
        <v>404</v>
      </c>
      <c r="E412" s="222"/>
      <c r="F412" s="365"/>
      <c r="G412" s="222"/>
      <c r="H412" s="332"/>
      <c r="I412" s="354"/>
    </row>
    <row r="413" spans="1:13" s="290" customFormat="1" ht="12.75" hidden="1" customHeight="1" x14ac:dyDescent="0.2">
      <c r="A413" s="219"/>
      <c r="B413" s="220"/>
      <c r="C413" s="243"/>
      <c r="D413" s="309" t="s">
        <v>386</v>
      </c>
      <c r="E413" s="222"/>
      <c r="F413" s="365"/>
      <c r="G413" s="222"/>
      <c r="H413" s="332"/>
    </row>
    <row r="414" spans="1:13" s="290" customFormat="1" ht="12.75" hidden="1" customHeight="1" x14ac:dyDescent="0.2">
      <c r="A414" s="219"/>
      <c r="B414" s="220"/>
      <c r="C414" s="243"/>
      <c r="D414" s="430"/>
      <c r="E414" s="222"/>
      <c r="F414" s="365"/>
      <c r="G414" s="222"/>
      <c r="H414" s="332"/>
    </row>
    <row r="415" spans="1:13" s="290" customFormat="1" ht="12.75" customHeight="1" x14ac:dyDescent="0.2">
      <c r="A415" s="223">
        <f>1+A405</f>
        <v>44</v>
      </c>
      <c r="B415" s="224">
        <v>4100</v>
      </c>
      <c r="C415" s="244" t="s">
        <v>326</v>
      </c>
      <c r="D415" s="310" t="str">
        <f>$D$5</f>
        <v>PY Final FEFP</v>
      </c>
      <c r="E415" s="225">
        <f>'4100'!I$132</f>
        <v>0</v>
      </c>
      <c r="F415" s="364"/>
      <c r="G415" s="225">
        <f>SUBTOTAL(109,E415:F423)</f>
        <v>0</v>
      </c>
      <c r="H415" s="332"/>
    </row>
    <row r="416" spans="1:13" s="290" customFormat="1" ht="12.75" hidden="1" customHeight="1" x14ac:dyDescent="0.2">
      <c r="A416" s="223"/>
      <c r="B416" s="224"/>
      <c r="C416" s="244"/>
      <c r="D416" s="259" t="s">
        <v>337</v>
      </c>
      <c r="E416" s="225"/>
      <c r="F416" s="364"/>
      <c r="G416" s="225"/>
      <c r="H416" s="332"/>
    </row>
    <row r="417" spans="1:9" s="290" customFormat="1" ht="12.75" hidden="1" customHeight="1" x14ac:dyDescent="0.2">
      <c r="A417" s="223"/>
      <c r="B417" s="224"/>
      <c r="C417" s="244"/>
      <c r="D417" s="411" t="s">
        <v>414</v>
      </c>
      <c r="E417" s="225"/>
      <c r="F417" s="364"/>
      <c r="G417" s="225"/>
      <c r="H417" s="332"/>
      <c r="I417" s="220"/>
    </row>
    <row r="418" spans="1:9" s="290" customFormat="1" ht="12.75" hidden="1" customHeight="1" x14ac:dyDescent="0.2">
      <c r="A418" s="223"/>
      <c r="B418" s="224"/>
      <c r="C418" s="244"/>
      <c r="D418" s="259" t="s">
        <v>339</v>
      </c>
      <c r="E418" s="225"/>
      <c r="F418" s="364"/>
      <c r="G418" s="225"/>
      <c r="H418" s="332"/>
    </row>
    <row r="419" spans="1:9" s="290" customFormat="1" ht="12.75" hidden="1" customHeight="1" x14ac:dyDescent="0.2">
      <c r="A419" s="223"/>
      <c r="B419" s="224"/>
      <c r="C419" s="244"/>
      <c r="D419" s="259" t="s">
        <v>338</v>
      </c>
      <c r="E419" s="225"/>
      <c r="F419" s="364"/>
      <c r="G419" s="225"/>
      <c r="H419" s="332"/>
    </row>
    <row r="420" spans="1:9" s="290" customFormat="1" ht="12.75" hidden="1" customHeight="1" x14ac:dyDescent="0.2">
      <c r="A420" s="223"/>
      <c r="B420" s="224"/>
      <c r="C420" s="244"/>
      <c r="D420" s="259" t="s">
        <v>349</v>
      </c>
      <c r="E420" s="225"/>
      <c r="F420" s="364"/>
      <c r="G420" s="225"/>
      <c r="H420" s="332"/>
    </row>
    <row r="421" spans="1:9" s="290" customFormat="1" ht="12.75" hidden="1" customHeight="1" x14ac:dyDescent="0.2">
      <c r="A421" s="223"/>
      <c r="B421" s="224"/>
      <c r="C421" s="244"/>
      <c r="D421" s="259" t="s">
        <v>308</v>
      </c>
      <c r="E421" s="225"/>
      <c r="F421" s="364"/>
      <c r="G421" s="225"/>
      <c r="H421" s="332"/>
    </row>
    <row r="422" spans="1:9" s="290" customFormat="1" ht="12.75" hidden="1" customHeight="1" x14ac:dyDescent="0.2">
      <c r="A422" s="223"/>
      <c r="B422" s="224"/>
      <c r="C422" s="244"/>
      <c r="D422" s="259" t="s">
        <v>404</v>
      </c>
      <c r="E422" s="225"/>
      <c r="F422" s="364"/>
      <c r="G422" s="225"/>
      <c r="H422" s="332"/>
    </row>
    <row r="423" spans="1:9" s="290" customFormat="1" ht="12.75" hidden="1" customHeight="1" x14ac:dyDescent="0.2">
      <c r="A423" s="223"/>
      <c r="B423" s="224"/>
      <c r="C423" s="244"/>
      <c r="D423" s="259" t="s">
        <v>386</v>
      </c>
      <c r="E423" s="225"/>
      <c r="F423" s="364"/>
      <c r="G423" s="225"/>
      <c r="H423" s="332"/>
    </row>
    <row r="424" spans="1:9" s="290" customFormat="1" ht="12.75" customHeight="1" x14ac:dyDescent="0.2">
      <c r="A424" s="219">
        <f>1+A415</f>
        <v>45</v>
      </c>
      <c r="B424" s="293">
        <v>4102</v>
      </c>
      <c r="C424" s="295" t="s">
        <v>341</v>
      </c>
      <c r="D424" s="313" t="str">
        <f>$D$5</f>
        <v>PY Final FEFP</v>
      </c>
      <c r="E424" s="222">
        <f>'4102'!I$132</f>
        <v>-4131.3500000000004</v>
      </c>
      <c r="F424" s="365"/>
      <c r="G424" s="222">
        <f>SUBTOTAL(109,E424:F431)</f>
        <v>-4131.3500000000004</v>
      </c>
      <c r="H424" s="332"/>
    </row>
    <row r="425" spans="1:9" s="290" customFormat="1" ht="12.75" hidden="1" customHeight="1" x14ac:dyDescent="0.2">
      <c r="A425" s="219"/>
      <c r="B425" s="293"/>
      <c r="C425" s="295"/>
      <c r="D425" s="258" t="s">
        <v>337</v>
      </c>
      <c r="E425" s="222"/>
      <c r="F425" s="365"/>
      <c r="G425" s="222"/>
      <c r="H425" s="332"/>
    </row>
    <row r="426" spans="1:9" s="290" customFormat="1" ht="12.75" hidden="1" customHeight="1" x14ac:dyDescent="0.2">
      <c r="A426" s="219"/>
      <c r="B426" s="220"/>
      <c r="C426" s="243"/>
      <c r="D426" s="378" t="s">
        <v>413</v>
      </c>
      <c r="E426" s="222"/>
      <c r="F426" s="365"/>
      <c r="G426" s="222"/>
      <c r="H426" s="332"/>
      <c r="I426" s="220"/>
    </row>
    <row r="427" spans="1:9" s="290" customFormat="1" ht="12.75" hidden="1" customHeight="1" x14ac:dyDescent="0.2">
      <c r="A427" s="219"/>
      <c r="B427" s="293"/>
      <c r="C427" s="295"/>
      <c r="D427" s="258" t="s">
        <v>339</v>
      </c>
      <c r="E427" s="222"/>
      <c r="F427" s="365"/>
      <c r="G427" s="222"/>
      <c r="H427" s="332"/>
    </row>
    <row r="428" spans="1:9" s="290" customFormat="1" ht="12.75" hidden="1" customHeight="1" x14ac:dyDescent="0.2">
      <c r="A428" s="219"/>
      <c r="B428" s="293"/>
      <c r="C428" s="295"/>
      <c r="D428" s="258" t="s">
        <v>338</v>
      </c>
      <c r="E428" s="222"/>
      <c r="F428" s="365"/>
      <c r="G428" s="222"/>
      <c r="H428" s="332"/>
    </row>
    <row r="429" spans="1:9" s="290" customFormat="1" ht="12.75" hidden="1" customHeight="1" x14ac:dyDescent="0.2">
      <c r="A429" s="219"/>
      <c r="B429" s="293"/>
      <c r="C429" s="295"/>
      <c r="D429" s="258" t="s">
        <v>349</v>
      </c>
      <c r="E429" s="222"/>
      <c r="F429" s="365"/>
      <c r="G429" s="222"/>
      <c r="H429" s="332"/>
      <c r="I429" s="212"/>
    </row>
    <row r="430" spans="1:9" s="290" customFormat="1" ht="12.75" hidden="1" customHeight="1" x14ac:dyDescent="0.2">
      <c r="A430" s="219"/>
      <c r="B430" s="220"/>
      <c r="C430" s="243"/>
      <c r="D430" s="258" t="s">
        <v>308</v>
      </c>
      <c r="E430" s="222"/>
      <c r="F430" s="365"/>
      <c r="G430" s="222"/>
      <c r="H430" s="332"/>
      <c r="I430" s="352"/>
    </row>
    <row r="431" spans="1:9" s="290" customFormat="1" ht="12.75" hidden="1" customHeight="1" x14ac:dyDescent="0.2">
      <c r="A431" s="219"/>
      <c r="B431" s="220"/>
      <c r="C431" s="243"/>
      <c r="D431" s="309" t="s">
        <v>386</v>
      </c>
      <c r="E431" s="222"/>
      <c r="F431" s="365"/>
      <c r="G431" s="222"/>
      <c r="H431" s="332"/>
      <c r="I431" s="352"/>
    </row>
    <row r="432" spans="1:9" s="290" customFormat="1" ht="12.75" customHeight="1" x14ac:dyDescent="0.2">
      <c r="A432" s="223">
        <f>A424+1</f>
        <v>46</v>
      </c>
      <c r="B432" s="224">
        <v>4103</v>
      </c>
      <c r="C432" s="244" t="s">
        <v>365</v>
      </c>
      <c r="D432" s="310" t="str">
        <f>$D$5</f>
        <v>PY Final FEFP</v>
      </c>
      <c r="E432" s="225">
        <f>'4103'!I$132</f>
        <v>-6363.89</v>
      </c>
      <c r="F432" s="364"/>
      <c r="G432" s="225">
        <f>SUBTOTAL(109,E432:F441)</f>
        <v>-6363.89</v>
      </c>
      <c r="H432" s="332"/>
    </row>
    <row r="433" spans="1:9" s="290" customFormat="1" ht="12.75" hidden="1" customHeight="1" x14ac:dyDescent="0.2">
      <c r="A433" s="223"/>
      <c r="B433" s="224"/>
      <c r="C433" s="244"/>
      <c r="D433" s="259" t="s">
        <v>337</v>
      </c>
      <c r="E433" s="225"/>
      <c r="F433" s="364"/>
      <c r="G433" s="225"/>
      <c r="H433" s="332"/>
    </row>
    <row r="434" spans="1:9" s="290" customFormat="1" ht="12.75" hidden="1" customHeight="1" x14ac:dyDescent="0.2">
      <c r="A434" s="223"/>
      <c r="B434" s="224"/>
      <c r="C434" s="244"/>
      <c r="D434" s="411" t="s">
        <v>414</v>
      </c>
      <c r="E434" s="225"/>
      <c r="F434" s="364"/>
      <c r="G434" s="225"/>
      <c r="H434" s="332"/>
      <c r="I434" s="220"/>
    </row>
    <row r="435" spans="1:9" s="290" customFormat="1" ht="12.75" hidden="1" customHeight="1" x14ac:dyDescent="0.2">
      <c r="A435" s="223"/>
      <c r="B435" s="224"/>
      <c r="C435" s="244"/>
      <c r="D435" s="411" t="s">
        <v>413</v>
      </c>
      <c r="E435" s="225"/>
      <c r="F435" s="364"/>
      <c r="G435" s="225"/>
      <c r="H435" s="332"/>
      <c r="I435" s="220"/>
    </row>
    <row r="436" spans="1:9" s="290" customFormat="1" ht="12.75" hidden="1" customHeight="1" x14ac:dyDescent="0.2">
      <c r="A436" s="223"/>
      <c r="B436" s="224"/>
      <c r="C436" s="244"/>
      <c r="D436" s="259" t="s">
        <v>339</v>
      </c>
      <c r="E436" s="225"/>
      <c r="F436" s="364"/>
      <c r="G436" s="225"/>
      <c r="H436" s="332"/>
    </row>
    <row r="437" spans="1:9" s="290" customFormat="1" ht="12.75" hidden="1" customHeight="1" x14ac:dyDescent="0.2">
      <c r="A437" s="223"/>
      <c r="B437" s="224"/>
      <c r="C437" s="244"/>
      <c r="D437" s="259" t="s">
        <v>338</v>
      </c>
      <c r="E437" s="225"/>
      <c r="F437" s="364"/>
      <c r="G437" s="225"/>
      <c r="H437" s="332"/>
    </row>
    <row r="438" spans="1:9" s="290" customFormat="1" ht="12.75" hidden="1" customHeight="1" x14ac:dyDescent="0.2">
      <c r="A438" s="223"/>
      <c r="B438" s="224"/>
      <c r="C438" s="244"/>
      <c r="D438" s="259" t="s">
        <v>349</v>
      </c>
      <c r="E438" s="225"/>
      <c r="F438" s="364"/>
      <c r="G438" s="225"/>
      <c r="H438" s="332"/>
    </row>
    <row r="439" spans="1:9" s="290" customFormat="1" ht="12.75" hidden="1" customHeight="1" x14ac:dyDescent="0.2">
      <c r="A439" s="223"/>
      <c r="B439" s="224"/>
      <c r="C439" s="244"/>
      <c r="D439" s="259" t="s">
        <v>308</v>
      </c>
      <c r="E439" s="225"/>
      <c r="F439" s="364"/>
      <c r="G439" s="225"/>
      <c r="H439" s="332"/>
    </row>
    <row r="440" spans="1:9" s="290" customFormat="1" ht="12.75" hidden="1" customHeight="1" x14ac:dyDescent="0.2">
      <c r="A440" s="223"/>
      <c r="B440" s="224"/>
      <c r="C440" s="244"/>
      <c r="D440" s="259" t="s">
        <v>404</v>
      </c>
      <c r="E440" s="225"/>
      <c r="F440" s="364"/>
      <c r="G440" s="225"/>
      <c r="H440" s="332"/>
    </row>
    <row r="441" spans="1:9" s="290" customFormat="1" ht="12.75" hidden="1" customHeight="1" x14ac:dyDescent="0.2">
      <c r="A441" s="223"/>
      <c r="B441" s="224"/>
      <c r="C441" s="244"/>
      <c r="D441" s="259" t="s">
        <v>386</v>
      </c>
      <c r="E441" s="225"/>
      <c r="F441" s="364"/>
      <c r="G441" s="225"/>
      <c r="H441" s="332"/>
    </row>
    <row r="442" spans="1:9" s="290" customFormat="1" ht="12.75" customHeight="1" x14ac:dyDescent="0.2">
      <c r="A442" s="219">
        <f>1+A432</f>
        <v>47</v>
      </c>
      <c r="B442" s="293">
        <v>4111</v>
      </c>
      <c r="C442" s="295" t="s">
        <v>383</v>
      </c>
      <c r="D442" s="313" t="str">
        <f>$D$5</f>
        <v>PY Final FEFP</v>
      </c>
      <c r="E442" s="222">
        <f>'4111'!I$132</f>
        <v>-3674.13</v>
      </c>
      <c r="F442" s="365"/>
      <c r="G442" s="222">
        <f>SUBTOTAL(109,E442:F450)</f>
        <v>-3674.13</v>
      </c>
      <c r="H442" s="332"/>
    </row>
    <row r="443" spans="1:9" s="290" customFormat="1" ht="12.75" hidden="1" customHeight="1" x14ac:dyDescent="0.2">
      <c r="A443" s="219"/>
      <c r="B443" s="293"/>
      <c r="C443" s="295"/>
      <c r="D443" s="258" t="s">
        <v>337</v>
      </c>
      <c r="E443" s="222"/>
      <c r="F443" s="365"/>
      <c r="G443" s="222"/>
      <c r="H443" s="332"/>
    </row>
    <row r="444" spans="1:9" s="290" customFormat="1" ht="12.75" hidden="1" customHeight="1" x14ac:dyDescent="0.2">
      <c r="A444" s="219"/>
      <c r="B444" s="220"/>
      <c r="C444" s="243"/>
      <c r="D444" s="378" t="s">
        <v>414</v>
      </c>
      <c r="E444" s="222"/>
      <c r="F444" s="365"/>
      <c r="G444" s="222"/>
      <c r="H444" s="332"/>
      <c r="I444" s="220"/>
    </row>
    <row r="445" spans="1:9" s="290" customFormat="1" ht="12.75" hidden="1" customHeight="1" x14ac:dyDescent="0.2">
      <c r="A445" s="219"/>
      <c r="B445" s="293"/>
      <c r="C445" s="295"/>
      <c r="D445" s="258" t="s">
        <v>339</v>
      </c>
      <c r="E445" s="222"/>
      <c r="F445" s="365"/>
      <c r="G445" s="222"/>
      <c r="H445" s="332"/>
    </row>
    <row r="446" spans="1:9" s="290" customFormat="1" ht="12.75" hidden="1" customHeight="1" x14ac:dyDescent="0.2">
      <c r="A446" s="219"/>
      <c r="B446" s="293"/>
      <c r="C446" s="295"/>
      <c r="D446" s="258" t="s">
        <v>338</v>
      </c>
      <c r="E446" s="222"/>
      <c r="F446" s="365"/>
      <c r="G446" s="222"/>
      <c r="H446" s="332"/>
    </row>
    <row r="447" spans="1:9" s="290" customFormat="1" ht="12.75" hidden="1" customHeight="1" x14ac:dyDescent="0.2">
      <c r="A447" s="219"/>
      <c r="B447" s="293"/>
      <c r="C447" s="295"/>
      <c r="D447" s="258" t="s">
        <v>349</v>
      </c>
      <c r="E447" s="222"/>
      <c r="F447" s="365"/>
      <c r="G447" s="222"/>
      <c r="H447" s="332"/>
      <c r="I447" s="212"/>
    </row>
    <row r="448" spans="1:9" s="290" customFormat="1" ht="12.75" hidden="1" customHeight="1" x14ac:dyDescent="0.2">
      <c r="A448" s="219"/>
      <c r="B448" s="220"/>
      <c r="C448" s="243"/>
      <c r="D448" s="258" t="s">
        <v>308</v>
      </c>
      <c r="E448" s="222"/>
      <c r="F448" s="365"/>
      <c r="G448" s="222"/>
      <c r="H448" s="332"/>
      <c r="I448" s="352"/>
    </row>
    <row r="449" spans="1:9" s="290" customFormat="1" ht="12.75" hidden="1" customHeight="1" x14ac:dyDescent="0.2">
      <c r="A449" s="219"/>
      <c r="B449" s="220"/>
      <c r="C449" s="243"/>
      <c r="D449" s="258" t="s">
        <v>404</v>
      </c>
      <c r="E449" s="222"/>
      <c r="F449" s="365"/>
      <c r="G449" s="222"/>
      <c r="H449" s="332"/>
      <c r="I449" s="354"/>
    </row>
    <row r="450" spans="1:9" s="290" customFormat="1" ht="12.75" hidden="1" customHeight="1" x14ac:dyDescent="0.2">
      <c r="A450" s="219"/>
      <c r="B450" s="220"/>
      <c r="C450" s="243"/>
      <c r="D450" s="309" t="s">
        <v>386</v>
      </c>
      <c r="E450" s="222"/>
      <c r="F450" s="365"/>
      <c r="G450" s="222"/>
      <c r="H450" s="332"/>
      <c r="I450" s="352"/>
    </row>
    <row r="451" spans="1:9" s="290" customFormat="1" ht="12.75" customHeight="1" x14ac:dyDescent="0.2">
      <c r="A451" s="223">
        <f>1+A442</f>
        <v>48</v>
      </c>
      <c r="B451" s="424">
        <v>4131</v>
      </c>
      <c r="C451" s="425" t="s">
        <v>451</v>
      </c>
      <c r="D451" s="426" t="str">
        <f>$D$5</f>
        <v>PY Final FEFP</v>
      </c>
      <c r="E451" s="225">
        <f>'4131'!I$132</f>
        <v>12781.04</v>
      </c>
      <c r="F451" s="364"/>
      <c r="G451" s="225">
        <f>SUBTOTAL(109,E451:F459)</f>
        <v>12781.04</v>
      </c>
      <c r="H451" s="332"/>
    </row>
    <row r="452" spans="1:9" s="290" customFormat="1" ht="12.75" hidden="1" customHeight="1" x14ac:dyDescent="0.2">
      <c r="A452" s="223"/>
      <c r="B452" s="424"/>
      <c r="C452" s="425"/>
      <c r="D452" s="259" t="s">
        <v>337</v>
      </c>
      <c r="E452" s="225"/>
      <c r="F452" s="364"/>
      <c r="G452" s="225"/>
      <c r="H452" s="332"/>
    </row>
    <row r="453" spans="1:9" s="290" customFormat="1" ht="12.75" hidden="1" customHeight="1" x14ac:dyDescent="0.2">
      <c r="A453" s="223"/>
      <c r="B453" s="224"/>
      <c r="C453" s="244"/>
      <c r="D453" s="411" t="s">
        <v>414</v>
      </c>
      <c r="E453" s="225"/>
      <c r="F453" s="364"/>
      <c r="G453" s="225"/>
      <c r="H453" s="332"/>
      <c r="I453" s="220"/>
    </row>
    <row r="454" spans="1:9" s="290" customFormat="1" ht="12.75" hidden="1" customHeight="1" x14ac:dyDescent="0.2">
      <c r="A454" s="223"/>
      <c r="B454" s="424"/>
      <c r="C454" s="425"/>
      <c r="D454" s="259" t="s">
        <v>339</v>
      </c>
      <c r="E454" s="225"/>
      <c r="F454" s="364"/>
      <c r="G454" s="225"/>
      <c r="H454" s="332"/>
    </row>
    <row r="455" spans="1:9" s="290" customFormat="1" ht="12.75" hidden="1" customHeight="1" x14ac:dyDescent="0.2">
      <c r="A455" s="223"/>
      <c r="B455" s="424"/>
      <c r="C455" s="425"/>
      <c r="D455" s="259" t="s">
        <v>338</v>
      </c>
      <c r="E455" s="225"/>
      <c r="F455" s="364"/>
      <c r="G455" s="225"/>
      <c r="H455" s="332"/>
    </row>
    <row r="456" spans="1:9" s="290" customFormat="1" ht="12.75" hidden="1" customHeight="1" x14ac:dyDescent="0.2">
      <c r="A456" s="223"/>
      <c r="B456" s="424"/>
      <c r="C456" s="425"/>
      <c r="D456" s="259" t="s">
        <v>349</v>
      </c>
      <c r="E456" s="225"/>
      <c r="F456" s="364"/>
      <c r="G456" s="225"/>
      <c r="H456" s="332"/>
      <c r="I456" s="212"/>
    </row>
    <row r="457" spans="1:9" s="290" customFormat="1" ht="12.75" hidden="1" customHeight="1" x14ac:dyDescent="0.2">
      <c r="A457" s="223"/>
      <c r="B457" s="224"/>
      <c r="C457" s="244"/>
      <c r="D457" s="259" t="s">
        <v>308</v>
      </c>
      <c r="E457" s="225"/>
      <c r="F457" s="364"/>
      <c r="G457" s="225"/>
      <c r="H457" s="332"/>
      <c r="I457" s="352"/>
    </row>
    <row r="458" spans="1:9" s="290" customFormat="1" ht="12.75" hidden="1" customHeight="1" x14ac:dyDescent="0.2">
      <c r="A458" s="223"/>
      <c r="B458" s="224"/>
      <c r="C458" s="244"/>
      <c r="D458" s="259" t="s">
        <v>404</v>
      </c>
      <c r="E458" s="225"/>
      <c r="F458" s="364"/>
      <c r="G458" s="225"/>
      <c r="H458" s="332"/>
      <c r="I458" s="354"/>
    </row>
    <row r="459" spans="1:9" s="290" customFormat="1" ht="12.75" hidden="1" customHeight="1" x14ac:dyDescent="0.2">
      <c r="A459" s="223"/>
      <c r="B459" s="224"/>
      <c r="C459" s="244"/>
      <c r="D459" s="311" t="s">
        <v>386</v>
      </c>
      <c r="E459" s="225"/>
      <c r="F459" s="364"/>
      <c r="G459" s="225"/>
      <c r="H459" s="332"/>
      <c r="I459" s="352"/>
    </row>
    <row r="460" spans="1:9" s="290" customFormat="1" ht="12.75" hidden="1" customHeight="1" x14ac:dyDescent="0.2">
      <c r="A460" s="256" t="s">
        <v>417</v>
      </c>
      <c r="B460" s="220">
        <v>3385</v>
      </c>
      <c r="C460" s="243" t="s">
        <v>458</v>
      </c>
      <c r="D460" s="308" t="str">
        <f>$D$5</f>
        <v>PY Final FEFP</v>
      </c>
      <c r="E460" s="222">
        <v>0</v>
      </c>
      <c r="F460" s="365"/>
      <c r="G460" s="222">
        <f>SUBTOTAL(109,E460:F461)</f>
        <v>0</v>
      </c>
      <c r="H460" s="332"/>
    </row>
    <row r="461" spans="1:9" s="290" customFormat="1" ht="12.75" hidden="1" customHeight="1" x14ac:dyDescent="0.2">
      <c r="A461" s="219"/>
      <c r="B461" s="220"/>
      <c r="C461" s="243"/>
      <c r="D461" s="258" t="s">
        <v>337</v>
      </c>
      <c r="E461" s="222"/>
      <c r="F461" s="365"/>
      <c r="G461" s="222"/>
      <c r="H461" s="332"/>
    </row>
    <row r="462" spans="1:9" s="290" customFormat="1" ht="12.75" hidden="1" customHeight="1" x14ac:dyDescent="0.2">
      <c r="A462" s="427" t="s">
        <v>417</v>
      </c>
      <c r="B462" s="224">
        <v>3386</v>
      </c>
      <c r="C462" s="244" t="s">
        <v>457</v>
      </c>
      <c r="D462" s="310" t="str">
        <f>$D$5</f>
        <v>PY Final FEFP</v>
      </c>
      <c r="E462" s="225">
        <v>0</v>
      </c>
      <c r="F462" s="364"/>
      <c r="G462" s="225">
        <f>SUBTOTAL(109,E462:F463)</f>
        <v>0</v>
      </c>
      <c r="H462" s="332"/>
    </row>
    <row r="463" spans="1:9" s="290" customFormat="1" ht="12.75" hidden="1" customHeight="1" x14ac:dyDescent="0.2">
      <c r="A463" s="223"/>
      <c r="B463" s="224"/>
      <c r="C463" s="244"/>
      <c r="D463" s="259" t="s">
        <v>337</v>
      </c>
      <c r="E463" s="225"/>
      <c r="F463" s="364"/>
      <c r="G463" s="225"/>
      <c r="H463" s="332"/>
    </row>
    <row r="464" spans="1:9" ht="12.75" customHeight="1" x14ac:dyDescent="0.2">
      <c r="A464" s="216"/>
      <c r="D464" s="314"/>
      <c r="F464" s="366"/>
      <c r="H464" s="333"/>
    </row>
    <row r="465" spans="1:10" ht="12.75" customHeight="1" thickBot="1" x14ac:dyDescent="0.25">
      <c r="B465" s="215"/>
      <c r="C465" s="242"/>
      <c r="D465" s="314" t="s">
        <v>232</v>
      </c>
      <c r="E465" s="227">
        <f>SUBTOTAL(109,E5:E464)</f>
        <v>111427.20000000001</v>
      </c>
      <c r="F465" s="227">
        <f>SUBTOTAL(109,F5:F464)</f>
        <v>0</v>
      </c>
      <c r="G465" s="227">
        <f>ROUND(SUM(G5:G464),2)</f>
        <v>111427.2</v>
      </c>
    </row>
    <row r="466" spans="1:10" ht="12.75" hidden="1" customHeight="1" thickTop="1" x14ac:dyDescent="0.2">
      <c r="B466" s="215"/>
      <c r="C466" s="242"/>
      <c r="G466" s="226">
        <f>ROUND(G465-E465-F465,2)</f>
        <v>0</v>
      </c>
    </row>
    <row r="467" spans="1:10" ht="12.75" hidden="1" customHeight="1" x14ac:dyDescent="0.2">
      <c r="B467" s="215"/>
      <c r="C467" s="242"/>
    </row>
    <row r="468" spans="1:10" ht="12.75" hidden="1" customHeight="1" x14ac:dyDescent="0.2">
      <c r="B468" s="215"/>
      <c r="C468" s="242"/>
    </row>
    <row r="469" spans="1:10" ht="12.75" hidden="1" customHeight="1" x14ac:dyDescent="0.2">
      <c r="B469" s="215"/>
      <c r="C469" s="242"/>
    </row>
    <row r="470" spans="1:10" ht="12.75" customHeight="1" thickTop="1" x14ac:dyDescent="0.2">
      <c r="B470" s="215"/>
      <c r="C470" s="242"/>
    </row>
    <row r="471" spans="1:10" ht="12.75" customHeight="1" x14ac:dyDescent="0.2">
      <c r="B471" s="215"/>
      <c r="C471" s="242"/>
    </row>
    <row r="472" spans="1:10" ht="12.75" customHeight="1" x14ac:dyDescent="0.2">
      <c r="A472" s="300"/>
      <c r="B472" s="215"/>
      <c r="C472" s="271"/>
      <c r="D472" s="300" t="s">
        <v>305</v>
      </c>
      <c r="E472" s="226">
        <f>Consolidated!I132</f>
        <v>111427.20000000001</v>
      </c>
      <c r="G472" s="226">
        <f t="shared" ref="G472:G477" si="0">E472+F472</f>
        <v>111427.20000000001</v>
      </c>
      <c r="J472" s="226"/>
    </row>
    <row r="473" spans="1:10" ht="12.75" customHeight="1" x14ac:dyDescent="0.2">
      <c r="D473" s="221" t="s">
        <v>337</v>
      </c>
      <c r="F473" s="289">
        <f t="shared" ref="F473:F491" si="1">SUM(SUMIF(D$5:D$464,D473,F$5:F$464))</f>
        <v>0</v>
      </c>
      <c r="G473" s="226">
        <f t="shared" si="0"/>
        <v>0</v>
      </c>
      <c r="J473" s="226"/>
    </row>
    <row r="474" spans="1:10" ht="12.75" hidden="1" customHeight="1" x14ac:dyDescent="0.2">
      <c r="D474" s="415" t="s">
        <v>431</v>
      </c>
      <c r="F474" s="289">
        <f t="shared" si="1"/>
        <v>0</v>
      </c>
      <c r="G474" s="226">
        <f t="shared" si="0"/>
        <v>0</v>
      </c>
      <c r="J474" s="226"/>
    </row>
    <row r="475" spans="1:10" ht="12.75" hidden="1" customHeight="1" x14ac:dyDescent="0.2">
      <c r="D475" s="221" t="s">
        <v>415</v>
      </c>
      <c r="F475" s="289">
        <f t="shared" si="1"/>
        <v>0</v>
      </c>
      <c r="G475" s="226">
        <f t="shared" si="0"/>
        <v>0</v>
      </c>
      <c r="J475" s="226"/>
    </row>
    <row r="476" spans="1:10" ht="12.75" hidden="1" customHeight="1" x14ac:dyDescent="0.2">
      <c r="D476" s="221" t="s">
        <v>416</v>
      </c>
      <c r="F476" s="289">
        <f t="shared" si="1"/>
        <v>0</v>
      </c>
      <c r="G476" s="226">
        <f t="shared" si="0"/>
        <v>0</v>
      </c>
      <c r="J476" s="226"/>
    </row>
    <row r="477" spans="1:10" ht="12.75" hidden="1" customHeight="1" x14ac:dyDescent="0.2">
      <c r="D477" s="410" t="s">
        <v>413</v>
      </c>
      <c r="F477" s="289">
        <f t="shared" si="1"/>
        <v>0</v>
      </c>
      <c r="G477" s="226">
        <f t="shared" si="0"/>
        <v>0</v>
      </c>
      <c r="J477" s="226"/>
    </row>
    <row r="478" spans="1:10" ht="12.75" hidden="1" customHeight="1" x14ac:dyDescent="0.2">
      <c r="D478" s="221" t="s">
        <v>339</v>
      </c>
      <c r="F478" s="289">
        <f t="shared" si="1"/>
        <v>0</v>
      </c>
      <c r="G478" s="226">
        <f t="shared" ref="G478:G483" si="2">E478+F478</f>
        <v>0</v>
      </c>
    </row>
    <row r="479" spans="1:10" ht="12.75" hidden="1" customHeight="1" x14ac:dyDescent="0.2">
      <c r="D479" s="221" t="s">
        <v>399</v>
      </c>
      <c r="F479" s="289">
        <f t="shared" si="1"/>
        <v>0</v>
      </c>
      <c r="G479" s="226">
        <f t="shared" si="2"/>
        <v>0</v>
      </c>
    </row>
    <row r="480" spans="1:10" ht="12.75" hidden="1" customHeight="1" x14ac:dyDescent="0.2">
      <c r="D480" s="212" t="s">
        <v>349</v>
      </c>
      <c r="F480" s="289">
        <f t="shared" si="1"/>
        <v>0</v>
      </c>
      <c r="G480" s="226">
        <f t="shared" si="2"/>
        <v>0</v>
      </c>
    </row>
    <row r="481" spans="1:9" s="290" customFormat="1" ht="12.75" hidden="1" customHeight="1" x14ac:dyDescent="0.2">
      <c r="A481" s="219"/>
      <c r="B481" s="220"/>
      <c r="C481" s="243"/>
      <c r="D481" s="221" t="s">
        <v>308</v>
      </c>
      <c r="E481" s="222"/>
      <c r="F481" s="289">
        <f t="shared" si="1"/>
        <v>0</v>
      </c>
      <c r="G481" s="226">
        <f t="shared" si="2"/>
        <v>0</v>
      </c>
      <c r="H481" s="332"/>
      <c r="I481" s="352"/>
    </row>
    <row r="482" spans="1:9" ht="12.75" hidden="1" customHeight="1" x14ac:dyDescent="0.2">
      <c r="D482" s="348" t="s">
        <v>352</v>
      </c>
      <c r="F482" s="289">
        <f t="shared" si="1"/>
        <v>0</v>
      </c>
      <c r="G482" s="226">
        <f t="shared" si="2"/>
        <v>0</v>
      </c>
    </row>
    <row r="483" spans="1:9" ht="12.75" customHeight="1" x14ac:dyDescent="0.2">
      <c r="D483" s="348" t="s">
        <v>343</v>
      </c>
      <c r="F483" s="289">
        <f t="shared" si="1"/>
        <v>0</v>
      </c>
      <c r="G483" s="226">
        <f t="shared" si="2"/>
        <v>0</v>
      </c>
    </row>
    <row r="484" spans="1:9" ht="12.75" customHeight="1" x14ac:dyDescent="0.2">
      <c r="D484" s="212" t="s">
        <v>278</v>
      </c>
      <c r="F484" s="289">
        <f t="shared" si="1"/>
        <v>0</v>
      </c>
      <c r="G484" s="226">
        <f t="shared" ref="G484:G492" si="3">E484+F484</f>
        <v>0</v>
      </c>
    </row>
    <row r="485" spans="1:9" ht="12.75" customHeight="1" x14ac:dyDescent="0.2">
      <c r="D485" s="212" t="s">
        <v>279</v>
      </c>
      <c r="F485" s="289">
        <f t="shared" si="1"/>
        <v>0</v>
      </c>
      <c r="G485" s="226">
        <f t="shared" si="3"/>
        <v>0</v>
      </c>
    </row>
    <row r="486" spans="1:9" ht="12.75" hidden="1" customHeight="1" x14ac:dyDescent="0.2">
      <c r="D486" s="212" t="s">
        <v>280</v>
      </c>
      <c r="F486" s="289">
        <f t="shared" si="1"/>
        <v>0</v>
      </c>
      <c r="G486" s="226">
        <f t="shared" si="3"/>
        <v>0</v>
      </c>
    </row>
    <row r="487" spans="1:9" ht="12.75" customHeight="1" x14ac:dyDescent="0.2">
      <c r="D487" s="212" t="s">
        <v>379</v>
      </c>
      <c r="F487" s="289">
        <f t="shared" si="1"/>
        <v>0</v>
      </c>
      <c r="G487" s="226">
        <f t="shared" si="3"/>
        <v>0</v>
      </c>
    </row>
    <row r="488" spans="1:9" s="290" customFormat="1" ht="12.75" hidden="1" customHeight="1" x14ac:dyDescent="0.2">
      <c r="A488" s="219"/>
      <c r="B488" s="220"/>
      <c r="C488" s="243"/>
      <c r="D488" s="221" t="s">
        <v>350</v>
      </c>
      <c r="E488" s="222"/>
      <c r="F488" s="289">
        <f t="shared" si="1"/>
        <v>0</v>
      </c>
      <c r="G488" s="226">
        <f t="shared" si="3"/>
        <v>0</v>
      </c>
      <c r="H488" s="332"/>
      <c r="I488" s="212"/>
    </row>
    <row r="489" spans="1:9" ht="12.75" hidden="1" customHeight="1" x14ac:dyDescent="0.2">
      <c r="D489" s="271" t="s">
        <v>403</v>
      </c>
      <c r="F489" s="289">
        <f t="shared" si="1"/>
        <v>0</v>
      </c>
      <c r="G489" s="226">
        <f t="shared" si="3"/>
        <v>0</v>
      </c>
    </row>
    <row r="490" spans="1:9" ht="12.75" hidden="1" customHeight="1" x14ac:dyDescent="0.2">
      <c r="D490" s="271" t="s">
        <v>402</v>
      </c>
      <c r="F490" s="289">
        <f t="shared" si="1"/>
        <v>0</v>
      </c>
      <c r="G490" s="226">
        <f t="shared" si="3"/>
        <v>0</v>
      </c>
    </row>
    <row r="491" spans="1:9" ht="12.75" hidden="1" customHeight="1" x14ac:dyDescent="0.2">
      <c r="D491" s="271" t="s">
        <v>404</v>
      </c>
      <c r="F491" s="289">
        <f t="shared" si="1"/>
        <v>0</v>
      </c>
      <c r="G491" s="226">
        <f t="shared" si="3"/>
        <v>0</v>
      </c>
    </row>
    <row r="492" spans="1:9" ht="12.75" customHeight="1" x14ac:dyDescent="0.2">
      <c r="D492" s="221" t="s">
        <v>286</v>
      </c>
      <c r="F492" s="367">
        <f>SUM(SUMIF(D$5:D$464,"*WPB*",F$5:F$464))</f>
        <v>0</v>
      </c>
      <c r="G492" s="226">
        <f t="shared" si="3"/>
        <v>0</v>
      </c>
    </row>
    <row r="493" spans="1:9" ht="12.75" customHeight="1" x14ac:dyDescent="0.2">
      <c r="D493" s="221"/>
      <c r="F493" s="367"/>
      <c r="G493" s="226"/>
    </row>
    <row r="494" spans="1:9" ht="12.75" customHeight="1" thickBot="1" x14ac:dyDescent="0.25">
      <c r="D494" s="317" t="s">
        <v>300</v>
      </c>
      <c r="E494" s="227">
        <f>SUM(E472:E493)</f>
        <v>111427.20000000001</v>
      </c>
      <c r="F494" s="227">
        <f>SUM(F472:F493)</f>
        <v>0</v>
      </c>
      <c r="G494" s="227">
        <f>SUM(G472:G493)</f>
        <v>111427.20000000001</v>
      </c>
    </row>
    <row r="495" spans="1:9" ht="12.75" customHeight="1" thickTop="1" x14ac:dyDescent="0.2">
      <c r="E495" s="226">
        <f>E494-E465</f>
        <v>0</v>
      </c>
      <c r="F495" s="226">
        <f>ROUND(F494-F465,2)</f>
        <v>0</v>
      </c>
      <c r="G495" s="226">
        <f>G494-G465</f>
        <v>0</v>
      </c>
    </row>
    <row r="496" spans="1:9" ht="12.75" customHeight="1" thickBot="1" x14ac:dyDescent="0.25">
      <c r="E496" s="226"/>
      <c r="F496" s="226"/>
      <c r="G496" s="226"/>
      <c r="I496" s="343"/>
    </row>
    <row r="497" spans="3:11" ht="12.75" customHeight="1" thickBot="1" x14ac:dyDescent="0.25">
      <c r="C497" s="438" t="s">
        <v>336</v>
      </c>
      <c r="D497" s="439"/>
      <c r="E497" s="439"/>
      <c r="F497" s="440"/>
      <c r="G497" s="343"/>
      <c r="H497" s="343"/>
      <c r="I497" s="290"/>
    </row>
    <row r="498" spans="3:11" ht="12.75" customHeight="1" x14ac:dyDescent="0.2">
      <c r="C498" s="433" t="s">
        <v>482</v>
      </c>
      <c r="D498" s="434"/>
      <c r="E498" s="434"/>
      <c r="F498" s="435"/>
      <c r="G498" s="343"/>
      <c r="H498" s="343"/>
      <c r="I498" s="290"/>
    </row>
    <row r="499" spans="3:11" ht="12.75" customHeight="1" x14ac:dyDescent="0.2">
      <c r="C499" s="429" t="s">
        <v>483</v>
      </c>
      <c r="D499" s="436"/>
      <c r="E499" s="436"/>
      <c r="F499" s="407"/>
      <c r="G499" s="343"/>
      <c r="H499" s="343"/>
      <c r="I499" s="290"/>
    </row>
    <row r="500" spans="3:11" ht="12.75" customHeight="1" x14ac:dyDescent="0.2">
      <c r="C500" s="432" t="s">
        <v>484</v>
      </c>
      <c r="D500" s="436"/>
      <c r="E500" s="436"/>
      <c r="F500" s="407"/>
      <c r="G500" s="343"/>
      <c r="H500" s="343"/>
      <c r="I500" s="290"/>
    </row>
    <row r="501" spans="3:11" ht="12.75" customHeight="1" x14ac:dyDescent="0.2">
      <c r="C501" s="429"/>
      <c r="D501" s="436"/>
      <c r="E501" s="436"/>
      <c r="F501" s="407"/>
      <c r="G501" s="343"/>
      <c r="H501" s="343"/>
      <c r="I501" s="290"/>
    </row>
    <row r="502" spans="3:11" ht="12.75" customHeight="1" thickBot="1" x14ac:dyDescent="0.25">
      <c r="C502" s="431"/>
      <c r="D502" s="408"/>
      <c r="E502" s="408"/>
      <c r="F502" s="409"/>
      <c r="G502" s="281"/>
      <c r="H502" s="281"/>
    </row>
    <row r="506" spans="3:11" ht="12.75" customHeight="1" x14ac:dyDescent="0.2">
      <c r="K506" s="331"/>
    </row>
    <row r="507" spans="3:11" ht="12.75" customHeight="1" x14ac:dyDescent="0.2">
      <c r="K507" s="331"/>
    </row>
    <row r="513" spans="5:8" ht="12.75" customHeight="1" x14ac:dyDescent="0.2">
      <c r="E513" s="331"/>
      <c r="F513" s="212"/>
      <c r="H513" s="212"/>
    </row>
    <row r="514" spans="5:8" ht="12.75" customHeight="1" x14ac:dyDescent="0.2">
      <c r="E514" s="331"/>
      <c r="F514" s="212"/>
      <c r="H514" s="212"/>
    </row>
  </sheetData>
  <mergeCells count="2">
    <mergeCell ref="F3:G3"/>
    <mergeCell ref="C497:F497"/>
  </mergeCells>
  <conditionalFormatting sqref="A464 A72:A73 A109:A110 A124:A125 A161:A162 A178:A180 A193:A198 A212:A213 A233:A234 A242:A243 A262:A263 A297:A299 A314:A315 A80:A81 A90:A91 A117:A119 A133:A134 A151:A152 A170:A174 A182 A204:A205 A223:A224 A252:A253 A270:A271 A278:A279 A354:A356 A370:A371 A100:A101 A184:A186 A5:A12 A14:A20 A45:A49 A77 A374 A52:A54 A22:A32 A97 A396 A488 A35:A37 A75 A83 A93:A95 A103 A112 A127:A129 A136 A154 A146 A164 A188 A207 A217 A226 A236 A246 A255 A265 A273 A281 A317 A399:A402 A141:A143">
    <cfRule type="cellIs" dxfId="212" priority="307" operator="equal">
      <formula>0</formula>
    </cfRule>
  </conditionalFormatting>
  <conditionalFormatting sqref="A386:A387 A389:A391">
    <cfRule type="cellIs" dxfId="211" priority="303" operator="equal">
      <formula>0</formula>
    </cfRule>
  </conditionalFormatting>
  <conditionalFormatting sqref="H482:H487 H489:H491 H473:H480">
    <cfRule type="cellIs" dxfId="210" priority="301" stopIfTrue="1" operator="notEqual">
      <formula>0</formula>
    </cfRule>
    <cfRule type="cellIs" dxfId="209" priority="302" stopIfTrue="1" operator="equal">
      <formula>0</formula>
    </cfRule>
  </conditionalFormatting>
  <conditionalFormatting sqref="H492:H493">
    <cfRule type="cellIs" dxfId="208" priority="299" stopIfTrue="1" operator="notEqual">
      <formula>0</formula>
    </cfRule>
    <cfRule type="cellIs" dxfId="207" priority="300" stopIfTrue="1" operator="equal">
      <formula>0</formula>
    </cfRule>
  </conditionalFormatting>
  <conditionalFormatting sqref="A38 A41:A43">
    <cfRule type="cellIs" dxfId="206" priority="296" operator="equal">
      <formula>0</formula>
    </cfRule>
  </conditionalFormatting>
  <conditionalFormatting sqref="A55:A56">
    <cfRule type="cellIs" dxfId="205" priority="295" operator="equal">
      <formula>0</formula>
    </cfRule>
  </conditionalFormatting>
  <conditionalFormatting sqref="A120:A121 A84:A85 A104:A105 A137:A138 A87">
    <cfRule type="cellIs" dxfId="204" priority="292" operator="equal">
      <formula>0</formula>
    </cfRule>
  </conditionalFormatting>
  <conditionalFormatting sqref="A228 A208:A209 A189:A190 A177 A155:A156 A256:A257 A160 A261">
    <cfRule type="cellIs" dxfId="203" priority="291" operator="equal">
      <formula>0</formula>
    </cfRule>
  </conditionalFormatting>
  <conditionalFormatting sqref="A319 A300:A301">
    <cfRule type="cellIs" dxfId="202" priority="287" operator="equal">
      <formula>0</formula>
    </cfRule>
  </conditionalFormatting>
  <conditionalFormatting sqref="A357:A358 A282:A283 A274:A275 A375:A376">
    <cfRule type="cellIs" dxfId="201" priority="290" operator="equal">
      <formula>0</formula>
    </cfRule>
  </conditionalFormatting>
  <conditionalFormatting sqref="A165:A166 A147:A148 A132 A113:A114 A76">
    <cfRule type="cellIs" dxfId="200" priority="289" operator="equal">
      <formula>0</formula>
    </cfRule>
  </conditionalFormatting>
  <conditionalFormatting sqref="A266:A267 A247:A248 A237:A238 A181 A199:A200 A218:A219">
    <cfRule type="cellIs" dxfId="199" priority="288" operator="equal">
      <formula>0</formula>
    </cfRule>
  </conditionalFormatting>
  <conditionalFormatting sqref="A360">
    <cfRule type="cellIs" dxfId="198" priority="271" operator="equal">
      <formula>0</formula>
    </cfRule>
  </conditionalFormatting>
  <conditionalFormatting sqref="A424:A425 A427:A429">
    <cfRule type="cellIs" dxfId="197" priority="274" operator="equal">
      <formula>0</formula>
    </cfRule>
  </conditionalFormatting>
  <conditionalFormatting sqref="A269">
    <cfRule type="cellIs" dxfId="196" priority="273" operator="equal">
      <formula>0</formula>
    </cfRule>
  </conditionalFormatting>
  <conditionalFormatting sqref="A286">
    <cfRule type="cellIs" dxfId="195" priority="272" operator="equal">
      <formula>0</formula>
    </cfRule>
  </conditionalFormatting>
  <conditionalFormatting sqref="A116">
    <cfRule type="cellIs" dxfId="194" priority="262" operator="equal">
      <formula>0</formula>
    </cfRule>
  </conditionalFormatting>
  <conditionalFormatting sqref="A66:A67">
    <cfRule type="cellIs" dxfId="193" priority="263" operator="equal">
      <formula>0</formula>
    </cfRule>
  </conditionalFormatting>
  <conditionalFormatting sqref="A405:A406 A408:A410">
    <cfRule type="cellIs" dxfId="192" priority="265" operator="equal">
      <formula>0</formula>
    </cfRule>
  </conditionalFormatting>
  <conditionalFormatting sqref="A60:A61 A63:A65">
    <cfRule type="cellIs" dxfId="191" priority="264" operator="equal">
      <formula>0</formula>
    </cfRule>
  </conditionalFormatting>
  <conditionalFormatting sqref="A277">
    <cfRule type="cellIs" dxfId="190" priority="254" operator="equal">
      <formula>0</formula>
    </cfRule>
  </conditionalFormatting>
  <conditionalFormatting sqref="A169">
    <cfRule type="cellIs" dxfId="189" priority="252" operator="equal">
      <formula>0</formula>
    </cfRule>
  </conditionalFormatting>
  <conditionalFormatting sqref="A232">
    <cfRule type="cellIs" dxfId="188" priority="251" operator="equal">
      <formula>0</formula>
    </cfRule>
  </conditionalFormatting>
  <conditionalFormatting sqref="A89">
    <cfRule type="cellIs" dxfId="187" priority="253" operator="equal">
      <formula>0</formula>
    </cfRule>
  </conditionalFormatting>
  <conditionalFormatting sqref="A99">
    <cfRule type="cellIs" dxfId="186" priority="248" operator="equal">
      <formula>0</formula>
    </cfRule>
  </conditionalFormatting>
  <conditionalFormatting sqref="A57">
    <cfRule type="cellIs" dxfId="185" priority="245" operator="equal">
      <formula>0</formula>
    </cfRule>
  </conditionalFormatting>
  <conditionalFormatting sqref="A241">
    <cfRule type="cellIs" dxfId="184" priority="237" operator="equal">
      <formula>0</formula>
    </cfRule>
  </conditionalFormatting>
  <conditionalFormatting sqref="A230">
    <cfRule type="cellIs" dxfId="183" priority="239" operator="equal">
      <formula>0</formula>
    </cfRule>
  </conditionalFormatting>
  <conditionalFormatting sqref="A414">
    <cfRule type="cellIs" dxfId="182" priority="226" operator="equal">
      <formula>0</formula>
    </cfRule>
  </conditionalFormatting>
  <conditionalFormatting sqref="A322">
    <cfRule type="cellIs" dxfId="181" priority="227" operator="equal">
      <formula>0</formula>
    </cfRule>
  </conditionalFormatting>
  <conditionalFormatting sqref="A44">
    <cfRule type="cellIs" dxfId="180" priority="224" operator="equal">
      <formula>0</formula>
    </cfRule>
  </conditionalFormatting>
  <conditionalFormatting sqref="A21">
    <cfRule type="cellIs" dxfId="179" priority="225" operator="equal">
      <formula>0</formula>
    </cfRule>
  </conditionalFormatting>
  <conditionalFormatting sqref="A59">
    <cfRule type="cellIs" dxfId="178" priority="223" operator="equal">
      <formula>0</formula>
    </cfRule>
  </conditionalFormatting>
  <conditionalFormatting sqref="A96">
    <cfRule type="cellIs" dxfId="177" priority="219" operator="equal">
      <formula>0</formula>
    </cfRule>
  </conditionalFormatting>
  <conditionalFormatting sqref="A71">
    <cfRule type="cellIs" dxfId="176" priority="222" operator="equal">
      <formula>0</formula>
    </cfRule>
  </conditionalFormatting>
  <conditionalFormatting sqref="A79">
    <cfRule type="cellIs" dxfId="175" priority="221" operator="equal">
      <formula>0</formula>
    </cfRule>
  </conditionalFormatting>
  <conditionalFormatting sqref="A115">
    <cfRule type="cellIs" dxfId="174" priority="217" operator="equal">
      <formula>0</formula>
    </cfRule>
  </conditionalFormatting>
  <conditionalFormatting sqref="A108">
    <cfRule type="cellIs" dxfId="173" priority="218" operator="equal">
      <formula>0</formula>
    </cfRule>
  </conditionalFormatting>
  <conditionalFormatting sqref="A86">
    <cfRule type="cellIs" dxfId="172" priority="220" operator="equal">
      <formula>0</formula>
    </cfRule>
  </conditionalFormatting>
  <conditionalFormatting sqref="A139">
    <cfRule type="cellIs" dxfId="171" priority="214" operator="equal">
      <formula>0</formula>
    </cfRule>
  </conditionalFormatting>
  <conditionalFormatting sqref="A123">
    <cfRule type="cellIs" dxfId="170" priority="216" operator="equal">
      <formula>0</formula>
    </cfRule>
  </conditionalFormatting>
  <conditionalFormatting sqref="A130">
    <cfRule type="cellIs" dxfId="169" priority="215" operator="equal">
      <formula>0</formula>
    </cfRule>
  </conditionalFormatting>
  <conditionalFormatting sqref="A167">
    <cfRule type="cellIs" dxfId="168" priority="209" operator="equal">
      <formula>0</formula>
    </cfRule>
  </conditionalFormatting>
  <conditionalFormatting sqref="A183">
    <cfRule type="cellIs" dxfId="167" priority="207" operator="equal">
      <formula>0</formula>
    </cfRule>
  </conditionalFormatting>
  <conditionalFormatting sqref="A157">
    <cfRule type="cellIs" dxfId="166" priority="210" operator="equal">
      <formula>0</formula>
    </cfRule>
  </conditionalFormatting>
  <conditionalFormatting sqref="A150">
    <cfRule type="cellIs" dxfId="165" priority="211" operator="equal">
      <formula>0</formula>
    </cfRule>
  </conditionalFormatting>
  <conditionalFormatting sqref="A211">
    <cfRule type="cellIs" dxfId="164" priority="204" operator="equal">
      <formula>0</formula>
    </cfRule>
  </conditionalFormatting>
  <conditionalFormatting sqref="A175">
    <cfRule type="cellIs" dxfId="163" priority="208" operator="equal">
      <formula>0</formula>
    </cfRule>
  </conditionalFormatting>
  <conditionalFormatting sqref="A192">
    <cfRule type="cellIs" dxfId="162" priority="206" operator="equal">
      <formula>0</formula>
    </cfRule>
  </conditionalFormatting>
  <conditionalFormatting sqref="A203">
    <cfRule type="cellIs" dxfId="161" priority="205" operator="equal">
      <formula>0</formula>
    </cfRule>
  </conditionalFormatting>
  <conditionalFormatting sqref="A222">
    <cfRule type="cellIs" dxfId="160" priority="203" operator="equal">
      <formula>0</formula>
    </cfRule>
  </conditionalFormatting>
  <conditionalFormatting sqref="A229">
    <cfRule type="cellIs" dxfId="159" priority="202" operator="equal">
      <formula>0</formula>
    </cfRule>
  </conditionalFormatting>
  <conditionalFormatting sqref="A239">
    <cfRule type="cellIs" dxfId="158" priority="201" operator="equal">
      <formula>0</formula>
    </cfRule>
  </conditionalFormatting>
  <conditionalFormatting sqref="A251">
    <cfRule type="cellIs" dxfId="157" priority="200" operator="equal">
      <formula>0</formula>
    </cfRule>
  </conditionalFormatting>
  <conditionalFormatting sqref="A258:A259">
    <cfRule type="cellIs" dxfId="156" priority="199" operator="equal">
      <formula>0</formula>
    </cfRule>
  </conditionalFormatting>
  <conditionalFormatting sqref="A268">
    <cfRule type="cellIs" dxfId="155" priority="198" operator="equal">
      <formula>0</formula>
    </cfRule>
  </conditionalFormatting>
  <conditionalFormatting sqref="A276">
    <cfRule type="cellIs" dxfId="154" priority="197" operator="equal">
      <formula>0</formula>
    </cfRule>
  </conditionalFormatting>
  <conditionalFormatting sqref="A481">
    <cfRule type="cellIs" dxfId="153" priority="178" operator="equal">
      <formula>0</formula>
    </cfRule>
  </conditionalFormatting>
  <conditionalFormatting sqref="A284">
    <cfRule type="cellIs" dxfId="152" priority="195" operator="equal">
      <formula>0</formula>
    </cfRule>
  </conditionalFormatting>
  <conditionalFormatting sqref="A304">
    <cfRule type="cellIs" dxfId="151" priority="173" operator="equal">
      <formula>0</formula>
    </cfRule>
  </conditionalFormatting>
  <conditionalFormatting sqref="A302">
    <cfRule type="cellIs" dxfId="150" priority="193" operator="equal">
      <formula>0</formula>
    </cfRule>
  </conditionalFormatting>
  <conditionalFormatting sqref="A411">
    <cfRule type="cellIs" dxfId="149" priority="181" operator="equal">
      <formula>0</formula>
    </cfRule>
  </conditionalFormatting>
  <conditionalFormatting sqref="A320">
    <cfRule type="cellIs" dxfId="148" priority="191" operator="equal">
      <formula>0</formula>
    </cfRule>
  </conditionalFormatting>
  <conditionalFormatting sqref="A394">
    <cfRule type="cellIs" dxfId="147" priority="183" operator="equal">
      <formula>0</formula>
    </cfRule>
  </conditionalFormatting>
  <conditionalFormatting sqref="A359">
    <cfRule type="cellIs" dxfId="146" priority="188" operator="equal">
      <formula>0</formula>
    </cfRule>
  </conditionalFormatting>
  <conditionalFormatting sqref="A431">
    <cfRule type="cellIs" dxfId="145" priority="179" operator="equal">
      <formula>0</formula>
    </cfRule>
  </conditionalFormatting>
  <conditionalFormatting sqref="A378">
    <cfRule type="cellIs" dxfId="144" priority="186" operator="equal">
      <formula>0</formula>
    </cfRule>
  </conditionalFormatting>
  <conditionalFormatting sqref="A333:A334 A337">
    <cfRule type="cellIs" dxfId="143" priority="172" operator="equal">
      <formula>0</formula>
    </cfRule>
  </conditionalFormatting>
  <conditionalFormatting sqref="A340">
    <cfRule type="cellIs" dxfId="142" priority="168" operator="equal">
      <formula>0</formula>
    </cfRule>
  </conditionalFormatting>
  <conditionalFormatting sqref="A338:A339">
    <cfRule type="cellIs" dxfId="141" priority="171" operator="equal">
      <formula>0</formula>
    </cfRule>
  </conditionalFormatting>
  <conditionalFormatting sqref="A342">
    <cfRule type="cellIs" dxfId="140" priority="170" operator="equal">
      <formula>0</formula>
    </cfRule>
  </conditionalFormatting>
  <conditionalFormatting sqref="A442:A443 A445:A447">
    <cfRule type="cellIs" dxfId="139" priority="162" operator="equal">
      <formula>0</formula>
    </cfRule>
  </conditionalFormatting>
  <conditionalFormatting sqref="A448">
    <cfRule type="cellIs" dxfId="138" priority="161" operator="equal">
      <formula>0</formula>
    </cfRule>
  </conditionalFormatting>
  <conditionalFormatting sqref="A88">
    <cfRule type="cellIs" dxfId="137" priority="154" operator="equal">
      <formula>0</formula>
    </cfRule>
  </conditionalFormatting>
  <conditionalFormatting sqref="A106">
    <cfRule type="cellIs" dxfId="136" priority="153" operator="equal">
      <formula>0</formula>
    </cfRule>
  </conditionalFormatting>
  <conditionalFormatting sqref="A377">
    <cfRule type="cellIs" dxfId="135" priority="149" operator="equal">
      <formula>0</formula>
    </cfRule>
  </conditionalFormatting>
  <conditionalFormatting sqref="A140">
    <cfRule type="cellIs" dxfId="134" priority="147" operator="equal">
      <formula>0</formula>
    </cfRule>
  </conditionalFormatting>
  <conditionalFormatting sqref="A13">
    <cfRule type="cellIs" dxfId="133" priority="144" operator="equal">
      <formula>0</formula>
    </cfRule>
  </conditionalFormatting>
  <conditionalFormatting sqref="A69">
    <cfRule type="cellIs" dxfId="132" priority="142" operator="equal">
      <formula>0</formula>
    </cfRule>
  </conditionalFormatting>
  <conditionalFormatting sqref="A58">
    <cfRule type="cellIs" dxfId="131" priority="143" operator="equal">
      <formula>0</formula>
    </cfRule>
  </conditionalFormatting>
  <conditionalFormatting sqref="A149">
    <cfRule type="cellIs" dxfId="130" priority="138" operator="equal">
      <formula>0</formula>
    </cfRule>
  </conditionalFormatting>
  <conditionalFormatting sqref="A68">
    <cfRule type="cellIs" dxfId="129" priority="145" operator="equal">
      <formula>0</formula>
    </cfRule>
  </conditionalFormatting>
  <conditionalFormatting sqref="A191">
    <cfRule type="cellIs" dxfId="128" priority="137" operator="equal">
      <formula>0</formula>
    </cfRule>
  </conditionalFormatting>
  <conditionalFormatting sqref="A122">
    <cfRule type="cellIs" dxfId="127" priority="139" operator="equal">
      <formula>0</formula>
    </cfRule>
  </conditionalFormatting>
  <conditionalFormatting sqref="A107">
    <cfRule type="cellIs" dxfId="126" priority="140" operator="equal">
      <formula>0</formula>
    </cfRule>
  </conditionalFormatting>
  <conditionalFormatting sqref="A210">
    <cfRule type="cellIs" dxfId="125" priority="135" operator="equal">
      <formula>0</formula>
    </cfRule>
  </conditionalFormatting>
  <conditionalFormatting sqref="A220">
    <cfRule type="cellIs" dxfId="124" priority="134" operator="equal">
      <formula>0</formula>
    </cfRule>
  </conditionalFormatting>
  <conditionalFormatting sqref="A78">
    <cfRule type="cellIs" dxfId="123" priority="141" operator="equal">
      <formula>0</formula>
    </cfRule>
  </conditionalFormatting>
  <conditionalFormatting sqref="A201">
    <cfRule type="cellIs" dxfId="122" priority="136" operator="equal">
      <formula>0</formula>
    </cfRule>
  </conditionalFormatting>
  <conditionalFormatting sqref="A303">
    <cfRule type="cellIs" dxfId="121" priority="129" operator="equal">
      <formula>0</formula>
    </cfRule>
  </conditionalFormatting>
  <conditionalFormatting sqref="A240">
    <cfRule type="cellIs" dxfId="120" priority="133" operator="equal">
      <formula>0</formula>
    </cfRule>
  </conditionalFormatting>
  <conditionalFormatting sqref="A249">
    <cfRule type="cellIs" dxfId="119" priority="132" operator="equal">
      <formula>0</formula>
    </cfRule>
  </conditionalFormatting>
  <conditionalFormatting sqref="A430">
    <cfRule type="cellIs" dxfId="118" priority="121" operator="equal">
      <formula>0</formula>
    </cfRule>
  </conditionalFormatting>
  <conditionalFormatting sqref="A373">
    <cfRule type="cellIs" dxfId="117" priority="114" operator="equal">
      <formula>0</formula>
    </cfRule>
  </conditionalFormatting>
  <conditionalFormatting sqref="A227">
    <cfRule type="cellIs" dxfId="116" priority="110" operator="equal">
      <formula>0</formula>
    </cfRule>
  </conditionalFormatting>
  <conditionalFormatting sqref="A392">
    <cfRule type="cellIs" dxfId="115" priority="124" operator="equal">
      <formula>0</formula>
    </cfRule>
  </conditionalFormatting>
  <conditionalFormatting sqref="A318">
    <cfRule type="cellIs" dxfId="114" priority="109" operator="equal">
      <formula>0</formula>
    </cfRule>
  </conditionalFormatting>
  <conditionalFormatting sqref="A323">
    <cfRule type="cellIs" dxfId="113" priority="105" operator="equal">
      <formula>0</formula>
    </cfRule>
  </conditionalFormatting>
  <conditionalFormatting sqref="A450">
    <cfRule type="cellIs" dxfId="112" priority="119" operator="equal">
      <formula>0</formula>
    </cfRule>
  </conditionalFormatting>
  <conditionalFormatting sqref="A343">
    <cfRule type="cellIs" dxfId="111" priority="104" operator="equal">
      <formula>0</formula>
    </cfRule>
  </conditionalFormatting>
  <conditionalFormatting sqref="A415">
    <cfRule type="cellIs" dxfId="110" priority="100" operator="equal">
      <formula>0</formula>
    </cfRule>
  </conditionalFormatting>
  <conditionalFormatting sqref="A344 A353 A347:A351">
    <cfRule type="cellIs" dxfId="109" priority="95" operator="equal">
      <formula>0</formula>
    </cfRule>
  </conditionalFormatting>
  <conditionalFormatting sqref="A432">
    <cfRule type="cellIs" dxfId="108" priority="99" operator="equal">
      <formula>0</formula>
    </cfRule>
  </conditionalFormatting>
  <conditionalFormatting sqref="A362:A367 A369">
    <cfRule type="cellIs" dxfId="107" priority="94" operator="equal">
      <formula>0</formula>
    </cfRule>
  </conditionalFormatting>
  <conditionalFormatting sqref="A287">
    <cfRule type="cellIs" dxfId="106" priority="107" operator="equal">
      <formula>0</formula>
    </cfRule>
  </conditionalFormatting>
  <conditionalFormatting sqref="A305">
    <cfRule type="cellIs" dxfId="105" priority="106" operator="equal">
      <formula>0</formula>
    </cfRule>
  </conditionalFormatting>
  <conditionalFormatting sqref="A361">
    <cfRule type="cellIs" dxfId="104" priority="103" operator="equal">
      <formula>0</formula>
    </cfRule>
  </conditionalFormatting>
  <conditionalFormatting sqref="A433 A441 A436:A439">
    <cfRule type="cellIs" dxfId="103" priority="90" operator="equal">
      <formula>0</formula>
    </cfRule>
  </conditionalFormatting>
  <conditionalFormatting sqref="A168">
    <cfRule type="cellIs" dxfId="102" priority="87" operator="equal">
      <formula>0</formula>
    </cfRule>
  </conditionalFormatting>
  <conditionalFormatting sqref="A395">
    <cfRule type="cellIs" dxfId="101" priority="101" operator="equal">
      <formula>0</formula>
    </cfRule>
  </conditionalFormatting>
  <conditionalFormatting sqref="A288 A296 A290:A293">
    <cfRule type="cellIs" dxfId="100" priority="98" operator="equal">
      <formula>0</formula>
    </cfRule>
  </conditionalFormatting>
  <conditionalFormatting sqref="A380:A385">
    <cfRule type="cellIs" dxfId="99" priority="93" operator="equal">
      <formula>0</formula>
    </cfRule>
  </conditionalFormatting>
  <conditionalFormatting sqref="A379">
    <cfRule type="cellIs" dxfId="98" priority="102" operator="equal">
      <formula>0</formula>
    </cfRule>
  </conditionalFormatting>
  <conditionalFormatting sqref="A324 A332 A327:A330">
    <cfRule type="cellIs" dxfId="97" priority="96" operator="equal">
      <formula>0</formula>
    </cfRule>
  </conditionalFormatting>
  <conditionalFormatting sqref="A306 A313 A308:A311">
    <cfRule type="cellIs" dxfId="96" priority="97" operator="equal">
      <formula>0</formula>
    </cfRule>
  </conditionalFormatting>
  <conditionalFormatting sqref="A404">
    <cfRule type="cellIs" dxfId="95" priority="92" operator="equal">
      <formula>0</formula>
    </cfRule>
  </conditionalFormatting>
  <conditionalFormatting sqref="A416 A423 A418:A421">
    <cfRule type="cellIs" dxfId="94" priority="91" operator="equal">
      <formula>0</formula>
    </cfRule>
  </conditionalFormatting>
  <conditionalFormatting sqref="A158:A159">
    <cfRule type="cellIs" dxfId="93" priority="88" operator="equal">
      <formula>0</formula>
    </cfRule>
  </conditionalFormatting>
  <conditionalFormatting sqref="A176">
    <cfRule type="cellIs" dxfId="92" priority="86" operator="equal">
      <formula>0</formula>
    </cfRule>
  </conditionalFormatting>
  <conditionalFormatting sqref="A368">
    <cfRule type="cellIs" dxfId="91" priority="83" operator="equal">
      <formula>0</formula>
    </cfRule>
  </conditionalFormatting>
  <conditionalFormatting sqref="A131">
    <cfRule type="cellIs" dxfId="90" priority="89" operator="equal">
      <formula>0</formula>
    </cfRule>
  </conditionalFormatting>
  <conditionalFormatting sqref="A50">
    <cfRule type="cellIs" dxfId="89" priority="82" operator="equal">
      <formula>0</formula>
    </cfRule>
  </conditionalFormatting>
  <conditionalFormatting sqref="A321">
    <cfRule type="cellIs" dxfId="88" priority="85" operator="equal">
      <formula>0</formula>
    </cfRule>
  </conditionalFormatting>
  <conditionalFormatting sqref="A294">
    <cfRule type="cellIs" dxfId="87" priority="84" operator="equal">
      <formula>0</formula>
    </cfRule>
  </conditionalFormatting>
  <conditionalFormatting sqref="A70">
    <cfRule type="cellIs" dxfId="86" priority="81" operator="equal">
      <formula>0</formula>
    </cfRule>
  </conditionalFormatting>
  <conditionalFormatting sqref="A221">
    <cfRule type="cellIs" dxfId="85" priority="79" operator="equal">
      <formula>0</formula>
    </cfRule>
  </conditionalFormatting>
  <conditionalFormatting sqref="A231">
    <cfRule type="cellIs" dxfId="84" priority="78" operator="equal">
      <formula>0</formula>
    </cfRule>
  </conditionalFormatting>
  <conditionalFormatting sqref="A285">
    <cfRule type="cellIs" dxfId="83" priority="74" operator="equal">
      <formula>0</formula>
    </cfRule>
  </conditionalFormatting>
  <conditionalFormatting sqref="A202">
    <cfRule type="cellIs" dxfId="82" priority="80" operator="equal">
      <formula>0</formula>
    </cfRule>
  </conditionalFormatting>
  <conditionalFormatting sqref="A341">
    <cfRule type="cellIs" dxfId="81" priority="69" operator="equal">
      <formula>0</formula>
    </cfRule>
  </conditionalFormatting>
  <conditionalFormatting sqref="A412">
    <cfRule type="cellIs" dxfId="80" priority="64" operator="equal">
      <formula>0</formula>
    </cfRule>
  </conditionalFormatting>
  <conditionalFormatting sqref="A250">
    <cfRule type="cellIs" dxfId="79" priority="77" operator="equal">
      <formula>0</formula>
    </cfRule>
  </conditionalFormatting>
  <conditionalFormatting sqref="A422">
    <cfRule type="cellIs" dxfId="78" priority="63" operator="equal">
      <formula>0</formula>
    </cfRule>
  </conditionalFormatting>
  <conditionalFormatting sqref="A260">
    <cfRule type="cellIs" dxfId="77" priority="75" operator="equal">
      <formula>0</formula>
    </cfRule>
  </conditionalFormatting>
  <conditionalFormatting sqref="A295">
    <cfRule type="cellIs" dxfId="76" priority="72" operator="equal">
      <formula>0</formula>
    </cfRule>
  </conditionalFormatting>
  <conditionalFormatting sqref="A312">
    <cfRule type="cellIs" dxfId="75" priority="71" operator="equal">
      <formula>0</formula>
    </cfRule>
  </conditionalFormatting>
  <conditionalFormatting sqref="A331">
    <cfRule type="cellIs" dxfId="74" priority="70" operator="equal">
      <formula>0</formula>
    </cfRule>
  </conditionalFormatting>
  <conditionalFormatting sqref="A352">
    <cfRule type="cellIs" dxfId="73" priority="68" operator="equal">
      <formula>0</formula>
    </cfRule>
  </conditionalFormatting>
  <conditionalFormatting sqref="A393">
    <cfRule type="cellIs" dxfId="72" priority="67" operator="equal">
      <formula>0</formula>
    </cfRule>
  </conditionalFormatting>
  <conditionalFormatting sqref="A403">
    <cfRule type="cellIs" dxfId="71" priority="65" operator="equal">
      <formula>0</formula>
    </cfRule>
  </conditionalFormatting>
  <conditionalFormatting sqref="A440">
    <cfRule type="cellIs" dxfId="70" priority="62" operator="equal">
      <formula>0</formula>
    </cfRule>
  </conditionalFormatting>
  <conditionalFormatting sqref="A449">
    <cfRule type="cellIs" dxfId="69" priority="61" operator="equal">
      <formula>0</formula>
    </cfRule>
  </conditionalFormatting>
  <conditionalFormatting sqref="A33">
    <cfRule type="cellIs" dxfId="68" priority="60" operator="equal">
      <formula>0</formula>
    </cfRule>
  </conditionalFormatting>
  <conditionalFormatting sqref="A39">
    <cfRule type="cellIs" dxfId="67" priority="59" operator="equal">
      <formula>0</formula>
    </cfRule>
  </conditionalFormatting>
  <conditionalFormatting sqref="A40">
    <cfRule type="cellIs" dxfId="66" priority="58" operator="equal">
      <formula>0</formula>
    </cfRule>
  </conditionalFormatting>
  <conditionalFormatting sqref="A74">
    <cfRule type="cellIs" dxfId="65" priority="57" operator="equal">
      <formula>0</formula>
    </cfRule>
  </conditionalFormatting>
  <conditionalFormatting sqref="A82">
    <cfRule type="cellIs" dxfId="64" priority="56" operator="equal">
      <formula>0</formula>
    </cfRule>
  </conditionalFormatting>
  <conditionalFormatting sqref="A92">
    <cfRule type="cellIs" dxfId="63" priority="55" operator="equal">
      <formula>0</formula>
    </cfRule>
  </conditionalFormatting>
  <conditionalFormatting sqref="A102">
    <cfRule type="cellIs" dxfId="62" priority="54" operator="equal">
      <formula>0</formula>
    </cfRule>
  </conditionalFormatting>
  <conditionalFormatting sqref="A111">
    <cfRule type="cellIs" dxfId="61" priority="53" operator="equal">
      <formula>0</formula>
    </cfRule>
  </conditionalFormatting>
  <conditionalFormatting sqref="A126">
    <cfRule type="cellIs" dxfId="60" priority="52" operator="equal">
      <formula>0</formula>
    </cfRule>
  </conditionalFormatting>
  <conditionalFormatting sqref="A135">
    <cfRule type="cellIs" dxfId="59" priority="51" operator="equal">
      <formula>0</formula>
    </cfRule>
  </conditionalFormatting>
  <conditionalFormatting sqref="A153">
    <cfRule type="cellIs" dxfId="58" priority="49" operator="equal">
      <formula>0</formula>
    </cfRule>
  </conditionalFormatting>
  <conditionalFormatting sqref="A145">
    <cfRule type="cellIs" dxfId="57" priority="47" operator="equal">
      <formula>0</formula>
    </cfRule>
  </conditionalFormatting>
  <conditionalFormatting sqref="A144">
    <cfRule type="cellIs" dxfId="56" priority="46" operator="equal">
      <formula>0</formula>
    </cfRule>
  </conditionalFormatting>
  <conditionalFormatting sqref="A163">
    <cfRule type="cellIs" dxfId="55" priority="45" operator="equal">
      <formula>0</formula>
    </cfRule>
  </conditionalFormatting>
  <conditionalFormatting sqref="A187">
    <cfRule type="cellIs" dxfId="54" priority="44" operator="equal">
      <formula>0</formula>
    </cfRule>
  </conditionalFormatting>
  <conditionalFormatting sqref="A206">
    <cfRule type="cellIs" dxfId="53" priority="43" operator="equal">
      <formula>0</formula>
    </cfRule>
  </conditionalFormatting>
  <conditionalFormatting sqref="A214:A216">
    <cfRule type="cellIs" dxfId="52" priority="42" operator="equal">
      <formula>0</formula>
    </cfRule>
  </conditionalFormatting>
  <conditionalFormatting sqref="A225">
    <cfRule type="cellIs" dxfId="51" priority="41" operator="equal">
      <formula>0</formula>
    </cfRule>
  </conditionalFormatting>
  <conditionalFormatting sqref="A235">
    <cfRule type="cellIs" dxfId="50" priority="40" operator="equal">
      <formula>0</formula>
    </cfRule>
  </conditionalFormatting>
  <conditionalFormatting sqref="A244">
    <cfRule type="cellIs" dxfId="49" priority="39" operator="equal">
      <formula>0</formula>
    </cfRule>
  </conditionalFormatting>
  <conditionalFormatting sqref="A245">
    <cfRule type="cellIs" dxfId="48" priority="38" operator="equal">
      <formula>0</formula>
    </cfRule>
  </conditionalFormatting>
  <conditionalFormatting sqref="A254">
    <cfRule type="cellIs" dxfId="47" priority="37" operator="equal">
      <formula>0</formula>
    </cfRule>
  </conditionalFormatting>
  <conditionalFormatting sqref="A272">
    <cfRule type="cellIs" dxfId="46" priority="35" operator="equal">
      <formula>0</formula>
    </cfRule>
  </conditionalFormatting>
  <conditionalFormatting sqref="A264">
    <cfRule type="cellIs" dxfId="45" priority="36" operator="equal">
      <formula>0</formula>
    </cfRule>
  </conditionalFormatting>
  <conditionalFormatting sqref="A460:A461">
    <cfRule type="cellIs" dxfId="44" priority="34" operator="equal">
      <formula>0</formula>
    </cfRule>
  </conditionalFormatting>
  <conditionalFormatting sqref="A280">
    <cfRule type="cellIs" dxfId="43" priority="32" operator="equal">
      <formula>0</formula>
    </cfRule>
  </conditionalFormatting>
  <conditionalFormatting sqref="A289">
    <cfRule type="cellIs" dxfId="42" priority="31" operator="equal">
      <formula>0</formula>
    </cfRule>
  </conditionalFormatting>
  <conditionalFormatting sqref="A307">
    <cfRule type="cellIs" dxfId="41" priority="30" operator="equal">
      <formula>0</formula>
    </cfRule>
  </conditionalFormatting>
  <conditionalFormatting sqref="A316">
    <cfRule type="cellIs" dxfId="40" priority="29" operator="equal">
      <formula>0</formula>
    </cfRule>
  </conditionalFormatting>
  <conditionalFormatting sqref="A325">
    <cfRule type="cellIs" dxfId="39" priority="26" operator="equal">
      <formula>0</formula>
    </cfRule>
  </conditionalFormatting>
  <conditionalFormatting sqref="A335">
    <cfRule type="cellIs" dxfId="38" priority="24" operator="equal">
      <formula>0</formula>
    </cfRule>
  </conditionalFormatting>
  <conditionalFormatting sqref="A326">
    <cfRule type="cellIs" dxfId="37" priority="27" operator="equal">
      <formula>0</formula>
    </cfRule>
  </conditionalFormatting>
  <conditionalFormatting sqref="A346">
    <cfRule type="cellIs" dxfId="36" priority="23" operator="equal">
      <formula>0</formula>
    </cfRule>
  </conditionalFormatting>
  <conditionalFormatting sqref="A345">
    <cfRule type="cellIs" dxfId="35" priority="22" operator="equal">
      <formula>0</formula>
    </cfRule>
  </conditionalFormatting>
  <conditionalFormatting sqref="A336">
    <cfRule type="cellIs" dxfId="34" priority="25" operator="equal">
      <formula>0</formula>
    </cfRule>
  </conditionalFormatting>
  <conditionalFormatting sqref="A388">
    <cfRule type="cellIs" dxfId="33" priority="20" operator="equal">
      <formula>0</formula>
    </cfRule>
  </conditionalFormatting>
  <conditionalFormatting sqref="A372">
    <cfRule type="cellIs" dxfId="32" priority="21" operator="equal">
      <formula>0</formula>
    </cfRule>
  </conditionalFormatting>
  <conditionalFormatting sqref="A398">
    <cfRule type="cellIs" dxfId="31" priority="19" operator="equal">
      <formula>0</formula>
    </cfRule>
  </conditionalFormatting>
  <conditionalFormatting sqref="A397">
    <cfRule type="cellIs" dxfId="30" priority="18" operator="equal">
      <formula>0</formula>
    </cfRule>
  </conditionalFormatting>
  <conditionalFormatting sqref="A407">
    <cfRule type="cellIs" dxfId="29" priority="17" operator="equal">
      <formula>0</formula>
    </cfRule>
  </conditionalFormatting>
  <conditionalFormatting sqref="A426">
    <cfRule type="cellIs" dxfId="28" priority="15" operator="equal">
      <formula>0</formula>
    </cfRule>
  </conditionalFormatting>
  <conditionalFormatting sqref="A435">
    <cfRule type="cellIs" dxfId="27" priority="14" operator="equal">
      <formula>0</formula>
    </cfRule>
  </conditionalFormatting>
  <conditionalFormatting sqref="A417">
    <cfRule type="cellIs" dxfId="26" priority="16" operator="equal">
      <formula>0</formula>
    </cfRule>
  </conditionalFormatting>
  <conditionalFormatting sqref="A434">
    <cfRule type="cellIs" dxfId="25" priority="13" operator="equal">
      <formula>0</formula>
    </cfRule>
  </conditionalFormatting>
  <conditionalFormatting sqref="A444">
    <cfRule type="cellIs" dxfId="24" priority="12" operator="equal">
      <formula>0</formula>
    </cfRule>
  </conditionalFormatting>
  <conditionalFormatting sqref="A62">
    <cfRule type="cellIs" dxfId="23" priority="11" operator="equal">
      <formula>0</formula>
    </cfRule>
  </conditionalFormatting>
  <conditionalFormatting sqref="A34">
    <cfRule type="cellIs" dxfId="22" priority="10" operator="equal">
      <formula>0</formula>
    </cfRule>
  </conditionalFormatting>
  <conditionalFormatting sqref="A413">
    <cfRule type="cellIs" dxfId="21" priority="9" operator="equal">
      <formula>0</formula>
    </cfRule>
  </conditionalFormatting>
  <conditionalFormatting sqref="A451:A452 A454:A456">
    <cfRule type="cellIs" dxfId="20" priority="8" operator="equal">
      <formula>0</formula>
    </cfRule>
  </conditionalFormatting>
  <conditionalFormatting sqref="A457">
    <cfRule type="cellIs" dxfId="19" priority="7" operator="equal">
      <formula>0</formula>
    </cfRule>
  </conditionalFormatting>
  <conditionalFormatting sqref="A459">
    <cfRule type="cellIs" dxfId="18" priority="6" operator="equal">
      <formula>0</formula>
    </cfRule>
  </conditionalFormatting>
  <conditionalFormatting sqref="A458">
    <cfRule type="cellIs" dxfId="17" priority="5" operator="equal">
      <formula>0</formula>
    </cfRule>
  </conditionalFormatting>
  <conditionalFormatting sqref="A453">
    <cfRule type="cellIs" dxfId="16" priority="4" operator="equal">
      <formula>0</formula>
    </cfRule>
  </conditionalFormatting>
  <conditionalFormatting sqref="A51">
    <cfRule type="cellIs" dxfId="15" priority="3" operator="equal">
      <formula>0</formula>
    </cfRule>
  </conditionalFormatting>
  <conditionalFormatting sqref="A98">
    <cfRule type="cellIs" dxfId="14" priority="2" operator="equal">
      <formula>0</formula>
    </cfRule>
  </conditionalFormatting>
  <conditionalFormatting sqref="A462:A463">
    <cfRule type="cellIs" dxfId="13" priority="1" operator="equal">
      <formula>0</formula>
    </cfRule>
  </conditionalFormatting>
  <pageMargins left="1" right="0.1" top="0.5" bottom="0.5" header="0" footer="0.1"/>
  <pageSetup scale="85" fitToHeight="2" orientation="portrait" r:id="rId1"/>
  <headerFooter>
    <oddFooter>&amp;L&amp;8&amp;Z&amp;F&amp;R&amp;8&amp;P / &amp;N</oddFooter>
  </headerFooter>
  <rowBreaks count="1" manualBreakCount="1">
    <brk id="46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7"/>
  <sheetViews>
    <sheetView showGridLines="0" zoomScaleNormal="100" workbookViewId="0">
      <pane ySplit="4" topLeftCell="A5" activePane="bottomLeft" state="frozen"/>
      <selection activeCell="E78" sqref="E78"/>
      <selection pane="bottomLeft" activeCell="C43" sqref="C43"/>
    </sheetView>
  </sheetViews>
  <sheetFormatPr defaultRowHeight="12.75" x14ac:dyDescent="0.2"/>
  <cols>
    <col min="1" max="1" width="4.140625" style="212" bestFit="1" customWidth="1"/>
    <col min="2" max="2" width="9.140625" style="212"/>
    <col min="3" max="3" width="52.140625" style="212" bestFit="1" customWidth="1"/>
    <col min="4" max="4" width="2.140625" style="212" customWidth="1"/>
    <col min="5" max="5" width="9.140625" style="212" customWidth="1"/>
    <col min="6" max="6" width="52.140625" style="212" bestFit="1" customWidth="1"/>
    <col min="7" max="16384" width="9.140625" style="212"/>
  </cols>
  <sheetData>
    <row r="1" spans="1:6" x14ac:dyDescent="0.2">
      <c r="B1" s="228" t="s">
        <v>233</v>
      </c>
      <c r="C1" s="229"/>
      <c r="D1" s="229"/>
      <c r="E1" s="230"/>
      <c r="F1" s="229"/>
    </row>
    <row r="2" spans="1:6" x14ac:dyDescent="0.2">
      <c r="B2" s="231"/>
      <c r="C2" s="229"/>
      <c r="D2" s="229"/>
      <c r="E2" s="230"/>
      <c r="F2" s="229"/>
    </row>
    <row r="3" spans="1:6" x14ac:dyDescent="0.2">
      <c r="B3" s="441" t="s">
        <v>373</v>
      </c>
      <c r="C3" s="442"/>
      <c r="D3" s="229"/>
      <c r="E3" s="441" t="s">
        <v>234</v>
      </c>
      <c r="F3" s="442"/>
    </row>
    <row r="4" spans="1:6" x14ac:dyDescent="0.2">
      <c r="B4" s="232" t="s">
        <v>235</v>
      </c>
      <c r="C4" s="233" t="s">
        <v>236</v>
      </c>
      <c r="D4" s="229"/>
      <c r="E4" s="232" t="s">
        <v>235</v>
      </c>
      <c r="F4" s="233" t="s">
        <v>236</v>
      </c>
    </row>
    <row r="5" spans="1:6" x14ac:dyDescent="0.2">
      <c r="A5" s="240">
        <v>1</v>
      </c>
      <c r="B5" s="234" t="s">
        <v>205</v>
      </c>
      <c r="C5" s="236" t="s">
        <v>237</v>
      </c>
      <c r="D5" s="229"/>
      <c r="E5" s="234" t="s">
        <v>205</v>
      </c>
      <c r="F5" s="236" t="s">
        <v>237</v>
      </c>
    </row>
    <row r="6" spans="1:6" x14ac:dyDescent="0.2">
      <c r="A6" s="240">
        <v>2</v>
      </c>
      <c r="B6" s="234" t="s">
        <v>206</v>
      </c>
      <c r="C6" s="236" t="s">
        <v>239</v>
      </c>
      <c r="D6" s="229"/>
      <c r="E6" s="234" t="s">
        <v>223</v>
      </c>
      <c r="F6" s="235" t="s">
        <v>238</v>
      </c>
    </row>
    <row r="7" spans="1:6" x14ac:dyDescent="0.2">
      <c r="A7" s="240">
        <v>3</v>
      </c>
      <c r="B7" s="234" t="s">
        <v>207</v>
      </c>
      <c r="C7" s="236" t="s">
        <v>241</v>
      </c>
      <c r="D7" s="229"/>
      <c r="E7" s="234" t="s">
        <v>228</v>
      </c>
      <c r="F7" s="235" t="s">
        <v>240</v>
      </c>
    </row>
    <row r="8" spans="1:6" x14ac:dyDescent="0.2">
      <c r="A8" s="240">
        <v>4</v>
      </c>
      <c r="B8" s="234" t="s">
        <v>208</v>
      </c>
      <c r="C8" s="236" t="s">
        <v>242</v>
      </c>
      <c r="D8" s="229"/>
      <c r="E8" s="234" t="s">
        <v>340</v>
      </c>
      <c r="F8" s="235" t="s">
        <v>341</v>
      </c>
    </row>
    <row r="9" spans="1:6" x14ac:dyDescent="0.2">
      <c r="A9" s="240">
        <v>5</v>
      </c>
      <c r="B9" s="234" t="s">
        <v>209</v>
      </c>
      <c r="C9" s="235" t="s">
        <v>243</v>
      </c>
      <c r="D9" s="229"/>
      <c r="E9" s="234" t="s">
        <v>327</v>
      </c>
      <c r="F9" s="235" t="s">
        <v>326</v>
      </c>
    </row>
    <row r="10" spans="1:6" x14ac:dyDescent="0.2">
      <c r="A10" s="240">
        <v>6</v>
      </c>
      <c r="B10" s="234" t="s">
        <v>210</v>
      </c>
      <c r="C10" s="235" t="s">
        <v>306</v>
      </c>
      <c r="D10" s="229"/>
      <c r="E10" s="234" t="s">
        <v>208</v>
      </c>
      <c r="F10" s="236" t="s">
        <v>242</v>
      </c>
    </row>
    <row r="11" spans="1:6" x14ac:dyDescent="0.2">
      <c r="A11" s="240">
        <v>7</v>
      </c>
      <c r="B11" s="234" t="s">
        <v>211</v>
      </c>
      <c r="C11" s="235" t="s">
        <v>455</v>
      </c>
      <c r="D11" s="229"/>
      <c r="E11" s="234" t="s">
        <v>222</v>
      </c>
      <c r="F11" s="235" t="s">
        <v>244</v>
      </c>
    </row>
    <row r="12" spans="1:6" x14ac:dyDescent="0.2">
      <c r="A12" s="240">
        <v>8</v>
      </c>
      <c r="B12" s="234" t="s">
        <v>212</v>
      </c>
      <c r="C12" s="236" t="s">
        <v>245</v>
      </c>
      <c r="D12" s="229"/>
      <c r="E12" s="234" t="s">
        <v>283</v>
      </c>
      <c r="F12" s="235" t="s">
        <v>284</v>
      </c>
    </row>
    <row r="13" spans="1:6" x14ac:dyDescent="0.2">
      <c r="A13" s="240">
        <v>9</v>
      </c>
      <c r="B13" s="234" t="s">
        <v>213</v>
      </c>
      <c r="C13" s="235" t="s">
        <v>246</v>
      </c>
      <c r="D13" s="229"/>
      <c r="E13" s="234" t="s">
        <v>247</v>
      </c>
      <c r="F13" s="235" t="s">
        <v>388</v>
      </c>
    </row>
    <row r="14" spans="1:6" x14ac:dyDescent="0.2">
      <c r="A14" s="240">
        <v>10</v>
      </c>
      <c r="B14" s="234" t="s">
        <v>214</v>
      </c>
      <c r="C14" s="235" t="s">
        <v>378</v>
      </c>
      <c r="D14" s="229"/>
      <c r="E14" s="234" t="s">
        <v>248</v>
      </c>
      <c r="F14" s="235" t="s">
        <v>390</v>
      </c>
    </row>
    <row r="15" spans="1:6" x14ac:dyDescent="0.2">
      <c r="A15" s="240">
        <v>11</v>
      </c>
      <c r="B15" s="234" t="s">
        <v>215</v>
      </c>
      <c r="C15" s="237" t="s">
        <v>471</v>
      </c>
      <c r="D15" s="229"/>
      <c r="E15" s="234" t="s">
        <v>229</v>
      </c>
      <c r="F15" s="236" t="s">
        <v>250</v>
      </c>
    </row>
    <row r="16" spans="1:6" x14ac:dyDescent="0.2">
      <c r="A16" s="240">
        <v>12</v>
      </c>
      <c r="B16" s="234" t="s">
        <v>216</v>
      </c>
      <c r="C16" s="236" t="s">
        <v>249</v>
      </c>
      <c r="D16" s="229"/>
      <c r="E16" s="234" t="s">
        <v>217</v>
      </c>
      <c r="F16" s="236" t="s">
        <v>251</v>
      </c>
    </row>
    <row r="17" spans="1:9" x14ac:dyDescent="0.2">
      <c r="A17" s="240">
        <v>13</v>
      </c>
      <c r="B17" s="234" t="s">
        <v>217</v>
      </c>
      <c r="C17" s="236" t="s">
        <v>251</v>
      </c>
      <c r="D17" s="229"/>
      <c r="E17" s="234" t="s">
        <v>221</v>
      </c>
      <c r="F17" s="236" t="s">
        <v>252</v>
      </c>
    </row>
    <row r="18" spans="1:9" x14ac:dyDescent="0.2">
      <c r="A18" s="240">
        <v>14</v>
      </c>
      <c r="B18" s="234" t="s">
        <v>218</v>
      </c>
      <c r="C18" s="236" t="s">
        <v>253</v>
      </c>
      <c r="D18" s="229"/>
      <c r="E18" s="234" t="s">
        <v>215</v>
      </c>
      <c r="F18" s="237" t="s">
        <v>471</v>
      </c>
    </row>
    <row r="19" spans="1:9" x14ac:dyDescent="0.2">
      <c r="A19" s="240">
        <v>15</v>
      </c>
      <c r="B19" s="234" t="s">
        <v>219</v>
      </c>
      <c r="C19" s="236" t="s">
        <v>254</v>
      </c>
      <c r="D19" s="229"/>
      <c r="E19" s="234" t="s">
        <v>216</v>
      </c>
      <c r="F19" s="236" t="s">
        <v>249</v>
      </c>
    </row>
    <row r="20" spans="1:9" x14ac:dyDescent="0.2">
      <c r="A20" s="240">
        <v>16</v>
      </c>
      <c r="B20" s="234" t="s">
        <v>220</v>
      </c>
      <c r="C20" s="235" t="s">
        <v>345</v>
      </c>
      <c r="D20" s="229"/>
      <c r="E20" s="234" t="s">
        <v>206</v>
      </c>
      <c r="F20" s="236" t="s">
        <v>239</v>
      </c>
    </row>
    <row r="21" spans="1:9" x14ac:dyDescent="0.2">
      <c r="A21" s="240">
        <v>17</v>
      </c>
      <c r="B21" s="234" t="s">
        <v>221</v>
      </c>
      <c r="C21" s="236" t="s">
        <v>252</v>
      </c>
      <c r="D21" s="229"/>
      <c r="E21" s="234" t="s">
        <v>219</v>
      </c>
      <c r="F21" s="236" t="s">
        <v>254</v>
      </c>
    </row>
    <row r="22" spans="1:9" x14ac:dyDescent="0.2">
      <c r="A22" s="240">
        <v>18</v>
      </c>
      <c r="B22" s="234" t="s">
        <v>222</v>
      </c>
      <c r="C22" s="235" t="s">
        <v>244</v>
      </c>
      <c r="D22" s="229"/>
      <c r="E22" s="234" t="s">
        <v>380</v>
      </c>
      <c r="F22" s="239" t="s">
        <v>377</v>
      </c>
    </row>
    <row r="23" spans="1:9" x14ac:dyDescent="0.2">
      <c r="A23" s="240">
        <v>19</v>
      </c>
      <c r="B23" s="234" t="s">
        <v>223</v>
      </c>
      <c r="C23" s="235" t="s">
        <v>238</v>
      </c>
      <c r="D23" s="229"/>
      <c r="E23" s="234" t="s">
        <v>211</v>
      </c>
      <c r="F23" s="235" t="s">
        <v>455</v>
      </c>
    </row>
    <row r="24" spans="1:9" x14ac:dyDescent="0.2">
      <c r="A24" s="240">
        <v>20</v>
      </c>
      <c r="B24" s="234" t="s">
        <v>224</v>
      </c>
      <c r="C24" s="236" t="s">
        <v>255</v>
      </c>
      <c r="D24" s="229"/>
      <c r="E24" s="234" t="s">
        <v>258</v>
      </c>
      <c r="F24" s="239" t="s">
        <v>454</v>
      </c>
    </row>
    <row r="25" spans="1:9" x14ac:dyDescent="0.2">
      <c r="A25" s="240">
        <v>21</v>
      </c>
      <c r="B25" s="234" t="s">
        <v>225</v>
      </c>
      <c r="C25" s="235" t="s">
        <v>256</v>
      </c>
      <c r="D25" s="229"/>
      <c r="E25" s="234" t="s">
        <v>230</v>
      </c>
      <c r="F25" s="236" t="s">
        <v>382</v>
      </c>
    </row>
    <row r="26" spans="1:9" x14ac:dyDescent="0.2">
      <c r="A26" s="240">
        <v>22</v>
      </c>
      <c r="B26" s="238" t="s">
        <v>226</v>
      </c>
      <c r="C26" s="235" t="s">
        <v>257</v>
      </c>
      <c r="D26" s="229"/>
      <c r="E26" s="234" t="s">
        <v>213</v>
      </c>
      <c r="F26" s="235" t="s">
        <v>246</v>
      </c>
    </row>
    <row r="27" spans="1:9" x14ac:dyDescent="0.2">
      <c r="A27" s="240">
        <v>23</v>
      </c>
      <c r="B27" s="234" t="s">
        <v>227</v>
      </c>
      <c r="C27" s="236" t="s">
        <v>259</v>
      </c>
      <c r="D27" s="229"/>
      <c r="E27" s="234" t="s">
        <v>209</v>
      </c>
      <c r="F27" s="235" t="s">
        <v>243</v>
      </c>
    </row>
    <row r="28" spans="1:9" x14ac:dyDescent="0.2">
      <c r="A28" s="240">
        <v>24</v>
      </c>
      <c r="B28" s="234" t="s">
        <v>260</v>
      </c>
      <c r="C28" s="235" t="s">
        <v>261</v>
      </c>
      <c r="D28" s="229"/>
      <c r="E28" s="234" t="s">
        <v>224</v>
      </c>
      <c r="F28" s="236" t="s">
        <v>255</v>
      </c>
    </row>
    <row r="29" spans="1:9" x14ac:dyDescent="0.2">
      <c r="A29" s="240">
        <v>25</v>
      </c>
      <c r="B29" s="234" t="s">
        <v>258</v>
      </c>
      <c r="C29" s="239" t="s">
        <v>454</v>
      </c>
      <c r="D29" s="229"/>
      <c r="E29" s="234" t="s">
        <v>262</v>
      </c>
      <c r="F29" s="235" t="s">
        <v>263</v>
      </c>
    </row>
    <row r="30" spans="1:9" x14ac:dyDescent="0.2">
      <c r="A30" s="240">
        <v>26</v>
      </c>
      <c r="B30" s="234" t="s">
        <v>228</v>
      </c>
      <c r="C30" s="235" t="s">
        <v>240</v>
      </c>
      <c r="D30" s="229"/>
      <c r="E30" s="234" t="s">
        <v>264</v>
      </c>
      <c r="F30" s="235" t="s">
        <v>265</v>
      </c>
      <c r="I30" s="331"/>
    </row>
    <row r="31" spans="1:9" x14ac:dyDescent="0.2">
      <c r="A31" s="240">
        <v>27</v>
      </c>
      <c r="B31" s="234" t="s">
        <v>229</v>
      </c>
      <c r="C31" s="236" t="s">
        <v>250</v>
      </c>
      <c r="D31" s="229"/>
      <c r="E31" s="234" t="s">
        <v>266</v>
      </c>
      <c r="F31" s="235" t="s">
        <v>267</v>
      </c>
      <c r="I31" s="331"/>
    </row>
    <row r="32" spans="1:9" x14ac:dyDescent="0.2">
      <c r="A32" s="240">
        <v>28</v>
      </c>
      <c r="B32" s="234" t="s">
        <v>230</v>
      </c>
      <c r="C32" s="236" t="s">
        <v>382</v>
      </c>
      <c r="D32" s="229"/>
      <c r="E32" s="234" t="s">
        <v>231</v>
      </c>
      <c r="F32" s="236" t="s">
        <v>268</v>
      </c>
    </row>
    <row r="33" spans="1:6" x14ac:dyDescent="0.2">
      <c r="A33" s="240">
        <v>29</v>
      </c>
      <c r="B33" s="234" t="s">
        <v>231</v>
      </c>
      <c r="C33" s="236" t="s">
        <v>268</v>
      </c>
      <c r="D33" s="229"/>
      <c r="E33" s="234" t="s">
        <v>227</v>
      </c>
      <c r="F33" s="236" t="s">
        <v>259</v>
      </c>
    </row>
    <row r="34" spans="1:6" x14ac:dyDescent="0.2">
      <c r="A34" s="240">
        <v>30</v>
      </c>
      <c r="B34" s="234" t="s">
        <v>266</v>
      </c>
      <c r="C34" s="235" t="s">
        <v>267</v>
      </c>
      <c r="D34" s="229"/>
      <c r="E34" s="234" t="s">
        <v>218</v>
      </c>
      <c r="F34" s="236" t="s">
        <v>253</v>
      </c>
    </row>
    <row r="35" spans="1:6" x14ac:dyDescent="0.2">
      <c r="A35" s="240">
        <v>31</v>
      </c>
      <c r="B35" s="234" t="s">
        <v>269</v>
      </c>
      <c r="C35" s="239" t="s">
        <v>270</v>
      </c>
      <c r="D35" s="229"/>
      <c r="E35" s="234">
        <v>4111</v>
      </c>
      <c r="F35" s="236" t="s">
        <v>383</v>
      </c>
    </row>
    <row r="36" spans="1:6" x14ac:dyDescent="0.2">
      <c r="A36" s="240">
        <v>32</v>
      </c>
      <c r="B36" s="234" t="s">
        <v>271</v>
      </c>
      <c r="C36" s="236" t="s">
        <v>272</v>
      </c>
      <c r="D36" s="229"/>
      <c r="E36" s="234" t="s">
        <v>225</v>
      </c>
      <c r="F36" s="235" t="s">
        <v>256</v>
      </c>
    </row>
    <row r="37" spans="1:6" x14ac:dyDescent="0.2">
      <c r="A37" s="240">
        <v>33</v>
      </c>
      <c r="B37" s="234" t="s">
        <v>247</v>
      </c>
      <c r="C37" s="235" t="s">
        <v>388</v>
      </c>
      <c r="D37" s="229"/>
      <c r="E37" s="234" t="s">
        <v>273</v>
      </c>
      <c r="F37" s="235" t="s">
        <v>274</v>
      </c>
    </row>
    <row r="38" spans="1:6" x14ac:dyDescent="0.2">
      <c r="A38" s="240">
        <v>34</v>
      </c>
      <c r="B38" s="234" t="s">
        <v>380</v>
      </c>
      <c r="C38" s="236" t="s">
        <v>377</v>
      </c>
      <c r="D38" s="229"/>
      <c r="E38" s="234" t="s">
        <v>271</v>
      </c>
      <c r="F38" s="236" t="s">
        <v>272</v>
      </c>
    </row>
    <row r="39" spans="1:6" x14ac:dyDescent="0.2">
      <c r="A39" s="240">
        <v>35</v>
      </c>
      <c r="B39" s="234">
        <v>4031</v>
      </c>
      <c r="C39" s="235" t="s">
        <v>395</v>
      </c>
      <c r="D39" s="229"/>
      <c r="E39" s="234" t="s">
        <v>269</v>
      </c>
      <c r="F39" s="239" t="s">
        <v>270</v>
      </c>
    </row>
    <row r="40" spans="1:6" x14ac:dyDescent="0.2">
      <c r="A40" s="240">
        <v>36</v>
      </c>
      <c r="B40" s="234" t="s">
        <v>273</v>
      </c>
      <c r="C40" s="235" t="s">
        <v>274</v>
      </c>
      <c r="D40" s="229"/>
      <c r="E40" s="234" t="s">
        <v>220</v>
      </c>
      <c r="F40" s="236" t="s">
        <v>345</v>
      </c>
    </row>
    <row r="41" spans="1:6" x14ac:dyDescent="0.2">
      <c r="A41" s="240">
        <v>37</v>
      </c>
      <c r="B41" s="234" t="s">
        <v>264</v>
      </c>
      <c r="C41" s="235" t="s">
        <v>265</v>
      </c>
      <c r="D41" s="229"/>
      <c r="E41" s="234">
        <v>4091</v>
      </c>
      <c r="F41" s="236" t="s">
        <v>334</v>
      </c>
    </row>
    <row r="42" spans="1:6" x14ac:dyDescent="0.2">
      <c r="A42" s="240">
        <v>38</v>
      </c>
      <c r="B42" s="234" t="s">
        <v>262</v>
      </c>
      <c r="C42" s="235" t="s">
        <v>263</v>
      </c>
      <c r="D42" s="229"/>
      <c r="E42" s="234">
        <v>4031</v>
      </c>
      <c r="F42" s="235" t="s">
        <v>395</v>
      </c>
    </row>
    <row r="43" spans="1:6" x14ac:dyDescent="0.2">
      <c r="A43" s="240">
        <v>39</v>
      </c>
      <c r="B43" s="234" t="s">
        <v>248</v>
      </c>
      <c r="C43" s="235" t="s">
        <v>390</v>
      </c>
      <c r="D43" s="229"/>
      <c r="E43" s="238" t="s">
        <v>450</v>
      </c>
      <c r="F43" s="235" t="s">
        <v>451</v>
      </c>
    </row>
    <row r="44" spans="1:6" x14ac:dyDescent="0.2">
      <c r="A44" s="240">
        <v>40</v>
      </c>
      <c r="B44" s="234" t="s">
        <v>289</v>
      </c>
      <c r="C44" s="235" t="s">
        <v>293</v>
      </c>
      <c r="D44" s="229"/>
      <c r="E44" s="234" t="s">
        <v>207</v>
      </c>
      <c r="F44" s="236" t="s">
        <v>241</v>
      </c>
    </row>
    <row r="45" spans="1:6" x14ac:dyDescent="0.2">
      <c r="A45" s="240">
        <v>41</v>
      </c>
      <c r="B45" s="272" t="s">
        <v>283</v>
      </c>
      <c r="C45" s="212" t="s">
        <v>284</v>
      </c>
      <c r="D45" s="229"/>
      <c r="E45" s="234" t="s">
        <v>260</v>
      </c>
      <c r="F45" s="235" t="s">
        <v>261</v>
      </c>
    </row>
    <row r="46" spans="1:6" x14ac:dyDescent="0.2">
      <c r="A46" s="240">
        <v>42</v>
      </c>
      <c r="B46" s="272">
        <v>4090</v>
      </c>
      <c r="C46" s="212" t="s">
        <v>335</v>
      </c>
      <c r="D46" s="229"/>
      <c r="E46" s="234">
        <v>4090</v>
      </c>
      <c r="F46" s="236" t="s">
        <v>335</v>
      </c>
    </row>
    <row r="47" spans="1:6" x14ac:dyDescent="0.2">
      <c r="A47" s="240">
        <v>43</v>
      </c>
      <c r="B47" s="272">
        <v>4091</v>
      </c>
      <c r="C47" s="212" t="s">
        <v>334</v>
      </c>
      <c r="D47" s="229"/>
      <c r="E47" s="234" t="s">
        <v>368</v>
      </c>
      <c r="F47" s="236" t="s">
        <v>369</v>
      </c>
    </row>
    <row r="48" spans="1:6" x14ac:dyDescent="0.2">
      <c r="A48" s="240">
        <v>44</v>
      </c>
      <c r="B48" s="234" t="s">
        <v>327</v>
      </c>
      <c r="C48" s="235" t="s">
        <v>326</v>
      </c>
      <c r="D48" s="229"/>
      <c r="E48" s="234" t="s">
        <v>214</v>
      </c>
      <c r="F48" s="235" t="s">
        <v>378</v>
      </c>
    </row>
    <row r="49" spans="1:6" x14ac:dyDescent="0.2">
      <c r="A49" s="240">
        <v>45</v>
      </c>
      <c r="B49" s="234" t="s">
        <v>340</v>
      </c>
      <c r="C49" s="235" t="s">
        <v>341</v>
      </c>
      <c r="D49" s="229"/>
      <c r="E49" s="234" t="s">
        <v>210</v>
      </c>
      <c r="F49" s="235" t="s">
        <v>306</v>
      </c>
    </row>
    <row r="50" spans="1:6" x14ac:dyDescent="0.2">
      <c r="A50" s="240">
        <v>46</v>
      </c>
      <c r="B50" s="234" t="s">
        <v>368</v>
      </c>
      <c r="C50" s="271" t="s">
        <v>369</v>
      </c>
      <c r="D50" s="229"/>
      <c r="E50" s="234" t="s">
        <v>289</v>
      </c>
      <c r="F50" s="235" t="s">
        <v>293</v>
      </c>
    </row>
    <row r="51" spans="1:6" x14ac:dyDescent="0.2">
      <c r="A51" s="240">
        <v>47</v>
      </c>
      <c r="B51" s="234">
        <v>4111</v>
      </c>
      <c r="C51" s="235" t="s">
        <v>383</v>
      </c>
      <c r="D51" s="229"/>
      <c r="E51" s="234" t="s">
        <v>212</v>
      </c>
      <c r="F51" s="236" t="s">
        <v>245</v>
      </c>
    </row>
    <row r="52" spans="1:6" x14ac:dyDescent="0.2">
      <c r="A52" s="240">
        <v>48</v>
      </c>
      <c r="B52" s="234" t="s">
        <v>450</v>
      </c>
      <c r="C52" s="235" t="s">
        <v>451</v>
      </c>
      <c r="D52" s="229"/>
      <c r="E52" s="238" t="s">
        <v>226</v>
      </c>
      <c r="F52" s="235" t="s">
        <v>257</v>
      </c>
    </row>
    <row r="53" spans="1:6" x14ac:dyDescent="0.2">
      <c r="A53" s="240"/>
      <c r="D53" s="229"/>
    </row>
    <row r="54" spans="1:6" x14ac:dyDescent="0.2">
      <c r="A54" s="240"/>
      <c r="D54" s="229"/>
    </row>
    <row r="55" spans="1:6" x14ac:dyDescent="0.2">
      <c r="A55" s="240"/>
      <c r="D55" s="229"/>
    </row>
    <row r="56" spans="1:6" x14ac:dyDescent="0.2">
      <c r="A56" s="240"/>
      <c r="D56" s="229"/>
    </row>
    <row r="57" spans="1:6" x14ac:dyDescent="0.2">
      <c r="D57" s="229"/>
    </row>
  </sheetData>
  <mergeCells count="2">
    <mergeCell ref="B3:C3"/>
    <mergeCell ref="E3:F3"/>
  </mergeCells>
  <conditionalFormatting sqref="E5:F50">
    <cfRule type="expression" dxfId="12" priority="8">
      <formula>MOD(ROW(),2)=0</formula>
    </cfRule>
  </conditionalFormatting>
  <conditionalFormatting sqref="B5:C51">
    <cfRule type="expression" dxfId="11" priority="7" stopIfTrue="1">
      <formula>MOD(ROW(),2)=0</formula>
    </cfRule>
  </conditionalFormatting>
  <conditionalFormatting sqref="E51:F51">
    <cfRule type="expression" dxfId="10" priority="5">
      <formula>MOD(ROW(),2)=0</formula>
    </cfRule>
  </conditionalFormatting>
  <conditionalFormatting sqref="B52:C52">
    <cfRule type="expression" dxfId="9" priority="2" stopIfTrue="1">
      <formula>MOD(ROW(),2)=0</formula>
    </cfRule>
  </conditionalFormatting>
  <conditionalFormatting sqref="E52:F52">
    <cfRule type="expression" dxfId="8"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R196"/>
  <sheetViews>
    <sheetView showGridLines="0" topLeftCell="A113" zoomScaleNormal="100" workbookViewId="0">
      <selection activeCell="D14" sqref="D14"/>
    </sheetView>
  </sheetViews>
  <sheetFormatPr defaultRowHeight="15.75" x14ac:dyDescent="0.25"/>
  <cols>
    <col min="1" max="1" width="10.28515625" style="72" customWidth="1"/>
    <col min="2" max="2" width="30.28515625" style="3" bestFit="1" customWidth="1"/>
    <col min="3" max="3" width="12.7109375" style="3" customWidth="1"/>
    <col min="4" max="4" width="11.5703125" style="3" customWidth="1"/>
    <col min="5" max="6" width="14" style="3" customWidth="1"/>
    <col min="7" max="7" width="7.42578125" style="3" customWidth="1"/>
    <col min="8" max="8" width="15.7109375" style="3" customWidth="1"/>
    <col min="9" max="9" width="20.85546875" style="3" bestFit="1" customWidth="1"/>
    <col min="10" max="10" width="17.7109375" style="3" bestFit="1" customWidth="1"/>
    <col min="11" max="11" width="15.7109375" style="3" bestFit="1" customWidth="1"/>
    <col min="12" max="12" width="16.85546875" style="3" bestFit="1" customWidth="1"/>
    <col min="13" max="16384" width="9.140625" style="3"/>
  </cols>
  <sheetData>
    <row r="1" spans="1:12" ht="16.5" thickBot="1" x14ac:dyDescent="0.3">
      <c r="A1" s="85">
        <v>50</v>
      </c>
      <c r="B1" s="443" t="s">
        <v>17</v>
      </c>
      <c r="C1" s="444"/>
      <c r="D1" s="444"/>
      <c r="E1" s="444"/>
      <c r="F1" s="444"/>
      <c r="G1" s="444"/>
      <c r="H1" s="444"/>
      <c r="I1" s="444"/>
      <c r="J1" s="157"/>
      <c r="K1" s="157"/>
      <c r="L1" s="157"/>
    </row>
    <row r="2" spans="1:12" ht="21" x14ac:dyDescent="0.35">
      <c r="A2" s="1" t="s">
        <v>304</v>
      </c>
      <c r="B2" s="2"/>
      <c r="C2" s="2"/>
      <c r="D2" s="2"/>
      <c r="E2" s="2"/>
      <c r="F2" s="2"/>
      <c r="G2" s="2"/>
      <c r="H2" s="2"/>
      <c r="I2" s="2"/>
    </row>
    <row r="3" spans="1:12" x14ac:dyDescent="0.25">
      <c r="A3" s="84" t="str">
        <f>'0664'!A3</f>
        <v>Based on the FLDOE 2022-23 FEFP Fourth Calculation</v>
      </c>
    </row>
    <row r="4" spans="1:12" x14ac:dyDescent="0.25">
      <c r="A4" s="445" t="s">
        <v>0</v>
      </c>
      <c r="B4" s="445"/>
      <c r="C4" s="446" t="s">
        <v>9</v>
      </c>
      <c r="D4" s="446"/>
      <c r="E4" s="446"/>
      <c r="F4" s="4" t="str">
        <f>'0664'!F4</f>
        <v>Final 2023</v>
      </c>
      <c r="G4" s="4"/>
      <c r="H4" s="4"/>
      <c r="I4" s="4"/>
    </row>
    <row r="5" spans="1:12" ht="12" customHeight="1" thickBot="1" x14ac:dyDescent="0.3">
      <c r="A5" s="252"/>
      <c r="B5" s="252"/>
      <c r="C5" s="253"/>
      <c r="D5" s="253"/>
      <c r="E5" s="253"/>
      <c r="F5" s="254"/>
      <c r="G5" s="254"/>
      <c r="H5" s="254"/>
      <c r="I5" s="254"/>
    </row>
    <row r="6" spans="1:12" ht="12" customHeight="1" x14ac:dyDescent="0.25">
      <c r="A6" s="141"/>
      <c r="B6" s="141"/>
      <c r="C6" s="261"/>
      <c r="D6" s="261"/>
      <c r="E6" s="261"/>
      <c r="F6" s="4"/>
      <c r="G6" s="4"/>
      <c r="H6" s="4"/>
      <c r="I6" s="4"/>
      <c r="K6" s="280"/>
    </row>
    <row r="7" spans="1:12" x14ac:dyDescent="0.25">
      <c r="A7" s="447" t="str">
        <f>'0664'!A7:I7</f>
        <v>1.   2022-23 FEFP State and Local Funding</v>
      </c>
      <c r="B7" s="447"/>
      <c r="C7" s="447"/>
      <c r="D7" s="447"/>
      <c r="E7" s="447"/>
      <c r="F7" s="447"/>
      <c r="G7" s="447"/>
      <c r="H7" s="447"/>
      <c r="I7" s="447"/>
      <c r="K7" s="280"/>
    </row>
    <row r="8" spans="1:12" x14ac:dyDescent="0.25">
      <c r="A8" s="87"/>
      <c r="B8" s="88" t="s">
        <v>123</v>
      </c>
      <c r="C8" s="246">
        <f>'0664'!C8</f>
        <v>4587.3999999999996</v>
      </c>
      <c r="D8" s="89"/>
      <c r="E8" s="90"/>
      <c r="F8" s="87"/>
      <c r="G8" s="88" t="s">
        <v>122</v>
      </c>
      <c r="H8" s="247">
        <f>'0664'!H8</f>
        <v>1.0438000000000001</v>
      </c>
      <c r="I8" s="78"/>
    </row>
    <row r="9" spans="1:12" x14ac:dyDescent="0.25">
      <c r="A9" s="7"/>
      <c r="B9" s="7"/>
      <c r="C9" s="8"/>
      <c r="D9" s="8"/>
      <c r="E9" s="8"/>
      <c r="F9" s="9"/>
      <c r="G9" s="9"/>
      <c r="H9" s="10"/>
      <c r="I9" s="405" t="str">
        <f>'0664'!I9</f>
        <v>2022-23</v>
      </c>
    </row>
    <row r="10" spans="1:12" x14ac:dyDescent="0.25">
      <c r="A10" s="7"/>
      <c r="B10" s="7"/>
      <c r="C10" s="91" t="s">
        <v>460</v>
      </c>
      <c r="D10" s="370" t="s">
        <v>461</v>
      </c>
      <c r="E10" s="92" t="s">
        <v>8</v>
      </c>
      <c r="F10" s="448" t="s">
        <v>1</v>
      </c>
      <c r="G10" s="448"/>
      <c r="H10" s="10" t="s">
        <v>73</v>
      </c>
      <c r="I10" s="11" t="s">
        <v>36</v>
      </c>
    </row>
    <row r="11" spans="1:12" x14ac:dyDescent="0.25">
      <c r="A11" s="449" t="s">
        <v>1</v>
      </c>
      <c r="B11" s="449"/>
      <c r="C11" s="361" t="s">
        <v>2</v>
      </c>
      <c r="D11" s="361" t="s">
        <v>2</v>
      </c>
      <c r="E11" s="93" t="s">
        <v>2</v>
      </c>
      <c r="F11" s="450" t="s">
        <v>76</v>
      </c>
      <c r="G11" s="450"/>
      <c r="H11" s="17" t="s">
        <v>72</v>
      </c>
      <c r="I11" s="18" t="s">
        <v>75</v>
      </c>
    </row>
    <row r="12" spans="1:12" x14ac:dyDescent="0.25">
      <c r="A12" s="451" t="s">
        <v>47</v>
      </c>
      <c r="B12" s="451"/>
      <c r="C12" s="94"/>
      <c r="D12" s="94"/>
      <c r="E12" s="95" t="s">
        <v>48</v>
      </c>
      <c r="F12" s="452" t="s">
        <v>49</v>
      </c>
      <c r="G12" s="452"/>
      <c r="H12" s="21" t="s">
        <v>50</v>
      </c>
      <c r="I12" s="22" t="s">
        <v>51</v>
      </c>
    </row>
    <row r="13" spans="1:12" x14ac:dyDescent="0.25">
      <c r="A13" s="453" t="s">
        <v>29</v>
      </c>
      <c r="B13" s="453"/>
      <c r="C13" s="163">
        <f>SUM('0664:4131'!C13)</f>
        <v>2404.96</v>
      </c>
      <c r="D13" s="163">
        <f>SUM('0664:4131'!D13)</f>
        <v>2351.44</v>
      </c>
      <c r="E13" s="210">
        <f>SUM('0664:4131'!E13)</f>
        <v>4756.4000000000005</v>
      </c>
      <c r="F13" s="454">
        <f>'0664'!F13:G13</f>
        <v>1.1259999999999999</v>
      </c>
      <c r="G13" s="454"/>
      <c r="H13" s="167">
        <f>ROUND(E13*F13,4)</f>
        <v>5355.7064</v>
      </c>
      <c r="I13" s="119">
        <f>SUM('0664:4131'!I13)</f>
        <v>25644880.030000001</v>
      </c>
    </row>
    <row r="14" spans="1:12" x14ac:dyDescent="0.25">
      <c r="A14" s="455" t="s">
        <v>30</v>
      </c>
      <c r="B14" s="455"/>
      <c r="C14" s="165">
        <f>SUM('0664:4131'!C14)</f>
        <v>291.88</v>
      </c>
      <c r="D14" s="165">
        <f>SUM('0664:4131'!D14)</f>
        <v>310.33999999999997</v>
      </c>
      <c r="E14" s="125">
        <f>SUM('0664:4131'!E14)</f>
        <v>602.22</v>
      </c>
      <c r="F14" s="456">
        <f>'0664'!F14:G14</f>
        <v>1.1259999999999999</v>
      </c>
      <c r="G14" s="456"/>
      <c r="H14" s="83">
        <f t="shared" ref="H14:H30" si="0">ROUND(E14*F14,4)</f>
        <v>678.09969999999998</v>
      </c>
      <c r="I14" s="104">
        <f>SUM('0664:4131'!I14)</f>
        <v>3246963.3800000008</v>
      </c>
      <c r="J14" s="68"/>
    </row>
    <row r="15" spans="1:12" x14ac:dyDescent="0.25">
      <c r="A15" s="455" t="s">
        <v>31</v>
      </c>
      <c r="B15" s="455"/>
      <c r="C15" s="165">
        <f>SUM('0664:4131'!C15)</f>
        <v>3579.59</v>
      </c>
      <c r="D15" s="165">
        <f>SUM('0664:4131'!D15)</f>
        <v>3544.87</v>
      </c>
      <c r="E15" s="125">
        <f>SUM('0664:4131'!E15)</f>
        <v>7124.4600000000009</v>
      </c>
      <c r="F15" s="456">
        <f>'0664'!F15:G15</f>
        <v>1</v>
      </c>
      <c r="G15" s="456"/>
      <c r="H15" s="83">
        <f t="shared" si="0"/>
        <v>7124.46</v>
      </c>
      <c r="I15" s="104">
        <f>SUM('0664:4131'!I15)</f>
        <v>34114252.140000001</v>
      </c>
    </row>
    <row r="16" spans="1:12" x14ac:dyDescent="0.25">
      <c r="A16" s="455" t="s">
        <v>32</v>
      </c>
      <c r="B16" s="455"/>
      <c r="C16" s="165">
        <f>SUM('0664:4131'!C16)</f>
        <v>647.84000000000015</v>
      </c>
      <c r="D16" s="165">
        <f>SUM('0664:4131'!D16)</f>
        <v>622.83000000000004</v>
      </c>
      <c r="E16" s="125">
        <f>SUM('0664:4131'!E16)</f>
        <v>1270.6699999999998</v>
      </c>
      <c r="F16" s="456">
        <f>'0664'!F16:G16</f>
        <v>1</v>
      </c>
      <c r="G16" s="456"/>
      <c r="H16" s="83">
        <f t="shared" si="0"/>
        <v>1270.67</v>
      </c>
      <c r="I16" s="104">
        <f>SUM('0664:4131'!I16)</f>
        <v>6084384.8900000025</v>
      </c>
      <c r="J16" s="68"/>
    </row>
    <row r="17" spans="1:10" x14ac:dyDescent="0.25">
      <c r="A17" s="455" t="s">
        <v>33</v>
      </c>
      <c r="B17" s="455"/>
      <c r="C17" s="165">
        <f>SUM('0664:4131'!C17)</f>
        <v>2244.66</v>
      </c>
      <c r="D17" s="165">
        <f>SUM('0664:4131'!D17)</f>
        <v>2254.06</v>
      </c>
      <c r="E17" s="125">
        <f>SUM('0664:4131'!E17)</f>
        <v>4498.7199999999993</v>
      </c>
      <c r="F17" s="456">
        <f>'0664'!F17:G17</f>
        <v>0.999</v>
      </c>
      <c r="G17" s="456"/>
      <c r="H17" s="83">
        <f t="shared" si="0"/>
        <v>4494.2213000000002</v>
      </c>
      <c r="I17" s="104">
        <f>SUM('0664:4131'!I17)</f>
        <v>21519806.230000004</v>
      </c>
    </row>
    <row r="18" spans="1:10" x14ac:dyDescent="0.25">
      <c r="A18" s="455" t="s">
        <v>34</v>
      </c>
      <c r="B18" s="455"/>
      <c r="C18" s="165">
        <f>SUM('0664:4131'!C18)</f>
        <v>552.1</v>
      </c>
      <c r="D18" s="165">
        <f>SUM('0664:4131'!D18)</f>
        <v>571.49</v>
      </c>
      <c r="E18" s="125">
        <f>SUM('0664:4131'!E18)</f>
        <v>1123.5900000000001</v>
      </c>
      <c r="F18" s="456">
        <f>'0664'!F18:G18</f>
        <v>0.999</v>
      </c>
      <c r="G18" s="456"/>
      <c r="H18" s="83">
        <f t="shared" si="0"/>
        <v>1122.4664</v>
      </c>
      <c r="I18" s="104">
        <f>SUM('0664:4131'!I18)</f>
        <v>5374738.4000000004</v>
      </c>
      <c r="J18" s="68"/>
    </row>
    <row r="19" spans="1:10" x14ac:dyDescent="0.25">
      <c r="A19" s="455" t="s">
        <v>108</v>
      </c>
      <c r="B19" s="455"/>
      <c r="C19" s="165">
        <f>SUM('0664:4131'!C19)</f>
        <v>87.8</v>
      </c>
      <c r="D19" s="165">
        <f>SUM('0664:4131'!D19)</f>
        <v>88.52</v>
      </c>
      <c r="E19" s="125">
        <f>SUM('0664:4131'!E19)</f>
        <v>176.32</v>
      </c>
      <c r="F19" s="456">
        <f>'0664'!F19:G19</f>
        <v>3.6739999999999999</v>
      </c>
      <c r="G19" s="456"/>
      <c r="H19" s="83">
        <f t="shared" si="0"/>
        <v>647.79970000000003</v>
      </c>
      <c r="I19" s="104">
        <f>SUM('0664:4131'!I19)</f>
        <v>3101877.5199999996</v>
      </c>
    </row>
    <row r="20" spans="1:10" x14ac:dyDescent="0.25">
      <c r="A20" s="455" t="s">
        <v>109</v>
      </c>
      <c r="B20" s="455"/>
      <c r="C20" s="165">
        <f>SUM('0664:4131'!C20)</f>
        <v>72.38</v>
      </c>
      <c r="D20" s="165">
        <f>SUM('0664:4131'!D20)</f>
        <v>73</v>
      </c>
      <c r="E20" s="125">
        <f>SUM('0664:4131'!E20)</f>
        <v>145.38</v>
      </c>
      <c r="F20" s="456">
        <f>'0664'!F20:G20</f>
        <v>3.6739999999999999</v>
      </c>
      <c r="G20" s="456"/>
      <c r="H20" s="83">
        <f t="shared" si="0"/>
        <v>534.12609999999995</v>
      </c>
      <c r="I20" s="104">
        <f>SUM('0664:4131'!I20)</f>
        <v>2557571.0199999996</v>
      </c>
    </row>
    <row r="21" spans="1:10" x14ac:dyDescent="0.25">
      <c r="A21" s="455" t="s">
        <v>110</v>
      </c>
      <c r="B21" s="455"/>
      <c r="C21" s="165">
        <f>SUM('0664:4131'!C21)</f>
        <v>68.37</v>
      </c>
      <c r="D21" s="165">
        <f>SUM('0664:4131'!D21)</f>
        <v>63.41</v>
      </c>
      <c r="E21" s="125">
        <f>SUM('0664:4131'!E21)</f>
        <v>131.78</v>
      </c>
      <c r="F21" s="456">
        <f>'0664'!F21:G21</f>
        <v>3.6739999999999999</v>
      </c>
      <c r="G21" s="456"/>
      <c r="H21" s="83">
        <f t="shared" si="0"/>
        <v>484.15969999999999</v>
      </c>
      <c r="I21" s="104">
        <f>SUM('0664:4131'!I21)</f>
        <v>2318315.98</v>
      </c>
    </row>
    <row r="22" spans="1:10" x14ac:dyDescent="0.25">
      <c r="A22" s="455" t="s">
        <v>111</v>
      </c>
      <c r="B22" s="455"/>
      <c r="C22" s="165">
        <f>SUM('0664:4131'!C22)</f>
        <v>28.47</v>
      </c>
      <c r="D22" s="165">
        <f>SUM('0664:4131'!D22)</f>
        <v>30</v>
      </c>
      <c r="E22" s="125">
        <f>SUM('0664:4131'!E22)</f>
        <v>58.47</v>
      </c>
      <c r="F22" s="456">
        <f>'0664'!F22:G22</f>
        <v>5.4009999999999998</v>
      </c>
      <c r="G22" s="456"/>
      <c r="H22" s="83">
        <f t="shared" si="0"/>
        <v>315.79649999999998</v>
      </c>
      <c r="I22" s="104">
        <f>SUM('0664:4131'!I22)</f>
        <v>1512137.25</v>
      </c>
    </row>
    <row r="23" spans="1:10" x14ac:dyDescent="0.25">
      <c r="A23" s="455" t="s">
        <v>112</v>
      </c>
      <c r="B23" s="455"/>
      <c r="C23" s="165">
        <f>SUM('0664:4131'!C23)</f>
        <v>47.89</v>
      </c>
      <c r="D23" s="165">
        <f>SUM('0664:4131'!D23)</f>
        <v>45</v>
      </c>
      <c r="E23" s="125">
        <f>SUM('0664:4131'!E23)</f>
        <v>92.89</v>
      </c>
      <c r="F23" s="456">
        <f>'0664'!F23:G23</f>
        <v>5.4009999999999998</v>
      </c>
      <c r="G23" s="456"/>
      <c r="H23" s="83">
        <f t="shared" si="0"/>
        <v>501.69889999999998</v>
      </c>
      <c r="I23" s="104">
        <f>SUM('0664:4131'!I23)</f>
        <v>2402298.9500000002</v>
      </c>
    </row>
    <row r="24" spans="1:10" x14ac:dyDescent="0.25">
      <c r="A24" s="455" t="s">
        <v>113</v>
      </c>
      <c r="B24" s="455"/>
      <c r="C24" s="165">
        <f>SUM('0664:4131'!C24)</f>
        <v>48.41</v>
      </c>
      <c r="D24" s="165">
        <f>SUM('0664:4131'!D24)</f>
        <v>47.68</v>
      </c>
      <c r="E24" s="125">
        <f>SUM('0664:4131'!E24)</f>
        <v>96.09</v>
      </c>
      <c r="F24" s="456">
        <f>'0664'!F24:G24</f>
        <v>5.4009999999999998</v>
      </c>
      <c r="G24" s="456"/>
      <c r="H24" s="83">
        <f t="shared" si="0"/>
        <v>518.98209999999995</v>
      </c>
      <c r="I24" s="104">
        <f>SUM('0664:4131'!I24)</f>
        <v>2485056.58</v>
      </c>
    </row>
    <row r="25" spans="1:10" x14ac:dyDescent="0.25">
      <c r="A25" s="455" t="s">
        <v>114</v>
      </c>
      <c r="B25" s="455"/>
      <c r="C25" s="165">
        <f>SUM('0664:4131'!C25)</f>
        <v>439.35000000000014</v>
      </c>
      <c r="D25" s="165">
        <f>SUM('0664:4131'!D25)</f>
        <v>442.43999999999988</v>
      </c>
      <c r="E25" s="125">
        <f>SUM('0664:4131'!E25)</f>
        <v>881.79000000000008</v>
      </c>
      <c r="F25" s="456">
        <f>'0664'!F25:G25</f>
        <v>1.206</v>
      </c>
      <c r="G25" s="456"/>
      <c r="H25" s="83">
        <f t="shared" si="0"/>
        <v>1063.4386999999999</v>
      </c>
      <c r="I25" s="104">
        <f>SUM('0664:4131'!I25)</f>
        <v>5092093.42</v>
      </c>
    </row>
    <row r="26" spans="1:10" x14ac:dyDescent="0.25">
      <c r="A26" s="455" t="s">
        <v>115</v>
      </c>
      <c r="B26" s="455"/>
      <c r="C26" s="165">
        <f>SUM('0664:4131'!C26)</f>
        <v>311.45999999999998</v>
      </c>
      <c r="D26" s="165">
        <f>SUM('0664:4131'!D26)</f>
        <v>312.06</v>
      </c>
      <c r="E26" s="125">
        <f>SUM('0664:4131'!E26)</f>
        <v>623.5200000000001</v>
      </c>
      <c r="F26" s="456">
        <f>'0664'!F26:G26</f>
        <v>1.206</v>
      </c>
      <c r="G26" s="456"/>
      <c r="H26" s="83">
        <f t="shared" si="0"/>
        <v>751.96510000000001</v>
      </c>
      <c r="I26" s="104">
        <f>SUM('0664:4131'!I26)</f>
        <v>3600655.64</v>
      </c>
    </row>
    <row r="27" spans="1:10" x14ac:dyDescent="0.25">
      <c r="A27" s="455" t="s">
        <v>116</v>
      </c>
      <c r="B27" s="455"/>
      <c r="C27" s="165">
        <f>SUM('0664:4131'!C27)</f>
        <v>119.41</v>
      </c>
      <c r="D27" s="165">
        <f>SUM('0664:4131'!D27)</f>
        <v>123.60000000000001</v>
      </c>
      <c r="E27" s="125">
        <f>SUM('0664:4131'!E27)</f>
        <v>243.01000000000005</v>
      </c>
      <c r="F27" s="456">
        <f>'0664'!F27:G27</f>
        <v>1.206</v>
      </c>
      <c r="G27" s="456"/>
      <c r="H27" s="83">
        <f t="shared" si="0"/>
        <v>293.07010000000002</v>
      </c>
      <c r="I27" s="104">
        <f>SUM('0664:4131'!I27)</f>
        <v>1403316.27</v>
      </c>
    </row>
    <row r="28" spans="1:10" x14ac:dyDescent="0.25">
      <c r="A28" s="455" t="s">
        <v>117</v>
      </c>
      <c r="B28" s="455"/>
      <c r="C28" s="116">
        <f>SUM('0664:4131'!C28)</f>
        <v>313.84999999999997</v>
      </c>
      <c r="D28" s="116">
        <f>SUM('0664:4131'!D28)</f>
        <v>315.25000000000006</v>
      </c>
      <c r="E28" s="177">
        <f>SUM('0664:4131'!E28)</f>
        <v>629.10000000000014</v>
      </c>
      <c r="F28" s="456">
        <f>'0664'!F28:G28</f>
        <v>0.999</v>
      </c>
      <c r="G28" s="456"/>
      <c r="H28" s="96">
        <f t="shared" si="0"/>
        <v>628.47090000000003</v>
      </c>
      <c r="I28" s="97">
        <f>SUM('0664:4131'!I28)</f>
        <v>3009325.3500000006</v>
      </c>
    </row>
    <row r="29" spans="1:10" x14ac:dyDescent="0.25">
      <c r="A29" s="457" t="s">
        <v>199</v>
      </c>
      <c r="B29" s="458"/>
      <c r="C29" s="119">
        <f>SUM(C13:C28)</f>
        <v>11258.419999999998</v>
      </c>
      <c r="D29" s="119">
        <f>SUM(D13:D28)</f>
        <v>11195.99</v>
      </c>
      <c r="E29" s="210">
        <f>SUM(E13:E28)</f>
        <v>22454.41</v>
      </c>
      <c r="F29" s="459"/>
      <c r="G29" s="459"/>
      <c r="H29" s="167">
        <f>SUM(H13:H28)</f>
        <v>25785.131600000004</v>
      </c>
      <c r="I29" s="119">
        <f>SUM(I13:I28)</f>
        <v>123467673.05000001</v>
      </c>
      <c r="J29" s="211"/>
    </row>
    <row r="30" spans="1:10" x14ac:dyDescent="0.25">
      <c r="A30" s="84" t="s">
        <v>200</v>
      </c>
      <c r="B30" s="179"/>
      <c r="C30" s="165">
        <f>Virtual!E22</f>
        <v>0</v>
      </c>
      <c r="D30" s="165">
        <f>Virtual!E23</f>
        <v>0</v>
      </c>
      <c r="E30" s="125">
        <f>IF(D$29=0,C30*2,C30+D30)</f>
        <v>0</v>
      </c>
      <c r="F30" s="456">
        <v>0.7</v>
      </c>
      <c r="G30" s="456"/>
      <c r="H30" s="83">
        <f t="shared" si="0"/>
        <v>0</v>
      </c>
      <c r="I30" s="104">
        <f>Virtual!E28</f>
        <v>0</v>
      </c>
    </row>
    <row r="31" spans="1:10" x14ac:dyDescent="0.25">
      <c r="A31" s="457" t="s">
        <v>201</v>
      </c>
      <c r="B31" s="458"/>
      <c r="C31" s="100">
        <f>SUM(C29:C30)</f>
        <v>11258.419999999998</v>
      </c>
      <c r="D31" s="100">
        <f>SUM(D29:D30)</f>
        <v>11195.99</v>
      </c>
      <c r="E31" s="100">
        <f>SUM(E29:E30)</f>
        <v>22454.41</v>
      </c>
      <c r="F31" s="28"/>
      <c r="G31" s="28"/>
      <c r="H31" s="83"/>
      <c r="I31" s="100">
        <f>SUM(I29:I30)</f>
        <v>123467673.05000001</v>
      </c>
    </row>
    <row r="32" spans="1:10" hidden="1" x14ac:dyDescent="0.25">
      <c r="A32" s="27"/>
      <c r="B32" s="27"/>
      <c r="C32" s="104"/>
      <c r="D32" s="104"/>
      <c r="E32" s="104"/>
      <c r="F32" s="28"/>
      <c r="G32" s="28"/>
      <c r="H32" s="83"/>
      <c r="I32" s="104"/>
    </row>
    <row r="33" spans="1:9" hidden="1" x14ac:dyDescent="0.25">
      <c r="A33" s="168" t="s">
        <v>97</v>
      </c>
      <c r="B33" s="27"/>
      <c r="C33" s="104"/>
      <c r="D33" s="104"/>
      <c r="E33" s="104"/>
      <c r="F33" s="28"/>
      <c r="G33" s="28"/>
      <c r="H33" s="83"/>
      <c r="I33" s="104"/>
    </row>
    <row r="34" spans="1:9" hidden="1" x14ac:dyDescent="0.25">
      <c r="A34" s="3"/>
      <c r="B34" s="72"/>
      <c r="C34" s="72"/>
      <c r="D34" s="72"/>
      <c r="E34" s="72"/>
      <c r="F34" s="72"/>
      <c r="G34" s="72"/>
      <c r="H34" s="72"/>
      <c r="I34" s="358" t="s">
        <v>363</v>
      </c>
    </row>
    <row r="35" spans="1:9" hidden="1" x14ac:dyDescent="0.25">
      <c r="A35" s="27"/>
      <c r="B35" s="27"/>
      <c r="C35" s="91" t="s">
        <v>460</v>
      </c>
      <c r="D35" s="370" t="s">
        <v>461</v>
      </c>
      <c r="E35" s="92" t="s">
        <v>8</v>
      </c>
      <c r="F35" s="28"/>
      <c r="G35" s="28"/>
      <c r="H35" s="107"/>
      <c r="I35" s="25" t="s">
        <v>36</v>
      </c>
    </row>
    <row r="36" spans="1:9" hidden="1" x14ac:dyDescent="0.25">
      <c r="A36" s="449" t="s">
        <v>63</v>
      </c>
      <c r="B36" s="449"/>
      <c r="C36" s="361" t="s">
        <v>2</v>
      </c>
      <c r="D36" s="361" t="s">
        <v>2</v>
      </c>
      <c r="E36" s="93" t="s">
        <v>2</v>
      </c>
      <c r="F36" s="108"/>
      <c r="G36" s="108"/>
      <c r="H36" s="108"/>
      <c r="I36" s="32" t="s">
        <v>75</v>
      </c>
    </row>
    <row r="37" spans="1:9" hidden="1" x14ac:dyDescent="0.25">
      <c r="A37" s="453" t="s">
        <v>56</v>
      </c>
      <c r="B37" s="453"/>
      <c r="C37" s="169">
        <f>SUM('0664:4111'!C37)</f>
        <v>0</v>
      </c>
      <c r="D37" s="169">
        <f>SUM('0664:4111'!D37)</f>
        <v>0</v>
      </c>
      <c r="E37" s="210">
        <f>SUM('0664:4111'!E37)</f>
        <v>0</v>
      </c>
      <c r="F37" s="170"/>
      <c r="G37" s="170"/>
      <c r="H37" s="170"/>
      <c r="I37" s="119">
        <f>SUM('0664:4111'!I37)</f>
        <v>0</v>
      </c>
    </row>
    <row r="38" spans="1:9" hidden="1" x14ac:dyDescent="0.25">
      <c r="A38" s="455" t="s">
        <v>57</v>
      </c>
      <c r="B38" s="455"/>
      <c r="C38" s="172">
        <f>SUM('0664:4111'!C38)</f>
        <v>0</v>
      </c>
      <c r="D38" s="172">
        <f>SUM('0664:4111'!D38)</f>
        <v>0</v>
      </c>
      <c r="E38" s="125">
        <f>SUM('0664:4111'!E38)</f>
        <v>0</v>
      </c>
      <c r="F38" s="173"/>
      <c r="G38" s="173"/>
      <c r="H38" s="173"/>
      <c r="I38" s="104">
        <f>SUM('0664:4111'!I38)</f>
        <v>0</v>
      </c>
    </row>
    <row r="39" spans="1:9" hidden="1" x14ac:dyDescent="0.25">
      <c r="A39" s="460" t="s">
        <v>58</v>
      </c>
      <c r="B39" s="460"/>
      <c r="C39" s="172">
        <f>SUM('0664:4111'!C39)</f>
        <v>0</v>
      </c>
      <c r="D39" s="172">
        <f>SUM('0664:4111'!D39)</f>
        <v>0</v>
      </c>
      <c r="E39" s="125">
        <f>SUM('0664:4111'!E39)</f>
        <v>0</v>
      </c>
      <c r="F39" s="173"/>
      <c r="G39" s="173"/>
      <c r="H39" s="173"/>
      <c r="I39" s="104">
        <f>SUM('0664:4111'!I39)</f>
        <v>0</v>
      </c>
    </row>
    <row r="40" spans="1:9" hidden="1" x14ac:dyDescent="0.25">
      <c r="A40" s="455" t="s">
        <v>59</v>
      </c>
      <c r="B40" s="455"/>
      <c r="C40" s="172">
        <f>SUM('0664:4111'!C40)</f>
        <v>0</v>
      </c>
      <c r="D40" s="172">
        <f>SUM('0664:4111'!D40)</f>
        <v>0</v>
      </c>
      <c r="E40" s="125">
        <f>SUM('0664:4111'!E40)</f>
        <v>0</v>
      </c>
      <c r="F40" s="173"/>
      <c r="G40" s="173"/>
      <c r="H40" s="173"/>
      <c r="I40" s="104">
        <f>SUM('0664:4111'!I40)</f>
        <v>0</v>
      </c>
    </row>
    <row r="41" spans="1:9" hidden="1" x14ac:dyDescent="0.25">
      <c r="A41" s="455" t="s">
        <v>60</v>
      </c>
      <c r="B41" s="455"/>
      <c r="C41" s="172">
        <f>SUM('0664:4111'!C41)</f>
        <v>0</v>
      </c>
      <c r="D41" s="172">
        <f>SUM('0664:4111'!D41)</f>
        <v>0</v>
      </c>
      <c r="E41" s="125">
        <f>SUM('0664:4111'!E41)</f>
        <v>0</v>
      </c>
      <c r="F41" s="173"/>
      <c r="G41" s="173"/>
      <c r="H41" s="173"/>
      <c r="I41" s="104">
        <f>SUM('0664:4111'!I41)</f>
        <v>0</v>
      </c>
    </row>
    <row r="42" spans="1:9" hidden="1" x14ac:dyDescent="0.25">
      <c r="A42" s="455" t="s">
        <v>52</v>
      </c>
      <c r="B42" s="455"/>
      <c r="C42" s="171">
        <f>SUM('0664:4111'!C42)</f>
        <v>0</v>
      </c>
      <c r="D42" s="171">
        <f>SUM('0664:4111'!D42)</f>
        <v>0</v>
      </c>
      <c r="E42" s="177">
        <f>SUM('0664:4111'!E42)</f>
        <v>0</v>
      </c>
      <c r="F42" s="173"/>
      <c r="G42" s="173"/>
      <c r="H42" s="173"/>
      <c r="I42" s="97">
        <f>SUM('0664:4111'!I42)</f>
        <v>0</v>
      </c>
    </row>
    <row r="43" spans="1:9" hidden="1" x14ac:dyDescent="0.25">
      <c r="A43" s="3"/>
      <c r="B43" s="55" t="s">
        <v>126</v>
      </c>
      <c r="C43" s="100">
        <f>SUM(C37:C42)</f>
        <v>0</v>
      </c>
      <c r="D43" s="100">
        <f>SUM(D37:D42)</f>
        <v>0</v>
      </c>
      <c r="E43" s="100">
        <f>SUM(E37:E42)</f>
        <v>0</v>
      </c>
      <c r="F43" s="33"/>
      <c r="G43" s="109"/>
      <c r="H43" s="110" t="s">
        <v>128</v>
      </c>
      <c r="I43" s="100">
        <f>SUM(I37:I42)</f>
        <v>0</v>
      </c>
    </row>
    <row r="44" spans="1:9" hidden="1" x14ac:dyDescent="0.25">
      <c r="A44" s="3"/>
      <c r="B44" s="55"/>
      <c r="C44" s="104"/>
      <c r="D44" s="104"/>
      <c r="E44" s="119"/>
      <c r="F44" s="33"/>
      <c r="G44" s="109"/>
      <c r="H44" s="110"/>
      <c r="I44" s="104"/>
    </row>
    <row r="45" spans="1:9" ht="16.5" hidden="1" thickBot="1" x14ac:dyDescent="0.3">
      <c r="A45" s="3"/>
      <c r="B45" s="55" t="s">
        <v>127</v>
      </c>
      <c r="E45" s="174">
        <f>H29+E43</f>
        <v>25785.131600000004</v>
      </c>
      <c r="F45" s="35"/>
      <c r="G45" s="109"/>
      <c r="H45" s="110" t="s">
        <v>129</v>
      </c>
      <c r="I45" s="97">
        <f>SUM(I43,I31)</f>
        <v>123467673.05000001</v>
      </c>
    </row>
    <row r="46" spans="1:9" hidden="1" x14ac:dyDescent="0.25">
      <c r="A46" s="27"/>
      <c r="B46" s="27"/>
      <c r="C46" s="27"/>
      <c r="D46" s="27"/>
      <c r="E46" s="27"/>
      <c r="F46" s="35"/>
      <c r="G46" s="28"/>
      <c r="H46" s="28"/>
      <c r="I46" s="104"/>
    </row>
    <row r="47" spans="1:9" x14ac:dyDescent="0.25">
      <c r="A47" s="27"/>
      <c r="B47" s="27"/>
      <c r="C47" s="27"/>
      <c r="D47" s="27"/>
      <c r="E47" s="27"/>
      <c r="F47" s="35"/>
      <c r="G47" s="28"/>
      <c r="H47" s="28"/>
      <c r="I47" s="104"/>
    </row>
    <row r="48" spans="1:9" x14ac:dyDescent="0.25">
      <c r="A48" s="27"/>
      <c r="B48" s="27"/>
      <c r="C48" s="91" t="s">
        <v>460</v>
      </c>
      <c r="D48" s="370" t="s">
        <v>461</v>
      </c>
      <c r="E48" s="92" t="s">
        <v>8</v>
      </c>
      <c r="F48" s="49" t="s">
        <v>130</v>
      </c>
      <c r="G48" s="112" t="s">
        <v>132</v>
      </c>
      <c r="H48" s="113" t="s">
        <v>133</v>
      </c>
      <c r="I48" s="104"/>
    </row>
    <row r="49" spans="1:11" x14ac:dyDescent="0.25">
      <c r="A49" s="37" t="s">
        <v>87</v>
      </c>
      <c r="B49" s="37"/>
      <c r="C49" s="361" t="s">
        <v>2</v>
      </c>
      <c r="D49" s="361" t="s">
        <v>2</v>
      </c>
      <c r="E49" s="93" t="s">
        <v>2</v>
      </c>
      <c r="F49" s="95" t="s">
        <v>131</v>
      </c>
      <c r="G49" s="62" t="s">
        <v>131</v>
      </c>
      <c r="H49" s="114" t="s">
        <v>134</v>
      </c>
      <c r="I49" s="37"/>
    </row>
    <row r="50" spans="1:11" x14ac:dyDescent="0.25">
      <c r="A50" s="461" t="s">
        <v>98</v>
      </c>
      <c r="B50" s="461"/>
      <c r="C50" s="165">
        <f>SUM('0664:4131'!C50)</f>
        <v>246.55000000000004</v>
      </c>
      <c r="D50" s="165">
        <f>SUM('0664:4131'!D50)</f>
        <v>267.27999999999997</v>
      </c>
      <c r="E50" s="125">
        <f>SUM('0664:4131'!E50)</f>
        <v>513.83000000000004</v>
      </c>
      <c r="F50" s="39" t="s">
        <v>21</v>
      </c>
      <c r="G50" s="39">
        <v>251</v>
      </c>
      <c r="H50" s="248">
        <f>'0664'!H50</f>
        <v>1047</v>
      </c>
      <c r="I50" s="104">
        <f>SUM('0664:4131'!I50)</f>
        <v>537980.01</v>
      </c>
      <c r="J50" s="211"/>
      <c r="K50" s="266"/>
    </row>
    <row r="51" spans="1:11" x14ac:dyDescent="0.25">
      <c r="A51" s="462"/>
      <c r="B51" s="462"/>
      <c r="C51" s="165">
        <f>SUM('0664:4131'!C51)</f>
        <v>38.090000000000003</v>
      </c>
      <c r="D51" s="165">
        <f>SUM('0664:4131'!D51)</f>
        <v>34.64</v>
      </c>
      <c r="E51" s="125">
        <f>SUM('0664:4131'!E51)</f>
        <v>72.72999999999999</v>
      </c>
      <c r="F51" s="39" t="s">
        <v>21</v>
      </c>
      <c r="G51" s="39">
        <v>252</v>
      </c>
      <c r="H51" s="248">
        <f>'0664'!H51</f>
        <v>3380</v>
      </c>
      <c r="I51" s="104">
        <f>SUM('0664:4131'!I51)</f>
        <v>245827.4</v>
      </c>
      <c r="J51" s="211"/>
      <c r="K51" s="266"/>
    </row>
    <row r="52" spans="1:11" x14ac:dyDescent="0.25">
      <c r="A52" s="462"/>
      <c r="B52" s="462"/>
      <c r="C52" s="165">
        <f>SUM('0664:4131'!C52)</f>
        <v>7.24</v>
      </c>
      <c r="D52" s="165">
        <f>SUM('0664:4131'!D52)</f>
        <v>8.42</v>
      </c>
      <c r="E52" s="125">
        <f>SUM('0664:4131'!E52)</f>
        <v>15.66</v>
      </c>
      <c r="F52" s="39" t="s">
        <v>21</v>
      </c>
      <c r="G52" s="39">
        <v>253</v>
      </c>
      <c r="H52" s="248">
        <f>'0664'!H52</f>
        <v>6896</v>
      </c>
      <c r="I52" s="104">
        <f>SUM('0664:4131'!I52)</f>
        <v>107991.36</v>
      </c>
      <c r="J52" s="211"/>
      <c r="K52" s="266"/>
    </row>
    <row r="53" spans="1:11" x14ac:dyDescent="0.25">
      <c r="A53" s="462"/>
      <c r="B53" s="462"/>
      <c r="C53" s="165">
        <f>SUM('0664:4131'!C53)</f>
        <v>588.24</v>
      </c>
      <c r="D53" s="165">
        <f>SUM('0664:4131'!D53)</f>
        <v>562.1400000000001</v>
      </c>
      <c r="E53" s="125">
        <f>SUM('0664:4131'!E53)</f>
        <v>1150.3799999999999</v>
      </c>
      <c r="F53" s="41" t="s">
        <v>14</v>
      </c>
      <c r="G53" s="39">
        <v>251</v>
      </c>
      <c r="H53" s="248">
        <f>'0664'!H53</f>
        <v>1173</v>
      </c>
      <c r="I53" s="104">
        <f>SUM('0664:4131'!I53)</f>
        <v>1349395.7399999998</v>
      </c>
      <c r="J53" s="211"/>
      <c r="K53" s="266"/>
    </row>
    <row r="54" spans="1:11" x14ac:dyDescent="0.25">
      <c r="A54" s="462"/>
      <c r="B54" s="462"/>
      <c r="C54" s="165">
        <f>SUM('0664:4131'!C54)</f>
        <v>44.6</v>
      </c>
      <c r="D54" s="165">
        <f>SUM('0664:4131'!D54)</f>
        <v>46.690000000000005</v>
      </c>
      <c r="E54" s="125">
        <f>SUM('0664:4131'!E54)</f>
        <v>91.29</v>
      </c>
      <c r="F54" s="41" t="s">
        <v>14</v>
      </c>
      <c r="G54" s="39">
        <v>252</v>
      </c>
      <c r="H54" s="248">
        <f>'0664'!H54</f>
        <v>3506</v>
      </c>
      <c r="I54" s="104">
        <f>SUM('0664:4131'!I54)</f>
        <v>320062.73999999993</v>
      </c>
      <c r="J54" s="211"/>
      <c r="K54" s="266"/>
    </row>
    <row r="55" spans="1:11" x14ac:dyDescent="0.25">
      <c r="A55" s="462"/>
      <c r="B55" s="462"/>
      <c r="C55" s="165">
        <f>SUM('0664:4131'!C55)</f>
        <v>15</v>
      </c>
      <c r="D55" s="165">
        <f>SUM('0664:4131'!D55)</f>
        <v>14</v>
      </c>
      <c r="E55" s="125">
        <f>SUM('0664:4131'!E55)</f>
        <v>29</v>
      </c>
      <c r="F55" s="41" t="s">
        <v>14</v>
      </c>
      <c r="G55" s="39">
        <v>253</v>
      </c>
      <c r="H55" s="248">
        <f>'0664'!H55</f>
        <v>7023</v>
      </c>
      <c r="I55" s="104">
        <f>SUM('0664:4131'!I55)</f>
        <v>203667</v>
      </c>
      <c r="J55" s="211"/>
      <c r="K55" s="266"/>
    </row>
    <row r="56" spans="1:11" x14ac:dyDescent="0.25">
      <c r="A56" s="462"/>
      <c r="B56" s="462"/>
      <c r="C56" s="165">
        <f>SUM('0664:4131'!C56)</f>
        <v>396.43000000000006</v>
      </c>
      <c r="D56" s="165">
        <f>SUM('0664:4131'!D56)</f>
        <v>408.64</v>
      </c>
      <c r="E56" s="125">
        <f>SUM('0664:4131'!E56)</f>
        <v>805.07</v>
      </c>
      <c r="F56" s="41" t="s">
        <v>15</v>
      </c>
      <c r="G56" s="39">
        <v>251</v>
      </c>
      <c r="H56" s="248">
        <f>'0664'!H56</f>
        <v>835</v>
      </c>
      <c r="I56" s="104">
        <f>SUM('0664:4131'!I56)</f>
        <v>672233.45</v>
      </c>
      <c r="J56" s="211"/>
      <c r="K56" s="266"/>
    </row>
    <row r="57" spans="1:11" x14ac:dyDescent="0.25">
      <c r="A57" s="462"/>
      <c r="B57" s="462"/>
      <c r="C57" s="165">
        <f>SUM('0664:4131'!C57)</f>
        <v>51.550000000000011</v>
      </c>
      <c r="D57" s="165">
        <f>SUM('0664:4131'!D57)</f>
        <v>52.11</v>
      </c>
      <c r="E57" s="125">
        <f>SUM('0664:4131'!E57)</f>
        <v>103.66</v>
      </c>
      <c r="F57" s="41" t="s">
        <v>15</v>
      </c>
      <c r="G57" s="39">
        <v>252</v>
      </c>
      <c r="H57" s="248">
        <f>'0664'!H57</f>
        <v>3168</v>
      </c>
      <c r="I57" s="104">
        <f>SUM('0664:4131'!I57)</f>
        <v>328394.88000000006</v>
      </c>
      <c r="J57" s="211"/>
      <c r="K57" s="266"/>
    </row>
    <row r="58" spans="1:11" x14ac:dyDescent="0.25">
      <c r="A58" s="462"/>
      <c r="B58" s="462"/>
      <c r="C58" s="165">
        <f>SUM('0664:4131'!C58)</f>
        <v>104.12</v>
      </c>
      <c r="D58" s="165">
        <f>SUM('0664:4131'!D58)</f>
        <v>110.74</v>
      </c>
      <c r="E58" s="125">
        <f>SUM('0664:4131'!E58)</f>
        <v>214.86</v>
      </c>
      <c r="F58" s="41" t="s">
        <v>15</v>
      </c>
      <c r="G58" s="39">
        <v>253</v>
      </c>
      <c r="H58" s="248">
        <f>'0664'!H58</f>
        <v>6685</v>
      </c>
      <c r="I58" s="104">
        <f>SUM('0664:4131'!I58)</f>
        <v>1436339.1</v>
      </c>
      <c r="J58" s="211"/>
      <c r="K58" s="266"/>
    </row>
    <row r="59" spans="1:11" x14ac:dyDescent="0.25">
      <c r="A59" s="463" t="s">
        <v>16</v>
      </c>
      <c r="B59" s="463"/>
      <c r="C59" s="100">
        <f>SUM(C50:C58)</f>
        <v>1491.8200000000002</v>
      </c>
      <c r="D59" s="100">
        <f>SUM(D50:D58)</f>
        <v>1504.6599999999999</v>
      </c>
      <c r="E59" s="100">
        <f>SUM(E50:E58)</f>
        <v>2996.48</v>
      </c>
      <c r="F59" s="463" t="s">
        <v>77</v>
      </c>
      <c r="G59" s="463"/>
      <c r="H59" s="463"/>
      <c r="I59" s="100">
        <f>SUM(I50:I58)</f>
        <v>5201891.68</v>
      </c>
      <c r="J59" s="211"/>
      <c r="K59" s="266"/>
    </row>
    <row r="60" spans="1:11" x14ac:dyDescent="0.25">
      <c r="A60" s="464"/>
      <c r="B60" s="464"/>
      <c r="C60" s="464"/>
      <c r="D60" s="464"/>
      <c r="E60" s="464"/>
      <c r="F60" s="464"/>
      <c r="G60" s="464"/>
      <c r="H60" s="464"/>
      <c r="I60" s="464"/>
    </row>
    <row r="61" spans="1:11" x14ac:dyDescent="0.25">
      <c r="A61" s="465" t="s">
        <v>136</v>
      </c>
      <c r="B61" s="455"/>
      <c r="C61" s="455"/>
      <c r="D61" s="455"/>
      <c r="E61" s="455"/>
      <c r="F61" s="455"/>
      <c r="G61" s="455"/>
      <c r="H61" s="455"/>
      <c r="I61" s="455"/>
    </row>
    <row r="62" spans="1:11" x14ac:dyDescent="0.25">
      <c r="A62" s="465" t="s">
        <v>202</v>
      </c>
      <c r="B62" s="455"/>
      <c r="C62" s="249">
        <f>E29</f>
        <v>22454.41</v>
      </c>
      <c r="D62" s="466" t="s">
        <v>135</v>
      </c>
      <c r="E62" s="466"/>
      <c r="F62" s="466"/>
      <c r="G62" s="466"/>
      <c r="H62" s="140">
        <f>'0664'!H62</f>
        <v>193726.47</v>
      </c>
      <c r="I62" s="122"/>
    </row>
    <row r="63" spans="1:11" x14ac:dyDescent="0.25">
      <c r="B63" s="72"/>
      <c r="G63" s="44" t="s">
        <v>13</v>
      </c>
      <c r="H63" s="123">
        <f>ROUND(C62/H62,6)</f>
        <v>0.115908</v>
      </c>
      <c r="I63" s="124"/>
    </row>
    <row r="64" spans="1:11" x14ac:dyDescent="0.25">
      <c r="A64" s="465" t="s">
        <v>137</v>
      </c>
      <c r="B64" s="455"/>
      <c r="C64" s="455"/>
      <c r="D64" s="455"/>
      <c r="E64" s="455"/>
      <c r="F64" s="455"/>
      <c r="G64" s="455"/>
      <c r="H64" s="455"/>
      <c r="I64" s="455"/>
    </row>
    <row r="65" spans="1:9" x14ac:dyDescent="0.25">
      <c r="A65" s="465" t="s">
        <v>139</v>
      </c>
      <c r="B65" s="455"/>
      <c r="C65" s="249">
        <f>E45</f>
        <v>25785.131600000004</v>
      </c>
      <c r="D65" s="466" t="s">
        <v>140</v>
      </c>
      <c r="E65" s="466"/>
      <c r="F65" s="466"/>
      <c r="G65" s="466"/>
      <c r="H65" s="177">
        <f>'0664'!H65</f>
        <v>217214.58</v>
      </c>
      <c r="I65" s="125"/>
    </row>
    <row r="66" spans="1:9" x14ac:dyDescent="0.25">
      <c r="A66" s="126"/>
      <c r="B66" s="37"/>
      <c r="C66" s="37"/>
      <c r="D66" s="37"/>
      <c r="E66" s="37"/>
      <c r="F66" s="37"/>
      <c r="G66" s="45" t="s">
        <v>13</v>
      </c>
      <c r="H66" s="127">
        <f>ROUND(C65/H65,6)</f>
        <v>0.11870799999999999</v>
      </c>
      <c r="I66" s="127"/>
    </row>
    <row r="67" spans="1:9" x14ac:dyDescent="0.25">
      <c r="G67" s="44"/>
      <c r="H67" s="123"/>
      <c r="I67" s="123"/>
    </row>
    <row r="68" spans="1:9" x14ac:dyDescent="0.25">
      <c r="A68" s="455" t="s">
        <v>85</v>
      </c>
      <c r="B68" s="455"/>
      <c r="C68" s="455"/>
      <c r="D68" s="72"/>
      <c r="E68" s="46" t="s">
        <v>3</v>
      </c>
      <c r="F68" s="136">
        <f>'0664'!F68</f>
        <v>42539472</v>
      </c>
      <c r="G68" s="39" t="s">
        <v>6</v>
      </c>
      <c r="H68" s="131">
        <f>H63</f>
        <v>0.115908</v>
      </c>
      <c r="I68" s="125">
        <f>SUM('0664:4131'!I68)</f>
        <v>4930622.6099999985</v>
      </c>
    </row>
    <row r="69" spans="1:9" x14ac:dyDescent="0.25">
      <c r="A69" s="460" t="s">
        <v>96</v>
      </c>
      <c r="B69" s="455"/>
      <c r="C69" s="455"/>
      <c r="D69" s="72"/>
      <c r="E69" s="46"/>
      <c r="F69" s="136"/>
      <c r="G69" s="39"/>
      <c r="H69" s="131"/>
      <c r="I69" s="125"/>
    </row>
    <row r="70" spans="1:9" x14ac:dyDescent="0.25">
      <c r="A70" s="467" t="s">
        <v>141</v>
      </c>
      <c r="B70" s="455"/>
      <c r="C70" s="455"/>
      <c r="D70" s="72"/>
      <c r="E70" s="46" t="s">
        <v>3</v>
      </c>
      <c r="F70" s="136">
        <f>'0664'!F70</f>
        <v>0</v>
      </c>
      <c r="G70" s="39" t="s">
        <v>6</v>
      </c>
      <c r="H70" s="131">
        <f>H63</f>
        <v>0.115908</v>
      </c>
      <c r="I70" s="125">
        <f>SUM('0664:4131'!I70)</f>
        <v>0</v>
      </c>
    </row>
    <row r="71" spans="1:9" x14ac:dyDescent="0.25">
      <c r="A71" s="465" t="s">
        <v>432</v>
      </c>
      <c r="B71" s="455"/>
      <c r="C71" s="455"/>
      <c r="D71" s="72"/>
      <c r="E71" s="46" t="s">
        <v>3</v>
      </c>
      <c r="F71" s="136">
        <f>'0664'!F71</f>
        <v>13427478</v>
      </c>
      <c r="G71" s="39" t="s">
        <v>6</v>
      </c>
      <c r="H71" s="131">
        <f>H63</f>
        <v>0.115908</v>
      </c>
      <c r="I71" s="125">
        <f>SUM('0664:4131'!I71)</f>
        <v>1556338.72</v>
      </c>
    </row>
    <row r="72" spans="1:9" x14ac:dyDescent="0.25">
      <c r="A72" s="465" t="s">
        <v>433</v>
      </c>
      <c r="B72" s="455"/>
      <c r="C72" s="455"/>
      <c r="D72" s="72"/>
      <c r="E72" s="46" t="s">
        <v>3</v>
      </c>
      <c r="F72" s="136">
        <f>'0664'!F72</f>
        <v>14805238</v>
      </c>
      <c r="G72" s="39" t="s">
        <v>6</v>
      </c>
      <c r="H72" s="131">
        <f>H63</f>
        <v>0.115908</v>
      </c>
      <c r="I72" s="125">
        <f>SUM('0664:4131'!I72)</f>
        <v>1716030.7199999997</v>
      </c>
    </row>
    <row r="73" spans="1:9" x14ac:dyDescent="0.25">
      <c r="A73" s="263" t="s">
        <v>99</v>
      </c>
      <c r="D73" s="72"/>
      <c r="E73" s="41" t="s">
        <v>353</v>
      </c>
      <c r="F73" s="468"/>
      <c r="G73" s="468"/>
      <c r="H73" s="468"/>
      <c r="I73" s="125">
        <f>SUM('0664:4131'!I73)</f>
        <v>0</v>
      </c>
    </row>
    <row r="74" spans="1:9" x14ac:dyDescent="0.25">
      <c r="A74" s="264" t="s">
        <v>142</v>
      </c>
      <c r="I74" s="125">
        <f>SUM('0664:4131'!I74)</f>
        <v>0</v>
      </c>
    </row>
    <row r="75" spans="1:9" x14ac:dyDescent="0.25">
      <c r="A75" s="265" t="s">
        <v>101</v>
      </c>
      <c r="B75" s="72"/>
      <c r="C75" s="72"/>
      <c r="D75" s="72"/>
      <c r="E75" s="72"/>
      <c r="F75" s="72"/>
      <c r="G75" s="72"/>
      <c r="H75" s="72"/>
      <c r="I75" s="176"/>
    </row>
    <row r="76" spans="1:9" x14ac:dyDescent="0.25">
      <c r="A76" s="465" t="s">
        <v>434</v>
      </c>
      <c r="B76" s="455"/>
      <c r="C76" s="455"/>
      <c r="D76" s="72"/>
      <c r="E76" s="46" t="s">
        <v>3</v>
      </c>
      <c r="F76" s="136">
        <f>'0664'!F76</f>
        <v>8726807</v>
      </c>
      <c r="G76" s="39" t="s">
        <v>6</v>
      </c>
      <c r="H76" s="131">
        <f>H63</f>
        <v>0.115908</v>
      </c>
      <c r="I76" s="125">
        <f>SUM('0664:4131'!I76)</f>
        <v>1011498.0400000002</v>
      </c>
    </row>
    <row r="77" spans="1:9" x14ac:dyDescent="0.25">
      <c r="A77" s="465" t="s">
        <v>435</v>
      </c>
      <c r="B77" s="455"/>
      <c r="C77" s="455"/>
      <c r="D77" s="72"/>
      <c r="E77" s="46" t="s">
        <v>3</v>
      </c>
      <c r="F77" s="136">
        <f>'0664'!F77</f>
        <v>0</v>
      </c>
      <c r="G77" s="39" t="s">
        <v>6</v>
      </c>
      <c r="H77" s="131">
        <f>H63</f>
        <v>0.115908</v>
      </c>
      <c r="I77" s="125">
        <f>SUM('0664:4131'!I77)</f>
        <v>0</v>
      </c>
    </row>
    <row r="78" spans="1:9" x14ac:dyDescent="0.25">
      <c r="A78" s="465" t="s">
        <v>436</v>
      </c>
      <c r="B78" s="455"/>
      <c r="C78" s="455"/>
      <c r="D78" s="72"/>
      <c r="E78" s="46" t="s">
        <v>4</v>
      </c>
      <c r="F78" s="136">
        <f>'0664'!F78</f>
        <v>0</v>
      </c>
      <c r="G78" s="39" t="s">
        <v>6</v>
      </c>
      <c r="H78" s="131">
        <f>H66</f>
        <v>0.11870799999999999</v>
      </c>
      <c r="I78" s="125">
        <f>SUM('0664:4131'!I78)</f>
        <v>0</v>
      </c>
    </row>
    <row r="79" spans="1:9" x14ac:dyDescent="0.25">
      <c r="A79" s="465" t="s">
        <v>437</v>
      </c>
      <c r="B79" s="455"/>
      <c r="C79" s="455"/>
      <c r="D79" s="72"/>
      <c r="E79" s="46" t="s">
        <v>4</v>
      </c>
      <c r="F79" s="136">
        <f>'0664'!F79</f>
        <v>11286897</v>
      </c>
      <c r="G79" s="39" t="s">
        <v>6</v>
      </c>
      <c r="H79" s="131">
        <f>H66</f>
        <v>0.11870799999999999</v>
      </c>
      <c r="I79" s="125">
        <f>SUM('0664:4131'!I79)</f>
        <v>1339833.6799999997</v>
      </c>
    </row>
    <row r="80" spans="1:9" x14ac:dyDescent="0.25">
      <c r="A80" s="465" t="s">
        <v>438</v>
      </c>
      <c r="B80" s="455"/>
      <c r="C80" s="455"/>
      <c r="D80" s="72"/>
      <c r="E80" s="46" t="s">
        <v>4</v>
      </c>
      <c r="F80" s="136">
        <f>'0664'!F80</f>
        <v>206284749</v>
      </c>
      <c r="G80" s="39" t="s">
        <v>6</v>
      </c>
      <c r="H80" s="131">
        <f>H66</f>
        <v>0.11870799999999999</v>
      </c>
      <c r="I80" s="125">
        <f>SUM('0664:4131'!I80)</f>
        <v>24487443.72000001</v>
      </c>
    </row>
    <row r="81" spans="1:11" x14ac:dyDescent="0.25">
      <c r="A81" s="84" t="s">
        <v>439</v>
      </c>
      <c r="B81" s="72"/>
      <c r="C81" s="72"/>
      <c r="D81" s="72"/>
      <c r="E81" s="46"/>
      <c r="F81" s="136"/>
      <c r="G81" s="39"/>
      <c r="H81" s="131"/>
      <c r="I81" s="125"/>
    </row>
    <row r="82" spans="1:11" x14ac:dyDescent="0.25">
      <c r="A82" s="264" t="s">
        <v>440</v>
      </c>
      <c r="B82" s="72"/>
      <c r="C82" s="72"/>
      <c r="D82" s="72"/>
      <c r="E82" s="46" t="s">
        <v>441</v>
      </c>
      <c r="F82" s="136">
        <v>0</v>
      </c>
      <c r="G82" s="39" t="s">
        <v>6</v>
      </c>
      <c r="H82" s="131">
        <f>H66</f>
        <v>0.11870799999999999</v>
      </c>
      <c r="I82" s="125">
        <f>SUM('0664:4131'!I82)</f>
        <v>4409274.6099999994</v>
      </c>
    </row>
    <row r="83" spans="1:11" x14ac:dyDescent="0.25">
      <c r="A83" s="264" t="s">
        <v>442</v>
      </c>
      <c r="B83" s="72"/>
      <c r="C83" s="72"/>
      <c r="D83" s="72"/>
      <c r="E83" s="46" t="s">
        <v>441</v>
      </c>
      <c r="F83" s="136">
        <v>0</v>
      </c>
      <c r="G83" s="39" t="s">
        <v>6</v>
      </c>
      <c r="H83" s="131">
        <f>H66</f>
        <v>0.11870799999999999</v>
      </c>
      <c r="I83" s="125">
        <f>SUM('0664:4131'!I83)</f>
        <v>1923836.6899999997</v>
      </c>
    </row>
    <row r="84" spans="1:11" x14ac:dyDescent="0.25">
      <c r="A84" s="417" t="s">
        <v>443</v>
      </c>
      <c r="B84" s="72"/>
      <c r="C84" s="72"/>
      <c r="D84" s="72"/>
      <c r="E84" s="46"/>
      <c r="F84" s="136"/>
      <c r="G84" s="39"/>
      <c r="H84" s="131"/>
      <c r="I84" s="125">
        <f>SUM('0664:4131'!I84)</f>
        <v>6333111.3000000017</v>
      </c>
    </row>
    <row r="85" spans="1:11" x14ac:dyDescent="0.25">
      <c r="A85" s="465" t="s">
        <v>398</v>
      </c>
      <c r="B85" s="455"/>
      <c r="C85" s="455"/>
      <c r="D85" s="72"/>
      <c r="E85" s="46" t="s">
        <v>4</v>
      </c>
      <c r="F85" s="136">
        <f>'0664'!F85</f>
        <v>0</v>
      </c>
      <c r="G85" s="39" t="s">
        <v>6</v>
      </c>
      <c r="H85" s="131">
        <f>H66</f>
        <v>0.11870799999999999</v>
      </c>
      <c r="I85" s="125">
        <f>SUM('0664:4131'!I85)</f>
        <v>0</v>
      </c>
    </row>
    <row r="86" spans="1:11" x14ac:dyDescent="0.25">
      <c r="B86" s="72"/>
      <c r="C86" s="72"/>
      <c r="D86" s="72"/>
      <c r="E86" s="46"/>
      <c r="F86" s="136"/>
      <c r="G86" s="39"/>
      <c r="H86" s="131"/>
      <c r="I86" s="104"/>
    </row>
    <row r="87" spans="1:11" x14ac:dyDescent="0.25">
      <c r="A87" s="465" t="s">
        <v>444</v>
      </c>
      <c r="B87" s="455"/>
      <c r="C87" s="455"/>
      <c r="D87" s="455"/>
      <c r="E87" s="455"/>
      <c r="F87" s="455"/>
      <c r="G87" s="455"/>
      <c r="H87" s="455"/>
      <c r="I87" s="455"/>
    </row>
    <row r="88" spans="1:11" x14ac:dyDescent="0.25">
      <c r="B88" s="72"/>
      <c r="C88" s="468" t="s">
        <v>73</v>
      </c>
      <c r="D88" s="468"/>
      <c r="E88" s="72"/>
      <c r="F88" s="41" t="s">
        <v>37</v>
      </c>
      <c r="G88" s="72"/>
      <c r="H88" s="72"/>
      <c r="I88" s="72"/>
    </row>
    <row r="89" spans="1:11" x14ac:dyDescent="0.25">
      <c r="A89" s="3"/>
      <c r="B89" s="138"/>
      <c r="C89" s="464" t="s">
        <v>144</v>
      </c>
      <c r="D89" s="464"/>
      <c r="E89" s="139" t="s">
        <v>150</v>
      </c>
      <c r="F89" s="140" t="s">
        <v>149</v>
      </c>
      <c r="G89" s="141"/>
      <c r="H89" s="141"/>
      <c r="I89" s="141"/>
    </row>
    <row r="90" spans="1:11" x14ac:dyDescent="0.25">
      <c r="A90" s="27"/>
      <c r="B90" s="55" t="s">
        <v>148</v>
      </c>
      <c r="C90" s="469">
        <f>H13+H14+H19+H22+H25</f>
        <v>8060.8409999999994</v>
      </c>
      <c r="D90" s="469"/>
      <c r="E90" s="49">
        <f>H8</f>
        <v>1.0438000000000001</v>
      </c>
      <c r="F90" s="148">
        <f>'0664'!F90</f>
        <v>957.94</v>
      </c>
      <c r="G90" s="41" t="s">
        <v>13</v>
      </c>
      <c r="H90" s="104">
        <f>SUM('0664:4131'!H90)</f>
        <v>8060016.96</v>
      </c>
      <c r="I90" s="107"/>
    </row>
    <row r="91" spans="1:11" x14ac:dyDescent="0.25">
      <c r="A91" s="52"/>
      <c r="B91" s="52" t="s">
        <v>147</v>
      </c>
      <c r="C91" s="469">
        <f>H15+H16+H20+H23+H26</f>
        <v>10182.920099999999</v>
      </c>
      <c r="D91" s="469"/>
      <c r="E91" s="49">
        <f>H8</f>
        <v>1.0438000000000001</v>
      </c>
      <c r="F91" s="148">
        <f>'0664'!F91</f>
        <v>914.63</v>
      </c>
      <c r="G91" s="41" t="s">
        <v>13</v>
      </c>
      <c r="H91" s="104">
        <f>SUM('0664:4131'!H91)</f>
        <v>9721540.0700000003</v>
      </c>
    </row>
    <row r="92" spans="1:11" x14ac:dyDescent="0.25">
      <c r="A92" s="55"/>
      <c r="B92" s="55" t="s">
        <v>146</v>
      </c>
      <c r="C92" s="469">
        <f>H17+H18+H21+H24+H27+H28</f>
        <v>7541.3705000000009</v>
      </c>
      <c r="D92" s="469"/>
      <c r="E92" s="49">
        <f>H8</f>
        <v>1.0438000000000001</v>
      </c>
      <c r="F92" s="148">
        <f>'0664'!F92</f>
        <v>916.84</v>
      </c>
      <c r="G92" s="41" t="s">
        <v>13</v>
      </c>
      <c r="H92" s="97">
        <f>SUM('0664:4131'!H92)</f>
        <v>7217073.9000000004</v>
      </c>
      <c r="K92" s="280"/>
    </row>
    <row r="93" spans="1:11" ht="16.5" thickBot="1" x14ac:dyDescent="0.3">
      <c r="A93" s="58"/>
      <c r="B93" s="142" t="s">
        <v>145</v>
      </c>
      <c r="C93" s="471">
        <f>SUM(C90:C92)</f>
        <v>25785.131600000001</v>
      </c>
      <c r="D93" s="471"/>
      <c r="E93" s="143"/>
      <c r="F93" s="143"/>
      <c r="G93" s="143"/>
      <c r="H93" s="144" t="s">
        <v>143</v>
      </c>
      <c r="I93" s="104">
        <f>SUM('0664:4131'!I93)</f>
        <v>24998630.93</v>
      </c>
      <c r="J93" s="266">
        <f>I93-SUM(H90:H92)</f>
        <v>0</v>
      </c>
      <c r="K93" s="280"/>
    </row>
    <row r="94" spans="1:11" ht="16.5" thickTop="1" x14ac:dyDescent="0.25">
      <c r="A94" s="472" t="s">
        <v>90</v>
      </c>
      <c r="B94" s="472"/>
      <c r="C94" s="472"/>
      <c r="D94" s="472"/>
      <c r="E94" s="472"/>
      <c r="F94" s="472"/>
      <c r="G94" s="472"/>
      <c r="H94" s="472"/>
      <c r="I94" s="472"/>
    </row>
    <row r="95" spans="1:11" x14ac:dyDescent="0.25">
      <c r="A95" s="145"/>
      <c r="B95" s="145"/>
      <c r="C95" s="145"/>
      <c r="D95" s="145"/>
      <c r="E95" s="145"/>
      <c r="F95" s="145"/>
      <c r="G95" s="145"/>
      <c r="H95" s="145"/>
      <c r="I95" s="145"/>
    </row>
    <row r="96" spans="1:11" x14ac:dyDescent="0.25">
      <c r="A96" s="84" t="s">
        <v>445</v>
      </c>
      <c r="C96" s="46"/>
      <c r="D96" s="72"/>
      <c r="E96" s="46" t="s">
        <v>100</v>
      </c>
      <c r="F96" s="473"/>
      <c r="G96" s="473"/>
      <c r="H96" s="473"/>
      <c r="I96" s="473"/>
    </row>
    <row r="97" spans="1:18" x14ac:dyDescent="0.25">
      <c r="B97" s="72"/>
      <c r="C97" s="91" t="s">
        <v>460</v>
      </c>
      <c r="D97" s="370" t="s">
        <v>461</v>
      </c>
      <c r="E97" s="92" t="s">
        <v>151</v>
      </c>
      <c r="F97" s="46"/>
      <c r="G97" s="46"/>
      <c r="H97" s="46"/>
      <c r="I97" s="46"/>
    </row>
    <row r="98" spans="1:18" x14ac:dyDescent="0.25">
      <c r="B98" s="72"/>
      <c r="C98" s="361" t="s">
        <v>2</v>
      </c>
      <c r="D98" s="361" t="s">
        <v>2</v>
      </c>
      <c r="E98" s="93" t="s">
        <v>2</v>
      </c>
      <c r="F98" s="46"/>
      <c r="G98" s="46"/>
      <c r="H98" s="46"/>
      <c r="I98" s="46"/>
    </row>
    <row r="99" spans="1:18" x14ac:dyDescent="0.25">
      <c r="A99" s="463" t="s">
        <v>65</v>
      </c>
      <c r="B99" s="463"/>
      <c r="C99" s="165">
        <f>SUM('0664:4131'!C99)</f>
        <v>3524</v>
      </c>
      <c r="D99" s="165">
        <f>SUM('0664:4131'!D99)</f>
        <v>3413</v>
      </c>
      <c r="E99" s="125">
        <f>(C99+D99)/2</f>
        <v>3468.5</v>
      </c>
      <c r="F99" s="148" t="s">
        <v>39</v>
      </c>
      <c r="G99" s="151">
        <f>'0664'!G99</f>
        <v>544</v>
      </c>
      <c r="I99" s="125">
        <f>SUM('0664:4131'!I99)</f>
        <v>1886864</v>
      </c>
    </row>
    <row r="100" spans="1:18" x14ac:dyDescent="0.25">
      <c r="A100" s="463" t="s">
        <v>81</v>
      </c>
      <c r="B100" s="463"/>
      <c r="C100" s="165">
        <f>SUM('0664:4131'!C100)</f>
        <v>5</v>
      </c>
      <c r="D100" s="165">
        <f>SUM('0664:4131'!D100)</f>
        <v>1</v>
      </c>
      <c r="E100" s="125">
        <f>(C100+D100)/2</f>
        <v>3</v>
      </c>
      <c r="F100" s="148" t="s">
        <v>39</v>
      </c>
      <c r="G100" s="151">
        <f>'0664'!G100</f>
        <v>1697</v>
      </c>
      <c r="I100" s="125">
        <f>SUM('0664:4131'!I100)</f>
        <v>5091</v>
      </c>
    </row>
    <row r="101" spans="1:18" x14ac:dyDescent="0.25">
      <c r="A101" s="149"/>
      <c r="B101" s="149"/>
      <c r="C101" s="68"/>
      <c r="D101" s="68"/>
      <c r="E101" s="68"/>
      <c r="F101" s="68"/>
      <c r="G101" s="150"/>
      <c r="H101" s="151"/>
      <c r="I101" s="125"/>
      <c r="R101" s="280"/>
    </row>
    <row r="102" spans="1:18" x14ac:dyDescent="0.25">
      <c r="A102" s="149"/>
      <c r="B102" s="149"/>
      <c r="C102" s="68"/>
      <c r="D102" s="68"/>
      <c r="E102" s="68"/>
      <c r="F102" s="68"/>
      <c r="G102" s="150"/>
      <c r="H102" s="151"/>
      <c r="I102" s="125"/>
      <c r="R102" s="280"/>
    </row>
    <row r="103" spans="1:18" x14ac:dyDescent="0.25">
      <c r="A103" s="465" t="s">
        <v>446</v>
      </c>
      <c r="B103" s="455"/>
      <c r="C103" s="455"/>
      <c r="D103" s="72"/>
      <c r="E103" s="41" t="s">
        <v>41</v>
      </c>
      <c r="F103" s="468"/>
      <c r="G103" s="468"/>
      <c r="H103" s="468"/>
      <c r="I103" s="468"/>
    </row>
    <row r="104" spans="1:18" x14ac:dyDescent="0.25">
      <c r="B104" s="72"/>
      <c r="C104" s="464" t="s">
        <v>91</v>
      </c>
      <c r="D104" s="464"/>
      <c r="E104" s="464"/>
      <c r="F104" s="39"/>
      <c r="G104" s="39"/>
      <c r="H104" s="41" t="s">
        <v>152</v>
      </c>
      <c r="I104" s="39"/>
    </row>
    <row r="105" spans="1:18" x14ac:dyDescent="0.25">
      <c r="B105" s="72"/>
      <c r="C105" s="91" t="s">
        <v>460</v>
      </c>
      <c r="D105" s="370" t="s">
        <v>461</v>
      </c>
      <c r="E105" s="159" t="s">
        <v>8</v>
      </c>
      <c r="F105" s="466" t="s">
        <v>153</v>
      </c>
      <c r="G105" s="468"/>
      <c r="H105" s="39" t="s">
        <v>38</v>
      </c>
      <c r="I105" s="39"/>
    </row>
    <row r="106" spans="1:18" x14ac:dyDescent="0.25">
      <c r="A106" s="464" t="s">
        <v>94</v>
      </c>
      <c r="B106" s="464"/>
      <c r="C106" s="361" t="s">
        <v>2</v>
      </c>
      <c r="D106" s="361" t="s">
        <v>2</v>
      </c>
      <c r="E106" s="62" t="s">
        <v>2</v>
      </c>
      <c r="F106" s="464" t="s">
        <v>37</v>
      </c>
      <c r="G106" s="464"/>
      <c r="H106" s="62" t="s">
        <v>37</v>
      </c>
      <c r="I106" s="62" t="s">
        <v>8</v>
      </c>
    </row>
    <row r="107" spans="1:18" x14ac:dyDescent="0.25">
      <c r="A107" s="475" t="s">
        <v>69</v>
      </c>
      <c r="B107" s="475"/>
      <c r="C107" s="163">
        <f>SUM('0664:4111'!C107)</f>
        <v>0</v>
      </c>
      <c r="D107" s="163">
        <f>SUM('0664:4111'!D107)</f>
        <v>0</v>
      </c>
      <c r="E107" s="210">
        <f>SUM('0664:4111'!E107)</f>
        <v>0</v>
      </c>
      <c r="F107" s="476">
        <v>0</v>
      </c>
      <c r="G107" s="476"/>
      <c r="H107" s="250">
        <f>IF(C107=0,0,125)</f>
        <v>0</v>
      </c>
      <c r="I107" s="125">
        <f>SUM('0664:4111'!I107)</f>
        <v>0</v>
      </c>
    </row>
    <row r="108" spans="1:18" x14ac:dyDescent="0.25">
      <c r="A108" s="458" t="s">
        <v>70</v>
      </c>
      <c r="B108" s="458"/>
      <c r="C108" s="165">
        <f>SUM('0664:4111'!C108)</f>
        <v>0</v>
      </c>
      <c r="D108" s="165">
        <f>SUM('0664:4111'!D108)</f>
        <v>0</v>
      </c>
      <c r="E108" s="125">
        <f>SUM('0664:4111'!E108)</f>
        <v>0</v>
      </c>
      <c r="F108" s="470">
        <f>ROUND(F107/2,2)</f>
        <v>0</v>
      </c>
      <c r="G108" s="470"/>
      <c r="H108" s="250">
        <f>IF(C108=0,0,62.5)</f>
        <v>0</v>
      </c>
      <c r="I108" s="125">
        <f>SUM('0664:4111'!I108)</f>
        <v>0</v>
      </c>
    </row>
    <row r="109" spans="1:18" x14ac:dyDescent="0.25">
      <c r="A109" s="458" t="s">
        <v>71</v>
      </c>
      <c r="B109" s="458"/>
      <c r="C109" s="165">
        <f>SUM('0664:4111'!C109)</f>
        <v>0</v>
      </c>
      <c r="D109" s="165">
        <f>SUM('0664:4111'!D109)</f>
        <v>0</v>
      </c>
      <c r="E109" s="125">
        <f>SUM('0664:4111'!E109)</f>
        <v>0</v>
      </c>
      <c r="F109" s="477"/>
      <c r="G109" s="477"/>
      <c r="H109" s="251">
        <f>IF(H107&gt;0,436,0)</f>
        <v>0</v>
      </c>
      <c r="I109" s="104">
        <f>SUM('0664:4111'!I109)</f>
        <v>0</v>
      </c>
    </row>
    <row r="110" spans="1:18" x14ac:dyDescent="0.25">
      <c r="A110" s="468" t="s">
        <v>8</v>
      </c>
      <c r="B110" s="468"/>
      <c r="C110" s="68"/>
      <c r="D110" s="68"/>
      <c r="E110" s="68"/>
      <c r="F110" s="68"/>
      <c r="G110" s="68"/>
      <c r="H110" s="68"/>
      <c r="I110" s="100">
        <f>SUM(I107:I109)</f>
        <v>0</v>
      </c>
    </row>
    <row r="111" spans="1:18" x14ac:dyDescent="0.25">
      <c r="A111" s="39"/>
      <c r="B111" s="39"/>
      <c r="C111" s="68"/>
      <c r="D111" s="68"/>
      <c r="E111" s="68"/>
      <c r="F111" s="68"/>
      <c r="G111" s="68"/>
      <c r="H111" s="68"/>
      <c r="I111" s="104"/>
    </row>
    <row r="112" spans="1:18" x14ac:dyDescent="0.25">
      <c r="A112" s="84" t="s">
        <v>447</v>
      </c>
      <c r="E112" s="71" t="s">
        <v>354</v>
      </c>
      <c r="F112" s="474"/>
      <c r="G112" s="474"/>
      <c r="H112" s="474"/>
      <c r="I112" s="125">
        <f>SUM('0664:4111'!I112)</f>
        <v>0</v>
      </c>
    </row>
    <row r="113" spans="1:18" x14ac:dyDescent="0.25">
      <c r="A113" s="465" t="s">
        <v>448</v>
      </c>
      <c r="B113" s="455"/>
      <c r="C113" s="455"/>
      <c r="D113" s="72"/>
      <c r="E113" s="71" t="s">
        <v>45</v>
      </c>
      <c r="F113" s="474"/>
      <c r="G113" s="474"/>
      <c r="H113" s="474"/>
      <c r="I113" s="177">
        <f>SUM('0664:4111'!I113)</f>
        <v>0</v>
      </c>
    </row>
    <row r="114" spans="1:18" x14ac:dyDescent="0.25">
      <c r="B114" s="72"/>
      <c r="C114" s="72"/>
      <c r="D114" s="72"/>
      <c r="E114" s="71"/>
      <c r="F114" s="71"/>
      <c r="G114" s="71"/>
      <c r="H114" s="71"/>
      <c r="I114" s="125"/>
    </row>
    <row r="115" spans="1:18" x14ac:dyDescent="0.25">
      <c r="A115" s="463" t="s">
        <v>8</v>
      </c>
      <c r="B115" s="463"/>
      <c r="C115" s="463"/>
      <c r="D115" s="463"/>
      <c r="E115" s="463"/>
      <c r="F115" s="463"/>
      <c r="G115" s="463"/>
      <c r="H115" s="463"/>
      <c r="I115" s="97">
        <f>I31+I59+I68+I70+I71+I72+I73+I74+I76+I77+I78+I79+I80+I82+I83+I85+I93+I99+I100+I110+I112+I113</f>
        <v>196935029.45000005</v>
      </c>
      <c r="J115" s="125">
        <f>SUM('0664:4131'!I115)+Virtual!E28-I115</f>
        <v>0</v>
      </c>
      <c r="R115" s="280"/>
    </row>
    <row r="116" spans="1:18" x14ac:dyDescent="0.25">
      <c r="A116" s="27"/>
      <c r="B116" s="27"/>
      <c r="C116" s="27"/>
      <c r="D116" s="27"/>
      <c r="E116" s="27"/>
      <c r="F116" s="27"/>
      <c r="G116" s="27"/>
      <c r="H116" s="27"/>
      <c r="I116" s="104"/>
      <c r="J116" s="125"/>
      <c r="R116" s="280"/>
    </row>
    <row r="117" spans="1:18" x14ac:dyDescent="0.25">
      <c r="A117" s="84" t="s">
        <v>465</v>
      </c>
      <c r="B117" s="27"/>
      <c r="C117" s="27"/>
      <c r="D117" s="27"/>
      <c r="E117" s="27"/>
      <c r="F117" s="27"/>
      <c r="G117" s="27"/>
      <c r="H117" s="27"/>
      <c r="I117" s="104">
        <f>SUM('0664:4131'!I117)</f>
        <v>190601918.14999998</v>
      </c>
      <c r="J117" s="125"/>
      <c r="R117" s="280"/>
    </row>
    <row r="118" spans="1:18" x14ac:dyDescent="0.25">
      <c r="A118" s="27"/>
      <c r="B118" s="27"/>
      <c r="C118" s="27"/>
      <c r="D118" s="27"/>
      <c r="E118" s="27"/>
      <c r="F118" s="27"/>
      <c r="G118" s="27"/>
      <c r="H118" s="27"/>
      <c r="I118" s="104"/>
      <c r="J118" s="125"/>
      <c r="R118" s="280"/>
    </row>
    <row r="119" spans="1:18" x14ac:dyDescent="0.25">
      <c r="A119" s="465" t="s">
        <v>464</v>
      </c>
      <c r="B119" s="455"/>
      <c r="C119" s="455"/>
      <c r="D119" s="455"/>
      <c r="E119" s="455"/>
      <c r="F119" s="455"/>
      <c r="G119" s="455"/>
      <c r="H119" s="84" t="s">
        <v>394</v>
      </c>
      <c r="I119" s="156"/>
      <c r="R119" s="280"/>
    </row>
    <row r="120" spans="1:18" x14ac:dyDescent="0.25">
      <c r="A120" s="455" t="s">
        <v>95</v>
      </c>
      <c r="B120" s="455"/>
      <c r="C120" s="455"/>
      <c r="D120" s="455"/>
      <c r="E120" s="455"/>
      <c r="F120" s="455"/>
      <c r="G120" s="455"/>
      <c r="H120" s="73"/>
      <c r="I120" s="125">
        <f>SUM('0664:4131'!I120)</f>
        <v>7374090</v>
      </c>
    </row>
    <row r="121" spans="1:18" x14ac:dyDescent="0.25">
      <c r="B121" s="72"/>
      <c r="C121" s="72"/>
      <c r="D121" s="72"/>
      <c r="E121" s="72"/>
      <c r="F121" s="72"/>
      <c r="G121" s="72"/>
      <c r="H121" s="68"/>
      <c r="I121" s="104"/>
    </row>
    <row r="122" spans="1:18" x14ac:dyDescent="0.25">
      <c r="A122" s="3" t="s">
        <v>102</v>
      </c>
      <c r="B122" s="72"/>
      <c r="C122" s="72"/>
      <c r="D122" s="72"/>
      <c r="E122" s="72"/>
      <c r="F122" s="72"/>
      <c r="G122" s="72"/>
      <c r="H122" s="161">
        <f>IF(H120=1,I120,I115)</f>
        <v>196935029.45000005</v>
      </c>
      <c r="I122" s="97">
        <f>SUM('0664:4131'!I122)+Virtual!E29</f>
        <v>-3102222.8400000008</v>
      </c>
    </row>
    <row r="123" spans="1:18" x14ac:dyDescent="0.25">
      <c r="B123" s="72"/>
      <c r="C123" s="72"/>
      <c r="D123" s="72"/>
      <c r="E123" s="72"/>
      <c r="F123" s="72"/>
      <c r="G123" s="72"/>
      <c r="H123" s="68"/>
      <c r="I123" s="104"/>
    </row>
    <row r="124" spans="1:18" x14ac:dyDescent="0.25">
      <c r="A124" s="3" t="s">
        <v>103</v>
      </c>
      <c r="B124" s="72"/>
      <c r="C124" s="72"/>
      <c r="D124" s="72"/>
      <c r="E124" s="72"/>
      <c r="F124" s="72"/>
      <c r="G124" s="72"/>
      <c r="H124" s="68"/>
      <c r="I124" s="104">
        <f>I115+I122</f>
        <v>193832806.61000004</v>
      </c>
      <c r="J124" s="125">
        <f>SUM('0664:4131'!I124)+Virtual!E30-I124</f>
        <v>0</v>
      </c>
    </row>
    <row r="125" spans="1:18" x14ac:dyDescent="0.25">
      <c r="B125" s="72"/>
      <c r="C125" s="72"/>
      <c r="D125" s="72"/>
      <c r="E125" s="72"/>
      <c r="F125" s="72"/>
      <c r="G125" s="72"/>
      <c r="H125" s="68"/>
      <c r="I125" s="104"/>
    </row>
    <row r="126" spans="1:18" x14ac:dyDescent="0.25">
      <c r="A126" s="3" t="s">
        <v>104</v>
      </c>
      <c r="B126" s="72"/>
      <c r="C126" s="72"/>
      <c r="D126" s="72"/>
      <c r="E126" s="72"/>
      <c r="F126" s="72"/>
      <c r="G126" s="72"/>
      <c r="H126" s="68"/>
      <c r="I126" s="97">
        <f>SUM('0664:4131'!I126)+Virtual!E32</f>
        <v>-193721379.41000003</v>
      </c>
      <c r="J126" s="421">
        <v>-15066398.77</v>
      </c>
      <c r="K126" s="421">
        <f>J126-I126</f>
        <v>178654980.64000002</v>
      </c>
      <c r="L126" s="421">
        <f>K126/2</f>
        <v>89327490.320000008</v>
      </c>
    </row>
    <row r="127" spans="1:18" x14ac:dyDescent="0.25">
      <c r="B127" s="72"/>
      <c r="C127" s="72"/>
      <c r="D127" s="72"/>
      <c r="E127" s="72"/>
      <c r="F127" s="72"/>
      <c r="G127" s="72"/>
      <c r="H127" s="68"/>
      <c r="I127" s="104"/>
      <c r="J127" s="211"/>
    </row>
    <row r="128" spans="1:18" x14ac:dyDescent="0.25">
      <c r="A128" s="72" t="s">
        <v>297</v>
      </c>
      <c r="B128" s="72"/>
      <c r="C128" s="72"/>
      <c r="D128" s="72"/>
      <c r="E128" s="72"/>
      <c r="F128" s="72"/>
      <c r="G128" s="72"/>
      <c r="H128" s="68"/>
      <c r="I128" s="104">
        <f>I124+I126</f>
        <v>111427.20000001788</v>
      </c>
      <c r="J128" s="266"/>
      <c r="L128" s="266"/>
    </row>
    <row r="129" spans="1:13" x14ac:dyDescent="0.25">
      <c r="B129" s="72"/>
      <c r="C129" s="72"/>
      <c r="D129" s="72"/>
      <c r="E129" s="72"/>
      <c r="F129" s="72"/>
      <c r="G129" s="72"/>
      <c r="H129" s="68"/>
      <c r="I129" s="104"/>
    </row>
    <row r="130" spans="1:13" ht="16.5" customHeight="1" x14ac:dyDescent="0.25">
      <c r="A130" s="72" t="s">
        <v>298</v>
      </c>
      <c r="B130" s="72"/>
      <c r="C130" s="72"/>
      <c r="D130" s="72"/>
      <c r="E130" s="72"/>
      <c r="F130" s="72"/>
      <c r="G130" s="72"/>
      <c r="H130" s="68"/>
      <c r="I130" s="297">
        <f>'0664'!I130</f>
        <v>1</v>
      </c>
      <c r="L130" s="280"/>
    </row>
    <row r="131" spans="1:13" x14ac:dyDescent="0.25">
      <c r="B131" s="72"/>
      <c r="C131" s="72"/>
      <c r="D131" s="72"/>
      <c r="E131" s="72"/>
      <c r="F131" s="72"/>
      <c r="G131" s="72"/>
      <c r="H131" s="68"/>
      <c r="I131" s="104"/>
      <c r="L131" s="280"/>
    </row>
    <row r="132" spans="1:13" ht="16.5" thickBot="1" x14ac:dyDescent="0.3">
      <c r="A132" s="3" t="s">
        <v>105</v>
      </c>
      <c r="B132" s="72"/>
      <c r="C132" s="72"/>
      <c r="D132" s="72"/>
      <c r="E132" s="72"/>
      <c r="F132" s="72"/>
      <c r="G132" s="72"/>
      <c r="H132" s="68"/>
      <c r="I132" s="178">
        <f>SUM('0664:4131'!I132)+Virtual!E38</f>
        <v>111427.20000000001</v>
      </c>
      <c r="J132" s="125">
        <f>ROUND(SUM('0664:4131'!I132)+Virtual!E38-I132,2)</f>
        <v>0</v>
      </c>
    </row>
    <row r="133" spans="1:13" ht="16.5" thickTop="1" x14ac:dyDescent="0.25">
      <c r="B133" s="72"/>
      <c r="C133" s="72"/>
      <c r="D133" s="72"/>
      <c r="E133" s="72"/>
      <c r="F133" s="72"/>
      <c r="G133" s="72"/>
      <c r="H133" s="68"/>
      <c r="I133" s="104"/>
      <c r="M133" s="280"/>
    </row>
    <row r="134" spans="1:13" ht="16.5" thickBot="1" x14ac:dyDescent="0.3">
      <c r="A134" s="3" t="s">
        <v>121</v>
      </c>
      <c r="B134" s="72"/>
      <c r="C134" s="72"/>
      <c r="D134" s="72"/>
      <c r="E134" s="72"/>
      <c r="F134" s="72"/>
      <c r="G134" s="72"/>
      <c r="H134" s="68"/>
      <c r="I134" s="155">
        <f>SUM('0664:4131'!I134)</f>
        <v>3645814.5667999997</v>
      </c>
      <c r="M134" s="280"/>
    </row>
    <row r="135" spans="1:13" ht="16.5" thickTop="1" x14ac:dyDescent="0.25">
      <c r="B135" s="72"/>
      <c r="C135" s="72"/>
      <c r="D135" s="72"/>
      <c r="E135" s="72"/>
      <c r="F135" s="72"/>
      <c r="G135" s="72"/>
      <c r="H135" s="68"/>
      <c r="I135" s="156"/>
    </row>
    <row r="136" spans="1:13" x14ac:dyDescent="0.25">
      <c r="B136" s="72"/>
      <c r="C136" s="72"/>
      <c r="D136" s="72"/>
      <c r="E136" s="72"/>
      <c r="F136" s="72"/>
      <c r="G136" s="72"/>
      <c r="H136" s="68"/>
      <c r="I136" s="156"/>
    </row>
    <row r="137" spans="1:13" x14ac:dyDescent="0.25">
      <c r="B137" s="72"/>
      <c r="C137" s="72"/>
      <c r="D137" s="72"/>
      <c r="E137" s="72"/>
      <c r="F137" s="72"/>
      <c r="G137" s="72"/>
      <c r="H137" s="68"/>
      <c r="I137" s="156"/>
    </row>
    <row r="138" spans="1:13" x14ac:dyDescent="0.25">
      <c r="B138" s="72"/>
      <c r="C138" s="72"/>
      <c r="D138" s="72"/>
      <c r="E138" s="72"/>
      <c r="F138" s="72"/>
      <c r="G138" s="72"/>
      <c r="H138" s="68"/>
      <c r="I138" s="156"/>
      <c r="L138" s="280"/>
    </row>
    <row r="139" spans="1:13" x14ac:dyDescent="0.25">
      <c r="A139" s="281" t="s">
        <v>7</v>
      </c>
      <c r="B139" s="281"/>
      <c r="C139" s="281"/>
      <c r="D139" s="281"/>
      <c r="E139" s="281"/>
      <c r="F139" s="281"/>
      <c r="G139" s="281"/>
      <c r="H139" s="281"/>
      <c r="I139" s="281"/>
      <c r="J139" s="156"/>
    </row>
    <row r="140" spans="1:13" ht="15.75" customHeight="1" x14ac:dyDescent="0.25">
      <c r="A140" s="383" t="s">
        <v>313</v>
      </c>
      <c r="B140" s="384"/>
      <c r="C140" s="384"/>
      <c r="D140" s="384"/>
      <c r="E140" s="384"/>
      <c r="F140" s="384"/>
      <c r="G140" s="384"/>
      <c r="H140" s="384"/>
      <c r="I140" s="384"/>
      <c r="J140" s="80"/>
      <c r="K140" s="79"/>
      <c r="L140" s="79"/>
      <c r="M140" s="79"/>
    </row>
    <row r="141" spans="1:13" ht="15.75" customHeight="1" x14ac:dyDescent="0.25">
      <c r="A141" s="389" t="s">
        <v>356</v>
      </c>
      <c r="B141" s="384"/>
      <c r="C141" s="384"/>
      <c r="D141" s="384"/>
      <c r="E141" s="384"/>
      <c r="F141" s="384"/>
      <c r="G141" s="384"/>
      <c r="H141" s="384"/>
      <c r="I141" s="384"/>
      <c r="J141" s="80"/>
      <c r="K141" s="79"/>
      <c r="L141" s="79"/>
      <c r="M141" s="79"/>
    </row>
    <row r="142" spans="1:13" x14ac:dyDescent="0.25">
      <c r="A142" s="385" t="s">
        <v>61</v>
      </c>
      <c r="B142" s="385"/>
      <c r="C142" s="385"/>
      <c r="D142" s="385"/>
      <c r="E142" s="385"/>
      <c r="F142" s="385"/>
      <c r="G142" s="385"/>
      <c r="H142" s="385"/>
      <c r="I142" s="385"/>
      <c r="J142" s="79"/>
      <c r="K142" s="79"/>
      <c r="L142" s="79"/>
      <c r="M142" s="360"/>
    </row>
    <row r="143" spans="1:13" s="79" customFormat="1" x14ac:dyDescent="0.2">
      <c r="A143" s="385" t="s">
        <v>62</v>
      </c>
      <c r="B143" s="385"/>
      <c r="C143" s="385"/>
      <c r="D143" s="385"/>
      <c r="E143" s="385"/>
      <c r="F143" s="385"/>
      <c r="G143" s="385"/>
      <c r="H143" s="385"/>
      <c r="I143" s="385"/>
      <c r="M143" s="360"/>
    </row>
    <row r="144" spans="1:13" s="79" customFormat="1" x14ac:dyDescent="0.2">
      <c r="A144" s="386" t="s">
        <v>355</v>
      </c>
      <c r="B144" s="385"/>
      <c r="C144" s="385"/>
      <c r="D144" s="385"/>
      <c r="E144" s="385"/>
      <c r="F144" s="385"/>
      <c r="G144" s="385"/>
      <c r="H144" s="385"/>
      <c r="I144" s="385"/>
    </row>
    <row r="145" spans="1:9" s="79" customFormat="1" x14ac:dyDescent="0.2">
      <c r="A145" s="386" t="s">
        <v>357</v>
      </c>
      <c r="B145" s="385"/>
      <c r="C145" s="385"/>
      <c r="D145" s="385"/>
      <c r="E145" s="385"/>
      <c r="F145" s="385"/>
      <c r="G145" s="385"/>
      <c r="H145" s="385"/>
      <c r="I145" s="385"/>
    </row>
    <row r="146" spans="1:9" s="79" customFormat="1" x14ac:dyDescent="0.2">
      <c r="A146" s="390" t="s">
        <v>314</v>
      </c>
      <c r="B146" s="385"/>
      <c r="C146" s="385"/>
      <c r="D146" s="385"/>
      <c r="E146" s="385"/>
      <c r="F146" s="385"/>
      <c r="G146" s="385"/>
      <c r="H146" s="385"/>
      <c r="I146" s="385"/>
    </row>
    <row r="147" spans="1:9" s="79" customFormat="1" ht="15.75" customHeight="1" x14ac:dyDescent="0.2">
      <c r="A147" s="386" t="s">
        <v>406</v>
      </c>
      <c r="B147" s="385"/>
      <c r="C147" s="385"/>
      <c r="D147" s="385"/>
      <c r="E147" s="385"/>
      <c r="F147" s="385"/>
      <c r="G147" s="385"/>
      <c r="H147" s="385"/>
      <c r="I147" s="385"/>
    </row>
    <row r="148" spans="1:9" s="79" customFormat="1" x14ac:dyDescent="0.2">
      <c r="A148" s="390" t="s">
        <v>407</v>
      </c>
      <c r="B148" s="385"/>
      <c r="C148" s="385"/>
      <c r="D148" s="385"/>
      <c r="E148" s="385"/>
      <c r="F148" s="385"/>
      <c r="G148" s="385"/>
      <c r="H148" s="385"/>
      <c r="I148" s="385"/>
    </row>
    <row r="149" spans="1:9" s="79" customFormat="1" x14ac:dyDescent="0.2">
      <c r="A149" s="386" t="s">
        <v>315</v>
      </c>
      <c r="B149" s="385"/>
      <c r="C149" s="385"/>
      <c r="D149" s="385"/>
      <c r="E149" s="385"/>
      <c r="F149" s="385"/>
      <c r="G149" s="385"/>
      <c r="H149" s="385"/>
      <c r="I149" s="385"/>
    </row>
    <row r="150" spans="1:9" s="79" customFormat="1" ht="15.75" customHeight="1" x14ac:dyDescent="0.2">
      <c r="A150" s="390" t="s">
        <v>316</v>
      </c>
      <c r="B150" s="385"/>
      <c r="C150" s="385"/>
      <c r="D150" s="385"/>
      <c r="E150" s="385"/>
      <c r="F150" s="385"/>
      <c r="G150" s="385"/>
      <c r="H150" s="385"/>
      <c r="I150" s="385"/>
    </row>
    <row r="151" spans="1:9" s="79" customFormat="1" x14ac:dyDescent="0.2">
      <c r="A151" s="386" t="s">
        <v>317</v>
      </c>
      <c r="B151" s="385"/>
      <c r="C151" s="385"/>
      <c r="D151" s="385"/>
      <c r="E151" s="385"/>
      <c r="F151" s="385"/>
      <c r="G151" s="385"/>
      <c r="H151" s="385"/>
      <c r="I151" s="385"/>
    </row>
    <row r="152" spans="1:9" s="79" customFormat="1" x14ac:dyDescent="0.2">
      <c r="A152" s="386" t="s">
        <v>346</v>
      </c>
      <c r="B152" s="385"/>
      <c r="C152" s="385"/>
      <c r="D152" s="385"/>
      <c r="E152" s="385"/>
      <c r="F152" s="385"/>
      <c r="G152" s="385"/>
      <c r="H152" s="385"/>
      <c r="I152" s="385"/>
    </row>
    <row r="153" spans="1:9" s="79" customFormat="1" x14ac:dyDescent="0.2">
      <c r="A153" s="391" t="s">
        <v>318</v>
      </c>
      <c r="B153" s="385"/>
      <c r="C153" s="385"/>
      <c r="D153" s="385"/>
      <c r="E153" s="385"/>
      <c r="F153" s="385"/>
      <c r="G153" s="385"/>
      <c r="H153" s="385"/>
      <c r="I153" s="385"/>
    </row>
    <row r="154" spans="1:9" s="79" customFormat="1" x14ac:dyDescent="0.2">
      <c r="A154" s="391" t="s">
        <v>319</v>
      </c>
      <c r="B154" s="385"/>
      <c r="C154" s="385"/>
      <c r="D154" s="385"/>
      <c r="E154" s="385"/>
      <c r="F154" s="385"/>
      <c r="G154" s="385"/>
      <c r="H154" s="385"/>
      <c r="I154" s="385"/>
    </row>
    <row r="155" spans="1:9" s="79" customFormat="1" x14ac:dyDescent="0.2">
      <c r="A155" s="386" t="s">
        <v>347</v>
      </c>
      <c r="B155" s="385"/>
      <c r="C155" s="385"/>
      <c r="D155" s="385"/>
      <c r="E155" s="385"/>
      <c r="F155" s="385"/>
      <c r="G155" s="385"/>
      <c r="H155" s="385"/>
      <c r="I155" s="385"/>
    </row>
    <row r="156" spans="1:9" s="79" customFormat="1" x14ac:dyDescent="0.2">
      <c r="A156" s="386" t="s">
        <v>348</v>
      </c>
      <c r="B156" s="385"/>
      <c r="C156" s="385"/>
      <c r="D156" s="385"/>
      <c r="E156" s="385"/>
      <c r="F156" s="385"/>
      <c r="G156" s="385"/>
      <c r="H156" s="385"/>
      <c r="I156" s="385"/>
    </row>
    <row r="157" spans="1:9" s="79" customFormat="1" ht="15.75" customHeight="1" x14ac:dyDescent="0.2">
      <c r="A157" s="391" t="s">
        <v>320</v>
      </c>
      <c r="B157" s="385"/>
      <c r="C157" s="385"/>
      <c r="D157" s="385"/>
      <c r="E157" s="385"/>
      <c r="F157" s="385"/>
      <c r="G157" s="385"/>
      <c r="H157" s="385"/>
      <c r="I157" s="385"/>
    </row>
    <row r="158" spans="1:9" s="79" customFormat="1" x14ac:dyDescent="0.2">
      <c r="A158" s="386"/>
      <c r="B158" s="385"/>
      <c r="C158" s="385"/>
      <c r="D158" s="385"/>
      <c r="E158" s="385"/>
      <c r="F158" s="385"/>
      <c r="G158" s="385"/>
      <c r="H158" s="385"/>
      <c r="I158" s="385"/>
    </row>
    <row r="159" spans="1:9" s="79" customFormat="1" ht="15.75" customHeight="1" x14ac:dyDescent="0.2">
      <c r="A159" s="394" t="s">
        <v>92</v>
      </c>
      <c r="B159" s="385"/>
      <c r="C159" s="385"/>
      <c r="D159" s="385"/>
      <c r="E159" s="385"/>
      <c r="F159" s="385"/>
      <c r="G159" s="385"/>
      <c r="H159" s="385"/>
      <c r="I159" s="385"/>
    </row>
    <row r="160" spans="1:9" s="79" customFormat="1" ht="15.75" customHeight="1" x14ac:dyDescent="0.2">
      <c r="A160" s="387" t="s">
        <v>321</v>
      </c>
      <c r="B160" s="388"/>
      <c r="C160" s="388"/>
      <c r="D160" s="388"/>
      <c r="E160" s="388"/>
      <c r="F160" s="388"/>
      <c r="G160" s="388"/>
      <c r="H160" s="388"/>
      <c r="I160" s="388"/>
    </row>
    <row r="161" spans="1:13" s="79" customFormat="1" ht="15.75" customHeight="1" x14ac:dyDescent="0.2">
      <c r="A161" s="392" t="s">
        <v>358</v>
      </c>
      <c r="B161" s="395"/>
      <c r="C161" s="395"/>
      <c r="D161" s="395"/>
      <c r="E161" s="395"/>
      <c r="F161" s="395"/>
      <c r="G161" s="395"/>
      <c r="H161" s="395"/>
      <c r="I161" s="395"/>
    </row>
    <row r="162" spans="1:13" s="79" customFormat="1" ht="15.75" customHeight="1" x14ac:dyDescent="0.2">
      <c r="A162" s="392" t="s">
        <v>359</v>
      </c>
      <c r="B162" s="395"/>
      <c r="C162" s="395"/>
      <c r="D162" s="395"/>
      <c r="E162" s="395"/>
      <c r="F162" s="395"/>
      <c r="G162" s="395"/>
      <c r="H162" s="395"/>
      <c r="I162" s="395"/>
    </row>
    <row r="163" spans="1:13" s="79" customFormat="1" ht="15.75" customHeight="1" x14ac:dyDescent="0.2">
      <c r="A163" s="387"/>
      <c r="B163" s="395"/>
      <c r="C163" s="395"/>
      <c r="D163" s="395"/>
      <c r="E163" s="395"/>
      <c r="F163" s="395"/>
      <c r="G163" s="395"/>
      <c r="H163" s="395"/>
      <c r="I163" s="395"/>
    </row>
    <row r="164" spans="1:13" s="79" customFormat="1" ht="14.25" customHeight="1" x14ac:dyDescent="0.2">
      <c r="A164" s="387" t="s">
        <v>360</v>
      </c>
      <c r="B164" s="388"/>
      <c r="C164" s="388"/>
      <c r="D164" s="388"/>
      <c r="E164" s="388"/>
      <c r="F164" s="388"/>
      <c r="G164" s="388"/>
      <c r="H164" s="388"/>
      <c r="I164" s="388"/>
    </row>
    <row r="165" spans="1:13" s="79" customFormat="1" ht="15.75" customHeight="1" x14ac:dyDescent="0.25">
      <c r="A165" s="392" t="s">
        <v>358</v>
      </c>
      <c r="B165" s="388"/>
      <c r="C165" s="388"/>
      <c r="D165" s="388"/>
      <c r="E165" s="388"/>
      <c r="F165" s="388"/>
      <c r="G165" s="388"/>
      <c r="H165" s="388"/>
      <c r="I165" s="388"/>
      <c r="J165" s="3"/>
      <c r="K165" s="3"/>
      <c r="L165" s="3"/>
      <c r="M165" s="3"/>
    </row>
    <row r="166" spans="1:13" s="79" customFormat="1" ht="15.75" customHeight="1" x14ac:dyDescent="0.25">
      <c r="A166" s="392" t="s">
        <v>361</v>
      </c>
      <c r="B166" s="388"/>
      <c r="C166" s="388"/>
      <c r="D166" s="388"/>
      <c r="E166" s="388"/>
      <c r="F166" s="388"/>
      <c r="G166" s="388"/>
      <c r="H166" s="388"/>
      <c r="I166" s="388"/>
      <c r="J166" s="3"/>
      <c r="K166" s="3"/>
      <c r="L166" s="3"/>
      <c r="M166" s="3"/>
    </row>
    <row r="167" spans="1:13" s="79" customFormat="1" ht="15.75" customHeight="1" x14ac:dyDescent="0.25">
      <c r="A167" s="388"/>
      <c r="B167" s="388"/>
      <c r="C167" s="388"/>
      <c r="D167" s="388"/>
      <c r="E167" s="388"/>
      <c r="F167" s="388"/>
      <c r="G167" s="388"/>
      <c r="H167" s="388"/>
      <c r="I167" s="388"/>
      <c r="J167" s="3"/>
      <c r="K167" s="3"/>
      <c r="L167" s="3"/>
      <c r="M167" s="3"/>
    </row>
    <row r="168" spans="1:13" s="79" customFormat="1" ht="15.75" customHeight="1" x14ac:dyDescent="0.25">
      <c r="A168" s="394" t="s">
        <v>93</v>
      </c>
      <c r="B168" s="394"/>
      <c r="C168" s="394"/>
      <c r="D168" s="394"/>
      <c r="E168" s="394"/>
      <c r="F168" s="394"/>
      <c r="G168" s="394"/>
      <c r="H168" s="394"/>
      <c r="I168" s="394"/>
      <c r="J168" s="3"/>
      <c r="K168" s="3"/>
      <c r="L168" s="3"/>
      <c r="M168" s="3"/>
    </row>
    <row r="169" spans="1:13" s="79" customFormat="1" ht="15.75" customHeight="1" x14ac:dyDescent="0.25">
      <c r="A169" s="387" t="s">
        <v>322</v>
      </c>
      <c r="B169" s="388"/>
      <c r="C169" s="388"/>
      <c r="D169" s="388"/>
      <c r="E169" s="388"/>
      <c r="F169" s="388"/>
      <c r="G169" s="388"/>
      <c r="H169" s="388"/>
      <c r="I169" s="388"/>
      <c r="J169" s="3"/>
      <c r="K169" s="3"/>
      <c r="L169" s="3"/>
      <c r="M169" s="3"/>
    </row>
    <row r="170" spans="1:13" s="79" customFormat="1" ht="15.75" customHeight="1" x14ac:dyDescent="0.2">
      <c r="A170" s="392" t="s">
        <v>323</v>
      </c>
      <c r="B170" s="395"/>
      <c r="C170" s="395"/>
      <c r="D170" s="395"/>
      <c r="E170" s="395"/>
      <c r="F170" s="395"/>
      <c r="G170" s="395"/>
      <c r="H170" s="395"/>
      <c r="I170" s="395"/>
    </row>
    <row r="171" spans="1:13" ht="15.75" customHeight="1" x14ac:dyDescent="0.25">
      <c r="A171" s="388" t="s">
        <v>12</v>
      </c>
      <c r="B171" s="388"/>
      <c r="C171" s="388"/>
      <c r="D171" s="388"/>
      <c r="E171" s="388"/>
      <c r="F171" s="388"/>
      <c r="G171" s="388"/>
      <c r="H171" s="388"/>
      <c r="I171" s="388"/>
      <c r="J171" s="79"/>
      <c r="K171" s="79"/>
      <c r="L171" s="79"/>
      <c r="M171" s="79"/>
    </row>
    <row r="172" spans="1:13" ht="15.75" customHeight="1" x14ac:dyDescent="0.25">
      <c r="A172" s="328"/>
      <c r="B172" s="328"/>
      <c r="C172" s="328"/>
      <c r="D172" s="328"/>
      <c r="E172" s="328"/>
      <c r="F172" s="328"/>
      <c r="G172" s="328"/>
      <c r="H172" s="328"/>
      <c r="I172" s="328"/>
      <c r="J172" s="79"/>
      <c r="K172" s="79"/>
      <c r="L172" s="79"/>
      <c r="M172" s="79"/>
    </row>
    <row r="173" spans="1:13" ht="15.75" customHeight="1" x14ac:dyDescent="0.25">
      <c r="A173" s="328"/>
      <c r="B173" s="328"/>
      <c r="C173" s="328"/>
      <c r="D173" s="328"/>
      <c r="E173" s="328"/>
      <c r="F173" s="328"/>
      <c r="G173" s="328"/>
      <c r="H173" s="328"/>
      <c r="I173" s="328"/>
      <c r="J173" s="79"/>
      <c r="K173" s="79"/>
      <c r="L173" s="79"/>
      <c r="M173" s="79"/>
    </row>
    <row r="174" spans="1:13" s="79" customFormat="1" ht="15.75" customHeight="1" x14ac:dyDescent="0.25">
      <c r="A174" s="77"/>
      <c r="B174" s="3"/>
      <c r="C174" s="3"/>
      <c r="D174" s="3"/>
      <c r="E174" s="3"/>
      <c r="F174" s="3"/>
      <c r="G174" s="3"/>
      <c r="H174" s="3"/>
      <c r="I174" s="3"/>
    </row>
    <row r="175" spans="1:13" x14ac:dyDescent="0.25">
      <c r="A175" s="77"/>
    </row>
    <row r="176" spans="1:13"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sheetData>
  <mergeCells count="104">
    <mergeCell ref="A119:G119"/>
    <mergeCell ref="A120:G120"/>
    <mergeCell ref="A113:C113"/>
    <mergeCell ref="F113:H113"/>
    <mergeCell ref="A115:H115"/>
    <mergeCell ref="A110:B110"/>
    <mergeCell ref="A109:B109"/>
    <mergeCell ref="A107:B107"/>
    <mergeCell ref="F107:G107"/>
    <mergeCell ref="F112:H112"/>
    <mergeCell ref="F109:G109"/>
    <mergeCell ref="C104:E104"/>
    <mergeCell ref="F105:G105"/>
    <mergeCell ref="A106:B106"/>
    <mergeCell ref="F106:G106"/>
    <mergeCell ref="A108:B108"/>
    <mergeCell ref="C88:D88"/>
    <mergeCell ref="C89:D89"/>
    <mergeCell ref="C90:D90"/>
    <mergeCell ref="C91:D91"/>
    <mergeCell ref="C92:D92"/>
    <mergeCell ref="F108:G108"/>
    <mergeCell ref="C93:D93"/>
    <mergeCell ref="A94:I94"/>
    <mergeCell ref="F96:I96"/>
    <mergeCell ref="A99:B99"/>
    <mergeCell ref="A100:B100"/>
    <mergeCell ref="A103:C103"/>
    <mergeCell ref="F103:I103"/>
    <mergeCell ref="A72:C72"/>
    <mergeCell ref="F73:H73"/>
    <mergeCell ref="A78:C78"/>
    <mergeCell ref="A79:C79"/>
    <mergeCell ref="A76:C76"/>
    <mergeCell ref="A77:C77"/>
    <mergeCell ref="A80:C80"/>
    <mergeCell ref="A85:C85"/>
    <mergeCell ref="A87:I87"/>
    <mergeCell ref="A62:B62"/>
    <mergeCell ref="D62:G62"/>
    <mergeCell ref="A64:I64"/>
    <mergeCell ref="A65:B65"/>
    <mergeCell ref="D65:G65"/>
    <mergeCell ref="A68:C68"/>
    <mergeCell ref="A69:C69"/>
    <mergeCell ref="A70:C70"/>
    <mergeCell ref="A71:C71"/>
    <mergeCell ref="A39:B39"/>
    <mergeCell ref="A40:B40"/>
    <mergeCell ref="A41:B41"/>
    <mergeCell ref="A42:B42"/>
    <mergeCell ref="A50:B58"/>
    <mergeCell ref="A59:B59"/>
    <mergeCell ref="F59:H59"/>
    <mergeCell ref="A60:I60"/>
    <mergeCell ref="A61:I61"/>
    <mergeCell ref="A28:B28"/>
    <mergeCell ref="F28:G28"/>
    <mergeCell ref="A29:B29"/>
    <mergeCell ref="F29:G29"/>
    <mergeCell ref="F30:G30"/>
    <mergeCell ref="A31:B31"/>
    <mergeCell ref="A36:B36"/>
    <mergeCell ref="A37:B37"/>
    <mergeCell ref="A38:B38"/>
    <mergeCell ref="A23:B23"/>
    <mergeCell ref="F23:G23"/>
    <mergeCell ref="A24:B24"/>
    <mergeCell ref="F24:G24"/>
    <mergeCell ref="A25:B25"/>
    <mergeCell ref="F25:G25"/>
    <mergeCell ref="A26:B26"/>
    <mergeCell ref="F26:G26"/>
    <mergeCell ref="A27:B27"/>
    <mergeCell ref="F27:G27"/>
    <mergeCell ref="A18:B18"/>
    <mergeCell ref="F18:G18"/>
    <mergeCell ref="A19:B19"/>
    <mergeCell ref="F19:G19"/>
    <mergeCell ref="A20:B20"/>
    <mergeCell ref="F20:G20"/>
    <mergeCell ref="A21:B21"/>
    <mergeCell ref="F21:G21"/>
    <mergeCell ref="A22:B22"/>
    <mergeCell ref="F22:G22"/>
    <mergeCell ref="A13:B13"/>
    <mergeCell ref="F13:G13"/>
    <mergeCell ref="A14:B14"/>
    <mergeCell ref="F14:G14"/>
    <mergeCell ref="A15:B15"/>
    <mergeCell ref="F15:G15"/>
    <mergeCell ref="A16:B16"/>
    <mergeCell ref="F16:G16"/>
    <mergeCell ref="A17:B17"/>
    <mergeCell ref="F17:G17"/>
    <mergeCell ref="B1:I1"/>
    <mergeCell ref="A4:B4"/>
    <mergeCell ref="C4:E4"/>
    <mergeCell ref="A7:I7"/>
    <mergeCell ref="F10:G10"/>
    <mergeCell ref="A11:B11"/>
    <mergeCell ref="F11:G11"/>
    <mergeCell ref="A12:B12"/>
    <mergeCell ref="F12:G12"/>
  </mergeCells>
  <conditionalFormatting sqref="J115:J118">
    <cfRule type="cellIs" dxfId="7" priority="7" stopIfTrue="1" operator="notEqual">
      <formula>0</formula>
    </cfRule>
    <cfRule type="cellIs" dxfId="6" priority="8" stopIfTrue="1" operator="equal">
      <formula>0</formula>
    </cfRule>
  </conditionalFormatting>
  <conditionalFormatting sqref="J124">
    <cfRule type="cellIs" dxfId="5" priority="5" stopIfTrue="1" operator="notEqual">
      <formula>0</formula>
    </cfRule>
    <cfRule type="cellIs" dxfId="4" priority="6" stopIfTrue="1" operator="equal">
      <formula>0</formula>
    </cfRule>
  </conditionalFormatting>
  <conditionalFormatting sqref="J132">
    <cfRule type="cellIs" dxfId="3" priority="3" stopIfTrue="1" operator="notEqual">
      <formula>0</formula>
    </cfRule>
    <cfRule type="cellIs" dxfId="2" priority="4" stopIfTrue="1" operator="equal">
      <formula>0</formula>
    </cfRule>
  </conditionalFormatting>
  <conditionalFormatting sqref="J93">
    <cfRule type="cellIs" dxfId="1" priority="1" stopIfTrue="1" operator="notEqual">
      <formula>0</formula>
    </cfRule>
    <cfRule type="cellIs" dxfId="0" priority="2" stopIfTrue="1" operator="equal">
      <formula>0</formula>
    </cfRule>
  </conditionalFormatting>
  <pageMargins left="0.75" right="0.1" top="0.5" bottom="0.5" header="0" footer="0.1"/>
  <pageSetup scale="65" fitToHeight="2" orientation="portrait" r:id="rId1"/>
  <headerFooter alignWithMargins="0">
    <oddFooter>&amp;L&amp;8&amp;Z&amp;F&amp;R&amp;8&amp;P / &amp;N</oddFooter>
  </headerFooter>
  <rowBreaks count="1" manualBreakCount="1">
    <brk id="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CC"/>
    <pageSetUpPr fitToPage="1"/>
  </sheetPr>
  <dimension ref="A1:U231"/>
  <sheetViews>
    <sheetView showGridLines="0" zoomScaleNormal="100" workbookViewId="0">
      <pane ySplit="1" topLeftCell="A110" activePane="bottomLeft" state="frozen"/>
      <selection activeCell="E78" sqref="E78"/>
      <selection pane="bottomLeft" activeCell="E29" sqref="E2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154</v>
      </c>
      <c r="B2" s="2"/>
      <c r="C2" s="2"/>
      <c r="D2" s="2"/>
      <c r="E2" s="2"/>
      <c r="F2" s="2"/>
      <c r="G2" s="2"/>
      <c r="H2" s="2"/>
      <c r="I2" s="2"/>
      <c r="N2" s="531" t="s">
        <v>23</v>
      </c>
      <c r="O2" s="531"/>
      <c r="P2" s="531"/>
      <c r="Q2" s="531"/>
      <c r="R2" s="531"/>
      <c r="S2" s="531"/>
      <c r="T2" s="531"/>
      <c r="U2" s="531"/>
    </row>
    <row r="3" spans="1:21" x14ac:dyDescent="0.25">
      <c r="A3" s="283" t="s">
        <v>475</v>
      </c>
      <c r="N3" s="487" t="str">
        <f>A3</f>
        <v>Based on the FLDOE 2022-23 FEFP Fourth Calculation</v>
      </c>
      <c r="O3" s="487"/>
      <c r="P3" s="487"/>
      <c r="Q3" s="487"/>
      <c r="R3" s="487"/>
      <c r="S3" s="487"/>
      <c r="T3" s="487"/>
      <c r="U3" s="487"/>
    </row>
    <row r="4" spans="1:21" x14ac:dyDescent="0.25">
      <c r="A4" s="445" t="s">
        <v>0</v>
      </c>
      <c r="B4" s="445"/>
      <c r="C4" s="446" t="s">
        <v>9</v>
      </c>
      <c r="D4" s="446"/>
      <c r="E4" s="446"/>
      <c r="F4" s="350" t="s">
        <v>481</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
        <v>462</v>
      </c>
      <c r="B7" s="535"/>
      <c r="C7" s="535"/>
      <c r="D7" s="535"/>
      <c r="E7" s="535"/>
      <c r="F7" s="535"/>
      <c r="G7" s="535"/>
      <c r="H7" s="535"/>
      <c r="I7" s="535"/>
      <c r="N7" s="532" t="s">
        <v>86</v>
      </c>
      <c r="O7" s="532"/>
      <c r="P7" s="532"/>
      <c r="Q7" s="532"/>
      <c r="R7" s="532"/>
      <c r="S7" s="532"/>
      <c r="T7" s="532"/>
      <c r="U7" s="532"/>
    </row>
    <row r="8" spans="1:21" x14ac:dyDescent="0.25">
      <c r="A8" s="87"/>
      <c r="B8" s="88" t="s">
        <v>123</v>
      </c>
      <c r="C8" s="334">
        <v>4587.3999999999996</v>
      </c>
      <c r="D8" s="89"/>
      <c r="E8" s="90"/>
      <c r="F8" s="87"/>
      <c r="G8" s="88" t="s">
        <v>122</v>
      </c>
      <c r="H8" s="320">
        <v>1.0438000000000001</v>
      </c>
      <c r="I8" s="78"/>
      <c r="N8" s="536" t="s">
        <v>10</v>
      </c>
      <c r="O8" s="536"/>
      <c r="P8" s="537">
        <v>4154.45</v>
      </c>
      <c r="Q8" s="537"/>
      <c r="R8" s="520" t="s">
        <v>11</v>
      </c>
      <c r="S8" s="520"/>
      <c r="T8" s="521">
        <f>H8</f>
        <v>1.0438000000000001</v>
      </c>
      <c r="U8" s="521"/>
    </row>
    <row r="9" spans="1:21" x14ac:dyDescent="0.25">
      <c r="A9" s="7"/>
      <c r="B9" s="7" t="s">
        <v>370</v>
      </c>
      <c r="C9" s="8" t="s">
        <v>370</v>
      </c>
      <c r="D9" s="8" t="s">
        <v>370</v>
      </c>
      <c r="E9" s="8"/>
      <c r="F9" s="9"/>
      <c r="G9" s="9"/>
      <c r="H9" s="10"/>
      <c r="I9" s="362" t="s">
        <v>473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37" t="s">
        <v>1</v>
      </c>
      <c r="B11" s="37"/>
      <c r="C11" s="361" t="s">
        <v>2</v>
      </c>
      <c r="D11" s="361" t="s">
        <v>2</v>
      </c>
      <c r="E11" s="93"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12.35</v>
      </c>
      <c r="D13" s="163">
        <v>11.76</v>
      </c>
      <c r="E13" s="210">
        <f>IF(D$29=0,C13*2,C13+D13)</f>
        <v>24.11</v>
      </c>
      <c r="F13" s="539">
        <v>1.1259999999999999</v>
      </c>
      <c r="G13" s="539"/>
      <c r="H13" s="167">
        <f>ROUND(E13*F13,4)</f>
        <v>27.1479</v>
      </c>
      <c r="I13" s="119">
        <f t="shared" ref="I13:I28" si="0">ROUND(ROUND(H13*$C$8,4)*($H$8),2)</f>
        <v>129993.05</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3</v>
      </c>
      <c r="D14" s="165">
        <v>3.48</v>
      </c>
      <c r="E14" s="125">
        <f t="shared" ref="E14:E28" si="3">IF(D$29=0,C14*2,C14+D14)</f>
        <v>6.48</v>
      </c>
      <c r="F14" s="534">
        <v>1.1259999999999999</v>
      </c>
      <c r="G14" s="534"/>
      <c r="H14" s="83">
        <f t="shared" ref="H14:H28" si="4">ROUND(E14*F14,4)</f>
        <v>7.2965</v>
      </c>
      <c r="I14" s="104">
        <f t="shared" si="0"/>
        <v>34938.04</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16.09</v>
      </c>
      <c r="D15" s="165">
        <v>18.18</v>
      </c>
      <c r="E15" s="125">
        <f t="shared" si="3"/>
        <v>34.269999999999996</v>
      </c>
      <c r="F15" s="534">
        <v>1</v>
      </c>
      <c r="G15" s="534"/>
      <c r="H15" s="83">
        <f t="shared" si="4"/>
        <v>34.270000000000003</v>
      </c>
      <c r="I15" s="104">
        <f t="shared" si="0"/>
        <v>164096</v>
      </c>
      <c r="N15" s="481" t="s">
        <v>31</v>
      </c>
      <c r="O15" s="481"/>
      <c r="P15" s="515">
        <f t="shared" si="1"/>
        <v>0</v>
      </c>
      <c r="Q15" s="515"/>
      <c r="R15" s="519">
        <v>1</v>
      </c>
      <c r="S15" s="519"/>
      <c r="T15" s="98">
        <f t="shared" si="5"/>
        <v>0</v>
      </c>
      <c r="U15" s="99">
        <f t="shared" si="2"/>
        <v>0</v>
      </c>
    </row>
    <row r="16" spans="1:21" x14ac:dyDescent="0.25">
      <c r="A16" s="455" t="s">
        <v>32</v>
      </c>
      <c r="B16" s="455"/>
      <c r="C16" s="165">
        <v>2.98</v>
      </c>
      <c r="D16" s="165">
        <v>2</v>
      </c>
      <c r="E16" s="125">
        <f t="shared" si="3"/>
        <v>4.9800000000000004</v>
      </c>
      <c r="F16" s="534">
        <v>1</v>
      </c>
      <c r="G16" s="534"/>
      <c r="H16" s="83">
        <f t="shared" si="4"/>
        <v>4.9800000000000004</v>
      </c>
      <c r="I16" s="104">
        <f t="shared" si="0"/>
        <v>23845.87</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8.15</v>
      </c>
      <c r="D25" s="165">
        <v>7.74</v>
      </c>
      <c r="E25" s="125">
        <f t="shared" si="3"/>
        <v>15.89</v>
      </c>
      <c r="F25" s="534">
        <v>1.206</v>
      </c>
      <c r="G25" s="534"/>
      <c r="H25" s="83">
        <f t="shared" si="4"/>
        <v>19.1633</v>
      </c>
      <c r="I25" s="104">
        <f t="shared" si="0"/>
        <v>91760.17</v>
      </c>
      <c r="L25" s="280"/>
      <c r="N25" s="481" t="s">
        <v>114</v>
      </c>
      <c r="O25" s="481"/>
      <c r="P25" s="515">
        <f t="shared" si="1"/>
        <v>0</v>
      </c>
      <c r="Q25" s="515"/>
      <c r="R25" s="519">
        <v>1</v>
      </c>
      <c r="S25" s="519"/>
      <c r="T25" s="98">
        <f t="shared" si="5"/>
        <v>0</v>
      </c>
      <c r="U25" s="99">
        <f t="shared" si="2"/>
        <v>0</v>
      </c>
    </row>
    <row r="26" spans="1:21" x14ac:dyDescent="0.25">
      <c r="A26" s="455" t="s">
        <v>115</v>
      </c>
      <c r="B26" s="455"/>
      <c r="C26" s="165">
        <v>6.41</v>
      </c>
      <c r="D26" s="165">
        <v>6.8</v>
      </c>
      <c r="E26" s="125">
        <f t="shared" si="3"/>
        <v>13.21</v>
      </c>
      <c r="F26" s="534">
        <v>1.206</v>
      </c>
      <c r="G26" s="534"/>
      <c r="H26" s="83">
        <f t="shared" si="4"/>
        <v>15.9313</v>
      </c>
      <c r="I26" s="104">
        <f t="shared" si="0"/>
        <v>76284.289999999994</v>
      </c>
      <c r="L26" s="280"/>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48.97999999999999</v>
      </c>
      <c r="D29" s="97">
        <f>SUM(D13:D28)</f>
        <v>49.96</v>
      </c>
      <c r="E29" s="97">
        <f>SUM(E13:E28)</f>
        <v>98.94</v>
      </c>
      <c r="F29" s="459"/>
      <c r="G29" s="459"/>
      <c r="H29" s="102">
        <f>SUM(H13:H28)</f>
        <v>108.78900000000002</v>
      </c>
      <c r="I29" s="97">
        <f>SUM(I13:I28)</f>
        <v>520917.41999999993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315" t="s">
        <v>302</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0" t="s">
        <v>282</v>
      </c>
      <c r="G33" s="540"/>
      <c r="H33" s="540"/>
      <c r="I33" s="104"/>
      <c r="N33" s="29"/>
      <c r="O33" s="29"/>
      <c r="P33" s="30"/>
      <c r="Q33" s="30"/>
      <c r="R33" s="31"/>
      <c r="S33" s="31"/>
      <c r="T33" s="105"/>
      <c r="U33" s="106"/>
    </row>
    <row r="34" spans="1:21" ht="15.75" hidden="1" customHeight="1" x14ac:dyDescent="0.25">
      <c r="A34" s="3"/>
      <c r="B34" s="72"/>
      <c r="C34" s="72"/>
      <c r="D34" s="72"/>
      <c r="E34" s="72"/>
      <c r="F34" s="540"/>
      <c r="G34" s="540"/>
      <c r="H34" s="540"/>
      <c r="I34" s="25" t="str">
        <f>I9</f>
        <v>2022-23</v>
      </c>
      <c r="N34" s="487" t="s">
        <v>35</v>
      </c>
      <c r="O34" s="487"/>
      <c r="P34" s="487"/>
      <c r="Q34" s="487"/>
      <c r="R34" s="487"/>
      <c r="S34" s="487"/>
      <c r="T34" s="487"/>
      <c r="U34" s="26" t="s">
        <v>74</v>
      </c>
    </row>
    <row r="35" spans="1:21" hidden="1" x14ac:dyDescent="0.25">
      <c r="A35" s="27"/>
      <c r="B35" s="27"/>
      <c r="C35" s="91" t="s">
        <v>376</v>
      </c>
      <c r="D35" s="91"/>
      <c r="E35" s="92" t="s">
        <v>8</v>
      </c>
      <c r="F35" s="540"/>
      <c r="G35" s="540"/>
      <c r="H35" s="540"/>
      <c r="I35" s="25" t="s">
        <v>36</v>
      </c>
      <c r="N35" s="29"/>
      <c r="O35" s="29"/>
      <c r="P35" s="30"/>
      <c r="Q35" s="30"/>
      <c r="R35" s="31"/>
      <c r="S35" s="31"/>
      <c r="T35" s="105"/>
      <c r="U35" s="26" t="s">
        <v>36</v>
      </c>
    </row>
    <row r="36" spans="1:21" hidden="1" x14ac:dyDescent="0.25">
      <c r="A36" s="449" t="s">
        <v>63</v>
      </c>
      <c r="B36" s="449"/>
      <c r="C36" s="361" t="s">
        <v>2</v>
      </c>
      <c r="D36" s="361"/>
      <c r="E36" s="93" t="s">
        <v>2</v>
      </c>
      <c r="F36" s="541"/>
      <c r="G36" s="541"/>
      <c r="H36" s="541"/>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108.78900000000002</v>
      </c>
      <c r="F45" s="35"/>
      <c r="G45" s="109"/>
      <c r="H45" s="110" t="s">
        <v>129</v>
      </c>
      <c r="I45" s="97">
        <f>SUM(I43,I29)</f>
        <v>520917.41999999993</v>
      </c>
      <c r="N45" s="482" t="s">
        <v>55</v>
      </c>
      <c r="O45" s="482"/>
      <c r="P45" s="482"/>
      <c r="Q45" s="482"/>
      <c r="R45" s="36">
        <f>R43+T29</f>
        <v>0</v>
      </c>
      <c r="S45" s="510" t="s">
        <v>53</v>
      </c>
      <c r="T45" s="510"/>
      <c r="U45" s="111">
        <f>SUM(U43,U29)</f>
        <v>0</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27" t="s">
        <v>370</v>
      </c>
      <c r="C47" s="8" t="s">
        <v>370</v>
      </c>
      <c r="D47" s="8"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93"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2.5</v>
      </c>
      <c r="D50" s="165">
        <v>3.06</v>
      </c>
      <c r="E50" s="125">
        <f>IF(D$59=0,C50*2,C50+D50)</f>
        <v>5.5600000000000005</v>
      </c>
      <c r="F50" s="39" t="s">
        <v>21</v>
      </c>
      <c r="G50" s="39">
        <v>251</v>
      </c>
      <c r="H50" s="321">
        <v>1047</v>
      </c>
      <c r="I50" s="104">
        <f>ROUND(E50*H50,2)</f>
        <v>5821.32</v>
      </c>
      <c r="N50" s="506" t="s">
        <v>28</v>
      </c>
      <c r="O50" s="506"/>
      <c r="P50" s="507"/>
      <c r="Q50" s="507"/>
      <c r="R50" s="40" t="s">
        <v>21</v>
      </c>
      <c r="S50" s="40">
        <v>251</v>
      </c>
      <c r="T50" s="117">
        <f>H50</f>
        <v>1047</v>
      </c>
      <c r="U50" s="118">
        <f>ROUND(P50*T50,0)</f>
        <v>0</v>
      </c>
    </row>
    <row r="51" spans="1:21" x14ac:dyDescent="0.25">
      <c r="A51" s="462"/>
      <c r="B51" s="462"/>
      <c r="C51" s="165">
        <v>0.5</v>
      </c>
      <c r="D51" s="165">
        <v>0.42</v>
      </c>
      <c r="E51" s="125">
        <f t="shared" ref="E51:E58" si="10">IF(D$59=0,C51*2,C51+D51)</f>
        <v>0.91999999999999993</v>
      </c>
      <c r="F51" s="39" t="s">
        <v>21</v>
      </c>
      <c r="G51" s="39">
        <v>252</v>
      </c>
      <c r="H51" s="321">
        <v>3380</v>
      </c>
      <c r="I51" s="104">
        <f t="shared" ref="I51:I58" si="11">ROUND(E51*H51,2)</f>
        <v>3109.6</v>
      </c>
      <c r="K51" s="280"/>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v>6896</v>
      </c>
      <c r="I52" s="104">
        <f t="shared" si="11"/>
        <v>0</v>
      </c>
      <c r="K52" s="280"/>
      <c r="N52" s="506"/>
      <c r="O52" s="506"/>
      <c r="P52" s="508"/>
      <c r="Q52" s="508"/>
      <c r="R52" s="40" t="s">
        <v>21</v>
      </c>
      <c r="S52" s="40">
        <v>253</v>
      </c>
      <c r="T52" s="117">
        <f t="shared" si="12"/>
        <v>6896</v>
      </c>
      <c r="U52" s="118">
        <f t="shared" si="13"/>
        <v>0</v>
      </c>
    </row>
    <row r="53" spans="1:21" x14ac:dyDescent="0.25">
      <c r="A53" s="462"/>
      <c r="B53" s="462"/>
      <c r="C53" s="165">
        <v>2.98</v>
      </c>
      <c r="D53" s="165">
        <v>2</v>
      </c>
      <c r="E53" s="125">
        <f t="shared" si="10"/>
        <v>4.9800000000000004</v>
      </c>
      <c r="F53" s="41" t="s">
        <v>14</v>
      </c>
      <c r="G53" s="39">
        <v>251</v>
      </c>
      <c r="H53" s="321">
        <v>1173</v>
      </c>
      <c r="I53" s="104">
        <f t="shared" si="11"/>
        <v>5841.54</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5.98</v>
      </c>
      <c r="D59" s="100">
        <f>SUM(D50:D58)</f>
        <v>5.48</v>
      </c>
      <c r="E59" s="100">
        <f>SUM(E50:E58)</f>
        <v>11.46</v>
      </c>
      <c r="F59" s="463" t="s">
        <v>77</v>
      </c>
      <c r="G59" s="463"/>
      <c r="H59" s="463"/>
      <c r="I59" s="100">
        <f>SUM(I50:I58)</f>
        <v>14772.46</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310</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98.94</v>
      </c>
      <c r="D62" s="466" t="s">
        <v>135</v>
      </c>
      <c r="E62" s="466"/>
      <c r="F62" s="466"/>
      <c r="G62" s="466"/>
      <c r="H62" s="322">
        <v>193726.47</v>
      </c>
      <c r="I62" s="122"/>
      <c r="N62" s="480" t="s">
        <v>312</v>
      </c>
      <c r="O62" s="481"/>
      <c r="P62" s="43">
        <f>P29</f>
        <v>0</v>
      </c>
      <c r="Q62" s="500" t="s">
        <v>78</v>
      </c>
      <c r="R62" s="500"/>
      <c r="S62" s="500"/>
      <c r="T62" s="499">
        <f>H62</f>
        <v>193726.47</v>
      </c>
      <c r="U62" s="499"/>
    </row>
    <row r="63" spans="1:21" x14ac:dyDescent="0.25">
      <c r="B63" s="72"/>
      <c r="G63" s="44" t="s">
        <v>13</v>
      </c>
      <c r="H63" s="123">
        <f>ROUND(C62/H62,6)</f>
        <v>5.1099999999999995E-4</v>
      </c>
      <c r="I63" s="124"/>
      <c r="N63" s="481" t="s">
        <v>19</v>
      </c>
      <c r="O63" s="481"/>
      <c r="P63" s="481"/>
      <c r="Q63" s="481"/>
      <c r="R63" s="481"/>
      <c r="S63" s="481"/>
      <c r="T63" s="503">
        <f>ROUND(P62/T62,6)</f>
        <v>0</v>
      </c>
      <c r="U63" s="503"/>
    </row>
    <row r="64" spans="1:21" x14ac:dyDescent="0.25">
      <c r="A64" s="465" t="s">
        <v>311</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108.78900000000002</v>
      </c>
      <c r="D65" s="466" t="s">
        <v>140</v>
      </c>
      <c r="E65" s="466"/>
      <c r="F65" s="466"/>
      <c r="G65" s="466"/>
      <c r="H65" s="323">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5.0100000000000003E-4</v>
      </c>
      <c r="I66" s="127"/>
      <c r="N66" s="484" t="s">
        <v>20</v>
      </c>
      <c r="O66" s="484"/>
      <c r="P66" s="484"/>
      <c r="Q66" s="484"/>
      <c r="R66" s="484"/>
      <c r="S66" s="484"/>
      <c r="T66" s="502">
        <f>ROUND(P65/T65,6)</f>
        <v>0</v>
      </c>
      <c r="U66" s="502"/>
    </row>
    <row r="67" spans="1:21" x14ac:dyDescent="0.25">
      <c r="A67" s="271"/>
      <c r="G67" s="44"/>
      <c r="H67" s="123"/>
      <c r="I67" s="123"/>
      <c r="N67" s="48"/>
      <c r="O67" s="48"/>
      <c r="P67" s="48"/>
      <c r="Q67" s="48"/>
      <c r="R67" s="128"/>
      <c r="S67" s="48"/>
      <c r="T67" s="129"/>
      <c r="U67" s="130"/>
    </row>
    <row r="68" spans="1:21" x14ac:dyDescent="0.25">
      <c r="A68" s="455" t="s">
        <v>85</v>
      </c>
      <c r="B68" s="455"/>
      <c r="C68" s="455"/>
      <c r="D68" s="72"/>
      <c r="E68" s="46" t="s">
        <v>3</v>
      </c>
      <c r="F68" s="325">
        <v>42539472</v>
      </c>
      <c r="G68" s="39" t="s">
        <v>6</v>
      </c>
      <c r="H68" s="131">
        <f>H63</f>
        <v>5.1099999999999995E-4</v>
      </c>
      <c r="I68" s="104">
        <f>ROUND(F68*H68,2)</f>
        <v>21737.67</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307"/>
      <c r="G69" s="39"/>
      <c r="H69" s="131"/>
      <c r="I69" s="104"/>
      <c r="N69" s="481" t="s">
        <v>84</v>
      </c>
      <c r="O69" s="481"/>
      <c r="P69" s="481"/>
      <c r="Q69" s="54"/>
      <c r="R69" s="54"/>
      <c r="S69" s="54"/>
      <c r="T69" s="54"/>
      <c r="U69" s="54"/>
    </row>
    <row r="70" spans="1:21" x14ac:dyDescent="0.25">
      <c r="A70" s="467" t="s">
        <v>141</v>
      </c>
      <c r="B70" s="455"/>
      <c r="C70" s="455"/>
      <c r="D70" s="72"/>
      <c r="E70" s="46" t="s">
        <v>3</v>
      </c>
      <c r="F70" s="325">
        <v>0</v>
      </c>
      <c r="G70" s="39" t="s">
        <v>6</v>
      </c>
      <c r="H70" s="131">
        <f>H63</f>
        <v>5.1099999999999995E-4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25">
        <v>13427478</v>
      </c>
      <c r="G71" s="39" t="s">
        <v>6</v>
      </c>
      <c r="H71" s="131">
        <f>H63</f>
        <v>5.1099999999999995E-4</v>
      </c>
      <c r="I71" s="104">
        <f>ROUND(F71*H71,2)</f>
        <v>6861.44</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25">
        <v>14805238</v>
      </c>
      <c r="G72" s="39" t="s">
        <v>6</v>
      </c>
      <c r="H72" s="131">
        <f>H63</f>
        <v>5.1099999999999995E-4</v>
      </c>
      <c r="I72" s="104">
        <f>ROUND(F72*H72,2)</f>
        <v>7565.48</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v>0</v>
      </c>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25">
        <v>8726807</v>
      </c>
      <c r="G76" s="39" t="s">
        <v>6</v>
      </c>
      <c r="H76" s="131">
        <f>H63</f>
        <v>5.1099999999999995E-4</v>
      </c>
      <c r="I76" s="104">
        <f t="shared" ref="I76:I85" si="14">ROUND(F76*H76,2)</f>
        <v>4459.3999999999996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25">
        <v>0</v>
      </c>
      <c r="G77" s="39" t="s">
        <v>6</v>
      </c>
      <c r="H77" s="131">
        <f>H63</f>
        <v>5.1099999999999995E-4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25">
        <v>0</v>
      </c>
      <c r="G78" s="39" t="s">
        <v>6</v>
      </c>
      <c r="H78" s="131">
        <f>H66</f>
        <v>5.0100000000000003E-4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25">
        <v>11286897</v>
      </c>
      <c r="G79" s="39" t="s">
        <v>6</v>
      </c>
      <c r="H79" s="131">
        <f>H66</f>
        <v>5.0100000000000003E-4</v>
      </c>
      <c r="I79" s="104">
        <f t="shared" si="14"/>
        <v>5654.74</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25">
        <v>206284749</v>
      </c>
      <c r="G80" s="39" t="s">
        <v>6</v>
      </c>
      <c r="H80" s="131">
        <f>H66</f>
        <v>5.0100000000000003E-4</v>
      </c>
      <c r="I80" s="104">
        <f t="shared" si="14"/>
        <v>103348.66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25"/>
      <c r="G81" s="39"/>
      <c r="H81" s="131"/>
      <c r="I81" s="104"/>
      <c r="N81" s="416" t="s">
        <v>439</v>
      </c>
      <c r="O81" s="48"/>
      <c r="P81" s="48"/>
      <c r="Q81" s="47"/>
      <c r="R81" s="420"/>
      <c r="S81" s="40"/>
      <c r="T81" s="133"/>
      <c r="U81" s="120"/>
    </row>
    <row r="82" spans="1:21" x14ac:dyDescent="0.25">
      <c r="A82" s="264" t="s">
        <v>440</v>
      </c>
      <c r="B82" s="72"/>
      <c r="C82" s="72"/>
      <c r="D82" s="72"/>
      <c r="E82" s="46" t="s">
        <v>441</v>
      </c>
      <c r="F82" s="325">
        <v>0</v>
      </c>
      <c r="G82" s="39" t="s">
        <v>6</v>
      </c>
      <c r="H82" s="131">
        <f>H66</f>
        <v>5.0100000000000003E-4</v>
      </c>
      <c r="I82" s="104">
        <v>17191.349999999999</v>
      </c>
      <c r="N82" s="419" t="s">
        <v>440</v>
      </c>
      <c r="O82" s="48"/>
      <c r="P82" s="48"/>
      <c r="Q82" s="47"/>
      <c r="R82" s="134">
        <f t="shared" si="15"/>
        <v>0</v>
      </c>
      <c r="S82" s="40"/>
      <c r="T82" s="133"/>
      <c r="U82" s="99">
        <f t="shared" si="16"/>
        <v>0</v>
      </c>
    </row>
    <row r="83" spans="1:21" x14ac:dyDescent="0.25">
      <c r="A83" s="264" t="s">
        <v>442</v>
      </c>
      <c r="B83" s="72"/>
      <c r="C83" s="72"/>
      <c r="D83" s="72"/>
      <c r="E83" s="46" t="s">
        <v>441</v>
      </c>
      <c r="F83" s="325">
        <v>0</v>
      </c>
      <c r="G83" s="39" t="s">
        <v>6</v>
      </c>
      <c r="H83" s="131">
        <f>H66</f>
        <v>5.0100000000000003E-4</v>
      </c>
      <c r="I83" s="104">
        <f t="shared" si="14"/>
        <v>0</v>
      </c>
      <c r="N83" s="419" t="s">
        <v>442</v>
      </c>
      <c r="O83" s="48"/>
      <c r="P83" s="48"/>
      <c r="Q83" s="47"/>
      <c r="R83" s="134">
        <f t="shared" si="15"/>
        <v>0</v>
      </c>
      <c r="S83" s="40"/>
      <c r="T83" s="133"/>
      <c r="U83" s="99">
        <f t="shared" si="16"/>
        <v>0</v>
      </c>
    </row>
    <row r="84" spans="1:21" x14ac:dyDescent="0.25">
      <c r="A84" s="417" t="s">
        <v>443</v>
      </c>
      <c r="B84" s="72"/>
      <c r="C84" s="72"/>
      <c r="D84" s="72"/>
      <c r="E84" s="46"/>
      <c r="F84" s="325"/>
      <c r="G84" s="39"/>
      <c r="H84" s="131"/>
      <c r="I84" s="104">
        <f>I82+I83</f>
        <v>17191.349999999999</v>
      </c>
      <c r="N84" s="418" t="s">
        <v>443</v>
      </c>
      <c r="O84" s="48"/>
      <c r="P84" s="48"/>
      <c r="Q84" s="47"/>
      <c r="R84" s="420"/>
      <c r="S84" s="40"/>
      <c r="T84" s="133"/>
      <c r="U84" s="99">
        <f>U82+U83</f>
        <v>0</v>
      </c>
    </row>
    <row r="85" spans="1:21" x14ac:dyDescent="0.25">
      <c r="A85" s="465" t="s">
        <v>398</v>
      </c>
      <c r="B85" s="455"/>
      <c r="C85" s="455"/>
      <c r="D85" s="72"/>
      <c r="E85" s="46" t="s">
        <v>4</v>
      </c>
      <c r="F85" s="325">
        <v>0</v>
      </c>
      <c r="G85" s="39" t="s">
        <v>6</v>
      </c>
      <c r="H85" s="131">
        <f>H66</f>
        <v>5.0100000000000003E-4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53.607700000000001</v>
      </c>
      <c r="D90" s="469"/>
      <c r="E90" s="49">
        <f>H8</f>
        <v>1.0438000000000001</v>
      </c>
      <c r="F90" s="326">
        <v>957.94</v>
      </c>
      <c r="G90" s="41" t="s">
        <v>13</v>
      </c>
      <c r="H90" s="104">
        <f>ROUND(C90*E90*F90,2)</f>
        <v>53602.22</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55.1813</v>
      </c>
      <c r="D91" s="469"/>
      <c r="E91" s="49">
        <f>H8</f>
        <v>1.0438000000000001</v>
      </c>
      <c r="F91" s="326">
        <v>914.63</v>
      </c>
      <c r="G91" s="41" t="s">
        <v>13</v>
      </c>
      <c r="H91" s="104">
        <f>ROUND(C91*E91*F91,2)</f>
        <v>52681.08</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26">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108.789</v>
      </c>
      <c r="D93" s="471"/>
      <c r="E93" s="143"/>
      <c r="F93" s="143"/>
      <c r="G93" s="143"/>
      <c r="H93" s="144" t="s">
        <v>143</v>
      </c>
      <c r="I93" s="104">
        <f>IF(A1=75,0,H92+H91+H90)</f>
        <v>106283.3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93"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27">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27">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x14ac:dyDescent="0.25">
      <c r="B104" s="72"/>
      <c r="C104" s="464" t="s">
        <v>91</v>
      </c>
      <c r="D104" s="464"/>
      <c r="E104" s="464"/>
      <c r="F104" s="39"/>
      <c r="G104" s="39"/>
      <c r="H104" s="41" t="s">
        <v>152</v>
      </c>
      <c r="I104" s="39"/>
      <c r="N104" s="48"/>
      <c r="O104" s="48"/>
      <c r="P104" s="48"/>
      <c r="Q104" s="48"/>
      <c r="R104" s="48"/>
      <c r="S104" s="48"/>
      <c r="T104" s="48"/>
      <c r="U104" s="48"/>
    </row>
    <row r="105" spans="1:2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808791.91999999993</v>
      </c>
      <c r="J115" s="280"/>
      <c r="N115" s="29"/>
      <c r="O115" s="29"/>
      <c r="P115" s="29"/>
      <c r="Q115" s="29"/>
      <c r="R115" s="29"/>
      <c r="S115" s="29"/>
      <c r="T115" s="29"/>
      <c r="U115" s="160"/>
    </row>
    <row r="116" spans="1:21" x14ac:dyDescent="0.25">
      <c r="A116" s="27"/>
      <c r="B116" s="27"/>
      <c r="C116" s="27"/>
      <c r="D116" s="27"/>
      <c r="E116" s="27"/>
      <c r="F116" s="27"/>
      <c r="G116" s="27"/>
      <c r="H116" s="27"/>
      <c r="I116" s="104"/>
      <c r="J116" s="280"/>
      <c r="N116" s="29"/>
      <c r="O116" s="29"/>
      <c r="P116" s="29"/>
      <c r="Q116" s="29"/>
      <c r="R116" s="29"/>
      <c r="S116" s="29"/>
      <c r="T116" s="29"/>
      <c r="U116" s="160"/>
    </row>
    <row r="117" spans="1:21" x14ac:dyDescent="0.25">
      <c r="A117" s="3" t="s">
        <v>463</v>
      </c>
      <c r="B117" s="27"/>
      <c r="C117" s="27"/>
      <c r="D117" s="27"/>
      <c r="E117" s="27"/>
      <c r="F117" s="27"/>
      <c r="G117" s="27"/>
      <c r="H117" s="27"/>
      <c r="I117" s="104">
        <f>I115-I84</f>
        <v>791600.57</v>
      </c>
      <c r="J117" s="280"/>
      <c r="N117" s="29"/>
      <c r="O117" s="29"/>
      <c r="P117" s="29"/>
      <c r="Q117" s="29"/>
      <c r="R117" s="29"/>
      <c r="S117" s="29"/>
      <c r="T117" s="29"/>
      <c r="U117" s="160"/>
    </row>
    <row r="118" spans="1:21" x14ac:dyDescent="0.25">
      <c r="A118" s="27"/>
      <c r="B118" s="27"/>
      <c r="C118" s="27"/>
      <c r="D118" s="27"/>
      <c r="E118" s="27"/>
      <c r="F118" s="27"/>
      <c r="G118" s="27"/>
      <c r="H118" s="27"/>
      <c r="I118" s="104"/>
      <c r="J118" s="280"/>
      <c r="N118" s="29"/>
      <c r="O118" s="29"/>
      <c r="P118" s="29"/>
      <c r="Q118" s="29"/>
      <c r="R118" s="29"/>
      <c r="S118" s="29"/>
      <c r="T118" s="29"/>
      <c r="U118" s="160"/>
    </row>
    <row r="119" spans="1:21" x14ac:dyDescent="0.25">
      <c r="A119" s="465" t="s">
        <v>464</v>
      </c>
      <c r="B119" s="455"/>
      <c r="C119" s="455"/>
      <c r="D119" s="455"/>
      <c r="E119" s="455"/>
      <c r="F119" s="455"/>
      <c r="G119" s="455"/>
      <c r="H119" s="84" t="s">
        <v>394</v>
      </c>
      <c r="I119" s="156"/>
      <c r="J119" s="280"/>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791600.57</v>
      </c>
      <c r="I122" s="97">
        <f>ROUND(IF(E29=0,0,IF(E29&gt;250,-(((250/E29)*H122)*IF(G122="H",0.02,0.05)),IF(G122="H",-0.02*H122,-0.05*H122))),2)</f>
        <v>-39580.03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769211.8899999999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-698201.33-71141.97</f>
        <v>-769343.29999999993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3" t="s">
        <v>297</v>
      </c>
      <c r="B128" s="72"/>
      <c r="C128" s="72"/>
      <c r="D128" s="72"/>
      <c r="E128" s="72"/>
      <c r="F128" s="72"/>
      <c r="G128" s="72"/>
      <c r="H128" s="68"/>
      <c r="I128" s="104">
        <f>I124+I126</f>
        <v>-131.4100000000326</v>
      </c>
      <c r="N128" s="76"/>
      <c r="O128" s="76"/>
      <c r="P128" s="76"/>
      <c r="Q128" s="76"/>
      <c r="R128" s="76"/>
      <c r="S128" s="76"/>
      <c r="T128" s="76"/>
      <c r="U128" s="76"/>
    </row>
    <row r="129" spans="1:21" x14ac:dyDescent="0.25">
      <c r="A129" s="3"/>
      <c r="B129" s="72"/>
      <c r="C129" s="72"/>
      <c r="D129" s="72"/>
      <c r="E129" s="72"/>
      <c r="F129" s="72"/>
      <c r="G129" s="72"/>
      <c r="H129" s="68"/>
      <c r="I129" s="104"/>
      <c r="N129" s="76"/>
      <c r="O129" s="76"/>
      <c r="P129" s="76"/>
      <c r="Q129" s="76"/>
      <c r="R129" s="76"/>
      <c r="S129" s="76"/>
      <c r="T129" s="76"/>
      <c r="U129" s="76"/>
    </row>
    <row r="130" spans="1:21" x14ac:dyDescent="0.25">
      <c r="A130" s="3" t="s">
        <v>298</v>
      </c>
      <c r="B130" s="72"/>
      <c r="C130" s="72"/>
      <c r="D130" s="72"/>
      <c r="E130" s="72"/>
      <c r="F130" s="72"/>
      <c r="G130" s="72"/>
      <c r="H130" s="68"/>
      <c r="I130" s="303">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-131.41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ht="12.75" customHeight="1" x14ac:dyDescent="0.25">
      <c r="A138" s="382" t="s">
        <v>7</v>
      </c>
      <c r="B138" s="382"/>
      <c r="C138" s="382"/>
      <c r="D138" s="382"/>
      <c r="E138" s="382"/>
      <c r="F138" s="382"/>
      <c r="G138" s="382"/>
      <c r="H138" s="382"/>
      <c r="I138" s="382"/>
      <c r="J138" s="156"/>
      <c r="N138" s="76"/>
      <c r="O138" s="76"/>
      <c r="P138" s="76"/>
      <c r="Q138" s="76"/>
      <c r="R138" s="76"/>
      <c r="S138" s="76"/>
      <c r="T138" s="76"/>
      <c r="U138" s="76"/>
    </row>
    <row r="139" spans="1:21" ht="12.75" customHeight="1" x14ac:dyDescent="0.25">
      <c r="A139" s="383" t="s">
        <v>313</v>
      </c>
      <c r="B139" s="384"/>
      <c r="C139" s="384"/>
      <c r="D139" s="384"/>
      <c r="E139" s="384"/>
      <c r="F139" s="384"/>
      <c r="G139" s="384"/>
      <c r="H139" s="384"/>
      <c r="I139" s="384"/>
      <c r="J139" s="80"/>
      <c r="K139" s="360"/>
      <c r="L139" s="79"/>
      <c r="M139" s="79"/>
      <c r="N139" s="479"/>
      <c r="O139" s="479"/>
      <c r="P139" s="479"/>
      <c r="Q139" s="479"/>
      <c r="R139" s="479"/>
      <c r="S139" s="479"/>
      <c r="T139" s="479"/>
      <c r="U139" s="479"/>
    </row>
    <row r="140" spans="1:21" ht="12.75" customHeight="1" x14ac:dyDescent="0.25">
      <c r="A140" s="389" t="s">
        <v>356</v>
      </c>
      <c r="B140" s="384"/>
      <c r="C140" s="384"/>
      <c r="D140" s="384"/>
      <c r="E140" s="384"/>
      <c r="F140" s="384"/>
      <c r="G140" s="384"/>
      <c r="H140" s="384"/>
      <c r="I140" s="384"/>
      <c r="J140" s="80"/>
      <c r="K140" s="360"/>
      <c r="L140" s="79"/>
      <c r="M140" s="79"/>
      <c r="N140" s="76"/>
      <c r="O140" s="76"/>
      <c r="P140" s="76"/>
      <c r="Q140" s="76"/>
      <c r="R140" s="76"/>
      <c r="S140" s="76"/>
      <c r="T140" s="76"/>
      <c r="U140" s="76"/>
    </row>
    <row r="141" spans="1:21" ht="12.75" customHeight="1" x14ac:dyDescent="0.25">
      <c r="A141" s="385" t="s">
        <v>61</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ht="12.75" customHeight="1" x14ac:dyDescent="0.2">
      <c r="A142" s="385" t="s">
        <v>62</v>
      </c>
      <c r="B142" s="385"/>
      <c r="C142" s="385"/>
      <c r="D142" s="385"/>
      <c r="E142" s="385"/>
      <c r="F142" s="385"/>
      <c r="G142" s="385"/>
      <c r="H142" s="385"/>
      <c r="I142" s="385"/>
      <c r="N142" s="81"/>
    </row>
    <row r="143" spans="1:21" s="79" customFormat="1" ht="12.75" customHeight="1" x14ac:dyDescent="0.2">
      <c r="A143" s="386" t="s">
        <v>355</v>
      </c>
      <c r="B143" s="385"/>
      <c r="C143" s="385"/>
      <c r="D143" s="385"/>
      <c r="E143" s="385"/>
      <c r="F143" s="385"/>
      <c r="G143" s="385"/>
      <c r="H143" s="385"/>
      <c r="I143" s="385"/>
      <c r="N143" s="81"/>
    </row>
    <row r="144" spans="1:21" s="79" customFormat="1" ht="12.75" customHeight="1" x14ac:dyDescent="0.2">
      <c r="A144" s="386" t="s">
        <v>357</v>
      </c>
      <c r="B144" s="385"/>
      <c r="C144" s="385"/>
      <c r="D144" s="385"/>
      <c r="E144" s="385"/>
      <c r="F144" s="385"/>
      <c r="G144" s="385"/>
      <c r="H144" s="385"/>
      <c r="I144" s="385"/>
      <c r="N144" s="81"/>
    </row>
    <row r="145" spans="1:14" s="79" customFormat="1" ht="12.75" customHeight="1" x14ac:dyDescent="0.2">
      <c r="A145" s="390" t="s">
        <v>314</v>
      </c>
      <c r="B145" s="385"/>
      <c r="C145" s="385"/>
      <c r="D145" s="385"/>
      <c r="E145" s="385"/>
      <c r="F145" s="385"/>
      <c r="G145" s="385"/>
      <c r="H145" s="385"/>
      <c r="I145" s="385"/>
      <c r="N145" s="81"/>
    </row>
    <row r="146" spans="1:14" s="79" customFormat="1" ht="12.75" customHeight="1" x14ac:dyDescent="0.2">
      <c r="A146" s="386" t="s">
        <v>406</v>
      </c>
      <c r="B146" s="385"/>
      <c r="C146" s="385"/>
      <c r="D146" s="385"/>
      <c r="E146" s="385"/>
      <c r="F146" s="385"/>
      <c r="G146" s="385"/>
      <c r="H146" s="385"/>
      <c r="I146" s="385"/>
      <c r="K146" s="385"/>
      <c r="N146" s="81"/>
    </row>
    <row r="147" spans="1:14" s="79" customFormat="1" ht="12.75" customHeight="1" x14ac:dyDescent="0.2">
      <c r="A147" s="390" t="s">
        <v>407</v>
      </c>
      <c r="B147" s="385"/>
      <c r="C147" s="385"/>
      <c r="D147" s="385"/>
      <c r="E147" s="385"/>
      <c r="F147" s="385"/>
      <c r="G147" s="385"/>
      <c r="H147" s="385"/>
      <c r="I147" s="385"/>
      <c r="N147" s="81"/>
    </row>
    <row r="148" spans="1:14" s="79" customFormat="1" ht="12.75" customHeight="1" x14ac:dyDescent="0.2">
      <c r="A148" s="386" t="s">
        <v>315</v>
      </c>
      <c r="B148" s="385"/>
      <c r="C148" s="385"/>
      <c r="D148" s="385"/>
      <c r="E148" s="385"/>
      <c r="F148" s="385"/>
      <c r="G148" s="385"/>
      <c r="H148" s="385"/>
      <c r="I148" s="385"/>
      <c r="N148" s="81"/>
    </row>
    <row r="149" spans="1:14" s="79" customFormat="1" ht="12.75" customHeight="1" x14ac:dyDescent="0.2">
      <c r="A149" s="390" t="s">
        <v>316</v>
      </c>
      <c r="B149" s="385"/>
      <c r="C149" s="385"/>
      <c r="D149" s="385"/>
      <c r="E149" s="385"/>
      <c r="F149" s="385"/>
      <c r="G149" s="385"/>
      <c r="H149" s="385"/>
      <c r="I149" s="385"/>
      <c r="N149" s="81"/>
    </row>
    <row r="150" spans="1:14" s="79" customFormat="1" ht="12.75" customHeight="1" x14ac:dyDescent="0.2">
      <c r="A150" s="386" t="s">
        <v>317</v>
      </c>
      <c r="B150" s="385"/>
      <c r="C150" s="385"/>
      <c r="D150" s="385"/>
      <c r="E150" s="385"/>
      <c r="F150" s="385"/>
      <c r="G150" s="385"/>
      <c r="H150" s="385"/>
      <c r="I150" s="385"/>
      <c r="N150" s="81"/>
    </row>
    <row r="151" spans="1:14" s="79" customFormat="1" ht="12.75" customHeight="1" x14ac:dyDescent="0.2">
      <c r="A151" s="386" t="s">
        <v>346</v>
      </c>
      <c r="B151" s="385"/>
      <c r="C151" s="385"/>
      <c r="D151" s="385"/>
      <c r="E151" s="385"/>
      <c r="F151" s="385"/>
      <c r="G151" s="385"/>
      <c r="H151" s="385"/>
      <c r="I151" s="385"/>
      <c r="N151" s="81"/>
    </row>
    <row r="152" spans="1:14" s="79" customFormat="1" ht="12.75" customHeight="1" x14ac:dyDescent="0.2">
      <c r="A152" s="391" t="s">
        <v>318</v>
      </c>
      <c r="B152" s="385"/>
      <c r="C152" s="385"/>
      <c r="D152" s="385"/>
      <c r="E152" s="385"/>
      <c r="F152" s="385"/>
      <c r="G152" s="385"/>
      <c r="H152" s="385"/>
      <c r="I152" s="385"/>
      <c r="N152" s="81"/>
    </row>
    <row r="153" spans="1:14" s="79" customFormat="1" ht="12.75" customHeight="1" x14ac:dyDescent="0.2">
      <c r="A153" s="391" t="s">
        <v>319</v>
      </c>
      <c r="B153" s="385"/>
      <c r="C153" s="385"/>
      <c r="D153" s="385"/>
      <c r="E153" s="385"/>
      <c r="F153" s="385"/>
      <c r="G153" s="385"/>
      <c r="H153" s="385"/>
      <c r="I153" s="385"/>
      <c r="N153" s="81"/>
    </row>
    <row r="154" spans="1:14" s="79" customFormat="1" ht="12.75" customHeight="1" x14ac:dyDescent="0.2">
      <c r="A154" s="386" t="s">
        <v>347</v>
      </c>
      <c r="B154" s="385"/>
      <c r="C154" s="385"/>
      <c r="D154" s="385"/>
      <c r="E154" s="385"/>
      <c r="F154" s="385"/>
      <c r="G154" s="385"/>
      <c r="H154" s="385"/>
      <c r="I154" s="385"/>
      <c r="N154" s="81"/>
    </row>
    <row r="155" spans="1:14" s="79" customFormat="1" ht="12.75" customHeight="1" x14ac:dyDescent="0.2">
      <c r="A155" s="386" t="s">
        <v>348</v>
      </c>
      <c r="B155" s="385"/>
      <c r="C155" s="385"/>
      <c r="D155" s="385"/>
      <c r="E155" s="385"/>
      <c r="F155" s="385"/>
      <c r="G155" s="385"/>
      <c r="H155" s="385"/>
      <c r="I155" s="385"/>
      <c r="N155" s="81"/>
    </row>
    <row r="156" spans="1:14" s="79" customFormat="1" ht="12.75" customHeight="1" x14ac:dyDescent="0.2">
      <c r="A156" s="391" t="s">
        <v>320</v>
      </c>
      <c r="B156" s="385"/>
      <c r="C156" s="385"/>
      <c r="D156" s="385"/>
      <c r="E156" s="385"/>
      <c r="F156" s="385"/>
      <c r="G156" s="385"/>
      <c r="H156" s="385"/>
      <c r="I156" s="385"/>
      <c r="N156" s="81"/>
    </row>
    <row r="157" spans="1:14" s="79" customFormat="1" ht="12.75" customHeight="1" x14ac:dyDescent="0.2">
      <c r="A157" s="386"/>
      <c r="B157" s="385"/>
      <c r="C157" s="385"/>
      <c r="D157" s="385"/>
      <c r="E157" s="385"/>
      <c r="F157" s="385"/>
      <c r="G157" s="385"/>
      <c r="H157" s="385"/>
      <c r="I157" s="385"/>
      <c r="N157" s="81"/>
    </row>
    <row r="158" spans="1:14" s="79" customFormat="1" ht="12.75" customHeight="1" x14ac:dyDescent="0.2">
      <c r="A158" s="394" t="s">
        <v>92</v>
      </c>
      <c r="B158" s="385"/>
      <c r="C158" s="385"/>
      <c r="D158" s="385"/>
      <c r="E158" s="385"/>
      <c r="F158" s="385"/>
      <c r="G158" s="385"/>
      <c r="H158" s="385"/>
      <c r="I158" s="385"/>
      <c r="N158" s="81"/>
    </row>
    <row r="159" spans="1:14" s="79" customFormat="1" ht="12.75" customHeight="1" x14ac:dyDescent="0.2">
      <c r="A159" s="387" t="s">
        <v>321</v>
      </c>
      <c r="B159" s="388"/>
      <c r="C159" s="388"/>
      <c r="D159" s="388"/>
      <c r="E159" s="388"/>
      <c r="F159" s="388"/>
      <c r="G159" s="388"/>
      <c r="H159" s="388"/>
      <c r="I159" s="388"/>
      <c r="N159" s="81"/>
    </row>
    <row r="160" spans="1:14" s="79" customFormat="1" ht="12.75" customHeight="1" x14ac:dyDescent="0.2">
      <c r="A160" s="392" t="s">
        <v>358</v>
      </c>
      <c r="B160" s="395"/>
      <c r="C160" s="395"/>
      <c r="D160" s="395"/>
      <c r="E160" s="395"/>
      <c r="F160" s="395"/>
      <c r="G160" s="395"/>
      <c r="H160" s="395"/>
      <c r="I160" s="395"/>
      <c r="N160" s="81"/>
    </row>
    <row r="161" spans="1:21" s="79" customFormat="1" ht="12.75" customHeight="1" x14ac:dyDescent="0.2">
      <c r="A161" s="392" t="s">
        <v>359</v>
      </c>
      <c r="B161" s="395"/>
      <c r="C161" s="395"/>
      <c r="D161" s="395"/>
      <c r="E161" s="395"/>
      <c r="F161" s="395"/>
      <c r="G161" s="395"/>
      <c r="H161" s="395"/>
      <c r="I161" s="395"/>
      <c r="N161" s="81"/>
    </row>
    <row r="162" spans="1:21" s="79" customFormat="1" ht="12.75" customHeight="1" x14ac:dyDescent="0.2">
      <c r="A162" s="387"/>
      <c r="B162" s="395"/>
      <c r="C162" s="395"/>
      <c r="D162" s="395"/>
      <c r="E162" s="395"/>
      <c r="F162" s="395"/>
      <c r="G162" s="395"/>
      <c r="H162" s="395"/>
      <c r="I162" s="395"/>
      <c r="N162" s="81"/>
    </row>
    <row r="163" spans="1:21" s="79" customFormat="1" ht="12.75" customHeight="1" x14ac:dyDescent="0.25">
      <c r="A163" s="387" t="s">
        <v>360</v>
      </c>
      <c r="B163" s="388"/>
      <c r="C163" s="388"/>
      <c r="D163" s="388"/>
      <c r="E163" s="388"/>
      <c r="F163" s="388"/>
      <c r="G163" s="388"/>
      <c r="H163" s="388"/>
      <c r="I163" s="388"/>
      <c r="J163" s="3"/>
      <c r="K163" s="3"/>
      <c r="L163" s="3"/>
      <c r="M163" s="3"/>
      <c r="N163" s="81"/>
    </row>
    <row r="164" spans="1:21" s="79" customFormat="1" ht="12.75" customHeight="1" x14ac:dyDescent="0.25">
      <c r="A164" s="392" t="s">
        <v>358</v>
      </c>
      <c r="B164" s="388"/>
      <c r="C164" s="388"/>
      <c r="D164" s="388"/>
      <c r="E164" s="388"/>
      <c r="F164" s="388"/>
      <c r="G164" s="388"/>
      <c r="H164" s="388"/>
      <c r="I164" s="388"/>
      <c r="J164" s="3"/>
      <c r="K164" s="3"/>
      <c r="L164" s="3"/>
      <c r="M164" s="3"/>
      <c r="N164" s="81"/>
    </row>
    <row r="165" spans="1:21" s="79" customFormat="1" ht="12.75" customHeight="1" x14ac:dyDescent="0.25">
      <c r="A165" s="392" t="s">
        <v>361</v>
      </c>
      <c r="B165" s="388"/>
      <c r="C165" s="388"/>
      <c r="D165" s="388"/>
      <c r="E165" s="388"/>
      <c r="F165" s="388"/>
      <c r="G165" s="388"/>
      <c r="H165" s="388"/>
      <c r="I165" s="388"/>
      <c r="J165" s="3"/>
      <c r="K165" s="3"/>
      <c r="L165" s="3"/>
      <c r="M165" s="3"/>
      <c r="N165" s="81"/>
    </row>
    <row r="166" spans="1:21" s="79" customFormat="1" ht="12.75" customHeight="1" x14ac:dyDescent="0.25">
      <c r="A166" s="388"/>
      <c r="B166" s="388"/>
      <c r="C166" s="388"/>
      <c r="D166" s="388"/>
      <c r="E166" s="388"/>
      <c r="F166" s="388"/>
      <c r="G166" s="388"/>
      <c r="H166" s="388"/>
      <c r="I166" s="388"/>
      <c r="J166" s="3"/>
      <c r="K166" s="3"/>
      <c r="L166" s="3"/>
      <c r="M166" s="3"/>
      <c r="N166" s="81"/>
    </row>
    <row r="167" spans="1:21" s="79" customFormat="1" ht="12.75" customHeight="1" x14ac:dyDescent="0.25">
      <c r="A167" s="394" t="s">
        <v>93</v>
      </c>
      <c r="B167" s="394"/>
      <c r="C167" s="394"/>
      <c r="D167" s="394"/>
      <c r="E167" s="394"/>
      <c r="F167" s="394"/>
      <c r="G167" s="394"/>
      <c r="H167" s="394"/>
      <c r="I167" s="394"/>
      <c r="N167" s="77"/>
      <c r="O167" s="3"/>
      <c r="P167" s="3"/>
      <c r="Q167" s="3"/>
      <c r="R167" s="3"/>
      <c r="S167" s="3"/>
      <c r="T167" s="3"/>
      <c r="U167" s="3"/>
    </row>
    <row r="168" spans="1:21" ht="12.75" customHeight="1" x14ac:dyDescent="0.25">
      <c r="A168" s="387" t="s">
        <v>322</v>
      </c>
      <c r="B168" s="388"/>
      <c r="C168" s="388"/>
      <c r="D168" s="388"/>
      <c r="E168" s="388"/>
      <c r="F168" s="388"/>
      <c r="G168" s="388"/>
      <c r="H168" s="388"/>
      <c r="I168" s="388"/>
      <c r="J168" s="79"/>
      <c r="K168" s="79"/>
      <c r="L168" s="79"/>
      <c r="M168" s="79"/>
      <c r="N168" s="81"/>
      <c r="O168" s="79"/>
      <c r="P168" s="79"/>
      <c r="Q168" s="79"/>
      <c r="R168" s="79"/>
      <c r="S168" s="79"/>
      <c r="T168" s="79"/>
      <c r="U168" s="79"/>
    </row>
    <row r="169" spans="1:21" ht="12.75" customHeight="1" x14ac:dyDescent="0.25">
      <c r="A169" s="392" t="s">
        <v>323</v>
      </c>
      <c r="B169" s="395"/>
      <c r="C169" s="395"/>
      <c r="D169" s="395"/>
      <c r="E169" s="395"/>
      <c r="F169" s="395"/>
      <c r="G169" s="395"/>
      <c r="H169" s="395"/>
      <c r="I169" s="395"/>
      <c r="J169" s="79"/>
      <c r="K169" s="79"/>
      <c r="L169" s="79"/>
      <c r="M169" s="79"/>
      <c r="N169" s="81"/>
      <c r="O169" s="79"/>
      <c r="P169" s="79"/>
      <c r="Q169" s="79"/>
      <c r="R169" s="79"/>
      <c r="S169" s="79"/>
      <c r="T169" s="79"/>
      <c r="U169" s="79"/>
    </row>
    <row r="170" spans="1:21" s="79" customFormat="1" ht="12.75" customHeight="1" x14ac:dyDescent="0.2">
      <c r="A170" s="388" t="s">
        <v>12</v>
      </c>
      <c r="B170" s="388"/>
      <c r="C170" s="388"/>
      <c r="D170" s="388"/>
      <c r="E170" s="388"/>
      <c r="F170" s="388"/>
      <c r="G170" s="388"/>
      <c r="H170" s="388"/>
      <c r="I170" s="388"/>
      <c r="N170" s="81"/>
    </row>
    <row r="171" spans="1:21" s="79" customFormat="1" ht="15.75" customHeight="1" x14ac:dyDescent="0.25">
      <c r="A171" s="328"/>
      <c r="B171" s="328"/>
      <c r="C171" s="328"/>
      <c r="D171" s="328"/>
      <c r="E171" s="328"/>
      <c r="F171" s="328"/>
      <c r="G171" s="328"/>
      <c r="H171" s="328"/>
      <c r="I171" s="328"/>
      <c r="J171" s="3"/>
      <c r="K171" s="3"/>
      <c r="L171" s="3"/>
      <c r="M171" s="3"/>
      <c r="N171" s="81"/>
    </row>
    <row r="172" spans="1:21" s="79" customFormat="1" ht="15.75" customHeight="1" x14ac:dyDescent="0.25">
      <c r="A172" s="77"/>
      <c r="B172" s="3"/>
      <c r="C172" s="3"/>
      <c r="D172" s="3"/>
      <c r="E172" s="3"/>
      <c r="F172" s="3"/>
      <c r="G172" s="3"/>
      <c r="H172" s="3"/>
      <c r="I172" s="3"/>
      <c r="J172" s="3"/>
      <c r="K172" s="3"/>
      <c r="L172" s="3"/>
      <c r="M172" s="3"/>
      <c r="N172" s="77"/>
      <c r="O172" s="3"/>
      <c r="P172" s="3"/>
      <c r="Q172" s="3"/>
      <c r="R172" s="3"/>
      <c r="S172" s="3"/>
      <c r="T172" s="3"/>
      <c r="U172" s="3"/>
    </row>
    <row r="173" spans="1:21" ht="15.75" customHeight="1" x14ac:dyDescent="0.25">
      <c r="A173" s="77"/>
      <c r="N173" s="77"/>
    </row>
    <row r="174" spans="1:21" ht="15.75" customHeight="1" x14ac:dyDescent="0.25">
      <c r="A174" s="77"/>
      <c r="N174" s="77"/>
    </row>
    <row r="175" spans="1:21" ht="15.75" customHeight="1" x14ac:dyDescent="0.25">
      <c r="A175" s="77"/>
      <c r="B175" s="157"/>
      <c r="C175" s="157"/>
      <c r="D175" s="157"/>
      <c r="E175" s="157"/>
      <c r="F175" s="157"/>
      <c r="G175" s="157"/>
      <c r="H175" s="157"/>
      <c r="I175" s="157"/>
      <c r="N175" s="77"/>
    </row>
    <row r="176" spans="1:21" ht="15.75" customHeight="1" x14ac:dyDescent="0.25">
      <c r="A176" s="77"/>
      <c r="N176" s="77"/>
    </row>
    <row r="177" spans="1:14" ht="15.75" customHeight="1" x14ac:dyDescent="0.25">
      <c r="A177" s="77"/>
      <c r="N177" s="77"/>
    </row>
    <row r="178" spans="1:14" ht="15.75" customHeight="1" x14ac:dyDescent="0.25">
      <c r="A178" s="77"/>
      <c r="N178" s="77"/>
    </row>
    <row r="179" spans="1:14" ht="15.75" customHeight="1" x14ac:dyDescent="0.25">
      <c r="A179" s="77"/>
      <c r="N179" s="77"/>
    </row>
    <row r="180" spans="1:14" ht="15.75" customHeight="1" x14ac:dyDescent="0.25">
      <c r="A180" s="77"/>
      <c r="N180" s="77"/>
    </row>
    <row r="181" spans="1:14" ht="15.75" customHeight="1" x14ac:dyDescent="0.25">
      <c r="A181" s="77"/>
      <c r="N181" s="77"/>
    </row>
    <row r="182" spans="1:14" ht="15.75" customHeight="1" x14ac:dyDescent="0.25">
      <c r="A182" s="77"/>
      <c r="N182" s="77"/>
    </row>
    <row r="183" spans="1:14" ht="15.75" customHeight="1" x14ac:dyDescent="0.25">
      <c r="A183" s="77"/>
      <c r="N183" s="77"/>
    </row>
    <row r="184" spans="1:14" ht="15.75" customHeight="1" x14ac:dyDescent="0.25">
      <c r="A184" s="77"/>
      <c r="N184" s="77"/>
    </row>
    <row r="185" spans="1:14" ht="15.75" customHeight="1" x14ac:dyDescent="0.25">
      <c r="A185" s="77"/>
      <c r="N185" s="77"/>
    </row>
    <row r="186" spans="1:14" ht="15.75" customHeight="1" x14ac:dyDescent="0.25">
      <c r="A186" s="77"/>
      <c r="N186" s="77"/>
    </row>
    <row r="187" spans="1:14" ht="15.75" customHeight="1" x14ac:dyDescent="0.25">
      <c r="A187" s="77"/>
      <c r="N187" s="77"/>
    </row>
    <row r="188" spans="1:14" ht="15.75" customHeight="1" x14ac:dyDescent="0.25">
      <c r="A188" s="77"/>
      <c r="N188" s="77"/>
    </row>
    <row r="189" spans="1:14" ht="15.75" customHeight="1" x14ac:dyDescent="0.25">
      <c r="A189" s="77"/>
      <c r="N189" s="77"/>
    </row>
    <row r="190" spans="1:14" x14ac:dyDescent="0.25">
      <c r="A190" s="77"/>
      <c r="N190" s="77"/>
    </row>
    <row r="191" spans="1:14" x14ac:dyDescent="0.25">
      <c r="A191" s="77"/>
      <c r="N191" s="77"/>
    </row>
    <row r="192" spans="1:14" x14ac:dyDescent="0.25">
      <c r="A192" s="77"/>
      <c r="N192" s="77"/>
    </row>
    <row r="193" spans="1:14" x14ac:dyDescent="0.25">
      <c r="A193" s="77"/>
      <c r="N193" s="77"/>
    </row>
    <row r="194" spans="1:14" x14ac:dyDescent="0.25">
      <c r="A194" s="77"/>
      <c r="N194" s="77"/>
    </row>
    <row r="195" spans="1:14" x14ac:dyDescent="0.25">
      <c r="A195" s="77"/>
      <c r="N195" s="77"/>
    </row>
    <row r="196" spans="1:14" x14ac:dyDescent="0.25">
      <c r="A196" s="77"/>
      <c r="N196" s="77"/>
    </row>
    <row r="197" spans="1:14" x14ac:dyDescent="0.25">
      <c r="A197" s="77"/>
      <c r="N197" s="77"/>
    </row>
    <row r="198" spans="1:14" x14ac:dyDescent="0.25">
      <c r="A198" s="77"/>
      <c r="N198" s="77"/>
    </row>
    <row r="199" spans="1:14" x14ac:dyDescent="0.25">
      <c r="A199" s="77"/>
      <c r="N199" s="77"/>
    </row>
    <row r="200" spans="1:14" x14ac:dyDescent="0.25">
      <c r="A200" s="77"/>
      <c r="N200" s="77"/>
    </row>
    <row r="201" spans="1:14" x14ac:dyDescent="0.25">
      <c r="A201" s="77"/>
      <c r="N201" s="77"/>
    </row>
    <row r="202" spans="1:14" x14ac:dyDescent="0.25">
      <c r="A202" s="77"/>
      <c r="N202" s="77"/>
    </row>
    <row r="203" spans="1:14" x14ac:dyDescent="0.25">
      <c r="A203" s="77"/>
      <c r="N203" s="77"/>
    </row>
    <row r="204" spans="1:14" x14ac:dyDescent="0.25">
      <c r="A204" s="77"/>
      <c r="N204" s="77"/>
    </row>
    <row r="205" spans="1:14" x14ac:dyDescent="0.25">
      <c r="A205" s="77"/>
      <c r="N205" s="77"/>
    </row>
    <row r="206" spans="1:14" x14ac:dyDescent="0.25">
      <c r="A206" s="77"/>
      <c r="N206" s="77"/>
    </row>
    <row r="207" spans="1:14" x14ac:dyDescent="0.25">
      <c r="A207" s="77"/>
      <c r="N207" s="77"/>
    </row>
    <row r="208" spans="1:14" x14ac:dyDescent="0.25">
      <c r="A208" s="77"/>
      <c r="N208" s="77"/>
    </row>
    <row r="209" spans="1:14" x14ac:dyDescent="0.25">
      <c r="A209" s="77"/>
      <c r="N209" s="77"/>
    </row>
    <row r="210" spans="1:14" x14ac:dyDescent="0.25">
      <c r="A210" s="77"/>
      <c r="N210" s="77"/>
    </row>
    <row r="211" spans="1:14" x14ac:dyDescent="0.25">
      <c r="A211" s="77"/>
      <c r="N211" s="77"/>
    </row>
    <row r="212" spans="1:14" x14ac:dyDescent="0.25">
      <c r="A212" s="77"/>
      <c r="N212" s="77"/>
    </row>
    <row r="213" spans="1:14" x14ac:dyDescent="0.25">
      <c r="A213" s="77"/>
    </row>
    <row r="214" spans="1:14" x14ac:dyDescent="0.25">
      <c r="A214" s="77"/>
    </row>
    <row r="215" spans="1:14" x14ac:dyDescent="0.25">
      <c r="A215" s="77"/>
    </row>
    <row r="216" spans="1:14" x14ac:dyDescent="0.25">
      <c r="A216" s="77"/>
    </row>
    <row r="217" spans="1:14" x14ac:dyDescent="0.25">
      <c r="A217" s="77"/>
    </row>
    <row r="218" spans="1:14" x14ac:dyDescent="0.25">
      <c r="A218" s="77"/>
    </row>
    <row r="219" spans="1:14" x14ac:dyDescent="0.25">
      <c r="A219" s="77"/>
    </row>
    <row r="220" spans="1:14" x14ac:dyDescent="0.25">
      <c r="A220" s="77"/>
    </row>
    <row r="221" spans="1:14" x14ac:dyDescent="0.25">
      <c r="A221" s="77"/>
    </row>
    <row r="222" spans="1:14" x14ac:dyDescent="0.25">
      <c r="A222" s="77"/>
    </row>
    <row r="223" spans="1:14" x14ac:dyDescent="0.25">
      <c r="A223" s="77"/>
    </row>
    <row r="224" spans="1:14"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sheetData>
  <mergeCells count="265">
    <mergeCell ref="A115:H115"/>
    <mergeCell ref="A120:G120"/>
    <mergeCell ref="A119:G119"/>
    <mergeCell ref="F112:H112"/>
    <mergeCell ref="F113:H113"/>
    <mergeCell ref="A39:B39"/>
    <mergeCell ref="A40:B40"/>
    <mergeCell ref="A112:C112"/>
    <mergeCell ref="A110:B110"/>
    <mergeCell ref="A109:B109"/>
    <mergeCell ref="A108:B108"/>
    <mergeCell ref="A79:C79"/>
    <mergeCell ref="A94:I94"/>
    <mergeCell ref="A61:I61"/>
    <mergeCell ref="F107:G107"/>
    <mergeCell ref="A70:C70"/>
    <mergeCell ref="A64:I64"/>
    <mergeCell ref="A71:C71"/>
    <mergeCell ref="C93:D93"/>
    <mergeCell ref="A78:C78"/>
    <mergeCell ref="A106:B106"/>
    <mergeCell ref="F96:I96"/>
    <mergeCell ref="F106:G106"/>
    <mergeCell ref="A60:I60"/>
    <mergeCell ref="A113:C113"/>
    <mergeCell ref="A22:B22"/>
    <mergeCell ref="F23:G23"/>
    <mergeCell ref="F26:G26"/>
    <mergeCell ref="F27:G27"/>
    <mergeCell ref="F28:G28"/>
    <mergeCell ref="A24:B24"/>
    <mergeCell ref="A25:B25"/>
    <mergeCell ref="A37:B37"/>
    <mergeCell ref="F109:G109"/>
    <mergeCell ref="A72:C72"/>
    <mergeCell ref="C92:D92"/>
    <mergeCell ref="A80:C80"/>
    <mergeCell ref="F73:H73"/>
    <mergeCell ref="A65:B65"/>
    <mergeCell ref="C91:D91"/>
    <mergeCell ref="F33:H36"/>
    <mergeCell ref="A36:B36"/>
    <mergeCell ref="F108:G108"/>
    <mergeCell ref="A69:C69"/>
    <mergeCell ref="A107:B107"/>
    <mergeCell ref="F59:H59"/>
    <mergeCell ref="A59:B59"/>
    <mergeCell ref="A50:B58"/>
    <mergeCell ref="A4:B4"/>
    <mergeCell ref="C4:E4"/>
    <mergeCell ref="F10:G10"/>
    <mergeCell ref="A14:B14"/>
    <mergeCell ref="F14:G14"/>
    <mergeCell ref="F11:G11"/>
    <mergeCell ref="F12:G12"/>
    <mergeCell ref="A12:B12"/>
    <mergeCell ref="A28:B28"/>
    <mergeCell ref="A26:B26"/>
    <mergeCell ref="A27:B27"/>
    <mergeCell ref="F13:G13"/>
    <mergeCell ref="A19:B19"/>
    <mergeCell ref="A18:B18"/>
    <mergeCell ref="A13:B13"/>
    <mergeCell ref="A15:B15"/>
    <mergeCell ref="F18:G18"/>
    <mergeCell ref="A17:B17"/>
    <mergeCell ref="A103:C103"/>
    <mergeCell ref="F103:I103"/>
    <mergeCell ref="A99:B99"/>
    <mergeCell ref="A100:B100"/>
    <mergeCell ref="F29:G29"/>
    <mergeCell ref="A62:B62"/>
    <mergeCell ref="A68:C68"/>
    <mergeCell ref="A85:C85"/>
    <mergeCell ref="F24:G24"/>
    <mergeCell ref="F25:G25"/>
    <mergeCell ref="A41:B41"/>
    <mergeCell ref="A87:I87"/>
    <mergeCell ref="A77:C77"/>
    <mergeCell ref="C90:D90"/>
    <mergeCell ref="O1:U1"/>
    <mergeCell ref="N2:U2"/>
    <mergeCell ref="N3:U3"/>
    <mergeCell ref="N4:O4"/>
    <mergeCell ref="P4:Q4"/>
    <mergeCell ref="A42:B42"/>
    <mergeCell ref="N7:U7"/>
    <mergeCell ref="A38:B38"/>
    <mergeCell ref="A29:B29"/>
    <mergeCell ref="A23:B23"/>
    <mergeCell ref="A21:B21"/>
    <mergeCell ref="F21:G21"/>
    <mergeCell ref="F22:G22"/>
    <mergeCell ref="A16:B16"/>
    <mergeCell ref="F15:G15"/>
    <mergeCell ref="F17:G17"/>
    <mergeCell ref="F16:G16"/>
    <mergeCell ref="F19:G19"/>
    <mergeCell ref="F20:G20"/>
    <mergeCell ref="A20:B20"/>
    <mergeCell ref="B1:I1"/>
    <mergeCell ref="A7:I7"/>
    <mergeCell ref="N8:O8"/>
    <mergeCell ref="P8:Q8"/>
    <mergeCell ref="R8:S8"/>
    <mergeCell ref="T8:U8"/>
    <mergeCell ref="R10:S10"/>
    <mergeCell ref="N11:O11"/>
    <mergeCell ref="P11:Q11"/>
    <mergeCell ref="R11:S11"/>
    <mergeCell ref="A76:C76"/>
    <mergeCell ref="N14:O14"/>
    <mergeCell ref="P14:Q14"/>
    <mergeCell ref="R14:S14"/>
    <mergeCell ref="N15:O15"/>
    <mergeCell ref="P15:Q15"/>
    <mergeCell ref="R15:S15"/>
    <mergeCell ref="N12:O12"/>
    <mergeCell ref="P12:Q12"/>
    <mergeCell ref="R12:S12"/>
    <mergeCell ref="N13:O13"/>
    <mergeCell ref="P13:Q13"/>
    <mergeCell ref="R13:S13"/>
    <mergeCell ref="N18:O18"/>
    <mergeCell ref="P18:Q18"/>
    <mergeCell ref="R18:S18"/>
    <mergeCell ref="N19:O19"/>
    <mergeCell ref="P19:Q19"/>
    <mergeCell ref="R19:S19"/>
    <mergeCell ref="N16:O16"/>
    <mergeCell ref="P16:Q16"/>
    <mergeCell ref="R16:S16"/>
    <mergeCell ref="N17:O17"/>
    <mergeCell ref="P17:Q17"/>
    <mergeCell ref="R17:S17"/>
    <mergeCell ref="N22:O22"/>
    <mergeCell ref="P22:Q22"/>
    <mergeCell ref="R22:S22"/>
    <mergeCell ref="N23:O23"/>
    <mergeCell ref="P23:Q23"/>
    <mergeCell ref="R23:S23"/>
    <mergeCell ref="N20:O20"/>
    <mergeCell ref="P20:Q20"/>
    <mergeCell ref="R20:S20"/>
    <mergeCell ref="N21:O21"/>
    <mergeCell ref="P21:Q21"/>
    <mergeCell ref="R21:S21"/>
    <mergeCell ref="N26:O26"/>
    <mergeCell ref="P26:Q26"/>
    <mergeCell ref="R26:S26"/>
    <mergeCell ref="N27:O27"/>
    <mergeCell ref="P27:Q27"/>
    <mergeCell ref="R27:S27"/>
    <mergeCell ref="N24:O24"/>
    <mergeCell ref="P24:Q24"/>
    <mergeCell ref="R24:S24"/>
    <mergeCell ref="N25:O25"/>
    <mergeCell ref="P25:Q25"/>
    <mergeCell ref="R25:S25"/>
    <mergeCell ref="N34:T34"/>
    <mergeCell ref="N36:O36"/>
    <mergeCell ref="P36:T36"/>
    <mergeCell ref="N37:O37"/>
    <mergeCell ref="P37:T37"/>
    <mergeCell ref="N38:O38"/>
    <mergeCell ref="P38:T38"/>
    <mergeCell ref="N28:O28"/>
    <mergeCell ref="P28:Q28"/>
    <mergeCell ref="R28:S28"/>
    <mergeCell ref="N29:O29"/>
    <mergeCell ref="P29:Q29"/>
    <mergeCell ref="R29:S29"/>
    <mergeCell ref="N42:O42"/>
    <mergeCell ref="P42:T42"/>
    <mergeCell ref="N43:Q43"/>
    <mergeCell ref="S43:T43"/>
    <mergeCell ref="N45:Q45"/>
    <mergeCell ref="S45:T45"/>
    <mergeCell ref="N39:O39"/>
    <mergeCell ref="P39:T39"/>
    <mergeCell ref="N40:O40"/>
    <mergeCell ref="P40:T40"/>
    <mergeCell ref="N41:O41"/>
    <mergeCell ref="P41:T41"/>
    <mergeCell ref="N49:O49"/>
    <mergeCell ref="P49:Q49"/>
    <mergeCell ref="N50:O58"/>
    <mergeCell ref="P50:Q50"/>
    <mergeCell ref="P51:Q51"/>
    <mergeCell ref="P52:Q52"/>
    <mergeCell ref="P53:Q53"/>
    <mergeCell ref="P54:Q54"/>
    <mergeCell ref="P55:Q55"/>
    <mergeCell ref="P56:Q56"/>
    <mergeCell ref="P57:Q57"/>
    <mergeCell ref="P58:Q58"/>
    <mergeCell ref="N63:S63"/>
    <mergeCell ref="T63:U63"/>
    <mergeCell ref="N64:U64"/>
    <mergeCell ref="N65:O65"/>
    <mergeCell ref="T65:U65"/>
    <mergeCell ref="N59:O59"/>
    <mergeCell ref="P59:Q59"/>
    <mergeCell ref="R59:T59"/>
    <mergeCell ref="N60:U60"/>
    <mergeCell ref="N61:U61"/>
    <mergeCell ref="N62:O62"/>
    <mergeCell ref="Q62:S62"/>
    <mergeCell ref="T62:U62"/>
    <mergeCell ref="N80:P80"/>
    <mergeCell ref="N85:P85"/>
    <mergeCell ref="N76:P76"/>
    <mergeCell ref="N77:P77"/>
    <mergeCell ref="N87:U87"/>
    <mergeCell ref="N89:O89"/>
    <mergeCell ref="P89:Q89"/>
    <mergeCell ref="R89:U89"/>
    <mergeCell ref="Q65:S65"/>
    <mergeCell ref="N72:P72"/>
    <mergeCell ref="N73:T73"/>
    <mergeCell ref="N74:T74"/>
    <mergeCell ref="N78:P78"/>
    <mergeCell ref="N79:P79"/>
    <mergeCell ref="N66:S66"/>
    <mergeCell ref="T66:U66"/>
    <mergeCell ref="N68:P68"/>
    <mergeCell ref="N69:P69"/>
    <mergeCell ref="N71:P71"/>
    <mergeCell ref="N100:O100"/>
    <mergeCell ref="P100:R100"/>
    <mergeCell ref="N103:U103"/>
    <mergeCell ref="N106:O106"/>
    <mergeCell ref="P106:Q106"/>
    <mergeCell ref="R106:S106"/>
    <mergeCell ref="P90:Q90"/>
    <mergeCell ref="P91:Q91"/>
    <mergeCell ref="P92:Q92"/>
    <mergeCell ref="P93:T93"/>
    <mergeCell ref="N94:U94"/>
    <mergeCell ref="N96:P96"/>
    <mergeCell ref="Q96:T96"/>
    <mergeCell ref="N120:U120"/>
    <mergeCell ref="N139:U139"/>
    <mergeCell ref="D62:G62"/>
    <mergeCell ref="D65:G65"/>
    <mergeCell ref="C88:D88"/>
    <mergeCell ref="C89:D89"/>
    <mergeCell ref="F105:G105"/>
    <mergeCell ref="C104:E104"/>
    <mergeCell ref="N113:P113"/>
    <mergeCell ref="N114:T114"/>
    <mergeCell ref="N119:U119"/>
    <mergeCell ref="N109:O109"/>
    <mergeCell ref="P109:Q109"/>
    <mergeCell ref="R109:S109"/>
    <mergeCell ref="N110:O110"/>
    <mergeCell ref="N112:P112"/>
    <mergeCell ref="N107:O107"/>
    <mergeCell ref="P107:Q107"/>
    <mergeCell ref="R107:S107"/>
    <mergeCell ref="N108:O108"/>
    <mergeCell ref="P108:Q108"/>
    <mergeCell ref="R108:S108"/>
    <mergeCell ref="N99:O99"/>
    <mergeCell ref="P99:R99"/>
  </mergeCells>
  <phoneticPr fontId="2" type="noConversion"/>
  <printOptions horizontalCentered="1" headings="1"/>
  <pageMargins left="0.1" right="0.1" top="0.5" bottom="0.5" header="0" footer="0.1"/>
  <pageSetup scale="76" fitToHeight="2"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CC"/>
  </sheetPr>
  <dimension ref="A1:U206"/>
  <sheetViews>
    <sheetView showGridLines="0" zoomScaleNormal="100" workbookViewId="0">
      <pane ySplit="1" topLeftCell="A118" activePane="bottomLeft" state="frozen"/>
      <selection activeCell="E78" sqref="E78"/>
      <selection pane="bottomLeft" activeCell="D56" sqref="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303</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91" t="s">
        <v>370</v>
      </c>
      <c r="C9" s="41" t="s">
        <v>370</v>
      </c>
      <c r="D9" s="91" t="s">
        <v>370</v>
      </c>
      <c r="E9" s="8"/>
      <c r="F9" s="9"/>
      <c r="G9" s="9"/>
      <c r="H9" s="10"/>
      <c r="I9" s="340" t="str">
        <f>'0664'!I9</f>
        <v>2022-23</v>
      </c>
      <c r="N9" s="12"/>
      <c r="O9" s="12"/>
      <c r="P9" s="13"/>
      <c r="Q9" s="13"/>
      <c r="R9" s="14"/>
      <c r="S9" s="14"/>
      <c r="T9" s="15"/>
      <c r="U9" s="404" t="s">
        <v>405</v>
      </c>
    </row>
    <row r="10" spans="1:21" x14ac:dyDescent="0.25">
      <c r="A10" s="7"/>
      <c r="B10" s="68"/>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37" t="s">
        <v>1</v>
      </c>
      <c r="B11" s="37"/>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262.01</v>
      </c>
      <c r="D17" s="165">
        <v>248.86</v>
      </c>
      <c r="E17" s="125">
        <f t="shared" si="3"/>
        <v>510.87</v>
      </c>
      <c r="F17" s="534">
        <f>'0664'!F17:G17</f>
        <v>0.999</v>
      </c>
      <c r="G17" s="534"/>
      <c r="H17" s="83">
        <f t="shared" si="4"/>
        <v>510.35910000000001</v>
      </c>
      <c r="I17" s="104">
        <f t="shared" si="0"/>
        <v>2443766.83</v>
      </c>
      <c r="N17" s="481" t="s">
        <v>33</v>
      </c>
      <c r="O17" s="481"/>
      <c r="P17" s="515">
        <f t="shared" si="1"/>
        <v>0</v>
      </c>
      <c r="Q17" s="515"/>
      <c r="R17" s="519">
        <v>1</v>
      </c>
      <c r="S17" s="519"/>
      <c r="T17" s="98">
        <f t="shared" si="5"/>
        <v>0</v>
      </c>
      <c r="U17" s="99">
        <f t="shared" si="2"/>
        <v>0</v>
      </c>
    </row>
    <row r="18" spans="1:21" x14ac:dyDescent="0.25">
      <c r="A18" s="455" t="s">
        <v>34</v>
      </c>
      <c r="B18" s="455"/>
      <c r="C18" s="165">
        <v>36.97</v>
      </c>
      <c r="D18" s="165">
        <v>37.46</v>
      </c>
      <c r="E18" s="125">
        <f t="shared" si="3"/>
        <v>74.430000000000007</v>
      </c>
      <c r="F18" s="534">
        <f>'0664'!F18:G18</f>
        <v>0.999</v>
      </c>
      <c r="G18" s="534"/>
      <c r="H18" s="83">
        <f t="shared" si="4"/>
        <v>74.355599999999995</v>
      </c>
      <c r="I18" s="104">
        <f t="shared" si="0"/>
        <v>356039.01</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8.6999999999999993</v>
      </c>
      <c r="D27" s="165">
        <v>6.15</v>
      </c>
      <c r="E27" s="125">
        <f t="shared" si="3"/>
        <v>14.85</v>
      </c>
      <c r="F27" s="534">
        <f>'0664'!F27:G27</f>
        <v>1.206</v>
      </c>
      <c r="G27" s="534"/>
      <c r="H27" s="83">
        <f t="shared" si="4"/>
        <v>17.909099999999999</v>
      </c>
      <c r="I27" s="104">
        <f t="shared" si="0"/>
        <v>85754.65</v>
      </c>
      <c r="N27" s="481" t="s">
        <v>116</v>
      </c>
      <c r="O27" s="481"/>
      <c r="P27" s="515">
        <f t="shared" si="1"/>
        <v>0</v>
      </c>
      <c r="Q27" s="515"/>
      <c r="R27" s="519">
        <v>1</v>
      </c>
      <c r="S27" s="519"/>
      <c r="T27" s="98">
        <f t="shared" si="5"/>
        <v>0</v>
      </c>
      <c r="U27" s="99">
        <f t="shared" si="2"/>
        <v>0</v>
      </c>
    </row>
    <row r="28" spans="1:21" x14ac:dyDescent="0.25">
      <c r="A28" s="455" t="s">
        <v>117</v>
      </c>
      <c r="B28" s="455"/>
      <c r="C28" s="116">
        <v>74.56</v>
      </c>
      <c r="D28" s="116">
        <v>73.36</v>
      </c>
      <c r="E28" s="177">
        <f t="shared" si="3"/>
        <v>147.92000000000002</v>
      </c>
      <c r="F28" s="534">
        <f>'0664'!F28:G28</f>
        <v>0.999</v>
      </c>
      <c r="G28" s="534"/>
      <c r="H28" s="96">
        <f t="shared" si="4"/>
        <v>147.77209999999999</v>
      </c>
      <c r="I28" s="97">
        <f t="shared" si="0"/>
        <v>707581.3</v>
      </c>
      <c r="N28" s="484" t="s">
        <v>117</v>
      </c>
      <c r="O28" s="484"/>
      <c r="P28" s="515">
        <f t="shared" si="1"/>
        <v>0</v>
      </c>
      <c r="Q28" s="515"/>
      <c r="R28" s="516">
        <v>1</v>
      </c>
      <c r="S28" s="516"/>
      <c r="T28" s="98">
        <f t="shared" si="5"/>
        <v>0</v>
      </c>
      <c r="U28" s="99">
        <f t="shared" si="2"/>
        <v>0</v>
      </c>
    </row>
    <row r="29" spans="1:21" x14ac:dyDescent="0.25">
      <c r="A29" s="463" t="s">
        <v>5</v>
      </c>
      <c r="B29" s="463"/>
      <c r="C29" s="97">
        <f>SUM(C13:C28)</f>
        <v>382.24</v>
      </c>
      <c r="D29" s="97">
        <f>SUM(D13:D28)</f>
        <v>365.83</v>
      </c>
      <c r="E29" s="97">
        <f>SUM(E13:E28)</f>
        <v>748.06999999999994</v>
      </c>
      <c r="F29" s="459"/>
      <c r="G29" s="459"/>
      <c r="H29" s="102">
        <f>SUM(H13:H28)</f>
        <v>750.39589999999998</v>
      </c>
      <c r="I29" s="97">
        <f>SUM(I13:I28)</f>
        <v>3593141.79</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750.39589999999998</v>
      </c>
      <c r="F45" s="35"/>
      <c r="G45" s="109"/>
      <c r="H45" s="110" t="s">
        <v>129</v>
      </c>
      <c r="I45" s="97">
        <f>SUM(I43,I29)</f>
        <v>3593141.79</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35.979999999999997</v>
      </c>
      <c r="D56" s="165">
        <v>36.549999999999997</v>
      </c>
      <c r="E56" s="125">
        <f t="shared" si="10"/>
        <v>72.53</v>
      </c>
      <c r="F56" s="41" t="s">
        <v>15</v>
      </c>
      <c r="G56" s="39">
        <v>251</v>
      </c>
      <c r="H56" s="321">
        <f>'0664'!H56</f>
        <v>835</v>
      </c>
      <c r="I56" s="104">
        <f t="shared" si="11"/>
        <v>60562.55</v>
      </c>
      <c r="N56" s="506"/>
      <c r="O56" s="506"/>
      <c r="P56" s="508"/>
      <c r="Q56" s="508"/>
      <c r="R56" s="42" t="s">
        <v>15</v>
      </c>
      <c r="S56" s="40">
        <v>251</v>
      </c>
      <c r="T56" s="117">
        <f t="shared" si="12"/>
        <v>835</v>
      </c>
      <c r="U56" s="118">
        <f t="shared" si="13"/>
        <v>0</v>
      </c>
    </row>
    <row r="57" spans="1:21" x14ac:dyDescent="0.25">
      <c r="A57" s="462"/>
      <c r="B57" s="462"/>
      <c r="C57" s="165">
        <v>0.99</v>
      </c>
      <c r="D57" s="165">
        <v>0.91</v>
      </c>
      <c r="E57" s="125">
        <f t="shared" si="10"/>
        <v>1.9</v>
      </c>
      <c r="F57" s="41" t="s">
        <v>15</v>
      </c>
      <c r="G57" s="39">
        <v>252</v>
      </c>
      <c r="H57" s="321">
        <f>'0664'!H57</f>
        <v>3168</v>
      </c>
      <c r="I57" s="104">
        <f t="shared" si="11"/>
        <v>6019.2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36.97</v>
      </c>
      <c r="D59" s="100">
        <f>SUM(D50:D58)</f>
        <v>37.459999999999994</v>
      </c>
      <c r="E59" s="100">
        <f>SUM(E50:E58)</f>
        <v>74.430000000000007</v>
      </c>
      <c r="F59" s="463" t="s">
        <v>77</v>
      </c>
      <c r="G59" s="463"/>
      <c r="H59" s="463"/>
      <c r="I59" s="100">
        <f>SUM(I50:I58)</f>
        <v>66581.75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748.06999999999994</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3.8609999999999998E-3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750.39589999999998</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3.4550000000000002E-3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3.8609999999999998E-3</v>
      </c>
      <c r="I68" s="104">
        <f>ROUND(F68*H68,2)</f>
        <v>164244.9</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3.8609999999999998E-3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3.8609999999999998E-3</v>
      </c>
      <c r="I71" s="104">
        <f>ROUND(F71*H71,2)</f>
        <v>51843.49</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3.8609999999999998E-3</v>
      </c>
      <c r="I72" s="104">
        <f>ROUND(F72*H72,2)</f>
        <v>57163.02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3.8609999999999998E-3</v>
      </c>
      <c r="I76" s="104">
        <f t="shared" ref="I76:I85" si="14">ROUND(F76*H76,2)</f>
        <v>33694.199999999997</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3.8609999999999998E-3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3.4550000000000002E-3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3.4550000000000002E-3</v>
      </c>
      <c r="I79" s="104">
        <f t="shared" si="14"/>
        <v>38996.230000000003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3.4550000000000002E-3</v>
      </c>
      <c r="I80" s="104">
        <f t="shared" si="14"/>
        <v>712713.81</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3.4550000000000002E-3</v>
      </c>
      <c r="I82" s="104">
        <v>135732.51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3.4550000000000002E-3</v>
      </c>
      <c r="I83" s="104">
        <v>61696.6</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197429.11000000002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3.4550000000000002E-3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750.39589999999998</v>
      </c>
      <c r="D92" s="469"/>
      <c r="E92" s="49">
        <f>H8</f>
        <v>1.0438000000000001</v>
      </c>
      <c r="F92" s="338">
        <f>'0664'!F92</f>
        <v>916.84</v>
      </c>
      <c r="G92" s="41" t="s">
        <v>13</v>
      </c>
      <c r="H92" s="97">
        <f>ROUND(C92*E92*F92,2)</f>
        <v>718127.07</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750.39589999999998</v>
      </c>
      <c r="D93" s="471"/>
      <c r="E93" s="143"/>
      <c r="F93" s="143"/>
      <c r="G93" s="143"/>
      <c r="H93" s="144" t="s">
        <v>143</v>
      </c>
      <c r="I93" s="104">
        <f>IF(A1=75,0,H92+H91+H90)</f>
        <v>718127.07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471</v>
      </c>
      <c r="D99" s="165">
        <v>439</v>
      </c>
      <c r="E99" s="125">
        <f>(C99+D99)/2</f>
        <v>455</v>
      </c>
      <c r="F99" s="148" t="s">
        <v>39</v>
      </c>
      <c r="G99" s="339">
        <f>'0664'!G99</f>
        <v>544</v>
      </c>
      <c r="I99" s="104">
        <f>ROUND(G99*E99,2)</f>
        <v>247520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5881455.3700000001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5684026.2599999998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5684026.2599999998</v>
      </c>
      <c r="I122" s="97">
        <f>ROUND(IF(E29=0,0,IF(E29&gt;250,-(((250/E29)*H122)*IF(G122="H",0.02,0.05)),IF(G122="H",-0.02*H122,-0.05*H122))),2)</f>
        <v>-37991.269999999997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5843464.1000000006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-5351679.6-450060.78</f>
        <v>-5801740.3799999999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41723.720000000671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41723.72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75689.255200000014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3" t="str">
        <f>'0664'!A139</f>
        <v>(a) Additional FTE includes FTE earned through Advanced Placement, International Baccalaureate, Advanced International Certificate of Education, Industry Certified Career</v>
      </c>
      <c r="B139" s="384"/>
      <c r="C139" s="384"/>
      <c r="D139" s="384"/>
      <c r="E139" s="384"/>
      <c r="F139" s="384"/>
      <c r="G139" s="384"/>
      <c r="H139" s="384"/>
      <c r="I139" s="384"/>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84"/>
      <c r="C140" s="384"/>
      <c r="D140" s="384"/>
      <c r="E140" s="384"/>
      <c r="F140" s="384"/>
      <c r="G140" s="384"/>
      <c r="H140" s="384"/>
      <c r="I140" s="384"/>
      <c r="J140" s="80"/>
      <c r="K140" s="79"/>
      <c r="L140" s="79"/>
      <c r="M140" s="79"/>
      <c r="N140" s="76"/>
      <c r="O140" s="76"/>
      <c r="P140" s="76"/>
      <c r="Q140" s="76"/>
      <c r="R140" s="76"/>
      <c r="S140" s="76"/>
      <c r="T140" s="76"/>
      <c r="U140" s="76"/>
    </row>
    <row r="141" spans="1:21" x14ac:dyDescent="0.25">
      <c r="A141" s="383" t="str">
        <f>'0664'!A141</f>
        <v>(b) District allocations multiplied by percentage from item 3A.</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x14ac:dyDescent="0.2">
      <c r="A142" s="383" t="str">
        <f>'0664'!A142</f>
        <v>(c) District allocations multiplied by percentage from item 3B.</v>
      </c>
      <c r="B142" s="385"/>
      <c r="C142" s="385"/>
      <c r="D142" s="385"/>
      <c r="E142" s="385"/>
      <c r="F142" s="385"/>
      <c r="G142" s="385"/>
      <c r="H142" s="385"/>
      <c r="I142" s="385"/>
      <c r="N142" s="81"/>
    </row>
    <row r="143" spans="1:21" s="79" customFormat="1" ht="15.75" customHeight="1" x14ac:dyDescent="0.2">
      <c r="A143" s="383" t="str">
        <f>'0664'!A143</f>
        <v>(d) The Digital Classroom Allocation is provided pursuant to s. 1011.62(12), F.S.</v>
      </c>
      <c r="B143" s="385"/>
      <c r="C143" s="385"/>
      <c r="D143" s="385"/>
      <c r="E143" s="385"/>
      <c r="F143" s="385"/>
      <c r="G143" s="385"/>
      <c r="H143" s="385"/>
      <c r="I143" s="385"/>
      <c r="N143" s="81"/>
    </row>
    <row r="144" spans="1:21" s="79" customFormat="1" ht="15.75" customHeight="1" x14ac:dyDescent="0.2">
      <c r="A144" s="383" t="str">
        <f>'0664'!A144</f>
        <v>(e) School districts are required to pay for instructional materials used for the instruction of public high school students who are earning credit toward high school</v>
      </c>
      <c r="B144" s="385"/>
      <c r="C144" s="385"/>
      <c r="D144" s="385"/>
      <c r="E144" s="385"/>
      <c r="F144" s="385"/>
      <c r="G144" s="385"/>
      <c r="H144" s="385"/>
      <c r="I144" s="385"/>
      <c r="N144" s="81"/>
    </row>
    <row r="145" spans="1:14" s="79" customFormat="1" ht="15.75" customHeight="1" x14ac:dyDescent="0.2">
      <c r="A145" s="389" t="str">
        <f>'0664'!A145</f>
        <v xml:space="preserve">graduation under the dual enrollment program as provided in s. 1011.62(l)(i), F.S.  </v>
      </c>
      <c r="B145" s="385"/>
      <c r="C145" s="385"/>
      <c r="D145" s="385"/>
      <c r="E145" s="385"/>
      <c r="F145" s="385"/>
      <c r="G145" s="385"/>
      <c r="H145" s="385"/>
      <c r="I145" s="385"/>
      <c r="N145" s="81"/>
    </row>
    <row r="146" spans="1:14" s="79" customFormat="1" x14ac:dyDescent="0.2">
      <c r="A146" s="383" t="str">
        <f>'0664'!A146</f>
        <v>(f) This allocation will be frozen as of the 2021-22 FEFP Second Calculation and will not be recalculated throughout the year. Charter school allocations should be</v>
      </c>
      <c r="B146" s="385"/>
      <c r="C146" s="385"/>
      <c r="D146" s="385"/>
      <c r="E146" s="385"/>
      <c r="F146" s="385"/>
      <c r="G146" s="385"/>
      <c r="H146" s="385"/>
      <c r="I146" s="385"/>
      <c r="N146" s="81"/>
    </row>
    <row r="147" spans="1:14" s="79" customFormat="1" x14ac:dyDescent="0.2">
      <c r="A147" s="389" t="str">
        <f>'0664'!A147</f>
        <v xml:space="preserve">distributed on weighted FTE (or base funding as is done in the FEFP) and should not be recalculated with fluctuations in student enrollment later in the year. </v>
      </c>
      <c r="B147" s="385"/>
      <c r="C147" s="385"/>
      <c r="D147" s="385"/>
      <c r="E147" s="385"/>
      <c r="F147" s="385"/>
      <c r="G147" s="385"/>
      <c r="H147" s="385"/>
      <c r="I147" s="385"/>
      <c r="N147" s="81"/>
    </row>
    <row r="148" spans="1:14" s="79" customFormat="1" x14ac:dyDescent="0.2">
      <c r="A148" s="383" t="str">
        <f>'0664'!A148</f>
        <v>(g) Numbers entered here will be multiplied by the district level transportation funding per rider. "All Adjusted Fundable Riders" should include both basic and ESE Riders.</v>
      </c>
      <c r="B148" s="385"/>
      <c r="C148" s="385"/>
      <c r="D148" s="385"/>
      <c r="E148" s="385"/>
      <c r="F148" s="385"/>
      <c r="G148" s="385"/>
      <c r="H148" s="385"/>
      <c r="I148" s="385"/>
      <c r="N148" s="81"/>
    </row>
    <row r="149" spans="1:14" s="79" customFormat="1" x14ac:dyDescent="0.2">
      <c r="A149" s="389" t="str">
        <f>'0664'!A149</f>
        <v>"All Adjusted ESE Riders" should include only ESE Riders.</v>
      </c>
      <c r="B149" s="385"/>
      <c r="C149" s="385"/>
      <c r="D149" s="385"/>
      <c r="E149" s="385"/>
      <c r="F149" s="385"/>
      <c r="G149" s="385"/>
      <c r="H149" s="385"/>
      <c r="I149" s="385"/>
      <c r="N149" s="81"/>
    </row>
    <row r="150" spans="1:14" s="79" customFormat="1" x14ac:dyDescent="0.2">
      <c r="A150" s="383" t="str">
        <f>'0664'!A150</f>
        <v xml:space="preserve">(h) The Federally Connected Student Supplement provides additional funding for students on federal lands that receive Section 8003 impact aide pursuant to s. 1011.62(13), F.S. </v>
      </c>
      <c r="B150" s="385"/>
      <c r="C150" s="385"/>
      <c r="D150" s="385"/>
      <c r="E150" s="385"/>
      <c r="F150" s="385"/>
      <c r="G150" s="385"/>
      <c r="H150" s="385"/>
      <c r="I150" s="385"/>
      <c r="N150" s="81"/>
    </row>
    <row r="151" spans="1:14" s="79" customFormat="1" x14ac:dyDescent="0.2">
      <c r="A151" s="383" t="str">
        <f>'0664'!A151</f>
        <v>(i) Teacher Classroom Supply Assistance Program allocation pursuant to s. 1012.71, F.S., for certified teachers employed by a public school district or public charter school</v>
      </c>
      <c r="B151" s="385"/>
      <c r="C151" s="385"/>
      <c r="D151" s="385"/>
      <c r="E151" s="385"/>
      <c r="F151" s="385"/>
      <c r="G151" s="385"/>
      <c r="H151" s="385"/>
      <c r="I151" s="385"/>
      <c r="N151" s="81"/>
    </row>
    <row r="152" spans="1:14" s="79" customFormat="1" x14ac:dyDescent="0.2">
      <c r="A152" s="389" t="str">
        <f>'0664'!A152</f>
        <v xml:space="preserve">before September 1 of each year whose full-time or job-share responsibility is the classroom instruction of students in prekindergarten through grade 12, including </v>
      </c>
      <c r="B152" s="385"/>
      <c r="C152" s="385"/>
      <c r="D152" s="385"/>
      <c r="E152" s="385"/>
      <c r="F152" s="385"/>
      <c r="G152" s="385"/>
      <c r="H152" s="385"/>
      <c r="I152" s="385"/>
      <c r="N152" s="81"/>
    </row>
    <row r="153" spans="1:14" s="79" customFormat="1" ht="15.75" customHeight="1" x14ac:dyDescent="0.2">
      <c r="A153" s="389" t="str">
        <f>'0664'!A153</f>
        <v>full-time media specialists and certified school counselors serving students in prekindergarten through grade 12, who are funded through the FEFP.</v>
      </c>
      <c r="B153" s="385"/>
      <c r="C153" s="385"/>
      <c r="D153" s="385"/>
      <c r="E153" s="385"/>
      <c r="F153" s="385"/>
      <c r="G153" s="385"/>
      <c r="H153" s="385"/>
      <c r="I153" s="385"/>
      <c r="N153" s="81"/>
    </row>
    <row r="154" spans="1:14" s="79" customFormat="1" ht="15.75" customHeight="1" x14ac:dyDescent="0.2">
      <c r="A154" s="383" t="str">
        <f>'0664'!A154</f>
        <v xml:space="preserve">(j) Funding based on student eligibility and meals provided, if participating in the National School Lunch Program. </v>
      </c>
      <c r="B154" s="385"/>
      <c r="C154" s="385"/>
      <c r="D154" s="385"/>
      <c r="E154" s="385"/>
      <c r="F154" s="385"/>
      <c r="G154" s="385"/>
      <c r="H154" s="385"/>
      <c r="I154" s="385"/>
      <c r="N154" s="81"/>
    </row>
    <row r="155" spans="1:14" s="79" customFormat="1" ht="15.75" customHeight="1" x14ac:dyDescent="0.2">
      <c r="A155" s="383" t="str">
        <f>'0664'!A155</f>
        <v>(k) Consistent with s. 1002.33(20)(a), F.S., for charter schools with a population of 75% or more ESE students, the administrative fee shall be calculated based on</v>
      </c>
      <c r="B155" s="385"/>
      <c r="C155" s="385"/>
      <c r="D155" s="385"/>
      <c r="E155" s="385"/>
      <c r="F155" s="385"/>
      <c r="G155" s="385"/>
      <c r="H155" s="385"/>
      <c r="I155" s="385"/>
      <c r="N155" s="81"/>
    </row>
    <row r="156" spans="1:14" s="79" customFormat="1" ht="15.75" customHeight="1" x14ac:dyDescent="0.2">
      <c r="A156" s="389" t="str">
        <f>'0664'!A156</f>
        <v xml:space="preserve">unweighted full-time equivalent students. </v>
      </c>
      <c r="B156" s="385"/>
      <c r="C156" s="385"/>
      <c r="D156" s="385"/>
      <c r="E156" s="385"/>
      <c r="F156" s="385"/>
      <c r="G156" s="385"/>
      <c r="H156" s="385"/>
      <c r="I156" s="385"/>
      <c r="N156" s="81"/>
    </row>
    <row r="157" spans="1:14" s="79" customFormat="1" ht="15.75" customHeight="1" x14ac:dyDescent="0.2">
      <c r="A157" s="383"/>
      <c r="B157" s="385"/>
      <c r="C157" s="385"/>
      <c r="D157" s="385"/>
      <c r="E157" s="385"/>
      <c r="F157" s="385"/>
      <c r="G157" s="385"/>
      <c r="H157" s="385"/>
      <c r="I157" s="385"/>
      <c r="N157" s="81"/>
    </row>
    <row r="158" spans="1:14" s="79" customFormat="1" ht="15.75" customHeight="1" x14ac:dyDescent="0.25">
      <c r="A158" s="396" t="str">
        <f>'0664'!A158</f>
        <v>Administrative fees:</v>
      </c>
      <c r="B158" s="385"/>
      <c r="C158" s="385"/>
      <c r="D158" s="385"/>
      <c r="E158" s="385"/>
      <c r="F158" s="385"/>
      <c r="G158" s="385"/>
      <c r="H158" s="385"/>
      <c r="I158" s="385"/>
      <c r="J158" s="3"/>
      <c r="K158" s="3"/>
      <c r="L158" s="3"/>
      <c r="M158" s="3"/>
      <c r="N158" s="81"/>
    </row>
    <row r="159" spans="1:14" s="79" customFormat="1" ht="15.75" customHeight="1" x14ac:dyDescent="0.25">
      <c r="A159" s="400" t="str">
        <f>'0664'!A159</f>
        <v xml:space="preserve">Administrative fees charged by the school district pursuant to s. 1002.33(20)(a), F.S., shall be calculated based upon 5% of available funds from the FEFP and categorical </v>
      </c>
      <c r="B159" s="388"/>
      <c r="C159" s="388"/>
      <c r="D159" s="388"/>
      <c r="E159" s="388"/>
      <c r="F159" s="388"/>
      <c r="G159" s="388"/>
      <c r="H159" s="388"/>
      <c r="I159" s="388"/>
      <c r="J159" s="3"/>
      <c r="K159" s="3"/>
      <c r="L159" s="3"/>
      <c r="M159" s="3"/>
      <c r="N159" s="81"/>
    </row>
    <row r="160" spans="1:14" s="79" customFormat="1" ht="15.75" customHeight="1" x14ac:dyDescent="0.25">
      <c r="A160" s="401" t="str">
        <f>'0664'!A160</f>
        <v>funding for which charter students may be eligible.  To calculate the administrative fee to be withheld for schools with more than 250 students, divide the school</v>
      </c>
      <c r="B160" s="395"/>
      <c r="C160" s="395"/>
      <c r="D160" s="395"/>
      <c r="E160" s="395"/>
      <c r="F160" s="395"/>
      <c r="G160" s="395"/>
      <c r="H160" s="395"/>
      <c r="I160" s="395"/>
      <c r="J160" s="3"/>
      <c r="K160" s="3"/>
      <c r="L160" s="3"/>
      <c r="M160" s="3"/>
      <c r="N160" s="81"/>
    </row>
    <row r="161" spans="1:21" s="79" customFormat="1" ht="15.75" customHeight="1" x14ac:dyDescent="0.25">
      <c r="A161" s="401" t="str">
        <f>'0664'!A161</f>
        <v xml:space="preserve">population into 250. Multiply that fraction times the funds available, then times 5%.  </v>
      </c>
      <c r="B161" s="395"/>
      <c r="C161" s="395"/>
      <c r="D161" s="395"/>
      <c r="E161" s="395"/>
      <c r="F161" s="395"/>
      <c r="G161" s="395"/>
      <c r="H161" s="395"/>
      <c r="I161" s="395"/>
      <c r="J161" s="3"/>
      <c r="K161" s="3"/>
      <c r="L161" s="3"/>
      <c r="M161" s="3"/>
      <c r="N161" s="81"/>
    </row>
    <row r="162" spans="1:21" s="79" customFormat="1" ht="15.75" customHeight="1" x14ac:dyDescent="0.25">
      <c r="A162" s="400"/>
      <c r="B162" s="395"/>
      <c r="C162" s="395"/>
      <c r="D162" s="395"/>
      <c r="E162" s="395"/>
      <c r="F162" s="395"/>
      <c r="G162" s="395"/>
      <c r="H162" s="395"/>
      <c r="I162" s="395"/>
      <c r="N162" s="77"/>
      <c r="O162" s="3"/>
      <c r="P162" s="3"/>
      <c r="Q162" s="3"/>
      <c r="R162" s="3"/>
      <c r="S162" s="3"/>
      <c r="T162" s="3"/>
      <c r="U162" s="3"/>
    </row>
    <row r="163" spans="1:21" ht="15.75" customHeight="1" x14ac:dyDescent="0.25">
      <c r="A163" s="400" t="str">
        <f>'0664'!A163</f>
        <v xml:space="preserve">For high performing charter schools, administrative fees charged by the school district shall be calculated based upon 2% of available funds from the FEFP and categorical </v>
      </c>
      <c r="B163" s="388"/>
      <c r="C163" s="388"/>
      <c r="D163" s="388"/>
      <c r="E163" s="388"/>
      <c r="F163" s="388"/>
      <c r="G163" s="388"/>
      <c r="H163" s="388"/>
      <c r="I163" s="388"/>
      <c r="J163" s="79"/>
      <c r="K163" s="79"/>
      <c r="L163" s="79"/>
      <c r="M163" s="79"/>
      <c r="N163" s="81"/>
      <c r="O163" s="79"/>
      <c r="P163" s="79"/>
      <c r="Q163" s="79"/>
      <c r="R163" s="79"/>
      <c r="S163" s="79"/>
      <c r="T163" s="79"/>
      <c r="U163" s="79"/>
    </row>
    <row r="164" spans="1:21" ht="15.75" customHeight="1" x14ac:dyDescent="0.25">
      <c r="A164" s="401" t="str">
        <f>'0664'!A164</f>
        <v>funding for which charter students may be eligible.  To calculate the administrative fee to be withheld for schools with more than 250 students, divide the school</v>
      </c>
      <c r="B164" s="388"/>
      <c r="C164" s="388"/>
      <c r="D164" s="388"/>
      <c r="E164" s="388"/>
      <c r="F164" s="388"/>
      <c r="G164" s="388"/>
      <c r="H164" s="388"/>
      <c r="I164" s="388"/>
      <c r="J164" s="79"/>
      <c r="K164" s="79"/>
      <c r="L164" s="79"/>
      <c r="M164" s="79"/>
      <c r="N164" s="81"/>
      <c r="O164" s="79"/>
      <c r="P164" s="79"/>
      <c r="Q164" s="79"/>
      <c r="R164" s="79"/>
      <c r="S164" s="79"/>
      <c r="T164" s="79"/>
      <c r="U164" s="79"/>
    </row>
    <row r="165" spans="1:21" s="79" customFormat="1" ht="15.75" customHeight="1" x14ac:dyDescent="0.2">
      <c r="A165" s="401" t="str">
        <f>'0664'!A165</f>
        <v xml:space="preserve">population into 250. Multiply that fraction times the funds available, then times 2%.  </v>
      </c>
      <c r="B165" s="388"/>
      <c r="C165" s="388"/>
      <c r="D165" s="388"/>
      <c r="E165" s="388"/>
      <c r="F165" s="388"/>
      <c r="G165" s="388"/>
      <c r="H165" s="388"/>
      <c r="I165" s="388"/>
      <c r="N165" s="81"/>
    </row>
    <row r="166" spans="1:21" x14ac:dyDescent="0.25">
      <c r="A166" s="383"/>
      <c r="B166" s="388"/>
      <c r="C166" s="388"/>
      <c r="D166" s="388"/>
      <c r="E166" s="388"/>
      <c r="F166" s="388"/>
      <c r="G166" s="388"/>
      <c r="H166" s="388"/>
      <c r="I166" s="388"/>
      <c r="N166" s="77"/>
    </row>
    <row r="167" spans="1:21" x14ac:dyDescent="0.25">
      <c r="A167" s="396" t="str">
        <f>'0664'!A167</f>
        <v>Other:</v>
      </c>
      <c r="B167" s="394"/>
      <c r="C167" s="394"/>
      <c r="D167" s="394"/>
      <c r="E167" s="394"/>
      <c r="F167" s="394"/>
      <c r="G167" s="394"/>
      <c r="H167" s="394"/>
      <c r="I167" s="394"/>
      <c r="N167" s="77"/>
    </row>
    <row r="168" spans="1:21" x14ac:dyDescent="0.25">
      <c r="A168" s="400" t="str">
        <f>'0664'!A168</f>
        <v>FEFP and categorical funding are recalculated during the year to reflect the revised number of full-time equivalent students reported during the survey periods designated</v>
      </c>
      <c r="B168" s="388"/>
      <c r="C168" s="388"/>
      <c r="D168" s="388"/>
      <c r="E168" s="388"/>
      <c r="F168" s="388"/>
      <c r="G168" s="388"/>
      <c r="H168" s="388"/>
      <c r="I168" s="388"/>
      <c r="N168" s="77"/>
    </row>
    <row r="169" spans="1:21" x14ac:dyDescent="0.25">
      <c r="A169" s="401" t="str">
        <f>'0664'!A169</f>
        <v>by the Commissioner of Education.</v>
      </c>
      <c r="B169" s="395"/>
      <c r="C169" s="395"/>
      <c r="D169" s="395"/>
      <c r="E169" s="395"/>
      <c r="F169" s="395"/>
      <c r="G169" s="395"/>
      <c r="H169" s="395"/>
      <c r="I169" s="395"/>
      <c r="N169" s="77"/>
    </row>
    <row r="170" spans="1:21" x14ac:dyDescent="0.25">
      <c r="A170" s="400" t="str">
        <f>'0664'!A170</f>
        <v>Revenues flow to districts from state sources and from county tax collectors on various distribution schedules.</v>
      </c>
      <c r="B170" s="388"/>
      <c r="C170" s="388"/>
      <c r="D170" s="388"/>
      <c r="E170" s="388"/>
      <c r="F170" s="388"/>
      <c r="G170" s="388"/>
      <c r="H170" s="388"/>
      <c r="I170" s="388"/>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U206"/>
  <sheetViews>
    <sheetView showGridLines="0" zoomScaleNormal="100" workbookViewId="0">
      <pane ySplit="1" topLeftCell="A98" activePane="bottomLeft" state="frozen"/>
      <selection activeCell="E100" sqref="E100"/>
      <selection pane="bottomLeft" activeCell="D28" sqref="D2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155</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329.85</v>
      </c>
      <c r="D17" s="165">
        <v>315.10000000000002</v>
      </c>
      <c r="E17" s="125">
        <f t="shared" si="3"/>
        <v>644.95000000000005</v>
      </c>
      <c r="F17" s="534">
        <f>'0664'!F17:G17</f>
        <v>0.999</v>
      </c>
      <c r="G17" s="534"/>
      <c r="H17" s="83">
        <f t="shared" si="4"/>
        <v>644.30510000000004</v>
      </c>
      <c r="I17" s="104">
        <f t="shared" si="0"/>
        <v>3085144.23</v>
      </c>
      <c r="N17" s="481" t="s">
        <v>33</v>
      </c>
      <c r="O17" s="481"/>
      <c r="P17" s="515">
        <f t="shared" si="1"/>
        <v>0</v>
      </c>
      <c r="Q17" s="515"/>
      <c r="R17" s="519">
        <v>1</v>
      </c>
      <c r="S17" s="519"/>
      <c r="T17" s="98">
        <f t="shared" si="5"/>
        <v>0</v>
      </c>
      <c r="U17" s="99">
        <f t="shared" si="2"/>
        <v>0</v>
      </c>
    </row>
    <row r="18" spans="1:21" x14ac:dyDescent="0.25">
      <c r="A18" s="455" t="s">
        <v>34</v>
      </c>
      <c r="B18" s="455"/>
      <c r="C18" s="165">
        <v>114.93</v>
      </c>
      <c r="D18" s="165">
        <v>107.9</v>
      </c>
      <c r="E18" s="125">
        <f t="shared" si="3"/>
        <v>222.83</v>
      </c>
      <c r="F18" s="534">
        <f>'0664'!F18:G18</f>
        <v>0.999</v>
      </c>
      <c r="G18" s="534"/>
      <c r="H18" s="83">
        <f t="shared" si="4"/>
        <v>222.60720000000001</v>
      </c>
      <c r="I18" s="104">
        <f t="shared" si="0"/>
        <v>1065916.32</v>
      </c>
      <c r="J18" s="68" t="str">
        <f>IF(ROUND(E18,2)=ROUND(SUM(E56:E58),2)," ","CHECK 9-12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3.98</v>
      </c>
      <c r="D27" s="165">
        <v>3.35</v>
      </c>
      <c r="E27" s="125">
        <f t="shared" si="3"/>
        <v>7.33</v>
      </c>
      <c r="F27" s="534">
        <f>'0664'!F27:G27</f>
        <v>1.206</v>
      </c>
      <c r="G27" s="534"/>
      <c r="H27" s="83">
        <f t="shared" si="4"/>
        <v>8.84</v>
      </c>
      <c r="I27" s="104">
        <f t="shared" si="0"/>
        <v>42328.82</v>
      </c>
      <c r="N27" s="481" t="s">
        <v>116</v>
      </c>
      <c r="O27" s="481"/>
      <c r="P27" s="515">
        <f t="shared" si="1"/>
        <v>0</v>
      </c>
      <c r="Q27" s="515"/>
      <c r="R27" s="519">
        <v>1</v>
      </c>
      <c r="S27" s="519"/>
      <c r="T27" s="98">
        <f t="shared" si="5"/>
        <v>0</v>
      </c>
      <c r="U27" s="99">
        <f t="shared" si="2"/>
        <v>0</v>
      </c>
    </row>
    <row r="28" spans="1:21" x14ac:dyDescent="0.25">
      <c r="A28" s="455" t="s">
        <v>117</v>
      </c>
      <c r="B28" s="455"/>
      <c r="C28" s="116">
        <v>127.11</v>
      </c>
      <c r="D28" s="116">
        <v>127.5</v>
      </c>
      <c r="E28" s="177">
        <f t="shared" si="3"/>
        <v>254.61</v>
      </c>
      <c r="F28" s="534">
        <f>'0664'!F28:G28</f>
        <v>0.999</v>
      </c>
      <c r="G28" s="534"/>
      <c r="H28" s="96">
        <f t="shared" si="4"/>
        <v>254.3554</v>
      </c>
      <c r="I28" s="97">
        <f t="shared" si="0"/>
        <v>1217937.1100000001</v>
      </c>
      <c r="N28" s="484" t="s">
        <v>117</v>
      </c>
      <c r="O28" s="484"/>
      <c r="P28" s="515">
        <f t="shared" si="1"/>
        <v>0</v>
      </c>
      <c r="Q28" s="515"/>
      <c r="R28" s="516">
        <v>1</v>
      </c>
      <c r="S28" s="516"/>
      <c r="T28" s="98">
        <f t="shared" si="5"/>
        <v>0</v>
      </c>
      <c r="U28" s="99">
        <f t="shared" si="2"/>
        <v>0</v>
      </c>
    </row>
    <row r="29" spans="1:21" x14ac:dyDescent="0.25">
      <c r="A29" s="463" t="s">
        <v>5</v>
      </c>
      <c r="B29" s="463"/>
      <c r="C29" s="97">
        <f>SUM(C13:C28)</f>
        <v>575.87</v>
      </c>
      <c r="D29" s="97">
        <f>SUM(D13:D28)</f>
        <v>553.85</v>
      </c>
      <c r="E29" s="97">
        <f>SUM(E13:E28)</f>
        <v>1129.7200000000003</v>
      </c>
      <c r="F29" s="459"/>
      <c r="G29" s="459"/>
      <c r="H29" s="102">
        <f>SUM(H13:H28)</f>
        <v>1130.1077</v>
      </c>
      <c r="I29" s="97">
        <f>SUM(I13:I28)</f>
        <v>5411326.4799999995</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1130.1077</v>
      </c>
      <c r="F45" s="35"/>
      <c r="G45" s="109"/>
      <c r="H45" s="110" t="s">
        <v>129</v>
      </c>
      <c r="I45" s="97">
        <f>SUM(I43,I29)</f>
        <v>5411326.4799999995</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107.85</v>
      </c>
      <c r="D56" s="165">
        <v>101.49</v>
      </c>
      <c r="E56" s="125">
        <f t="shared" si="10"/>
        <v>209.33999999999997</v>
      </c>
      <c r="F56" s="41" t="s">
        <v>15</v>
      </c>
      <c r="G56" s="39">
        <v>251</v>
      </c>
      <c r="H56" s="321">
        <f>'0664'!H56</f>
        <v>835</v>
      </c>
      <c r="I56" s="104">
        <f t="shared" si="11"/>
        <v>174798.9</v>
      </c>
      <c r="N56" s="506"/>
      <c r="O56" s="506"/>
      <c r="P56" s="508"/>
      <c r="Q56" s="508"/>
      <c r="R56" s="42" t="s">
        <v>15</v>
      </c>
      <c r="S56" s="40">
        <v>251</v>
      </c>
      <c r="T56" s="117">
        <f t="shared" si="12"/>
        <v>835</v>
      </c>
      <c r="U56" s="118">
        <f t="shared" si="13"/>
        <v>0</v>
      </c>
    </row>
    <row r="57" spans="1:21" x14ac:dyDescent="0.25">
      <c r="A57" s="462"/>
      <c r="B57" s="462"/>
      <c r="C57" s="165">
        <v>7.08</v>
      </c>
      <c r="D57" s="165">
        <v>6.41</v>
      </c>
      <c r="E57" s="125">
        <f t="shared" si="10"/>
        <v>13.49</v>
      </c>
      <c r="F57" s="41" t="s">
        <v>15</v>
      </c>
      <c r="G57" s="39">
        <v>252</v>
      </c>
      <c r="H57" s="321">
        <f>'0664'!H57</f>
        <v>3168</v>
      </c>
      <c r="I57" s="104">
        <f t="shared" si="11"/>
        <v>42736.32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114.92999999999999</v>
      </c>
      <c r="D59" s="100">
        <f>SUM(D50:D58)</f>
        <v>107.89999999999999</v>
      </c>
      <c r="E59" s="100">
        <f>SUM(E50:E58)</f>
        <v>222.82999999999998</v>
      </c>
      <c r="F59" s="463" t="s">
        <v>77</v>
      </c>
      <c r="G59" s="463"/>
      <c r="H59" s="463"/>
      <c r="I59" s="100">
        <f>SUM(I50:I58)</f>
        <v>217535.22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1129.7200000000003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5.8320000000000004E-3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1130.1077</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5.2030000000000002E-3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5.8320000000000004E-3</v>
      </c>
      <c r="I68" s="104">
        <f>ROUND(F68*H68,2)</f>
        <v>248090.2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5.8320000000000004E-3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5.8320000000000004E-3</v>
      </c>
      <c r="I71" s="104">
        <f>ROUND(F71*H71,2)</f>
        <v>78309.05</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5.8320000000000004E-3</v>
      </c>
      <c r="I72" s="104">
        <f>ROUND(F72*H72,2)</f>
        <v>86344.15</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5.8320000000000004E-3</v>
      </c>
      <c r="I76" s="104">
        <f t="shared" ref="I76:I85" si="14">ROUND(F76*H76,2)</f>
        <v>50894.74</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5.8320000000000004E-3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5.2030000000000002E-3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5.2030000000000002E-3</v>
      </c>
      <c r="I79" s="104">
        <f t="shared" si="14"/>
        <v>58725.73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5.2030000000000002E-3</v>
      </c>
      <c r="I80" s="104">
        <f t="shared" si="14"/>
        <v>1073299.55</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5.2030000000000002E-3</v>
      </c>
      <c r="I82" s="104">
        <v>198064.72</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5.2030000000000002E-3</v>
      </c>
      <c r="I83" s="104">
        <v>90029.42</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288094.14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5.2030000000000002E-3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1130.1077</v>
      </c>
      <c r="D92" s="469"/>
      <c r="E92" s="49">
        <f>H8</f>
        <v>1.0438000000000001</v>
      </c>
      <c r="F92" s="338">
        <f>'0664'!F92</f>
        <v>916.84</v>
      </c>
      <c r="G92" s="41" t="s">
        <v>13</v>
      </c>
      <c r="H92" s="97">
        <f>ROUND(C92*E92*F92,2)</f>
        <v>1081510.3500000001</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1130.1077</v>
      </c>
      <c r="D93" s="471"/>
      <c r="E93" s="143"/>
      <c r="F93" s="143"/>
      <c r="G93" s="143"/>
      <c r="H93" s="144" t="s">
        <v>143</v>
      </c>
      <c r="I93" s="104">
        <f>IF(A1=75,0,H92+H91+H90)</f>
        <v>1081510.3500000001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656</v>
      </c>
      <c r="D99" s="165">
        <v>644</v>
      </c>
      <c r="E99" s="125">
        <f>(C99+D99)/2</f>
        <v>650</v>
      </c>
      <c r="F99" s="148" t="s">
        <v>39</v>
      </c>
      <c r="G99" s="339">
        <f>'0664'!G99</f>
        <v>544</v>
      </c>
      <c r="I99" s="104">
        <f>ROUND(G99*E99,2)</f>
        <v>353600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8947729.6099999994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8659635.4699999988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8659635.4699999988</v>
      </c>
      <c r="I122" s="97">
        <f>ROUND(IF(E29=0,0,IF(E29&gt;250,-(((250/E29)*H122)*IF(G122="H",0.02,0.05)),IF(G122="H",-0.02*H122,-0.05*H122))),2)</f>
        <v>-38326.47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8909403.1399999987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-8124086.47-734602.94</f>
        <v>-8858689.4100000001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50713.729999998584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50713.73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134866.23939999999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3" t="str">
        <f>'0664'!A139</f>
        <v>(a) Additional FTE includes FTE earned through Advanced Placement, International Baccalaureate, Advanced International Certificate of Education, Industry Certified Career</v>
      </c>
      <c r="B139" s="384"/>
      <c r="C139" s="384"/>
      <c r="D139" s="384"/>
      <c r="E139" s="384"/>
      <c r="F139" s="384"/>
      <c r="G139" s="384"/>
      <c r="H139" s="384"/>
      <c r="I139" s="384"/>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84"/>
      <c r="C140" s="384"/>
      <c r="D140" s="384"/>
      <c r="E140" s="384"/>
      <c r="F140" s="384"/>
      <c r="G140" s="384"/>
      <c r="H140" s="384"/>
      <c r="I140" s="384"/>
      <c r="J140" s="80"/>
      <c r="K140" s="79"/>
      <c r="L140" s="79"/>
      <c r="M140" s="79"/>
      <c r="N140" s="76"/>
      <c r="O140" s="76"/>
      <c r="P140" s="76"/>
      <c r="Q140" s="76"/>
      <c r="R140" s="76"/>
      <c r="S140" s="76"/>
      <c r="T140" s="76"/>
      <c r="U140" s="76"/>
    </row>
    <row r="141" spans="1:21" x14ac:dyDescent="0.25">
      <c r="A141" s="383" t="str">
        <f>'0664'!A141</f>
        <v>(b) District allocations multiplied by percentage from item 3A.</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x14ac:dyDescent="0.2">
      <c r="A142" s="383" t="str">
        <f>'0664'!A142</f>
        <v>(c) District allocations multiplied by percentage from item 3B.</v>
      </c>
      <c r="B142" s="385"/>
      <c r="C142" s="385"/>
      <c r="D142" s="385"/>
      <c r="E142" s="385"/>
      <c r="F142" s="385"/>
      <c r="G142" s="385"/>
      <c r="H142" s="385"/>
      <c r="I142" s="385"/>
      <c r="N142" s="81"/>
    </row>
    <row r="143" spans="1:21" s="79" customFormat="1" ht="15.75" customHeight="1" x14ac:dyDescent="0.2">
      <c r="A143" s="383" t="str">
        <f>'0664'!A143</f>
        <v>(d) The Digital Classroom Allocation is provided pursuant to s. 1011.62(12), F.S.</v>
      </c>
      <c r="B143" s="385"/>
      <c r="C143" s="385"/>
      <c r="D143" s="385"/>
      <c r="E143" s="385"/>
      <c r="F143" s="385"/>
      <c r="G143" s="385"/>
      <c r="H143" s="385"/>
      <c r="I143" s="385"/>
      <c r="N143" s="81"/>
    </row>
    <row r="144" spans="1:21" s="79" customFormat="1" ht="15.75" customHeight="1" x14ac:dyDescent="0.2">
      <c r="A144" s="383" t="str">
        <f>'0664'!A144</f>
        <v>(e) School districts are required to pay for instructional materials used for the instruction of public high school students who are earning credit toward high school</v>
      </c>
      <c r="B144" s="385"/>
      <c r="C144" s="385"/>
      <c r="D144" s="385"/>
      <c r="E144" s="385"/>
      <c r="F144" s="385"/>
      <c r="G144" s="385"/>
      <c r="H144" s="385"/>
      <c r="I144" s="385"/>
      <c r="N144" s="81"/>
    </row>
    <row r="145" spans="1:14" s="79" customFormat="1" ht="15.75" customHeight="1" x14ac:dyDescent="0.2">
      <c r="A145" s="389" t="str">
        <f>'0664'!A145</f>
        <v xml:space="preserve">graduation under the dual enrollment program as provided in s. 1011.62(l)(i), F.S.  </v>
      </c>
      <c r="B145" s="385"/>
      <c r="C145" s="385"/>
      <c r="D145" s="385"/>
      <c r="E145" s="385"/>
      <c r="F145" s="385"/>
      <c r="G145" s="385"/>
      <c r="H145" s="385"/>
      <c r="I145" s="385"/>
      <c r="N145" s="81"/>
    </row>
    <row r="146" spans="1:14" s="79" customFormat="1" x14ac:dyDescent="0.2">
      <c r="A146" s="383" t="str">
        <f>'0664'!A146</f>
        <v>(f) This allocation will be frozen as of the 2021-22 FEFP Second Calculation and will not be recalculated throughout the year. Charter school allocations should be</v>
      </c>
      <c r="B146" s="385"/>
      <c r="C146" s="385"/>
      <c r="D146" s="385"/>
      <c r="E146" s="385"/>
      <c r="F146" s="385"/>
      <c r="G146" s="385"/>
      <c r="H146" s="385"/>
      <c r="I146" s="385"/>
      <c r="N146" s="81"/>
    </row>
    <row r="147" spans="1:14" s="79" customFormat="1" x14ac:dyDescent="0.2">
      <c r="A147" s="389" t="str">
        <f>'0664'!A147</f>
        <v xml:space="preserve">distributed on weighted FTE (or base funding as is done in the FEFP) and should not be recalculated with fluctuations in student enrollment later in the year. </v>
      </c>
      <c r="B147" s="385"/>
      <c r="C147" s="385"/>
      <c r="D147" s="385"/>
      <c r="E147" s="385"/>
      <c r="F147" s="385"/>
      <c r="G147" s="385"/>
      <c r="H147" s="385"/>
      <c r="I147" s="385"/>
      <c r="N147" s="81"/>
    </row>
    <row r="148" spans="1:14" s="79" customFormat="1" x14ac:dyDescent="0.2">
      <c r="A148" s="383" t="str">
        <f>'0664'!A148</f>
        <v>(g) Numbers entered here will be multiplied by the district level transportation funding per rider. "All Adjusted Fundable Riders" should include both basic and ESE Riders.</v>
      </c>
      <c r="B148" s="385"/>
      <c r="C148" s="385"/>
      <c r="D148" s="385"/>
      <c r="E148" s="385"/>
      <c r="F148" s="385"/>
      <c r="G148" s="385"/>
      <c r="H148" s="385"/>
      <c r="I148" s="385"/>
      <c r="N148" s="81"/>
    </row>
    <row r="149" spans="1:14" s="79" customFormat="1" x14ac:dyDescent="0.2">
      <c r="A149" s="389" t="str">
        <f>'0664'!A149</f>
        <v>"All Adjusted ESE Riders" should include only ESE Riders.</v>
      </c>
      <c r="B149" s="385"/>
      <c r="C149" s="385"/>
      <c r="D149" s="385"/>
      <c r="E149" s="385"/>
      <c r="F149" s="385"/>
      <c r="G149" s="385"/>
      <c r="H149" s="385"/>
      <c r="I149" s="385"/>
      <c r="N149" s="81"/>
    </row>
    <row r="150" spans="1:14" s="79" customFormat="1" x14ac:dyDescent="0.2">
      <c r="A150" s="383" t="str">
        <f>'0664'!A150</f>
        <v xml:space="preserve">(h) The Federally Connected Student Supplement provides additional funding for students on federal lands that receive Section 8003 impact aide pursuant to s. 1011.62(13), F.S. </v>
      </c>
      <c r="B150" s="385"/>
      <c r="C150" s="385"/>
      <c r="D150" s="385"/>
      <c r="E150" s="385"/>
      <c r="F150" s="385"/>
      <c r="G150" s="385"/>
      <c r="H150" s="385"/>
      <c r="I150" s="385"/>
      <c r="N150" s="81"/>
    </row>
    <row r="151" spans="1:14" s="79" customFormat="1" x14ac:dyDescent="0.2">
      <c r="A151" s="383" t="str">
        <f>'0664'!A151</f>
        <v>(i) Teacher Classroom Supply Assistance Program allocation pursuant to s. 1012.71, F.S., for certified teachers employed by a public school district or public charter school</v>
      </c>
      <c r="B151" s="385"/>
      <c r="C151" s="385"/>
      <c r="D151" s="385"/>
      <c r="E151" s="385"/>
      <c r="F151" s="385"/>
      <c r="G151" s="385"/>
      <c r="H151" s="385"/>
      <c r="I151" s="385"/>
      <c r="N151" s="81"/>
    </row>
    <row r="152" spans="1:14" s="79" customFormat="1" x14ac:dyDescent="0.2">
      <c r="A152" s="389" t="str">
        <f>'0664'!A152</f>
        <v xml:space="preserve">before September 1 of each year whose full-time or job-share responsibility is the classroom instruction of students in prekindergarten through grade 12, including </v>
      </c>
      <c r="B152" s="385"/>
      <c r="C152" s="385"/>
      <c r="D152" s="385"/>
      <c r="E152" s="385"/>
      <c r="F152" s="385"/>
      <c r="G152" s="385"/>
      <c r="H152" s="385"/>
      <c r="I152" s="385"/>
      <c r="N152" s="81"/>
    </row>
    <row r="153" spans="1:14" s="79" customFormat="1" ht="15.75" customHeight="1" x14ac:dyDescent="0.2">
      <c r="A153" s="389" t="str">
        <f>'0664'!A153</f>
        <v>full-time media specialists and certified school counselors serving students in prekindergarten through grade 12, who are funded through the FEFP.</v>
      </c>
      <c r="B153" s="385"/>
      <c r="C153" s="385"/>
      <c r="D153" s="385"/>
      <c r="E153" s="385"/>
      <c r="F153" s="385"/>
      <c r="G153" s="385"/>
      <c r="H153" s="385"/>
      <c r="I153" s="385"/>
      <c r="N153" s="81"/>
    </row>
    <row r="154" spans="1:14" s="79" customFormat="1" ht="15.75" customHeight="1" x14ac:dyDescent="0.2">
      <c r="A154" s="383" t="str">
        <f>'0664'!A154</f>
        <v xml:space="preserve">(j) Funding based on student eligibility and meals provided, if participating in the National School Lunch Program. </v>
      </c>
      <c r="B154" s="385"/>
      <c r="C154" s="385"/>
      <c r="D154" s="385"/>
      <c r="E154" s="385"/>
      <c r="F154" s="385"/>
      <c r="G154" s="385"/>
      <c r="H154" s="385"/>
      <c r="I154" s="385"/>
      <c r="N154" s="81"/>
    </row>
    <row r="155" spans="1:14" s="79" customFormat="1" ht="15.75" customHeight="1" x14ac:dyDescent="0.2">
      <c r="A155" s="383" t="str">
        <f>'0664'!A155</f>
        <v>(k) Consistent with s. 1002.33(20)(a), F.S., for charter schools with a population of 75% or more ESE students, the administrative fee shall be calculated based on</v>
      </c>
      <c r="B155" s="385"/>
      <c r="C155" s="385"/>
      <c r="D155" s="385"/>
      <c r="E155" s="385"/>
      <c r="F155" s="385"/>
      <c r="G155" s="385"/>
      <c r="H155" s="385"/>
      <c r="I155" s="385"/>
      <c r="N155" s="81"/>
    </row>
    <row r="156" spans="1:14" s="79" customFormat="1" ht="15.75" customHeight="1" x14ac:dyDescent="0.2">
      <c r="A156" s="389" t="str">
        <f>'0664'!A156</f>
        <v xml:space="preserve">unweighted full-time equivalent students. </v>
      </c>
      <c r="B156" s="385"/>
      <c r="C156" s="385"/>
      <c r="D156" s="385"/>
      <c r="E156" s="385"/>
      <c r="F156" s="385"/>
      <c r="G156" s="385"/>
      <c r="H156" s="385"/>
      <c r="I156" s="385"/>
      <c r="N156" s="81"/>
    </row>
    <row r="157" spans="1:14" s="79" customFormat="1" ht="15.75" customHeight="1" x14ac:dyDescent="0.2">
      <c r="A157" s="383"/>
      <c r="B157" s="385"/>
      <c r="C157" s="385"/>
      <c r="D157" s="385"/>
      <c r="E157" s="385"/>
      <c r="F157" s="385"/>
      <c r="G157" s="385"/>
      <c r="H157" s="385"/>
      <c r="I157" s="385"/>
      <c r="N157" s="81"/>
    </row>
    <row r="158" spans="1:14" s="79" customFormat="1" ht="15.75" customHeight="1" x14ac:dyDescent="0.25">
      <c r="A158" s="396" t="str">
        <f>'0664'!A158</f>
        <v>Administrative fees:</v>
      </c>
      <c r="B158" s="385"/>
      <c r="C158" s="385"/>
      <c r="D158" s="385"/>
      <c r="E158" s="385"/>
      <c r="F158" s="385"/>
      <c r="G158" s="385"/>
      <c r="H158" s="385"/>
      <c r="I158" s="385"/>
      <c r="J158" s="3"/>
      <c r="K158" s="3"/>
      <c r="L158" s="3"/>
      <c r="M158" s="3"/>
      <c r="N158" s="81"/>
    </row>
    <row r="159" spans="1:14" s="79" customFormat="1" ht="15.75" customHeight="1" x14ac:dyDescent="0.25">
      <c r="A159" s="400" t="str">
        <f>'0664'!A159</f>
        <v xml:space="preserve">Administrative fees charged by the school district pursuant to s. 1002.33(20)(a), F.S., shall be calculated based upon 5% of available funds from the FEFP and categorical </v>
      </c>
      <c r="B159" s="388"/>
      <c r="C159" s="388"/>
      <c r="D159" s="388"/>
      <c r="E159" s="388"/>
      <c r="F159" s="388"/>
      <c r="G159" s="388"/>
      <c r="H159" s="388"/>
      <c r="I159" s="388"/>
      <c r="J159" s="3"/>
      <c r="K159" s="3"/>
      <c r="L159" s="3"/>
      <c r="M159" s="3"/>
      <c r="N159" s="81"/>
    </row>
    <row r="160" spans="1:14" s="79" customFormat="1" ht="15.75" customHeight="1" x14ac:dyDescent="0.25">
      <c r="A160" s="401" t="str">
        <f>'0664'!A160</f>
        <v>funding for which charter students may be eligible.  To calculate the administrative fee to be withheld for schools with more than 250 students, divide the school</v>
      </c>
      <c r="B160" s="395"/>
      <c r="C160" s="395"/>
      <c r="D160" s="395"/>
      <c r="E160" s="395"/>
      <c r="F160" s="395"/>
      <c r="G160" s="395"/>
      <c r="H160" s="395"/>
      <c r="I160" s="395"/>
      <c r="J160" s="3"/>
      <c r="K160" s="3"/>
      <c r="L160" s="3"/>
      <c r="M160" s="3"/>
      <c r="N160" s="81"/>
    </row>
    <row r="161" spans="1:21" s="79" customFormat="1" ht="15.75" customHeight="1" x14ac:dyDescent="0.25">
      <c r="A161" s="401" t="str">
        <f>'0664'!A161</f>
        <v xml:space="preserve">population into 250. Multiply that fraction times the funds available, then times 5%.  </v>
      </c>
      <c r="B161" s="395"/>
      <c r="C161" s="395"/>
      <c r="D161" s="395"/>
      <c r="E161" s="395"/>
      <c r="F161" s="395"/>
      <c r="G161" s="395"/>
      <c r="H161" s="395"/>
      <c r="I161" s="395"/>
      <c r="J161" s="3"/>
      <c r="K161" s="3"/>
      <c r="L161" s="3"/>
      <c r="M161" s="3"/>
      <c r="N161" s="81"/>
    </row>
    <row r="162" spans="1:21" s="79" customFormat="1" ht="15.75" customHeight="1" x14ac:dyDescent="0.25">
      <c r="A162" s="400"/>
      <c r="B162" s="395"/>
      <c r="C162" s="395"/>
      <c r="D162" s="395"/>
      <c r="E162" s="395"/>
      <c r="F162" s="395"/>
      <c r="G162" s="395"/>
      <c r="H162" s="395"/>
      <c r="I162" s="395"/>
      <c r="N162" s="77"/>
      <c r="O162" s="3"/>
      <c r="P162" s="3"/>
      <c r="Q162" s="3"/>
      <c r="R162" s="3"/>
      <c r="S162" s="3"/>
      <c r="T162" s="3"/>
      <c r="U162" s="3"/>
    </row>
    <row r="163" spans="1:21" ht="15.75" customHeight="1" x14ac:dyDescent="0.25">
      <c r="A163" s="400" t="str">
        <f>'0664'!A163</f>
        <v xml:space="preserve">For high performing charter schools, administrative fees charged by the school district shall be calculated based upon 2% of available funds from the FEFP and categorical </v>
      </c>
      <c r="B163" s="388"/>
      <c r="C163" s="388"/>
      <c r="D163" s="388"/>
      <c r="E163" s="388"/>
      <c r="F163" s="388"/>
      <c r="G163" s="388"/>
      <c r="H163" s="388"/>
      <c r="I163" s="388"/>
      <c r="J163" s="79"/>
      <c r="K163" s="79"/>
      <c r="L163" s="79"/>
      <c r="M163" s="79"/>
      <c r="N163" s="81"/>
      <c r="O163" s="79"/>
      <c r="P163" s="79"/>
      <c r="Q163" s="79"/>
      <c r="R163" s="79"/>
      <c r="S163" s="79"/>
      <c r="T163" s="79"/>
      <c r="U163" s="79"/>
    </row>
    <row r="164" spans="1:21" ht="15.75" customHeight="1" x14ac:dyDescent="0.25">
      <c r="A164" s="401" t="str">
        <f>'0664'!A164</f>
        <v>funding for which charter students may be eligible.  To calculate the administrative fee to be withheld for schools with more than 250 students, divide the school</v>
      </c>
      <c r="B164" s="388"/>
      <c r="C164" s="388"/>
      <c r="D164" s="388"/>
      <c r="E164" s="388"/>
      <c r="F164" s="388"/>
      <c r="G164" s="388"/>
      <c r="H164" s="388"/>
      <c r="I164" s="388"/>
      <c r="J164" s="79"/>
      <c r="K164" s="79"/>
      <c r="L164" s="79"/>
      <c r="M164" s="79"/>
      <c r="N164" s="81"/>
      <c r="O164" s="79"/>
      <c r="P164" s="79"/>
      <c r="Q164" s="79"/>
      <c r="R164" s="79"/>
      <c r="S164" s="79"/>
      <c r="T164" s="79"/>
      <c r="U164" s="79"/>
    </row>
    <row r="165" spans="1:21" s="79" customFormat="1" ht="15.75" customHeight="1" x14ac:dyDescent="0.2">
      <c r="A165" s="401" t="str">
        <f>'0664'!A165</f>
        <v xml:space="preserve">population into 250. Multiply that fraction times the funds available, then times 2%.  </v>
      </c>
      <c r="B165" s="388"/>
      <c r="C165" s="388"/>
      <c r="D165" s="388"/>
      <c r="E165" s="388"/>
      <c r="F165" s="388"/>
      <c r="G165" s="388"/>
      <c r="H165" s="388"/>
      <c r="I165" s="388"/>
      <c r="N165" s="81"/>
    </row>
    <row r="166" spans="1:21" x14ac:dyDescent="0.25">
      <c r="A166" s="383"/>
      <c r="B166" s="388"/>
      <c r="C166" s="388"/>
      <c r="D166" s="388"/>
      <c r="E166" s="388"/>
      <c r="F166" s="388"/>
      <c r="G166" s="388"/>
      <c r="H166" s="388"/>
      <c r="I166" s="388"/>
      <c r="N166" s="77"/>
    </row>
    <row r="167" spans="1:21" x14ac:dyDescent="0.25">
      <c r="A167" s="396" t="str">
        <f>'0664'!A167</f>
        <v>Other:</v>
      </c>
      <c r="B167" s="394"/>
      <c r="C167" s="394"/>
      <c r="D167" s="394"/>
      <c r="E167" s="394"/>
      <c r="F167" s="394"/>
      <c r="G167" s="394"/>
      <c r="H167" s="394"/>
      <c r="I167" s="394"/>
      <c r="N167" s="77"/>
    </row>
    <row r="168" spans="1:21" x14ac:dyDescent="0.25">
      <c r="A168" s="400" t="str">
        <f>'0664'!A168</f>
        <v>FEFP and categorical funding are recalculated during the year to reflect the revised number of full-time equivalent students reported during the survey periods designated</v>
      </c>
      <c r="B168" s="388"/>
      <c r="C168" s="388"/>
      <c r="D168" s="388"/>
      <c r="E168" s="388"/>
      <c r="F168" s="388"/>
      <c r="G168" s="388"/>
      <c r="H168" s="388"/>
      <c r="I168" s="388"/>
      <c r="N168" s="77"/>
    </row>
    <row r="169" spans="1:21" x14ac:dyDescent="0.25">
      <c r="A169" s="401" t="str">
        <f>'0664'!A169</f>
        <v>by the Commissioner of Education.</v>
      </c>
      <c r="B169" s="395"/>
      <c r="C169" s="395"/>
      <c r="D169" s="395"/>
      <c r="E169" s="395"/>
      <c r="F169" s="395"/>
      <c r="G169" s="395"/>
      <c r="H169" s="395"/>
      <c r="I169" s="395"/>
      <c r="N169" s="77"/>
    </row>
    <row r="170" spans="1:21" x14ac:dyDescent="0.25">
      <c r="A170" s="400" t="str">
        <f>'0664'!A170</f>
        <v>Revenues flow to districts from state sources and from county tax collectors on various distribution schedules.</v>
      </c>
      <c r="B170" s="388"/>
      <c r="C170" s="388"/>
      <c r="D170" s="388"/>
      <c r="E170" s="388"/>
      <c r="F170" s="388"/>
      <c r="G170" s="388"/>
      <c r="H170" s="388"/>
      <c r="I170" s="388"/>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U206"/>
  <sheetViews>
    <sheetView showGridLines="0" zoomScaleNormal="100" workbookViewId="0">
      <pane ySplit="1" topLeftCell="A102" activePane="bottomLeft" state="frozen"/>
      <selection activeCell="E100" sqref="E100"/>
      <selection pane="bottomLeft" activeCell="D57" sqref="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156</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21.1</v>
      </c>
      <c r="D18" s="165">
        <v>22.71</v>
      </c>
      <c r="E18" s="125">
        <f t="shared" si="3"/>
        <v>43.81</v>
      </c>
      <c r="F18" s="534">
        <f>'0664'!F18:G18</f>
        <v>0.999</v>
      </c>
      <c r="G18" s="534"/>
      <c r="H18" s="83">
        <f t="shared" si="4"/>
        <v>43.766199999999998</v>
      </c>
      <c r="I18" s="104">
        <f t="shared" si="0"/>
        <v>209566.93</v>
      </c>
      <c r="J18" s="68" t="str">
        <f>IF(ROUND(E18,2)=ROUND(SUM(E56:E58),2)," ","CHECK 4-8 LINES BELOW")</f>
        <v xml:space="preserve"> </v>
      </c>
      <c r="N18" s="481" t="s">
        <v>34</v>
      </c>
      <c r="O18" s="481"/>
      <c r="P18" s="515">
        <f t="shared" si="1"/>
        <v>43.81</v>
      </c>
      <c r="Q18" s="515"/>
      <c r="R18" s="519">
        <v>1</v>
      </c>
      <c r="S18" s="519"/>
      <c r="T18" s="98">
        <f t="shared" si="5"/>
        <v>43.81</v>
      </c>
      <c r="U18" s="101">
        <f t="shared" si="2"/>
        <v>209777</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13.99</v>
      </c>
      <c r="D21" s="165">
        <v>9.4499999999999993</v>
      </c>
      <c r="E21" s="125">
        <f t="shared" si="3"/>
        <v>23.439999999999998</v>
      </c>
      <c r="F21" s="534">
        <f>'0664'!F21:G21</f>
        <v>3.6739999999999999</v>
      </c>
      <c r="G21" s="534"/>
      <c r="H21" s="83">
        <f t="shared" si="4"/>
        <v>86.118600000000001</v>
      </c>
      <c r="I21" s="104">
        <f t="shared" si="0"/>
        <v>412364.11</v>
      </c>
      <c r="N21" s="481" t="s">
        <v>110</v>
      </c>
      <c r="O21" s="481"/>
      <c r="P21" s="515">
        <f t="shared" si="1"/>
        <v>23.439999999999998</v>
      </c>
      <c r="Q21" s="515"/>
      <c r="R21" s="519">
        <v>1</v>
      </c>
      <c r="S21" s="519"/>
      <c r="T21" s="98">
        <f t="shared" si="5"/>
        <v>23.44</v>
      </c>
      <c r="U21" s="99">
        <f t="shared" si="2"/>
        <v>112238</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35.090000000000003</v>
      </c>
      <c r="D29" s="97">
        <f>SUM(D13:D28)</f>
        <v>32.159999999999997</v>
      </c>
      <c r="E29" s="97">
        <f>SUM(E13:E28)</f>
        <v>67.25</v>
      </c>
      <c r="F29" s="459"/>
      <c r="G29" s="459"/>
      <c r="H29" s="102">
        <f>SUM(H13:H28)</f>
        <v>129.88479999999998</v>
      </c>
      <c r="I29" s="97">
        <f>SUM(I13:I28)</f>
        <v>621931.04</v>
      </c>
      <c r="N29" s="517" t="s">
        <v>5</v>
      </c>
      <c r="O29" s="517"/>
      <c r="P29" s="518">
        <f>SUM(P13:P28)</f>
        <v>67.25</v>
      </c>
      <c r="Q29" s="518"/>
      <c r="R29" s="510"/>
      <c r="S29" s="510"/>
      <c r="T29" s="103">
        <f>SUM(T13:T28)</f>
        <v>67.25</v>
      </c>
      <c r="U29" s="99">
        <f>SUM(U13:U28)</f>
        <v>322015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129.88479999999998</v>
      </c>
      <c r="F45" s="35"/>
      <c r="G45" s="109"/>
      <c r="H45" s="110" t="s">
        <v>129</v>
      </c>
      <c r="I45" s="97">
        <f>SUM(I43,I29)</f>
        <v>621931.04</v>
      </c>
      <c r="N45" s="482" t="s">
        <v>55</v>
      </c>
      <c r="O45" s="482"/>
      <c r="P45" s="482"/>
      <c r="Q45" s="482"/>
      <c r="R45" s="36">
        <f>R43+T29</f>
        <v>67.25</v>
      </c>
      <c r="S45" s="510" t="s">
        <v>53</v>
      </c>
      <c r="T45" s="510"/>
      <c r="U45" s="111">
        <f>SUM(U43,U29)</f>
        <v>322015</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M47" s="280"/>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M48" s="280"/>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0.52</v>
      </c>
      <c r="D57" s="165">
        <v>1.28</v>
      </c>
      <c r="E57" s="125">
        <f t="shared" si="10"/>
        <v>1.8</v>
      </c>
      <c r="F57" s="41" t="s">
        <v>15</v>
      </c>
      <c r="G57" s="39">
        <v>252</v>
      </c>
      <c r="H57" s="321">
        <f>'0664'!H57</f>
        <v>3168</v>
      </c>
      <c r="I57" s="104">
        <f t="shared" si="11"/>
        <v>5702.4</v>
      </c>
      <c r="N57" s="506"/>
      <c r="O57" s="506"/>
      <c r="P57" s="508"/>
      <c r="Q57" s="508"/>
      <c r="R57" s="42" t="s">
        <v>15</v>
      </c>
      <c r="S57" s="40">
        <v>252</v>
      </c>
      <c r="T57" s="117">
        <f t="shared" si="12"/>
        <v>3168</v>
      </c>
      <c r="U57" s="118">
        <f t="shared" si="13"/>
        <v>0</v>
      </c>
    </row>
    <row r="58" spans="1:21" ht="16.5" thickBot="1" x14ac:dyDescent="0.3">
      <c r="A58" s="462"/>
      <c r="B58" s="462"/>
      <c r="C58" s="165">
        <v>20.58</v>
      </c>
      <c r="D58" s="165">
        <v>21.43</v>
      </c>
      <c r="E58" s="125">
        <f t="shared" si="10"/>
        <v>42.01</v>
      </c>
      <c r="F58" s="41" t="s">
        <v>15</v>
      </c>
      <c r="G58" s="39">
        <v>253</v>
      </c>
      <c r="H58" s="321">
        <f>'0664'!H58</f>
        <v>6685</v>
      </c>
      <c r="I58" s="104">
        <f t="shared" si="11"/>
        <v>280836.84999999998</v>
      </c>
      <c r="N58" s="506"/>
      <c r="O58" s="506"/>
      <c r="P58" s="509"/>
      <c r="Q58" s="509"/>
      <c r="R58" s="42" t="s">
        <v>15</v>
      </c>
      <c r="S58" s="40">
        <v>253</v>
      </c>
      <c r="T58" s="117">
        <f t="shared" si="12"/>
        <v>6685</v>
      </c>
      <c r="U58" s="120">
        <f t="shared" si="13"/>
        <v>0</v>
      </c>
    </row>
    <row r="59" spans="1:21" ht="16.5" thickBot="1" x14ac:dyDescent="0.3">
      <c r="A59" s="463" t="s">
        <v>16</v>
      </c>
      <c r="B59" s="463"/>
      <c r="C59" s="100">
        <f>SUM(C50:C58)</f>
        <v>21.099999999999998</v>
      </c>
      <c r="D59" s="100">
        <f>SUM(D50:D58)</f>
        <v>22.71</v>
      </c>
      <c r="E59" s="100">
        <f>SUM(E50:E58)</f>
        <v>43.809999999999995</v>
      </c>
      <c r="F59" s="463" t="s">
        <v>77</v>
      </c>
      <c r="G59" s="463"/>
      <c r="H59" s="463"/>
      <c r="I59" s="100">
        <f>SUM(I50:I58)</f>
        <v>286539.25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67.25</v>
      </c>
      <c r="D62" s="466" t="s">
        <v>135</v>
      </c>
      <c r="E62" s="466"/>
      <c r="F62" s="466"/>
      <c r="G62" s="466"/>
      <c r="H62" s="335">
        <f>'0664'!H62</f>
        <v>193726.47</v>
      </c>
      <c r="I62" s="122"/>
      <c r="N62" s="480" t="s">
        <v>312</v>
      </c>
      <c r="O62" s="481"/>
      <c r="P62" s="43">
        <f>P29</f>
        <v>67.25</v>
      </c>
      <c r="Q62" s="500" t="s">
        <v>78</v>
      </c>
      <c r="R62" s="500"/>
      <c r="S62" s="500"/>
      <c r="T62" s="499">
        <f>H62</f>
        <v>193726.47</v>
      </c>
      <c r="U62" s="499"/>
    </row>
    <row r="63" spans="1:21" x14ac:dyDescent="0.25">
      <c r="B63" s="72"/>
      <c r="G63" s="44" t="s">
        <v>13</v>
      </c>
      <c r="H63" s="123">
        <f>ROUND(C62/H62,6)</f>
        <v>3.4699999999999998E-4</v>
      </c>
      <c r="I63" s="124"/>
      <c r="N63" s="481" t="s">
        <v>19</v>
      </c>
      <c r="O63" s="481"/>
      <c r="P63" s="481"/>
      <c r="Q63" s="481"/>
      <c r="R63" s="481"/>
      <c r="S63" s="481"/>
      <c r="T63" s="503">
        <f>ROUND(P62/T62,6)</f>
        <v>3.4699999999999998E-4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129.88479999999998</v>
      </c>
      <c r="D65" s="466" t="s">
        <v>140</v>
      </c>
      <c r="E65" s="466"/>
      <c r="F65" s="466"/>
      <c r="G65" s="466"/>
      <c r="H65" s="336">
        <f>'0664'!H65</f>
        <v>217214.58</v>
      </c>
      <c r="I65" s="125"/>
      <c r="N65" s="481" t="s">
        <v>80</v>
      </c>
      <c r="O65" s="481"/>
      <c r="P65" s="43">
        <f>R45</f>
        <v>67.25</v>
      </c>
      <c r="Q65" s="500" t="s">
        <v>79</v>
      </c>
      <c r="R65" s="500"/>
      <c r="S65" s="500"/>
      <c r="T65" s="499">
        <f>H65</f>
        <v>217214.58</v>
      </c>
      <c r="U65" s="499"/>
    </row>
    <row r="66" spans="1:21" s="37" customFormat="1" x14ac:dyDescent="0.25">
      <c r="A66" s="126"/>
      <c r="G66" s="45" t="s">
        <v>13</v>
      </c>
      <c r="H66" s="127">
        <f>ROUND(C65/H65,6)</f>
        <v>5.9800000000000001E-4</v>
      </c>
      <c r="I66" s="127"/>
      <c r="N66" s="484" t="s">
        <v>20</v>
      </c>
      <c r="O66" s="484"/>
      <c r="P66" s="484"/>
      <c r="Q66" s="484"/>
      <c r="R66" s="484"/>
      <c r="S66" s="484"/>
      <c r="T66" s="502">
        <f>ROUND(P65/T65,6)</f>
        <v>3.1E-4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3.4699999999999998E-4</v>
      </c>
      <c r="I68" s="104">
        <f>ROUND(F68*H68,2)</f>
        <v>14761.2</v>
      </c>
      <c r="N68" s="481" t="s">
        <v>85</v>
      </c>
      <c r="O68" s="481"/>
      <c r="P68" s="481"/>
      <c r="Q68" s="47"/>
      <c r="R68" s="132">
        <f>F68</f>
        <v>42539472</v>
      </c>
      <c r="S68" s="40" t="s">
        <v>6</v>
      </c>
      <c r="T68" s="133">
        <f>T63</f>
        <v>3.4699999999999998E-4</v>
      </c>
      <c r="U68" s="99">
        <f>ROUND(R68*T68,0)</f>
        <v>14761</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3.4699999999999998E-4</v>
      </c>
      <c r="I70" s="104">
        <f>ROUND(F70*H70,2)</f>
        <v>0</v>
      </c>
      <c r="N70" s="48"/>
      <c r="O70" s="48"/>
      <c r="P70" s="48"/>
      <c r="Q70" s="47"/>
      <c r="R70" s="132">
        <f>F70</f>
        <v>0</v>
      </c>
      <c r="S70" s="40" t="s">
        <v>6</v>
      </c>
      <c r="T70" s="133">
        <f>T63</f>
        <v>3.4699999999999998E-4</v>
      </c>
      <c r="U70" s="99">
        <f>ROUND(R70*T70,0)</f>
        <v>0</v>
      </c>
    </row>
    <row r="71" spans="1:21" x14ac:dyDescent="0.25">
      <c r="A71" s="465" t="s">
        <v>432</v>
      </c>
      <c r="B71" s="455"/>
      <c r="C71" s="455"/>
      <c r="D71" s="72"/>
      <c r="E71" s="46" t="s">
        <v>3</v>
      </c>
      <c r="F71" s="337">
        <f>'0664'!F71</f>
        <v>13427478</v>
      </c>
      <c r="G71" s="39" t="s">
        <v>6</v>
      </c>
      <c r="H71" s="131">
        <f>H63</f>
        <v>3.4699999999999998E-4</v>
      </c>
      <c r="I71" s="104">
        <f>ROUND(F71*H71,2)</f>
        <v>4659.33</v>
      </c>
      <c r="N71" s="481" t="s">
        <v>83</v>
      </c>
      <c r="O71" s="481"/>
      <c r="P71" s="481"/>
      <c r="Q71" s="47"/>
      <c r="R71" s="132">
        <f>F71</f>
        <v>13427478</v>
      </c>
      <c r="S71" s="40" t="s">
        <v>6</v>
      </c>
      <c r="T71" s="133">
        <f>T63</f>
        <v>3.4699999999999998E-4</v>
      </c>
      <c r="U71" s="99">
        <f>ROUND(R71*T71,0)</f>
        <v>4659</v>
      </c>
    </row>
    <row r="72" spans="1:21" x14ac:dyDescent="0.25">
      <c r="A72" s="465" t="s">
        <v>433</v>
      </c>
      <c r="B72" s="455"/>
      <c r="C72" s="455"/>
      <c r="D72" s="72"/>
      <c r="E72" s="46" t="s">
        <v>3</v>
      </c>
      <c r="F72" s="337">
        <f>'0664'!F72</f>
        <v>14805238</v>
      </c>
      <c r="G72" s="39" t="s">
        <v>6</v>
      </c>
      <c r="H72" s="131">
        <f>H63</f>
        <v>3.4699999999999998E-4</v>
      </c>
      <c r="I72" s="104">
        <f>ROUND(F72*H72,2)</f>
        <v>5137.42</v>
      </c>
      <c r="N72" s="481" t="s">
        <v>82</v>
      </c>
      <c r="O72" s="481"/>
      <c r="P72" s="481"/>
      <c r="Q72" s="47"/>
      <c r="R72" s="134">
        <f>F72</f>
        <v>14805238</v>
      </c>
      <c r="S72" s="40" t="s">
        <v>6</v>
      </c>
      <c r="T72" s="133">
        <f>T63</f>
        <v>3.4699999999999998E-4</v>
      </c>
      <c r="U72" s="99">
        <f>ROUND(R72*T72,0)</f>
        <v>5137</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3.4699999999999998E-4</v>
      </c>
      <c r="I76" s="104">
        <f t="shared" ref="I76:I85" si="14">ROUND(F76*H76,2)</f>
        <v>3028.2</v>
      </c>
      <c r="N76" s="480" t="s">
        <v>366</v>
      </c>
      <c r="O76" s="481"/>
      <c r="P76" s="481"/>
      <c r="Q76" s="47"/>
      <c r="R76" s="134">
        <f t="shared" ref="R76:R85" si="15">F76</f>
        <v>8726807</v>
      </c>
      <c r="S76" s="40" t="s">
        <v>6</v>
      </c>
      <c r="T76" s="133">
        <f>T63</f>
        <v>3.4699999999999998E-4</v>
      </c>
      <c r="U76" s="99">
        <f t="shared" ref="U76:U85" si="16">ROUND(R76*T76,0)</f>
        <v>3028</v>
      </c>
    </row>
    <row r="77" spans="1:21" x14ac:dyDescent="0.25">
      <c r="A77" s="465" t="s">
        <v>435</v>
      </c>
      <c r="B77" s="455"/>
      <c r="C77" s="455"/>
      <c r="D77" s="72"/>
      <c r="E77" s="46" t="s">
        <v>3</v>
      </c>
      <c r="F77" s="337">
        <f>'0664'!F77</f>
        <v>0</v>
      </c>
      <c r="G77" s="39" t="s">
        <v>6</v>
      </c>
      <c r="H77" s="131">
        <f>H63</f>
        <v>3.4699999999999998E-4</v>
      </c>
      <c r="I77" s="104">
        <f t="shared" si="14"/>
        <v>0</v>
      </c>
      <c r="N77" s="481" t="s">
        <v>367</v>
      </c>
      <c r="O77" s="481"/>
      <c r="P77" s="481"/>
      <c r="Q77" s="47"/>
      <c r="R77" s="134">
        <f t="shared" si="15"/>
        <v>0</v>
      </c>
      <c r="S77" s="40" t="s">
        <v>6</v>
      </c>
      <c r="T77" s="133">
        <f>T63</f>
        <v>3.4699999999999998E-4</v>
      </c>
      <c r="U77" s="99">
        <f t="shared" si="16"/>
        <v>0</v>
      </c>
    </row>
    <row r="78" spans="1:21" x14ac:dyDescent="0.25">
      <c r="A78" s="465" t="s">
        <v>436</v>
      </c>
      <c r="B78" s="455"/>
      <c r="C78" s="455"/>
      <c r="D78" s="72"/>
      <c r="E78" s="46" t="s">
        <v>4</v>
      </c>
      <c r="F78" s="337">
        <f>'0664'!F78</f>
        <v>0</v>
      </c>
      <c r="G78" s="39" t="s">
        <v>6</v>
      </c>
      <c r="H78" s="131">
        <f>H66</f>
        <v>5.9800000000000001E-4</v>
      </c>
      <c r="I78" s="104">
        <f t="shared" si="14"/>
        <v>0</v>
      </c>
      <c r="N78" s="480" t="s">
        <v>392</v>
      </c>
      <c r="O78" s="481"/>
      <c r="P78" s="481"/>
      <c r="Q78" s="47"/>
      <c r="R78" s="134">
        <f t="shared" si="15"/>
        <v>0</v>
      </c>
      <c r="S78" s="40" t="s">
        <v>6</v>
      </c>
      <c r="T78" s="133">
        <f>T66</f>
        <v>3.1E-4</v>
      </c>
      <c r="U78" s="99">
        <f t="shared" si="16"/>
        <v>0</v>
      </c>
    </row>
    <row r="79" spans="1:21" x14ac:dyDescent="0.25">
      <c r="A79" s="465" t="s">
        <v>437</v>
      </c>
      <c r="B79" s="455"/>
      <c r="C79" s="455"/>
      <c r="D79" s="72"/>
      <c r="E79" s="46" t="s">
        <v>4</v>
      </c>
      <c r="F79" s="337">
        <f>'0664'!F79</f>
        <v>11286897</v>
      </c>
      <c r="G79" s="39" t="s">
        <v>6</v>
      </c>
      <c r="H79" s="131">
        <f>H66</f>
        <v>5.9800000000000001E-4</v>
      </c>
      <c r="I79" s="104">
        <f t="shared" si="14"/>
        <v>6749.56</v>
      </c>
      <c r="N79" s="480" t="s">
        <v>393</v>
      </c>
      <c r="O79" s="481"/>
      <c r="P79" s="481"/>
      <c r="Q79" s="47"/>
      <c r="R79" s="134">
        <f t="shared" si="15"/>
        <v>11286897</v>
      </c>
      <c r="S79" s="40" t="s">
        <v>6</v>
      </c>
      <c r="T79" s="133">
        <f>T66</f>
        <v>3.1E-4</v>
      </c>
      <c r="U79" s="99">
        <f t="shared" si="16"/>
        <v>3499</v>
      </c>
    </row>
    <row r="80" spans="1:21" x14ac:dyDescent="0.25">
      <c r="A80" s="465" t="s">
        <v>438</v>
      </c>
      <c r="B80" s="455"/>
      <c r="C80" s="455"/>
      <c r="D80" s="72"/>
      <c r="E80" s="46" t="s">
        <v>4</v>
      </c>
      <c r="F80" s="337">
        <f>'0664'!F80</f>
        <v>206284749</v>
      </c>
      <c r="G80" s="39" t="s">
        <v>6</v>
      </c>
      <c r="H80" s="131">
        <f>H66</f>
        <v>5.9800000000000001E-4</v>
      </c>
      <c r="I80" s="104">
        <f t="shared" si="14"/>
        <v>123358.28</v>
      </c>
      <c r="N80" s="480" t="s">
        <v>397</v>
      </c>
      <c r="O80" s="481"/>
      <c r="P80" s="481"/>
      <c r="Q80" s="47"/>
      <c r="R80" s="134">
        <f t="shared" si="15"/>
        <v>206284749</v>
      </c>
      <c r="S80" s="40" t="s">
        <v>6</v>
      </c>
      <c r="T80" s="133">
        <f>T66</f>
        <v>3.1E-4</v>
      </c>
      <c r="U80" s="99">
        <f t="shared" si="16"/>
        <v>63948</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5.9800000000000001E-4</v>
      </c>
      <c r="I82" s="104">
        <v>28107.1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5.9800000000000001E-4</v>
      </c>
      <c r="I83" s="104">
        <v>12775.96</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40883.06</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5.9800000000000001E-4</v>
      </c>
      <c r="I85" s="104">
        <f t="shared" si="14"/>
        <v>0</v>
      </c>
      <c r="N85" s="480" t="s">
        <v>398</v>
      </c>
      <c r="O85" s="481"/>
      <c r="P85" s="481"/>
      <c r="Q85" s="47"/>
      <c r="R85" s="132">
        <f t="shared" si="15"/>
        <v>0</v>
      </c>
      <c r="S85" s="40" t="s">
        <v>6</v>
      </c>
      <c r="T85" s="133">
        <f>T66</f>
        <v>3.1E-4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129.88479999999998</v>
      </c>
      <c r="D92" s="469"/>
      <c r="E92" s="49">
        <f>H8</f>
        <v>1.0438000000000001</v>
      </c>
      <c r="F92" s="338">
        <f>'0664'!F92</f>
        <v>916.84</v>
      </c>
      <c r="G92" s="41" t="s">
        <v>13</v>
      </c>
      <c r="H92" s="97">
        <f>ROUND(C92*E92*F92,2)</f>
        <v>124299.44</v>
      </c>
      <c r="N92" s="56" t="s">
        <v>15</v>
      </c>
      <c r="O92" s="57">
        <f>T17+T18+T21+T24+T27+T28</f>
        <v>67.25</v>
      </c>
      <c r="P92" s="492">
        <f>T8</f>
        <v>1.0438000000000001</v>
      </c>
      <c r="Q92" s="492"/>
      <c r="R92" s="51">
        <f>F92</f>
        <v>916.84</v>
      </c>
      <c r="S92" s="42" t="s">
        <v>13</v>
      </c>
      <c r="T92" s="134">
        <f>ROUND(O92*P92*R92,0)</f>
        <v>64358</v>
      </c>
      <c r="U92" s="54"/>
    </row>
    <row r="93" spans="1:21" ht="16.5" thickBot="1" x14ac:dyDescent="0.3">
      <c r="A93" s="58"/>
      <c r="B93" s="142" t="s">
        <v>145</v>
      </c>
      <c r="C93" s="471">
        <f>SUM(C90:C92)</f>
        <v>129.88479999999998</v>
      </c>
      <c r="D93" s="471"/>
      <c r="E93" s="143"/>
      <c r="F93" s="143"/>
      <c r="G93" s="143"/>
      <c r="H93" s="144" t="s">
        <v>143</v>
      </c>
      <c r="I93" s="104">
        <f>IF(A1=75,0,H92+H91+H90)</f>
        <v>124299.44</v>
      </c>
      <c r="N93" s="59" t="s">
        <v>120</v>
      </c>
      <c r="O93" s="60">
        <f>SUM(O90:O92)</f>
        <v>67.25</v>
      </c>
      <c r="P93" s="493" t="s">
        <v>18</v>
      </c>
      <c r="Q93" s="494"/>
      <c r="R93" s="494"/>
      <c r="S93" s="494"/>
      <c r="T93" s="494"/>
      <c r="U93" s="99">
        <f>IF(N1=75,0,T92+T91+T90)</f>
        <v>64358</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8"/>
      <c r="D96" s="8"/>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35</v>
      </c>
      <c r="D99" s="165">
        <v>36</v>
      </c>
      <c r="E99" s="125">
        <f>(C99+D99)/2</f>
        <v>35.5</v>
      </c>
      <c r="F99" s="148" t="s">
        <v>39</v>
      </c>
      <c r="G99" s="339">
        <f>'0664'!G99</f>
        <v>544</v>
      </c>
      <c r="I99" s="104">
        <f>ROUND(G99*E99,2)</f>
        <v>19312</v>
      </c>
      <c r="N99" s="490" t="s">
        <v>65</v>
      </c>
      <c r="O99" s="490"/>
      <c r="P99" s="491">
        <f>IF(H120=1,E99,0)</f>
        <v>35.5</v>
      </c>
      <c r="Q99" s="491"/>
      <c r="R99" s="491"/>
      <c r="S99" s="86" t="s">
        <v>39</v>
      </c>
      <c r="T99" s="61">
        <f>G99</f>
        <v>544</v>
      </c>
      <c r="U99" s="99">
        <f>ROUND(T99*P99,0)</f>
        <v>19312</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500717</v>
      </c>
    </row>
    <row r="115" spans="1:21" ht="16.5" thickTop="1" x14ac:dyDescent="0.25">
      <c r="A115" s="463" t="s">
        <v>8</v>
      </c>
      <c r="B115" s="463"/>
      <c r="C115" s="463"/>
      <c r="D115" s="463"/>
      <c r="E115" s="463"/>
      <c r="F115" s="463"/>
      <c r="G115" s="463"/>
      <c r="H115" s="463"/>
      <c r="I115" s="97">
        <f>SUM(I113,I112,I110,I100,I99,I93,I85,I84,I80,I79,I78,I77,I76,I74,I73,I72,I71,I70,I68,I59,I45)</f>
        <v>1250658.78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1209775.72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500717</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500717</v>
      </c>
      <c r="I122" s="97">
        <f>ROUND(IF(E29=0,0,IF(E29&gt;250,-(((250/E29)*H122)*IF(G122="H",0.02,0.05)),IF(G122="H",-0.02*H122,-0.05*H122))),2)</f>
        <v>-25035.85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1225622.93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-1164221.4-90115.38</f>
        <v>-1254336.7799999998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-28713.84999999986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-28713.85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3" t="str">
        <f>'0664'!A139</f>
        <v>(a) Additional FTE includes FTE earned through Advanced Placement, International Baccalaureate, Advanced International Certificate of Education, Industry Certified Career</v>
      </c>
      <c r="B139" s="384"/>
      <c r="C139" s="384"/>
      <c r="D139" s="384"/>
      <c r="E139" s="384"/>
      <c r="F139" s="384"/>
      <c r="G139" s="384"/>
      <c r="H139" s="384"/>
      <c r="I139" s="384"/>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84"/>
      <c r="C140" s="384"/>
      <c r="D140" s="384"/>
      <c r="E140" s="384"/>
      <c r="F140" s="384"/>
      <c r="G140" s="384"/>
      <c r="H140" s="384"/>
      <c r="I140" s="384"/>
      <c r="J140" s="80"/>
      <c r="K140" s="79"/>
      <c r="L140" s="79"/>
      <c r="M140" s="79"/>
      <c r="N140" s="76"/>
      <c r="O140" s="76"/>
      <c r="P140" s="76"/>
      <c r="Q140" s="76"/>
      <c r="R140" s="76"/>
      <c r="S140" s="76"/>
      <c r="T140" s="76"/>
      <c r="U140" s="76"/>
    </row>
    <row r="141" spans="1:21" x14ac:dyDescent="0.25">
      <c r="A141" s="383" t="str">
        <f>'0664'!A141</f>
        <v>(b) District allocations multiplied by percentage from item 3A.</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x14ac:dyDescent="0.2">
      <c r="A142" s="383" t="str">
        <f>'0664'!A142</f>
        <v>(c) District allocations multiplied by percentage from item 3B.</v>
      </c>
      <c r="B142" s="385"/>
      <c r="C142" s="385"/>
      <c r="D142" s="385"/>
      <c r="E142" s="385"/>
      <c r="F142" s="385"/>
      <c r="G142" s="385"/>
      <c r="H142" s="385"/>
      <c r="I142" s="385"/>
      <c r="N142" s="81"/>
    </row>
    <row r="143" spans="1:21" s="79" customFormat="1" ht="15.75" customHeight="1" x14ac:dyDescent="0.2">
      <c r="A143" s="383" t="str">
        <f>'0664'!A143</f>
        <v>(d) The Digital Classroom Allocation is provided pursuant to s. 1011.62(12), F.S.</v>
      </c>
      <c r="B143" s="385"/>
      <c r="C143" s="385"/>
      <c r="D143" s="385"/>
      <c r="E143" s="385"/>
      <c r="F143" s="385"/>
      <c r="G143" s="385"/>
      <c r="H143" s="385"/>
      <c r="I143" s="385"/>
      <c r="N143" s="81"/>
    </row>
    <row r="144" spans="1:21" s="79" customFormat="1" ht="15.75" customHeight="1" x14ac:dyDescent="0.2">
      <c r="A144" s="383" t="str">
        <f>'0664'!A144</f>
        <v>(e) School districts are required to pay for instructional materials used for the instruction of public high school students who are earning credit toward high school</v>
      </c>
      <c r="B144" s="385"/>
      <c r="C144" s="385"/>
      <c r="D144" s="385"/>
      <c r="E144" s="385"/>
      <c r="F144" s="385"/>
      <c r="G144" s="385"/>
      <c r="H144" s="385"/>
      <c r="I144" s="385"/>
      <c r="N144" s="81"/>
    </row>
    <row r="145" spans="1:14" s="79" customFormat="1" ht="15.75" customHeight="1" x14ac:dyDescent="0.2">
      <c r="A145" s="389" t="str">
        <f>'0664'!A145</f>
        <v xml:space="preserve">graduation under the dual enrollment program as provided in s. 1011.62(l)(i), F.S.  </v>
      </c>
      <c r="B145" s="385"/>
      <c r="C145" s="385"/>
      <c r="D145" s="385"/>
      <c r="E145" s="385"/>
      <c r="F145" s="385"/>
      <c r="G145" s="385"/>
      <c r="H145" s="385"/>
      <c r="I145" s="385"/>
      <c r="N145" s="81"/>
    </row>
    <row r="146" spans="1:14" s="79" customFormat="1" x14ac:dyDescent="0.2">
      <c r="A146" s="383" t="str">
        <f>'0664'!A146</f>
        <v>(f) This allocation will be frozen as of the 2021-22 FEFP Second Calculation and will not be recalculated throughout the year. Charter school allocations should be</v>
      </c>
      <c r="B146" s="385"/>
      <c r="C146" s="385"/>
      <c r="D146" s="385"/>
      <c r="E146" s="385"/>
      <c r="F146" s="385"/>
      <c r="G146" s="385"/>
      <c r="H146" s="385"/>
      <c r="I146" s="385"/>
      <c r="N146" s="81"/>
    </row>
    <row r="147" spans="1:14" s="79" customFormat="1" x14ac:dyDescent="0.2">
      <c r="A147" s="389" t="str">
        <f>'0664'!A147</f>
        <v xml:space="preserve">distributed on weighted FTE (or base funding as is done in the FEFP) and should not be recalculated with fluctuations in student enrollment later in the year. </v>
      </c>
      <c r="B147" s="385"/>
      <c r="C147" s="385"/>
      <c r="D147" s="385"/>
      <c r="E147" s="385"/>
      <c r="F147" s="385"/>
      <c r="G147" s="385"/>
      <c r="H147" s="385"/>
      <c r="I147" s="385"/>
      <c r="N147" s="81"/>
    </row>
    <row r="148" spans="1:14" s="79" customFormat="1" x14ac:dyDescent="0.2">
      <c r="A148" s="383" t="str">
        <f>'0664'!A148</f>
        <v>(g) Numbers entered here will be multiplied by the district level transportation funding per rider. "All Adjusted Fundable Riders" should include both basic and ESE Riders.</v>
      </c>
      <c r="B148" s="385"/>
      <c r="C148" s="385"/>
      <c r="D148" s="385"/>
      <c r="E148" s="385"/>
      <c r="F148" s="385"/>
      <c r="G148" s="385"/>
      <c r="H148" s="385"/>
      <c r="I148" s="385"/>
      <c r="N148" s="81"/>
    </row>
    <row r="149" spans="1:14" s="79" customFormat="1" x14ac:dyDescent="0.2">
      <c r="A149" s="389" t="str">
        <f>'0664'!A149</f>
        <v>"All Adjusted ESE Riders" should include only ESE Riders.</v>
      </c>
      <c r="B149" s="385"/>
      <c r="C149" s="385"/>
      <c r="D149" s="385"/>
      <c r="E149" s="385"/>
      <c r="F149" s="385"/>
      <c r="G149" s="385"/>
      <c r="H149" s="385"/>
      <c r="I149" s="385"/>
      <c r="N149" s="81"/>
    </row>
    <row r="150" spans="1:14" s="79" customFormat="1" x14ac:dyDescent="0.2">
      <c r="A150" s="383" t="str">
        <f>'0664'!A150</f>
        <v xml:space="preserve">(h) The Federally Connected Student Supplement provides additional funding for students on federal lands that receive Section 8003 impact aide pursuant to s. 1011.62(13), F.S. </v>
      </c>
      <c r="B150" s="385"/>
      <c r="C150" s="385"/>
      <c r="D150" s="385"/>
      <c r="E150" s="385"/>
      <c r="F150" s="385"/>
      <c r="G150" s="385"/>
      <c r="H150" s="385"/>
      <c r="I150" s="385"/>
      <c r="N150" s="81"/>
    </row>
    <row r="151" spans="1:14" s="79" customFormat="1" x14ac:dyDescent="0.2">
      <c r="A151" s="383" t="str">
        <f>'0664'!A151</f>
        <v>(i) Teacher Classroom Supply Assistance Program allocation pursuant to s. 1012.71, F.S., for certified teachers employed by a public school district or public charter school</v>
      </c>
      <c r="B151" s="385"/>
      <c r="C151" s="385"/>
      <c r="D151" s="385"/>
      <c r="E151" s="385"/>
      <c r="F151" s="385"/>
      <c r="G151" s="385"/>
      <c r="H151" s="385"/>
      <c r="I151" s="385"/>
      <c r="N151" s="81"/>
    </row>
    <row r="152" spans="1:14" s="79" customFormat="1" x14ac:dyDescent="0.2">
      <c r="A152" s="389" t="str">
        <f>'0664'!A152</f>
        <v xml:space="preserve">before September 1 of each year whose full-time or job-share responsibility is the classroom instruction of students in prekindergarten through grade 12, including </v>
      </c>
      <c r="B152" s="385"/>
      <c r="C152" s="385"/>
      <c r="D152" s="385"/>
      <c r="E152" s="385"/>
      <c r="F152" s="385"/>
      <c r="G152" s="385"/>
      <c r="H152" s="385"/>
      <c r="I152" s="385"/>
      <c r="N152" s="81"/>
    </row>
    <row r="153" spans="1:14" s="79" customFormat="1" ht="15.75" customHeight="1" x14ac:dyDescent="0.2">
      <c r="A153" s="389" t="str">
        <f>'0664'!A153</f>
        <v>full-time media specialists and certified school counselors serving students in prekindergarten through grade 12, who are funded through the FEFP.</v>
      </c>
      <c r="B153" s="385"/>
      <c r="C153" s="385"/>
      <c r="D153" s="385"/>
      <c r="E153" s="385"/>
      <c r="F153" s="385"/>
      <c r="G153" s="385"/>
      <c r="H153" s="385"/>
      <c r="I153" s="385"/>
      <c r="N153" s="81"/>
    </row>
    <row r="154" spans="1:14" s="79" customFormat="1" ht="15.75" customHeight="1" x14ac:dyDescent="0.2">
      <c r="A154" s="383" t="str">
        <f>'0664'!A154</f>
        <v xml:space="preserve">(j) Funding based on student eligibility and meals provided, if participating in the National School Lunch Program. </v>
      </c>
      <c r="B154" s="385"/>
      <c r="C154" s="385"/>
      <c r="D154" s="385"/>
      <c r="E154" s="385"/>
      <c r="F154" s="385"/>
      <c r="G154" s="385"/>
      <c r="H154" s="385"/>
      <c r="I154" s="385"/>
      <c r="N154" s="81"/>
    </row>
    <row r="155" spans="1:14" s="79" customFormat="1" ht="15.75" customHeight="1" x14ac:dyDescent="0.2">
      <c r="A155" s="383" t="str">
        <f>'0664'!A155</f>
        <v>(k) Consistent with s. 1002.33(20)(a), F.S., for charter schools with a population of 75% or more ESE students, the administrative fee shall be calculated based on</v>
      </c>
      <c r="B155" s="385"/>
      <c r="C155" s="385"/>
      <c r="D155" s="385"/>
      <c r="E155" s="385"/>
      <c r="F155" s="385"/>
      <c r="G155" s="385"/>
      <c r="H155" s="385"/>
      <c r="I155" s="385"/>
      <c r="N155" s="81"/>
    </row>
    <row r="156" spans="1:14" s="79" customFormat="1" ht="15.75" customHeight="1" x14ac:dyDescent="0.2">
      <c r="A156" s="389" t="str">
        <f>'0664'!A156</f>
        <v xml:space="preserve">unweighted full-time equivalent students. </v>
      </c>
      <c r="B156" s="385"/>
      <c r="C156" s="385"/>
      <c r="D156" s="385"/>
      <c r="E156" s="385"/>
      <c r="F156" s="385"/>
      <c r="G156" s="385"/>
      <c r="H156" s="385"/>
      <c r="I156" s="385"/>
      <c r="N156" s="81"/>
    </row>
    <row r="157" spans="1:14" s="79" customFormat="1" ht="15.75" customHeight="1" x14ac:dyDescent="0.2">
      <c r="A157" s="383"/>
      <c r="B157" s="385"/>
      <c r="C157" s="385"/>
      <c r="D157" s="385"/>
      <c r="E157" s="385"/>
      <c r="F157" s="385"/>
      <c r="G157" s="385"/>
      <c r="H157" s="385"/>
      <c r="I157" s="385"/>
      <c r="N157" s="81"/>
    </row>
    <row r="158" spans="1:14" s="79" customFormat="1" ht="15.75" customHeight="1" x14ac:dyDescent="0.25">
      <c r="A158" s="396" t="str">
        <f>'0664'!A158</f>
        <v>Administrative fees:</v>
      </c>
      <c r="B158" s="385"/>
      <c r="C158" s="385"/>
      <c r="D158" s="385"/>
      <c r="E158" s="385"/>
      <c r="F158" s="385"/>
      <c r="G158" s="385"/>
      <c r="H158" s="385"/>
      <c r="I158" s="385"/>
      <c r="J158" s="3"/>
      <c r="K158" s="3"/>
      <c r="L158" s="3"/>
      <c r="M158" s="3"/>
      <c r="N158" s="81"/>
    </row>
    <row r="159" spans="1:14" s="79" customFormat="1" ht="15.75" customHeight="1" x14ac:dyDescent="0.25">
      <c r="A159" s="400" t="str">
        <f>'0664'!A159</f>
        <v xml:space="preserve">Administrative fees charged by the school district pursuant to s. 1002.33(20)(a), F.S., shall be calculated based upon 5% of available funds from the FEFP and categorical </v>
      </c>
      <c r="B159" s="388"/>
      <c r="C159" s="388"/>
      <c r="D159" s="388"/>
      <c r="E159" s="388"/>
      <c r="F159" s="388"/>
      <c r="G159" s="388"/>
      <c r="H159" s="388"/>
      <c r="I159" s="388"/>
      <c r="J159" s="3"/>
      <c r="K159" s="3"/>
      <c r="L159" s="3"/>
      <c r="M159" s="3"/>
      <c r="N159" s="81"/>
    </row>
    <row r="160" spans="1:14" s="79" customFormat="1" ht="15.75" customHeight="1" x14ac:dyDescent="0.25">
      <c r="A160" s="401" t="str">
        <f>'0664'!A160</f>
        <v>funding for which charter students may be eligible.  To calculate the administrative fee to be withheld for schools with more than 250 students, divide the school</v>
      </c>
      <c r="B160" s="395"/>
      <c r="C160" s="395"/>
      <c r="D160" s="395"/>
      <c r="E160" s="395"/>
      <c r="F160" s="395"/>
      <c r="G160" s="395"/>
      <c r="H160" s="395"/>
      <c r="I160" s="395"/>
      <c r="J160" s="3"/>
      <c r="K160" s="3"/>
      <c r="L160" s="3"/>
      <c r="M160" s="3"/>
      <c r="N160" s="81"/>
    </row>
    <row r="161" spans="1:21" s="79" customFormat="1" ht="15.75" customHeight="1" x14ac:dyDescent="0.25">
      <c r="A161" s="401" t="str">
        <f>'0664'!A161</f>
        <v xml:space="preserve">population into 250. Multiply that fraction times the funds available, then times 5%.  </v>
      </c>
      <c r="B161" s="395"/>
      <c r="C161" s="395"/>
      <c r="D161" s="395"/>
      <c r="E161" s="395"/>
      <c r="F161" s="395"/>
      <c r="G161" s="395"/>
      <c r="H161" s="395"/>
      <c r="I161" s="395"/>
      <c r="J161" s="3"/>
      <c r="K161" s="3"/>
      <c r="L161" s="3"/>
      <c r="M161" s="3"/>
      <c r="N161" s="81"/>
    </row>
    <row r="162" spans="1:21" s="79" customFormat="1" ht="15.75" customHeight="1" x14ac:dyDescent="0.25">
      <c r="A162" s="400"/>
      <c r="B162" s="395"/>
      <c r="C162" s="395"/>
      <c r="D162" s="395"/>
      <c r="E162" s="395"/>
      <c r="F162" s="395"/>
      <c r="G162" s="395"/>
      <c r="H162" s="395"/>
      <c r="I162" s="395"/>
      <c r="N162" s="77"/>
      <c r="O162" s="3"/>
      <c r="P162" s="3"/>
      <c r="Q162" s="3"/>
      <c r="R162" s="3"/>
      <c r="S162" s="3"/>
      <c r="T162" s="3"/>
      <c r="U162" s="3"/>
    </row>
    <row r="163" spans="1:21" ht="15.75" customHeight="1" x14ac:dyDescent="0.25">
      <c r="A163" s="400" t="str">
        <f>'0664'!A163</f>
        <v xml:space="preserve">For high performing charter schools, administrative fees charged by the school district shall be calculated based upon 2% of available funds from the FEFP and categorical </v>
      </c>
      <c r="B163" s="388"/>
      <c r="C163" s="388"/>
      <c r="D163" s="388"/>
      <c r="E163" s="388"/>
      <c r="F163" s="388"/>
      <c r="G163" s="388"/>
      <c r="H163" s="388"/>
      <c r="I163" s="388"/>
      <c r="J163" s="79"/>
      <c r="K163" s="79"/>
      <c r="L163" s="79"/>
      <c r="M163" s="79"/>
      <c r="N163" s="81"/>
      <c r="O163" s="79"/>
      <c r="P163" s="79"/>
      <c r="Q163" s="79"/>
      <c r="R163" s="79"/>
      <c r="S163" s="79"/>
      <c r="T163" s="79"/>
      <c r="U163" s="79"/>
    </row>
    <row r="164" spans="1:21" ht="15.75" customHeight="1" x14ac:dyDescent="0.25">
      <c r="A164" s="401" t="str">
        <f>'0664'!A164</f>
        <v>funding for which charter students may be eligible.  To calculate the administrative fee to be withheld for schools with more than 250 students, divide the school</v>
      </c>
      <c r="B164" s="388"/>
      <c r="C164" s="388"/>
      <c r="D164" s="388"/>
      <c r="E164" s="388"/>
      <c r="F164" s="388"/>
      <c r="G164" s="388"/>
      <c r="H164" s="388"/>
      <c r="I164" s="388"/>
      <c r="J164" s="79"/>
      <c r="K164" s="79"/>
      <c r="L164" s="79"/>
      <c r="M164" s="79"/>
      <c r="N164" s="81"/>
      <c r="O164" s="79"/>
      <c r="P164" s="79"/>
      <c r="Q164" s="79"/>
      <c r="R164" s="79"/>
      <c r="S164" s="79"/>
      <c r="T164" s="79"/>
      <c r="U164" s="79"/>
    </row>
    <row r="165" spans="1:21" s="79" customFormat="1" ht="15.75" customHeight="1" x14ac:dyDescent="0.2">
      <c r="A165" s="401" t="str">
        <f>'0664'!A165</f>
        <v xml:space="preserve">population into 250. Multiply that fraction times the funds available, then times 2%.  </v>
      </c>
      <c r="B165" s="388"/>
      <c r="C165" s="388"/>
      <c r="D165" s="388"/>
      <c r="E165" s="388"/>
      <c r="F165" s="388"/>
      <c r="G165" s="388"/>
      <c r="H165" s="388"/>
      <c r="I165" s="388"/>
      <c r="N165" s="81"/>
    </row>
    <row r="166" spans="1:21" x14ac:dyDescent="0.25">
      <c r="A166" s="383"/>
      <c r="B166" s="388"/>
      <c r="C166" s="388"/>
      <c r="D166" s="388"/>
      <c r="E166" s="388"/>
      <c r="F166" s="388"/>
      <c r="G166" s="388"/>
      <c r="H166" s="388"/>
      <c r="I166" s="388"/>
      <c r="N166" s="77"/>
    </row>
    <row r="167" spans="1:21" x14ac:dyDescent="0.25">
      <c r="A167" s="396" t="str">
        <f>'0664'!A167</f>
        <v>Other:</v>
      </c>
      <c r="B167" s="394"/>
      <c r="C167" s="394"/>
      <c r="D167" s="394"/>
      <c r="E167" s="394"/>
      <c r="F167" s="394"/>
      <c r="G167" s="394"/>
      <c r="H167" s="394"/>
      <c r="I167" s="394"/>
      <c r="N167" s="77"/>
    </row>
    <row r="168" spans="1:21" x14ac:dyDescent="0.25">
      <c r="A168" s="400" t="str">
        <f>'0664'!A168</f>
        <v>FEFP and categorical funding are recalculated during the year to reflect the revised number of full-time equivalent students reported during the survey periods designated</v>
      </c>
      <c r="B168" s="388"/>
      <c r="C168" s="388"/>
      <c r="D168" s="388"/>
      <c r="E168" s="388"/>
      <c r="F168" s="388"/>
      <c r="G168" s="388"/>
      <c r="H168" s="388"/>
      <c r="I168" s="388"/>
      <c r="N168" s="77"/>
    </row>
    <row r="169" spans="1:21" x14ac:dyDescent="0.25">
      <c r="A169" s="401" t="str">
        <f>'0664'!A169</f>
        <v>by the Commissioner of Education.</v>
      </c>
      <c r="B169" s="395"/>
      <c r="C169" s="395"/>
      <c r="D169" s="395"/>
      <c r="E169" s="395"/>
      <c r="F169" s="395"/>
      <c r="G169" s="395"/>
      <c r="H169" s="395"/>
      <c r="I169" s="395"/>
      <c r="N169" s="77"/>
    </row>
    <row r="170" spans="1:21" x14ac:dyDescent="0.25">
      <c r="A170" s="400" t="str">
        <f>'0664'!A170</f>
        <v>Revenues flow to districts from state sources and from county tax collectors on various distribution schedules.</v>
      </c>
      <c r="B170" s="388"/>
      <c r="C170" s="388"/>
      <c r="D170" s="388"/>
      <c r="E170" s="388"/>
      <c r="F170" s="388"/>
      <c r="G170" s="388"/>
      <c r="H170" s="388"/>
      <c r="I170" s="388"/>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U206"/>
  <sheetViews>
    <sheetView showGridLines="0" zoomScaleNormal="100" workbookViewId="0">
      <pane ySplit="1" topLeftCell="A112" activePane="bottomLeft" state="frozen"/>
      <selection activeCell="E100" sqref="E100"/>
      <selection pane="bottomLeft" activeCell="D53" sqref="D53"/>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157</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0.5</v>
      </c>
      <c r="D14" s="165">
        <v>0.55000000000000004</v>
      </c>
      <c r="E14" s="125">
        <f t="shared" ref="E14:E28" si="3">IF(D$29=0,C14*2,C14+D14)</f>
        <v>1.05</v>
      </c>
      <c r="F14" s="534">
        <f>'0664'!F14:G14</f>
        <v>1.1259999999999999</v>
      </c>
      <c r="G14" s="534"/>
      <c r="H14" s="83">
        <f t="shared" ref="H14:H28" si="4">ROUND(E14*F14,4)</f>
        <v>1.1822999999999999</v>
      </c>
      <c r="I14" s="104">
        <f t="shared" si="0"/>
        <v>5661.24</v>
      </c>
      <c r="J14" s="68" t="str">
        <f>IF(ROUND(E14,2)=ROUND(SUM(E50:E52),2)," ","CHECK PK-3 LINES BELOW")</f>
        <v xml:space="preserve"> </v>
      </c>
      <c r="N14" s="481" t="s">
        <v>30</v>
      </c>
      <c r="O14" s="481"/>
      <c r="P14" s="515">
        <f t="shared" si="1"/>
        <v>1.05</v>
      </c>
      <c r="Q14" s="515"/>
      <c r="R14" s="519">
        <v>1</v>
      </c>
      <c r="S14" s="519"/>
      <c r="T14" s="98">
        <f t="shared" ref="T14:T28" si="5">ROUND(P14*R14,4)</f>
        <v>1.05</v>
      </c>
      <c r="U14" s="99">
        <f t="shared" si="2"/>
        <v>5028</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1.5</v>
      </c>
      <c r="D19" s="165">
        <v>1.5</v>
      </c>
      <c r="E19" s="125">
        <f t="shared" si="3"/>
        <v>3</v>
      </c>
      <c r="F19" s="534">
        <f>'0664'!F19:G19</f>
        <v>3.6739999999999999</v>
      </c>
      <c r="G19" s="534"/>
      <c r="H19" s="83">
        <f t="shared" si="4"/>
        <v>11.022</v>
      </c>
      <c r="I19" s="104">
        <f t="shared" si="0"/>
        <v>52776.95</v>
      </c>
      <c r="N19" s="481" t="s">
        <v>108</v>
      </c>
      <c r="O19" s="481"/>
      <c r="P19" s="515">
        <f t="shared" si="1"/>
        <v>3</v>
      </c>
      <c r="Q19" s="515"/>
      <c r="R19" s="519">
        <v>1</v>
      </c>
      <c r="S19" s="519"/>
      <c r="T19" s="98">
        <f t="shared" si="5"/>
        <v>3</v>
      </c>
      <c r="U19" s="99">
        <f t="shared" si="2"/>
        <v>14365</v>
      </c>
    </row>
    <row r="20" spans="1:21" x14ac:dyDescent="0.25">
      <c r="A20" s="455" t="s">
        <v>109</v>
      </c>
      <c r="B20" s="455"/>
      <c r="C20" s="165">
        <v>4</v>
      </c>
      <c r="D20" s="165">
        <v>4</v>
      </c>
      <c r="E20" s="125">
        <f t="shared" si="3"/>
        <v>8</v>
      </c>
      <c r="F20" s="534">
        <f>'0664'!F20:G20</f>
        <v>3.6739999999999999</v>
      </c>
      <c r="G20" s="534"/>
      <c r="H20" s="83">
        <f t="shared" si="4"/>
        <v>29.391999999999999</v>
      </c>
      <c r="I20" s="104">
        <f t="shared" si="0"/>
        <v>140738.54</v>
      </c>
      <c r="N20" s="481" t="s">
        <v>109</v>
      </c>
      <c r="O20" s="481"/>
      <c r="P20" s="515">
        <f t="shared" si="1"/>
        <v>8</v>
      </c>
      <c r="Q20" s="515"/>
      <c r="R20" s="519">
        <v>1</v>
      </c>
      <c r="S20" s="519"/>
      <c r="T20" s="98">
        <f t="shared" si="5"/>
        <v>8</v>
      </c>
      <c r="U20" s="99">
        <f t="shared" si="2"/>
        <v>38307</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2.5</v>
      </c>
      <c r="D22" s="165">
        <v>3</v>
      </c>
      <c r="E22" s="125">
        <f t="shared" si="3"/>
        <v>5.5</v>
      </c>
      <c r="F22" s="534">
        <f>'0664'!F22:G22</f>
        <v>5.4009999999999998</v>
      </c>
      <c r="G22" s="534"/>
      <c r="H22" s="83">
        <f t="shared" si="4"/>
        <v>29.705500000000001</v>
      </c>
      <c r="I22" s="104">
        <f t="shared" si="0"/>
        <v>142239.67999999999</v>
      </c>
      <c r="N22" s="481" t="s">
        <v>111</v>
      </c>
      <c r="O22" s="481"/>
      <c r="P22" s="515">
        <f t="shared" si="1"/>
        <v>5.5</v>
      </c>
      <c r="Q22" s="515"/>
      <c r="R22" s="519">
        <v>1</v>
      </c>
      <c r="S22" s="519"/>
      <c r="T22" s="98">
        <f t="shared" si="5"/>
        <v>5.5</v>
      </c>
      <c r="U22" s="99">
        <f t="shared" si="2"/>
        <v>26336</v>
      </c>
    </row>
    <row r="23" spans="1:21" x14ac:dyDescent="0.25">
      <c r="A23" s="455" t="s">
        <v>112</v>
      </c>
      <c r="B23" s="455"/>
      <c r="C23" s="165">
        <v>5</v>
      </c>
      <c r="D23" s="165">
        <v>4.5</v>
      </c>
      <c r="E23" s="125">
        <f t="shared" si="3"/>
        <v>9.5</v>
      </c>
      <c r="F23" s="534">
        <f>'0664'!F23:G23</f>
        <v>5.4009999999999998</v>
      </c>
      <c r="G23" s="534"/>
      <c r="H23" s="83">
        <f t="shared" si="4"/>
        <v>51.3095</v>
      </c>
      <c r="I23" s="104">
        <f t="shared" si="0"/>
        <v>245686.72</v>
      </c>
      <c r="N23" s="481" t="s">
        <v>112</v>
      </c>
      <c r="O23" s="481"/>
      <c r="P23" s="515">
        <f t="shared" si="1"/>
        <v>9.5</v>
      </c>
      <c r="Q23" s="515"/>
      <c r="R23" s="519">
        <v>1</v>
      </c>
      <c r="S23" s="519"/>
      <c r="T23" s="98">
        <f t="shared" si="5"/>
        <v>9.5</v>
      </c>
      <c r="U23" s="99">
        <f t="shared" si="2"/>
        <v>45489</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13.5</v>
      </c>
      <c r="D29" s="97">
        <f>SUM(D13:D28)</f>
        <v>13.55</v>
      </c>
      <c r="E29" s="97">
        <f>SUM(E13:E28)</f>
        <v>27.05</v>
      </c>
      <c r="F29" s="459"/>
      <c r="G29" s="459"/>
      <c r="H29" s="102">
        <f>SUM(H13:H28)</f>
        <v>122.6113</v>
      </c>
      <c r="I29" s="97">
        <f>SUM(I13:I28)</f>
        <v>587103.13</v>
      </c>
      <c r="N29" s="517" t="s">
        <v>5</v>
      </c>
      <c r="O29" s="517"/>
      <c r="P29" s="518">
        <f>SUM(P13:P28)</f>
        <v>27.05</v>
      </c>
      <c r="Q29" s="518"/>
      <c r="R29" s="510"/>
      <c r="S29" s="510"/>
      <c r="T29" s="103">
        <f>SUM(T13:T28)</f>
        <v>27.05</v>
      </c>
      <c r="U29" s="99">
        <f>SUM(U13:U28)</f>
        <v>129525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122.6113</v>
      </c>
      <c r="F45" s="35"/>
      <c r="G45" s="109"/>
      <c r="H45" s="110" t="s">
        <v>129</v>
      </c>
      <c r="I45" s="97">
        <f>SUM(I43,I29)</f>
        <v>587103.13</v>
      </c>
      <c r="N45" s="482" t="s">
        <v>55</v>
      </c>
      <c r="O45" s="482"/>
      <c r="P45" s="482"/>
      <c r="Q45" s="482"/>
      <c r="R45" s="36">
        <f>R43+T29</f>
        <v>27.05</v>
      </c>
      <c r="S45" s="510" t="s">
        <v>53</v>
      </c>
      <c r="T45" s="510"/>
      <c r="U45" s="111">
        <f>SUM(U43,U29)</f>
        <v>129525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0.5</v>
      </c>
      <c r="D51" s="165">
        <v>0.55000000000000004</v>
      </c>
      <c r="E51" s="125">
        <f t="shared" ref="E51:E58" si="10">IF(D$59=0,C51*2,C51+D51)</f>
        <v>1.05</v>
      </c>
      <c r="F51" s="39" t="s">
        <v>21</v>
      </c>
      <c r="G51" s="39">
        <v>252</v>
      </c>
      <c r="H51" s="321">
        <f>'0664'!H51</f>
        <v>3380</v>
      </c>
      <c r="I51" s="104">
        <f t="shared" ref="I51:I58" si="11">ROUND(E51*H51,2)</f>
        <v>3549</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0.5</v>
      </c>
      <c r="D59" s="100">
        <f>SUM(D50:D58)</f>
        <v>0.55000000000000004</v>
      </c>
      <c r="E59" s="100">
        <f>SUM(E50:E58)</f>
        <v>1.05</v>
      </c>
      <c r="F59" s="463" t="s">
        <v>77</v>
      </c>
      <c r="G59" s="463"/>
      <c r="H59" s="463"/>
      <c r="I59" s="100">
        <f>SUM(I50:I58)</f>
        <v>3549</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27.05</v>
      </c>
      <c r="D62" s="466" t="s">
        <v>135</v>
      </c>
      <c r="E62" s="466"/>
      <c r="F62" s="466"/>
      <c r="G62" s="466"/>
      <c r="H62" s="335">
        <f>'0664'!H62</f>
        <v>193726.47</v>
      </c>
      <c r="I62" s="122"/>
      <c r="N62" s="480" t="s">
        <v>312</v>
      </c>
      <c r="O62" s="481"/>
      <c r="P62" s="43">
        <f>P29</f>
        <v>27.05</v>
      </c>
      <c r="Q62" s="500" t="s">
        <v>78</v>
      </c>
      <c r="R62" s="500"/>
      <c r="S62" s="500"/>
      <c r="T62" s="499">
        <f>H62</f>
        <v>193726.47</v>
      </c>
      <c r="U62" s="499"/>
    </row>
    <row r="63" spans="1:21" x14ac:dyDescent="0.25">
      <c r="B63" s="72"/>
      <c r="G63" s="44" t="s">
        <v>13</v>
      </c>
      <c r="H63" s="123">
        <f>ROUND(C62/H62,6)</f>
        <v>1.3999999999999999E-4</v>
      </c>
      <c r="I63" s="124"/>
      <c r="N63" s="481" t="s">
        <v>19</v>
      </c>
      <c r="O63" s="481"/>
      <c r="P63" s="481"/>
      <c r="Q63" s="481"/>
      <c r="R63" s="481"/>
      <c r="S63" s="481"/>
      <c r="T63" s="503">
        <f>ROUND(P62/T62,6)</f>
        <v>1.3999999999999999E-4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122.6113</v>
      </c>
      <c r="D65" s="466" t="s">
        <v>140</v>
      </c>
      <c r="E65" s="466"/>
      <c r="F65" s="466"/>
      <c r="G65" s="466"/>
      <c r="H65" s="336">
        <f>'0664'!H65</f>
        <v>217214.58</v>
      </c>
      <c r="I65" s="125"/>
      <c r="N65" s="481" t="s">
        <v>80</v>
      </c>
      <c r="O65" s="481"/>
      <c r="P65" s="43">
        <f>R45</f>
        <v>27.05</v>
      </c>
      <c r="Q65" s="500" t="s">
        <v>79</v>
      </c>
      <c r="R65" s="500"/>
      <c r="S65" s="500"/>
      <c r="T65" s="499">
        <f>H65</f>
        <v>217214.58</v>
      </c>
      <c r="U65" s="499"/>
    </row>
    <row r="66" spans="1:21" s="37" customFormat="1" x14ac:dyDescent="0.25">
      <c r="A66" s="126"/>
      <c r="G66" s="45" t="s">
        <v>13</v>
      </c>
      <c r="H66" s="127">
        <f>ROUND(C65/H65,6)</f>
        <v>5.6400000000000005E-4</v>
      </c>
      <c r="I66" s="127"/>
      <c r="N66" s="484" t="s">
        <v>20</v>
      </c>
      <c r="O66" s="484"/>
      <c r="P66" s="484"/>
      <c r="Q66" s="484"/>
      <c r="R66" s="484"/>
      <c r="S66" s="484"/>
      <c r="T66" s="502">
        <f>ROUND(P65/T65,6)</f>
        <v>1.25E-4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1.3999999999999999E-4</v>
      </c>
      <c r="I68" s="104">
        <f>ROUND(F68*H68,2)</f>
        <v>5955.53</v>
      </c>
      <c r="N68" s="481" t="s">
        <v>85</v>
      </c>
      <c r="O68" s="481"/>
      <c r="P68" s="481"/>
      <c r="Q68" s="47"/>
      <c r="R68" s="132">
        <f>F68</f>
        <v>42539472</v>
      </c>
      <c r="S68" s="40" t="s">
        <v>6</v>
      </c>
      <c r="T68" s="133">
        <f>T63</f>
        <v>1.3999999999999999E-4</v>
      </c>
      <c r="U68" s="99">
        <f>ROUND(R68*T68,0)</f>
        <v>5956</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1.3999999999999999E-4</v>
      </c>
      <c r="I70" s="104">
        <f>ROUND(F70*H70,2)</f>
        <v>0</v>
      </c>
      <c r="N70" s="48"/>
      <c r="O70" s="48"/>
      <c r="P70" s="48"/>
      <c r="Q70" s="47"/>
      <c r="R70" s="132">
        <f>F70</f>
        <v>0</v>
      </c>
      <c r="S70" s="40" t="s">
        <v>6</v>
      </c>
      <c r="T70" s="133">
        <f>T63</f>
        <v>1.3999999999999999E-4</v>
      </c>
      <c r="U70" s="99">
        <f>ROUND(R70*T70,0)</f>
        <v>0</v>
      </c>
    </row>
    <row r="71" spans="1:21" x14ac:dyDescent="0.25">
      <c r="A71" s="465" t="s">
        <v>432</v>
      </c>
      <c r="B71" s="455"/>
      <c r="C71" s="455"/>
      <c r="D71" s="72"/>
      <c r="E71" s="46" t="s">
        <v>3</v>
      </c>
      <c r="F71" s="337">
        <f>'0664'!F71</f>
        <v>13427478</v>
      </c>
      <c r="G71" s="39" t="s">
        <v>6</v>
      </c>
      <c r="H71" s="131">
        <f>H63</f>
        <v>1.3999999999999999E-4</v>
      </c>
      <c r="I71" s="104">
        <f>ROUND(F71*H71,2)</f>
        <v>1879.85</v>
      </c>
      <c r="N71" s="481" t="s">
        <v>83</v>
      </c>
      <c r="O71" s="481"/>
      <c r="P71" s="481"/>
      <c r="Q71" s="47"/>
      <c r="R71" s="132">
        <f>F71</f>
        <v>13427478</v>
      </c>
      <c r="S71" s="40" t="s">
        <v>6</v>
      </c>
      <c r="T71" s="133">
        <f>T63</f>
        <v>1.3999999999999999E-4</v>
      </c>
      <c r="U71" s="99">
        <f>ROUND(R71*T71,0)</f>
        <v>1880</v>
      </c>
    </row>
    <row r="72" spans="1:21" x14ac:dyDescent="0.25">
      <c r="A72" s="465" t="s">
        <v>433</v>
      </c>
      <c r="B72" s="455"/>
      <c r="C72" s="455"/>
      <c r="D72" s="72"/>
      <c r="E72" s="46" t="s">
        <v>3</v>
      </c>
      <c r="F72" s="337">
        <f>'0664'!F72</f>
        <v>14805238</v>
      </c>
      <c r="G72" s="39" t="s">
        <v>6</v>
      </c>
      <c r="H72" s="131">
        <f>H63</f>
        <v>1.3999999999999999E-4</v>
      </c>
      <c r="I72" s="104">
        <f>ROUND(F72*H72,2)</f>
        <v>2072.73</v>
      </c>
      <c r="N72" s="481" t="s">
        <v>82</v>
      </c>
      <c r="O72" s="481"/>
      <c r="P72" s="481"/>
      <c r="Q72" s="47"/>
      <c r="R72" s="134">
        <f>F72</f>
        <v>14805238</v>
      </c>
      <c r="S72" s="40" t="s">
        <v>6</v>
      </c>
      <c r="T72" s="133">
        <f>T63</f>
        <v>1.3999999999999999E-4</v>
      </c>
      <c r="U72" s="99">
        <f>ROUND(R72*T72,0)</f>
        <v>2073</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1.3999999999999999E-4</v>
      </c>
      <c r="I76" s="104">
        <f t="shared" ref="I76:I85" si="14">ROUND(F76*H76,2)</f>
        <v>1221.75</v>
      </c>
      <c r="N76" s="480" t="s">
        <v>366</v>
      </c>
      <c r="O76" s="481"/>
      <c r="P76" s="481"/>
      <c r="Q76" s="47"/>
      <c r="R76" s="134">
        <f t="shared" ref="R76:R85" si="15">F76</f>
        <v>8726807</v>
      </c>
      <c r="S76" s="40" t="s">
        <v>6</v>
      </c>
      <c r="T76" s="133">
        <f>T63</f>
        <v>1.3999999999999999E-4</v>
      </c>
      <c r="U76" s="99">
        <f t="shared" ref="U76:U85" si="16">ROUND(R76*T76,0)</f>
        <v>1222</v>
      </c>
    </row>
    <row r="77" spans="1:21" x14ac:dyDescent="0.25">
      <c r="A77" s="465" t="s">
        <v>435</v>
      </c>
      <c r="B77" s="455"/>
      <c r="C77" s="455"/>
      <c r="D77" s="72"/>
      <c r="E77" s="46" t="s">
        <v>3</v>
      </c>
      <c r="F77" s="337">
        <f>'0664'!F77</f>
        <v>0</v>
      </c>
      <c r="G77" s="39" t="s">
        <v>6</v>
      </c>
      <c r="H77" s="131">
        <f>H63</f>
        <v>1.3999999999999999E-4</v>
      </c>
      <c r="I77" s="104">
        <f t="shared" si="14"/>
        <v>0</v>
      </c>
      <c r="N77" s="481" t="s">
        <v>367</v>
      </c>
      <c r="O77" s="481"/>
      <c r="P77" s="481"/>
      <c r="Q77" s="47"/>
      <c r="R77" s="134">
        <f t="shared" si="15"/>
        <v>0</v>
      </c>
      <c r="S77" s="40" t="s">
        <v>6</v>
      </c>
      <c r="T77" s="133">
        <f>T63</f>
        <v>1.3999999999999999E-4</v>
      </c>
      <c r="U77" s="99">
        <f t="shared" si="16"/>
        <v>0</v>
      </c>
    </row>
    <row r="78" spans="1:21" x14ac:dyDescent="0.25">
      <c r="A78" s="465" t="s">
        <v>436</v>
      </c>
      <c r="B78" s="455"/>
      <c r="C78" s="455"/>
      <c r="D78" s="72"/>
      <c r="E78" s="46" t="s">
        <v>4</v>
      </c>
      <c r="F78" s="337">
        <f>'0664'!F78</f>
        <v>0</v>
      </c>
      <c r="G78" s="39" t="s">
        <v>6</v>
      </c>
      <c r="H78" s="131">
        <f>H66</f>
        <v>5.6400000000000005E-4</v>
      </c>
      <c r="I78" s="104">
        <f t="shared" si="14"/>
        <v>0</v>
      </c>
      <c r="N78" s="480" t="s">
        <v>392</v>
      </c>
      <c r="O78" s="481"/>
      <c r="P78" s="481"/>
      <c r="Q78" s="47"/>
      <c r="R78" s="134">
        <f t="shared" si="15"/>
        <v>0</v>
      </c>
      <c r="S78" s="40" t="s">
        <v>6</v>
      </c>
      <c r="T78" s="133">
        <f>T66</f>
        <v>1.25E-4</v>
      </c>
      <c r="U78" s="99">
        <f t="shared" si="16"/>
        <v>0</v>
      </c>
    </row>
    <row r="79" spans="1:21" x14ac:dyDescent="0.25">
      <c r="A79" s="465" t="s">
        <v>437</v>
      </c>
      <c r="B79" s="455"/>
      <c r="C79" s="455"/>
      <c r="D79" s="72"/>
      <c r="E79" s="46" t="s">
        <v>4</v>
      </c>
      <c r="F79" s="337">
        <f>'0664'!F79</f>
        <v>11286897</v>
      </c>
      <c r="G79" s="39" t="s">
        <v>6</v>
      </c>
      <c r="H79" s="131">
        <f>H66</f>
        <v>5.6400000000000005E-4</v>
      </c>
      <c r="I79" s="104">
        <f t="shared" si="14"/>
        <v>6365.81</v>
      </c>
      <c r="N79" s="480" t="s">
        <v>393</v>
      </c>
      <c r="O79" s="481"/>
      <c r="P79" s="481"/>
      <c r="Q79" s="47"/>
      <c r="R79" s="134">
        <f t="shared" si="15"/>
        <v>11286897</v>
      </c>
      <c r="S79" s="40" t="s">
        <v>6</v>
      </c>
      <c r="T79" s="133">
        <f>T66</f>
        <v>1.25E-4</v>
      </c>
      <c r="U79" s="99">
        <f t="shared" si="16"/>
        <v>1411</v>
      </c>
    </row>
    <row r="80" spans="1:21" x14ac:dyDescent="0.25">
      <c r="A80" s="465" t="s">
        <v>438</v>
      </c>
      <c r="B80" s="455"/>
      <c r="C80" s="455"/>
      <c r="D80" s="72"/>
      <c r="E80" s="46" t="s">
        <v>4</v>
      </c>
      <c r="F80" s="337">
        <f>'0664'!F80</f>
        <v>206284749</v>
      </c>
      <c r="G80" s="39" t="s">
        <v>6</v>
      </c>
      <c r="H80" s="131">
        <f>H66</f>
        <v>5.6400000000000005E-4</v>
      </c>
      <c r="I80" s="104">
        <f t="shared" si="14"/>
        <v>116344.6</v>
      </c>
      <c r="N80" s="480" t="s">
        <v>397</v>
      </c>
      <c r="O80" s="481"/>
      <c r="P80" s="481"/>
      <c r="Q80" s="47"/>
      <c r="R80" s="134">
        <f t="shared" si="15"/>
        <v>206284749</v>
      </c>
      <c r="S80" s="40" t="s">
        <v>6</v>
      </c>
      <c r="T80" s="133">
        <f>T66</f>
        <v>1.25E-4</v>
      </c>
      <c r="U80" s="99">
        <f t="shared" si="16"/>
        <v>25786</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5.6400000000000005E-4</v>
      </c>
      <c r="I82" s="104">
        <v>24380.97</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5.6400000000000005E-4</v>
      </c>
      <c r="I83" s="104">
        <f t="shared" si="14"/>
        <v>0</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24380.97</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5.6400000000000005E-4</v>
      </c>
      <c r="I85" s="104">
        <f t="shared" si="14"/>
        <v>0</v>
      </c>
      <c r="N85" s="480" t="s">
        <v>398</v>
      </c>
      <c r="O85" s="481"/>
      <c r="P85" s="481"/>
      <c r="Q85" s="47"/>
      <c r="R85" s="132">
        <f t="shared" si="15"/>
        <v>0</v>
      </c>
      <c r="S85" s="40" t="s">
        <v>6</v>
      </c>
      <c r="T85" s="133">
        <f>T66</f>
        <v>1.25E-4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41.909800000000004</v>
      </c>
      <c r="D90" s="469"/>
      <c r="E90" s="49">
        <f>H8</f>
        <v>1.0438000000000001</v>
      </c>
      <c r="F90" s="338">
        <f>'0664'!F90</f>
        <v>957.94</v>
      </c>
      <c r="G90" s="41" t="s">
        <v>13</v>
      </c>
      <c r="H90" s="104">
        <f>ROUND(C90*E90*F90,2)</f>
        <v>41905.519999999997</v>
      </c>
      <c r="I90" s="107"/>
      <c r="N90" s="29" t="s">
        <v>22</v>
      </c>
      <c r="O90" s="50">
        <f>T13+T14+T19+T22+T25</f>
        <v>9.5500000000000007</v>
      </c>
      <c r="P90" s="492">
        <f>T8</f>
        <v>1.0438000000000001</v>
      </c>
      <c r="Q90" s="492"/>
      <c r="R90" s="51">
        <f>F90</f>
        <v>957.94</v>
      </c>
      <c r="S90" s="42" t="s">
        <v>13</v>
      </c>
      <c r="T90" s="134">
        <f>ROUND(O90*P90*R90,0)</f>
        <v>9549</v>
      </c>
      <c r="U90" s="105"/>
    </row>
    <row r="91" spans="1:21" x14ac:dyDescent="0.25">
      <c r="A91" s="52"/>
      <c r="B91" s="52" t="s">
        <v>147</v>
      </c>
      <c r="C91" s="469">
        <f>H15+H16+H20+H23+H26</f>
        <v>80.701499999999996</v>
      </c>
      <c r="D91" s="469"/>
      <c r="E91" s="49">
        <f>H8</f>
        <v>1.0438000000000001</v>
      </c>
      <c r="F91" s="338">
        <f>'0664'!F91</f>
        <v>914.63</v>
      </c>
      <c r="G91" s="41" t="s">
        <v>13</v>
      </c>
      <c r="H91" s="104">
        <f>ROUND(C91*E91*F91,2)</f>
        <v>77044.98</v>
      </c>
      <c r="N91" s="53" t="s">
        <v>14</v>
      </c>
      <c r="O91" s="50">
        <f>T15+T16+T20+T23+T26</f>
        <v>17.5</v>
      </c>
      <c r="P91" s="492">
        <f>T8</f>
        <v>1.0438000000000001</v>
      </c>
      <c r="Q91" s="492"/>
      <c r="R91" s="51">
        <f>F91</f>
        <v>914.63</v>
      </c>
      <c r="S91" s="42" t="s">
        <v>13</v>
      </c>
      <c r="T91" s="134">
        <f>ROUND(O91*P91*R91,0)</f>
        <v>16707</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122.6113</v>
      </c>
      <c r="D93" s="471"/>
      <c r="E93" s="143"/>
      <c r="F93" s="143"/>
      <c r="G93" s="143"/>
      <c r="H93" s="144" t="s">
        <v>143</v>
      </c>
      <c r="I93" s="104">
        <f>IF(A1=75,0,H92+H91+H90)</f>
        <v>118950.5</v>
      </c>
      <c r="N93" s="59" t="s">
        <v>120</v>
      </c>
      <c r="O93" s="60">
        <f>SUM(O90:O92)</f>
        <v>27.05</v>
      </c>
      <c r="P93" s="493" t="s">
        <v>18</v>
      </c>
      <c r="Q93" s="494"/>
      <c r="R93" s="494"/>
      <c r="S93" s="494"/>
      <c r="T93" s="494"/>
      <c r="U93" s="99">
        <f>IF(N1=75,0,T92+T91+T90)</f>
        <v>26256</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9</v>
      </c>
      <c r="E99" s="125">
        <f>(C99+D99)/2</f>
        <v>4.5</v>
      </c>
      <c r="F99" s="148" t="s">
        <v>39</v>
      </c>
      <c r="G99" s="339">
        <f>'0664'!G99</f>
        <v>544</v>
      </c>
      <c r="I99" s="104">
        <f>ROUND(G99*E99,2)</f>
        <v>2448</v>
      </c>
      <c r="N99" s="490" t="s">
        <v>65</v>
      </c>
      <c r="O99" s="490"/>
      <c r="P99" s="491">
        <f>IF(H120=1,E99,0)</f>
        <v>4.5</v>
      </c>
      <c r="Q99" s="491"/>
      <c r="R99" s="491"/>
      <c r="S99" s="86" t="s">
        <v>39</v>
      </c>
      <c r="T99" s="61">
        <f>G99</f>
        <v>544</v>
      </c>
      <c r="U99" s="99">
        <f>ROUND(T99*P99,0)</f>
        <v>2448</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196557</v>
      </c>
    </row>
    <row r="115" spans="1:21" ht="16.5" thickTop="1" x14ac:dyDescent="0.25">
      <c r="A115" s="463" t="s">
        <v>8</v>
      </c>
      <c r="B115" s="463"/>
      <c r="C115" s="463"/>
      <c r="D115" s="463"/>
      <c r="E115" s="463"/>
      <c r="F115" s="463"/>
      <c r="G115" s="463"/>
      <c r="H115" s="463"/>
      <c r="I115" s="97">
        <f>SUM(I113,I112,I110,I100,I99,I93,I85,I84,I80,I79,I78,I77,I76,I74,I73,I72,I71,I70,I68,I59,I45)</f>
        <v>870271.87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845890.9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196557</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196557</v>
      </c>
      <c r="I122" s="97">
        <f>ROUND(IF(E29=0,0,IF(E29&gt;250,-(((250/E29)*H122)*IF(G122="H",0.02,0.05)),IF(G122="H",-0.02*H122,-0.05*H122))),2)</f>
        <v>-9827.85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860444.02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-800575.81-63560.01</f>
        <v>-864135.82000000007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-3691.8000000000466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-3691.8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3" t="str">
        <f>'0664'!A139</f>
        <v>(a) Additional FTE includes FTE earned through Advanced Placement, International Baccalaureate, Advanced International Certificate of Education, Industry Certified Career</v>
      </c>
      <c r="B139" s="384"/>
      <c r="C139" s="384"/>
      <c r="D139" s="384"/>
      <c r="E139" s="384"/>
      <c r="F139" s="384"/>
      <c r="G139" s="384"/>
      <c r="H139" s="384"/>
      <c r="I139" s="384"/>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84"/>
      <c r="C140" s="384"/>
      <c r="D140" s="384"/>
      <c r="E140" s="384"/>
      <c r="F140" s="384"/>
      <c r="G140" s="384"/>
      <c r="H140" s="384"/>
      <c r="I140" s="384"/>
      <c r="J140" s="80"/>
      <c r="K140" s="79"/>
      <c r="L140" s="79"/>
      <c r="M140" s="79"/>
      <c r="N140" s="76"/>
      <c r="O140" s="76"/>
      <c r="P140" s="76"/>
      <c r="Q140" s="76"/>
      <c r="R140" s="76"/>
      <c r="S140" s="76"/>
      <c r="T140" s="76"/>
      <c r="U140" s="76"/>
    </row>
    <row r="141" spans="1:21" x14ac:dyDescent="0.25">
      <c r="A141" s="383" t="str">
        <f>'0664'!A141</f>
        <v>(b) District allocations multiplied by percentage from item 3A.</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x14ac:dyDescent="0.2">
      <c r="A142" s="383" t="str">
        <f>'0664'!A142</f>
        <v>(c) District allocations multiplied by percentage from item 3B.</v>
      </c>
      <c r="B142" s="385"/>
      <c r="C142" s="385"/>
      <c r="D142" s="385"/>
      <c r="E142" s="385"/>
      <c r="F142" s="385"/>
      <c r="G142" s="385"/>
      <c r="H142" s="385"/>
      <c r="I142" s="385"/>
      <c r="N142" s="81"/>
    </row>
    <row r="143" spans="1:21" s="79" customFormat="1" ht="15.75" customHeight="1" x14ac:dyDescent="0.2">
      <c r="A143" s="383" t="str">
        <f>'0664'!A143</f>
        <v>(d) The Digital Classroom Allocation is provided pursuant to s. 1011.62(12), F.S.</v>
      </c>
      <c r="B143" s="385"/>
      <c r="C143" s="385"/>
      <c r="D143" s="385"/>
      <c r="E143" s="385"/>
      <c r="F143" s="385"/>
      <c r="G143" s="385"/>
      <c r="H143" s="385"/>
      <c r="I143" s="385"/>
      <c r="N143" s="81"/>
    </row>
    <row r="144" spans="1:21" s="79" customFormat="1" ht="15.75" customHeight="1" x14ac:dyDescent="0.2">
      <c r="A144" s="383" t="str">
        <f>'0664'!A144</f>
        <v>(e) School districts are required to pay for instructional materials used for the instruction of public high school students who are earning credit toward high school</v>
      </c>
      <c r="B144" s="385"/>
      <c r="C144" s="385"/>
      <c r="D144" s="385"/>
      <c r="E144" s="385"/>
      <c r="F144" s="385"/>
      <c r="G144" s="385"/>
      <c r="H144" s="385"/>
      <c r="I144" s="385"/>
      <c r="N144" s="81"/>
    </row>
    <row r="145" spans="1:14" s="79" customFormat="1" ht="15.75" customHeight="1" x14ac:dyDescent="0.2">
      <c r="A145" s="389" t="str">
        <f>'0664'!A145</f>
        <v xml:space="preserve">graduation under the dual enrollment program as provided in s. 1011.62(l)(i), F.S.  </v>
      </c>
      <c r="B145" s="385"/>
      <c r="C145" s="385"/>
      <c r="D145" s="385"/>
      <c r="E145" s="385"/>
      <c r="F145" s="385"/>
      <c r="G145" s="385"/>
      <c r="H145" s="385"/>
      <c r="I145" s="385"/>
      <c r="N145" s="81"/>
    </row>
    <row r="146" spans="1:14" s="79" customFormat="1" x14ac:dyDescent="0.2">
      <c r="A146" s="383" t="str">
        <f>'0664'!A146</f>
        <v>(f) This allocation will be frozen as of the 2021-22 FEFP Second Calculation and will not be recalculated throughout the year. Charter school allocations should be</v>
      </c>
      <c r="B146" s="385"/>
      <c r="C146" s="385"/>
      <c r="D146" s="385"/>
      <c r="E146" s="385"/>
      <c r="F146" s="385"/>
      <c r="G146" s="385"/>
      <c r="H146" s="385"/>
      <c r="I146" s="385"/>
      <c r="N146" s="81"/>
    </row>
    <row r="147" spans="1:14" s="79" customFormat="1" x14ac:dyDescent="0.2">
      <c r="A147" s="389" t="str">
        <f>'0664'!A147</f>
        <v xml:space="preserve">distributed on weighted FTE (or base funding as is done in the FEFP) and should not be recalculated with fluctuations in student enrollment later in the year. </v>
      </c>
      <c r="B147" s="385"/>
      <c r="C147" s="385"/>
      <c r="D147" s="385"/>
      <c r="E147" s="385"/>
      <c r="F147" s="385"/>
      <c r="G147" s="385"/>
      <c r="H147" s="385"/>
      <c r="I147" s="385"/>
      <c r="N147" s="81"/>
    </row>
    <row r="148" spans="1:14" s="79" customFormat="1" x14ac:dyDescent="0.2">
      <c r="A148" s="383" t="str">
        <f>'0664'!A148</f>
        <v>(g) Numbers entered here will be multiplied by the district level transportation funding per rider. "All Adjusted Fundable Riders" should include both basic and ESE Riders.</v>
      </c>
      <c r="B148" s="385"/>
      <c r="C148" s="385"/>
      <c r="D148" s="385"/>
      <c r="E148" s="385"/>
      <c r="F148" s="385"/>
      <c r="G148" s="385"/>
      <c r="H148" s="385"/>
      <c r="I148" s="385"/>
      <c r="N148" s="81"/>
    </row>
    <row r="149" spans="1:14" s="79" customFormat="1" x14ac:dyDescent="0.2">
      <c r="A149" s="389" t="str">
        <f>'0664'!A149</f>
        <v>"All Adjusted ESE Riders" should include only ESE Riders.</v>
      </c>
      <c r="B149" s="385"/>
      <c r="C149" s="385"/>
      <c r="D149" s="385"/>
      <c r="E149" s="385"/>
      <c r="F149" s="385"/>
      <c r="G149" s="385"/>
      <c r="H149" s="385"/>
      <c r="I149" s="385"/>
      <c r="N149" s="81"/>
    </row>
    <row r="150" spans="1:14" s="79" customFormat="1" x14ac:dyDescent="0.2">
      <c r="A150" s="383" t="str">
        <f>'0664'!A150</f>
        <v xml:space="preserve">(h) The Federally Connected Student Supplement provides additional funding for students on federal lands that receive Section 8003 impact aide pursuant to s. 1011.62(13), F.S. </v>
      </c>
      <c r="B150" s="385"/>
      <c r="C150" s="385"/>
      <c r="D150" s="385"/>
      <c r="E150" s="385"/>
      <c r="F150" s="385"/>
      <c r="G150" s="385"/>
      <c r="H150" s="385"/>
      <c r="I150" s="385"/>
      <c r="N150" s="81"/>
    </row>
    <row r="151" spans="1:14" s="79" customFormat="1" x14ac:dyDescent="0.2">
      <c r="A151" s="383" t="str">
        <f>'0664'!A151</f>
        <v>(i) Teacher Classroom Supply Assistance Program allocation pursuant to s. 1012.71, F.S., for certified teachers employed by a public school district or public charter school</v>
      </c>
      <c r="B151" s="385"/>
      <c r="C151" s="385"/>
      <c r="D151" s="385"/>
      <c r="E151" s="385"/>
      <c r="F151" s="385"/>
      <c r="G151" s="385"/>
      <c r="H151" s="385"/>
      <c r="I151" s="385"/>
      <c r="N151" s="81"/>
    </row>
    <row r="152" spans="1:14" s="79" customFormat="1" x14ac:dyDescent="0.2">
      <c r="A152" s="389" t="str">
        <f>'0664'!A152</f>
        <v xml:space="preserve">before September 1 of each year whose full-time or job-share responsibility is the classroom instruction of students in prekindergarten through grade 12, including </v>
      </c>
      <c r="B152" s="385"/>
      <c r="C152" s="385"/>
      <c r="D152" s="385"/>
      <c r="E152" s="385"/>
      <c r="F152" s="385"/>
      <c r="G152" s="385"/>
      <c r="H152" s="385"/>
      <c r="I152" s="385"/>
      <c r="N152" s="81"/>
    </row>
    <row r="153" spans="1:14" s="79" customFormat="1" ht="15.75" customHeight="1" x14ac:dyDescent="0.2">
      <c r="A153" s="389" t="str">
        <f>'0664'!A153</f>
        <v>full-time media specialists and certified school counselors serving students in prekindergarten through grade 12, who are funded through the FEFP.</v>
      </c>
      <c r="B153" s="385"/>
      <c r="C153" s="385"/>
      <c r="D153" s="385"/>
      <c r="E153" s="385"/>
      <c r="F153" s="385"/>
      <c r="G153" s="385"/>
      <c r="H153" s="385"/>
      <c r="I153" s="385"/>
      <c r="N153" s="81"/>
    </row>
    <row r="154" spans="1:14" s="79" customFormat="1" ht="15.75" customHeight="1" x14ac:dyDescent="0.2">
      <c r="A154" s="383" t="str">
        <f>'0664'!A154</f>
        <v xml:space="preserve">(j) Funding based on student eligibility and meals provided, if participating in the National School Lunch Program. </v>
      </c>
      <c r="B154" s="385"/>
      <c r="C154" s="385"/>
      <c r="D154" s="385"/>
      <c r="E154" s="385"/>
      <c r="F154" s="385"/>
      <c r="G154" s="385"/>
      <c r="H154" s="385"/>
      <c r="I154" s="385"/>
      <c r="N154" s="81"/>
    </row>
    <row r="155" spans="1:14" s="79" customFormat="1" ht="15.75" customHeight="1" x14ac:dyDescent="0.2">
      <c r="A155" s="383" t="str">
        <f>'0664'!A155</f>
        <v>(k) Consistent with s. 1002.33(20)(a), F.S., for charter schools with a population of 75% or more ESE students, the administrative fee shall be calculated based on</v>
      </c>
      <c r="B155" s="385"/>
      <c r="C155" s="385"/>
      <c r="D155" s="385"/>
      <c r="E155" s="385"/>
      <c r="F155" s="385"/>
      <c r="G155" s="385"/>
      <c r="H155" s="385"/>
      <c r="I155" s="385"/>
      <c r="N155" s="81"/>
    </row>
    <row r="156" spans="1:14" s="79" customFormat="1" ht="15.75" customHeight="1" x14ac:dyDescent="0.2">
      <c r="A156" s="389" t="str">
        <f>'0664'!A156</f>
        <v xml:space="preserve">unweighted full-time equivalent students. </v>
      </c>
      <c r="B156" s="385"/>
      <c r="C156" s="385"/>
      <c r="D156" s="385"/>
      <c r="E156" s="385"/>
      <c r="F156" s="385"/>
      <c r="G156" s="385"/>
      <c r="H156" s="385"/>
      <c r="I156" s="385"/>
      <c r="N156" s="81"/>
    </row>
    <row r="157" spans="1:14" s="79" customFormat="1" ht="15.75" customHeight="1" x14ac:dyDescent="0.2">
      <c r="A157" s="383"/>
      <c r="B157" s="385"/>
      <c r="C157" s="385"/>
      <c r="D157" s="385"/>
      <c r="E157" s="385"/>
      <c r="F157" s="385"/>
      <c r="G157" s="385"/>
      <c r="H157" s="385"/>
      <c r="I157" s="385"/>
      <c r="N157" s="81"/>
    </row>
    <row r="158" spans="1:14" s="79" customFormat="1" ht="15.75" customHeight="1" x14ac:dyDescent="0.25">
      <c r="A158" s="396" t="str">
        <f>'0664'!A158</f>
        <v>Administrative fees:</v>
      </c>
      <c r="B158" s="385"/>
      <c r="C158" s="385"/>
      <c r="D158" s="385"/>
      <c r="E158" s="385"/>
      <c r="F158" s="385"/>
      <c r="G158" s="385"/>
      <c r="H158" s="385"/>
      <c r="I158" s="385"/>
      <c r="J158" s="3"/>
      <c r="K158" s="3"/>
      <c r="L158" s="3"/>
      <c r="M158" s="3"/>
      <c r="N158" s="81"/>
    </row>
    <row r="159" spans="1:14" s="79" customFormat="1" ht="15.75" customHeight="1" x14ac:dyDescent="0.25">
      <c r="A159" s="400" t="str">
        <f>'0664'!A159</f>
        <v xml:space="preserve">Administrative fees charged by the school district pursuant to s. 1002.33(20)(a), F.S., shall be calculated based upon 5% of available funds from the FEFP and categorical </v>
      </c>
      <c r="B159" s="388"/>
      <c r="C159" s="388"/>
      <c r="D159" s="388"/>
      <c r="E159" s="388"/>
      <c r="F159" s="388"/>
      <c r="G159" s="388"/>
      <c r="H159" s="388"/>
      <c r="I159" s="388"/>
      <c r="J159" s="3"/>
      <c r="K159" s="3"/>
      <c r="L159" s="3"/>
      <c r="M159" s="3"/>
      <c r="N159" s="81"/>
    </row>
    <row r="160" spans="1:14" s="79" customFormat="1" ht="15.75" customHeight="1" x14ac:dyDescent="0.25">
      <c r="A160" s="401" t="str">
        <f>'0664'!A160</f>
        <v>funding for which charter students may be eligible.  To calculate the administrative fee to be withheld for schools with more than 250 students, divide the school</v>
      </c>
      <c r="B160" s="395"/>
      <c r="C160" s="395"/>
      <c r="D160" s="395"/>
      <c r="E160" s="395"/>
      <c r="F160" s="395"/>
      <c r="G160" s="395"/>
      <c r="H160" s="395"/>
      <c r="I160" s="395"/>
      <c r="J160" s="3"/>
      <c r="K160" s="3"/>
      <c r="L160" s="3"/>
      <c r="M160" s="3"/>
      <c r="N160" s="81"/>
    </row>
    <row r="161" spans="1:21" s="79" customFormat="1" ht="15.75" customHeight="1" x14ac:dyDescent="0.25">
      <c r="A161" s="401" t="str">
        <f>'0664'!A161</f>
        <v xml:space="preserve">population into 250. Multiply that fraction times the funds available, then times 5%.  </v>
      </c>
      <c r="B161" s="395"/>
      <c r="C161" s="395"/>
      <c r="D161" s="395"/>
      <c r="E161" s="395"/>
      <c r="F161" s="395"/>
      <c r="G161" s="395"/>
      <c r="H161" s="395"/>
      <c r="I161" s="395"/>
      <c r="J161" s="3"/>
      <c r="K161" s="3"/>
      <c r="L161" s="3"/>
      <c r="M161" s="3"/>
      <c r="N161" s="81"/>
    </row>
    <row r="162" spans="1:21" s="79" customFormat="1" ht="15.75" customHeight="1" x14ac:dyDescent="0.25">
      <c r="A162" s="400"/>
      <c r="B162" s="395"/>
      <c r="C162" s="395"/>
      <c r="D162" s="395"/>
      <c r="E162" s="395"/>
      <c r="F162" s="395"/>
      <c r="G162" s="395"/>
      <c r="H162" s="395"/>
      <c r="I162" s="395"/>
      <c r="N162" s="77"/>
      <c r="O162" s="3"/>
      <c r="P162" s="3"/>
      <c r="Q162" s="3"/>
      <c r="R162" s="3"/>
      <c r="S162" s="3"/>
      <c r="T162" s="3"/>
      <c r="U162" s="3"/>
    </row>
    <row r="163" spans="1:21" ht="15.75" customHeight="1" x14ac:dyDescent="0.25">
      <c r="A163" s="400" t="str">
        <f>'0664'!A163</f>
        <v xml:space="preserve">For high performing charter schools, administrative fees charged by the school district shall be calculated based upon 2% of available funds from the FEFP and categorical </v>
      </c>
      <c r="B163" s="388"/>
      <c r="C163" s="388"/>
      <c r="D163" s="388"/>
      <c r="E163" s="388"/>
      <c r="F163" s="388"/>
      <c r="G163" s="388"/>
      <c r="H163" s="388"/>
      <c r="I163" s="388"/>
      <c r="J163" s="79"/>
      <c r="K163" s="79"/>
      <c r="L163" s="79"/>
      <c r="M163" s="79"/>
      <c r="N163" s="81"/>
      <c r="O163" s="79"/>
      <c r="P163" s="79"/>
      <c r="Q163" s="79"/>
      <c r="R163" s="79"/>
      <c r="S163" s="79"/>
      <c r="T163" s="79"/>
      <c r="U163" s="79"/>
    </row>
    <row r="164" spans="1:21" ht="15.75" customHeight="1" x14ac:dyDescent="0.25">
      <c r="A164" s="401" t="str">
        <f>'0664'!A164</f>
        <v>funding for which charter students may be eligible.  To calculate the administrative fee to be withheld for schools with more than 250 students, divide the school</v>
      </c>
      <c r="B164" s="388"/>
      <c r="C164" s="388"/>
      <c r="D164" s="388"/>
      <c r="E164" s="388"/>
      <c r="F164" s="388"/>
      <c r="G164" s="388"/>
      <c r="H164" s="388"/>
      <c r="I164" s="388"/>
      <c r="J164" s="79"/>
      <c r="K164" s="79"/>
      <c r="L164" s="79"/>
      <c r="M164" s="79"/>
      <c r="N164" s="81"/>
      <c r="O164" s="79"/>
      <c r="P164" s="79"/>
      <c r="Q164" s="79"/>
      <c r="R164" s="79"/>
      <c r="S164" s="79"/>
      <c r="T164" s="79"/>
      <c r="U164" s="79"/>
    </row>
    <row r="165" spans="1:21" s="79" customFormat="1" ht="15.75" customHeight="1" x14ac:dyDescent="0.2">
      <c r="A165" s="401" t="str">
        <f>'0664'!A165</f>
        <v xml:space="preserve">population into 250. Multiply that fraction times the funds available, then times 2%.  </v>
      </c>
      <c r="B165" s="388"/>
      <c r="C165" s="388"/>
      <c r="D165" s="388"/>
      <c r="E165" s="388"/>
      <c r="F165" s="388"/>
      <c r="G165" s="388"/>
      <c r="H165" s="388"/>
      <c r="I165" s="388"/>
      <c r="N165" s="81"/>
    </row>
    <row r="166" spans="1:21" x14ac:dyDescent="0.25">
      <c r="A166" s="383"/>
      <c r="B166" s="388"/>
      <c r="C166" s="388"/>
      <c r="D166" s="388"/>
      <c r="E166" s="388"/>
      <c r="F166" s="388"/>
      <c r="G166" s="388"/>
      <c r="H166" s="388"/>
      <c r="I166" s="388"/>
      <c r="N166" s="77"/>
    </row>
    <row r="167" spans="1:21" x14ac:dyDescent="0.25">
      <c r="A167" s="396" t="str">
        <f>'0664'!A167</f>
        <v>Other:</v>
      </c>
      <c r="B167" s="394"/>
      <c r="C167" s="394"/>
      <c r="D167" s="394"/>
      <c r="E167" s="394"/>
      <c r="F167" s="394"/>
      <c r="G167" s="394"/>
      <c r="H167" s="394"/>
      <c r="I167" s="394"/>
      <c r="N167" s="77"/>
    </row>
    <row r="168" spans="1:21" x14ac:dyDescent="0.25">
      <c r="A168" s="400" t="str">
        <f>'0664'!A168</f>
        <v>FEFP and categorical funding are recalculated during the year to reflect the revised number of full-time equivalent students reported during the survey periods designated</v>
      </c>
      <c r="B168" s="388"/>
      <c r="C168" s="388"/>
      <c r="D168" s="388"/>
      <c r="E168" s="388"/>
      <c r="F168" s="388"/>
      <c r="G168" s="388"/>
      <c r="H168" s="388"/>
      <c r="I168" s="388"/>
      <c r="N168" s="77"/>
    </row>
    <row r="169" spans="1:21" x14ac:dyDescent="0.25">
      <c r="A169" s="401" t="str">
        <f>'0664'!A169</f>
        <v>by the Commissioner of Education.</v>
      </c>
      <c r="B169" s="395"/>
      <c r="C169" s="395"/>
      <c r="D169" s="395"/>
      <c r="E169" s="395"/>
      <c r="F169" s="395"/>
      <c r="G169" s="395"/>
      <c r="H169" s="395"/>
      <c r="I169" s="395"/>
      <c r="N169" s="77"/>
    </row>
    <row r="170" spans="1:21" x14ac:dyDescent="0.25">
      <c r="A170" s="400" t="str">
        <f>'0664'!A170</f>
        <v>Revenues flow to districts from state sources and from county tax collectors on various distribution schedules.</v>
      </c>
      <c r="B170" s="388"/>
      <c r="C170" s="388"/>
      <c r="D170" s="388"/>
      <c r="E170" s="388"/>
      <c r="F170" s="388"/>
      <c r="G170" s="388"/>
      <c r="H170" s="388"/>
      <c r="I170" s="388"/>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5" right="0.1" top="0.5" bottom="0.5" header="0" footer="0.1"/>
  <pageSetup scale="76"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U206"/>
  <sheetViews>
    <sheetView showGridLines="0" zoomScaleNormal="100" workbookViewId="0">
      <pane ySplit="1" topLeftCell="A98" activePane="bottomLeft" state="frozen"/>
      <selection activeCell="E100" sqref="E100"/>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307</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22.5</v>
      </c>
      <c r="D19" s="165">
        <v>23.52</v>
      </c>
      <c r="E19" s="125">
        <f t="shared" si="3"/>
        <v>46.019999999999996</v>
      </c>
      <c r="F19" s="534">
        <f>'0664'!F19:G19</f>
        <v>3.6739999999999999</v>
      </c>
      <c r="G19" s="534"/>
      <c r="H19" s="83">
        <f t="shared" si="4"/>
        <v>169.07749999999999</v>
      </c>
      <c r="I19" s="104">
        <f t="shared" si="0"/>
        <v>809598.55</v>
      </c>
      <c r="N19" s="481" t="s">
        <v>108</v>
      </c>
      <c r="O19" s="481"/>
      <c r="P19" s="515">
        <f t="shared" si="1"/>
        <v>46.019999999999996</v>
      </c>
      <c r="Q19" s="515"/>
      <c r="R19" s="519">
        <v>1</v>
      </c>
      <c r="S19" s="519"/>
      <c r="T19" s="98">
        <f t="shared" si="5"/>
        <v>46.02</v>
      </c>
      <c r="U19" s="99">
        <f t="shared" si="2"/>
        <v>220359</v>
      </c>
    </row>
    <row r="20" spans="1:21" x14ac:dyDescent="0.25">
      <c r="A20" s="455" t="s">
        <v>109</v>
      </c>
      <c r="B20" s="455"/>
      <c r="C20" s="165">
        <v>25.5</v>
      </c>
      <c r="D20" s="165">
        <v>25.5</v>
      </c>
      <c r="E20" s="125">
        <f t="shared" si="3"/>
        <v>51</v>
      </c>
      <c r="F20" s="534">
        <f>'0664'!F20:G20</f>
        <v>3.6739999999999999</v>
      </c>
      <c r="G20" s="534"/>
      <c r="H20" s="83">
        <f t="shared" si="4"/>
        <v>187.374</v>
      </c>
      <c r="I20" s="104">
        <f t="shared" si="0"/>
        <v>897208.19</v>
      </c>
      <c r="N20" s="481" t="s">
        <v>109</v>
      </c>
      <c r="O20" s="481"/>
      <c r="P20" s="515">
        <f t="shared" si="1"/>
        <v>51</v>
      </c>
      <c r="Q20" s="515"/>
      <c r="R20" s="519">
        <v>1</v>
      </c>
      <c r="S20" s="519"/>
      <c r="T20" s="98">
        <f t="shared" si="5"/>
        <v>51</v>
      </c>
      <c r="U20" s="99">
        <f t="shared" si="2"/>
        <v>244205</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9</v>
      </c>
      <c r="D22" s="165">
        <v>8</v>
      </c>
      <c r="E22" s="125">
        <f t="shared" si="3"/>
        <v>17</v>
      </c>
      <c r="F22" s="534">
        <f>'0664'!F22:G22</f>
        <v>5.4009999999999998</v>
      </c>
      <c r="G22" s="534"/>
      <c r="H22" s="83">
        <f t="shared" si="4"/>
        <v>91.816999999999993</v>
      </c>
      <c r="I22" s="104">
        <f t="shared" si="0"/>
        <v>439649.92</v>
      </c>
      <c r="N22" s="481" t="s">
        <v>111</v>
      </c>
      <c r="O22" s="481"/>
      <c r="P22" s="515">
        <f t="shared" si="1"/>
        <v>17</v>
      </c>
      <c r="Q22" s="515"/>
      <c r="R22" s="519">
        <v>1</v>
      </c>
      <c r="S22" s="519"/>
      <c r="T22" s="98">
        <f t="shared" si="5"/>
        <v>17</v>
      </c>
      <c r="U22" s="99">
        <f t="shared" si="2"/>
        <v>81402</v>
      </c>
    </row>
    <row r="23" spans="1:21" x14ac:dyDescent="0.25">
      <c r="A23" s="455" t="s">
        <v>112</v>
      </c>
      <c r="B23" s="455"/>
      <c r="C23" s="165">
        <v>16.5</v>
      </c>
      <c r="D23" s="165">
        <v>16.5</v>
      </c>
      <c r="E23" s="125">
        <f t="shared" si="3"/>
        <v>33</v>
      </c>
      <c r="F23" s="534">
        <f>'0664'!F23:G23</f>
        <v>5.4009999999999998</v>
      </c>
      <c r="G23" s="534"/>
      <c r="H23" s="83">
        <f t="shared" si="4"/>
        <v>178.233</v>
      </c>
      <c r="I23" s="104">
        <f t="shared" si="0"/>
        <v>853438.09</v>
      </c>
      <c r="N23" s="481" t="s">
        <v>112</v>
      </c>
      <c r="O23" s="481"/>
      <c r="P23" s="515">
        <f t="shared" si="1"/>
        <v>33</v>
      </c>
      <c r="Q23" s="515"/>
      <c r="R23" s="519">
        <v>1</v>
      </c>
      <c r="S23" s="519"/>
      <c r="T23" s="98">
        <f t="shared" si="5"/>
        <v>33</v>
      </c>
      <c r="U23" s="99">
        <f t="shared" si="2"/>
        <v>158015</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73.5</v>
      </c>
      <c r="D29" s="97">
        <f>SUM(D13:D28)</f>
        <v>73.52</v>
      </c>
      <c r="E29" s="97">
        <f>SUM(E13:E28)</f>
        <v>147.01999999999998</v>
      </c>
      <c r="F29" s="459"/>
      <c r="G29" s="459"/>
      <c r="H29" s="102">
        <f>SUM(H13:H28)</f>
        <v>626.50150000000008</v>
      </c>
      <c r="I29" s="97">
        <f>SUM(I13:I28)</f>
        <v>2999894.75</v>
      </c>
      <c r="N29" s="517" t="s">
        <v>5</v>
      </c>
      <c r="O29" s="517"/>
      <c r="P29" s="518">
        <f>SUM(P13:P28)</f>
        <v>147.01999999999998</v>
      </c>
      <c r="Q29" s="518"/>
      <c r="R29" s="510"/>
      <c r="S29" s="510"/>
      <c r="T29" s="103">
        <f>SUM(T13:T28)</f>
        <v>147.02000000000001</v>
      </c>
      <c r="U29" s="99">
        <f>SUM(U13:U28)</f>
        <v>703981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626.50150000000008</v>
      </c>
      <c r="F45" s="35"/>
      <c r="G45" s="109"/>
      <c r="H45" s="110" t="s">
        <v>129</v>
      </c>
      <c r="I45" s="97">
        <f>SUM(I43,I29)</f>
        <v>2999894.75</v>
      </c>
      <c r="N45" s="482" t="s">
        <v>55</v>
      </c>
      <c r="O45" s="482"/>
      <c r="P45" s="482"/>
      <c r="Q45" s="482"/>
      <c r="R45" s="36">
        <f>R43+T29</f>
        <v>147.02000000000001</v>
      </c>
      <c r="S45" s="510" t="s">
        <v>53</v>
      </c>
      <c r="T45" s="510"/>
      <c r="U45" s="111">
        <f>SUM(U43,U29)</f>
        <v>703981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0</v>
      </c>
      <c r="D59" s="100">
        <f>SUM(D50:D58)</f>
        <v>0</v>
      </c>
      <c r="E59" s="100">
        <f>SUM(E50:E58)</f>
        <v>0</v>
      </c>
      <c r="F59" s="463" t="s">
        <v>77</v>
      </c>
      <c r="G59" s="463"/>
      <c r="H59" s="463"/>
      <c r="I59" s="100">
        <f>SUM(I50:I58)</f>
        <v>0</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147.01999999999998</v>
      </c>
      <c r="D62" s="466" t="s">
        <v>135</v>
      </c>
      <c r="E62" s="466"/>
      <c r="F62" s="466"/>
      <c r="G62" s="466"/>
      <c r="H62" s="335">
        <f>'0664'!H62</f>
        <v>193726.47</v>
      </c>
      <c r="I62" s="122"/>
      <c r="N62" s="480" t="s">
        <v>312</v>
      </c>
      <c r="O62" s="481"/>
      <c r="P62" s="43">
        <f>P29</f>
        <v>147.01999999999998</v>
      </c>
      <c r="Q62" s="500" t="s">
        <v>78</v>
      </c>
      <c r="R62" s="500"/>
      <c r="S62" s="500"/>
      <c r="T62" s="499">
        <f>H62</f>
        <v>193726.47</v>
      </c>
      <c r="U62" s="499"/>
    </row>
    <row r="63" spans="1:21" x14ac:dyDescent="0.25">
      <c r="B63" s="72"/>
      <c r="G63" s="44" t="s">
        <v>13</v>
      </c>
      <c r="H63" s="123">
        <f>ROUND(C62/H62,6)</f>
        <v>7.5900000000000002E-4</v>
      </c>
      <c r="I63" s="124"/>
      <c r="N63" s="481" t="s">
        <v>19</v>
      </c>
      <c r="O63" s="481"/>
      <c r="P63" s="481"/>
      <c r="Q63" s="481"/>
      <c r="R63" s="481"/>
      <c r="S63" s="481"/>
      <c r="T63" s="503">
        <f>ROUND(P62/T62,6)</f>
        <v>7.5900000000000002E-4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626.50150000000008</v>
      </c>
      <c r="D65" s="466" t="s">
        <v>140</v>
      </c>
      <c r="E65" s="466"/>
      <c r="F65" s="466"/>
      <c r="G65" s="466"/>
      <c r="H65" s="336">
        <f>'0664'!H65</f>
        <v>217214.58</v>
      </c>
      <c r="I65" s="125"/>
      <c r="N65" s="481" t="s">
        <v>80</v>
      </c>
      <c r="O65" s="481"/>
      <c r="P65" s="43">
        <f>R45</f>
        <v>147.02000000000001</v>
      </c>
      <c r="Q65" s="500" t="s">
        <v>79</v>
      </c>
      <c r="R65" s="500"/>
      <c r="S65" s="500"/>
      <c r="T65" s="499">
        <f>H65</f>
        <v>217214.58</v>
      </c>
      <c r="U65" s="499"/>
    </row>
    <row r="66" spans="1:21" s="37" customFormat="1" x14ac:dyDescent="0.25">
      <c r="A66" s="126"/>
      <c r="G66" s="45" t="s">
        <v>13</v>
      </c>
      <c r="H66" s="127">
        <f>ROUND(C65/H65,6)</f>
        <v>2.8839999999999998E-3</v>
      </c>
      <c r="I66" s="127"/>
      <c r="N66" s="484" t="s">
        <v>20</v>
      </c>
      <c r="O66" s="484"/>
      <c r="P66" s="484"/>
      <c r="Q66" s="484"/>
      <c r="R66" s="484"/>
      <c r="S66" s="484"/>
      <c r="T66" s="502">
        <f>ROUND(P65/T65,6)</f>
        <v>6.7699999999999998E-4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7.5900000000000002E-4</v>
      </c>
      <c r="I68" s="104">
        <f>ROUND(F68*H68,2)</f>
        <v>32287.46</v>
      </c>
      <c r="N68" s="481" t="s">
        <v>85</v>
      </c>
      <c r="O68" s="481"/>
      <c r="P68" s="481"/>
      <c r="Q68" s="47"/>
      <c r="R68" s="132">
        <f>F68</f>
        <v>42539472</v>
      </c>
      <c r="S68" s="40" t="s">
        <v>6</v>
      </c>
      <c r="T68" s="133">
        <f>T63</f>
        <v>7.5900000000000002E-4</v>
      </c>
      <c r="U68" s="99">
        <f>ROUND(R68*T68,0)</f>
        <v>32287</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7.5900000000000002E-4</v>
      </c>
      <c r="I70" s="104">
        <f>ROUND(F70*H70,2)</f>
        <v>0</v>
      </c>
      <c r="N70" s="48"/>
      <c r="O70" s="48"/>
      <c r="P70" s="48"/>
      <c r="Q70" s="47"/>
      <c r="R70" s="132">
        <f>F70</f>
        <v>0</v>
      </c>
      <c r="S70" s="40" t="s">
        <v>6</v>
      </c>
      <c r="T70" s="133">
        <f>T63</f>
        <v>7.5900000000000002E-4</v>
      </c>
      <c r="U70" s="99">
        <f>ROUND(R70*T70,0)</f>
        <v>0</v>
      </c>
    </row>
    <row r="71" spans="1:21" x14ac:dyDescent="0.25">
      <c r="A71" s="465" t="s">
        <v>432</v>
      </c>
      <c r="B71" s="455"/>
      <c r="C71" s="455"/>
      <c r="D71" s="72"/>
      <c r="E71" s="46" t="s">
        <v>3</v>
      </c>
      <c r="F71" s="337">
        <f>'0664'!F71</f>
        <v>13427478</v>
      </c>
      <c r="G71" s="39" t="s">
        <v>6</v>
      </c>
      <c r="H71" s="131">
        <f>H63</f>
        <v>7.5900000000000002E-4</v>
      </c>
      <c r="I71" s="104">
        <f>ROUND(F71*H71,2)</f>
        <v>10191.459999999999</v>
      </c>
      <c r="N71" s="481" t="s">
        <v>83</v>
      </c>
      <c r="O71" s="481"/>
      <c r="P71" s="481"/>
      <c r="Q71" s="47"/>
      <c r="R71" s="132">
        <f>F71</f>
        <v>13427478</v>
      </c>
      <c r="S71" s="40" t="s">
        <v>6</v>
      </c>
      <c r="T71" s="133">
        <f>T63</f>
        <v>7.5900000000000002E-4</v>
      </c>
      <c r="U71" s="99">
        <f>ROUND(R71*T71,0)</f>
        <v>10191</v>
      </c>
    </row>
    <row r="72" spans="1:21" x14ac:dyDescent="0.25">
      <c r="A72" s="465" t="s">
        <v>433</v>
      </c>
      <c r="B72" s="455"/>
      <c r="C72" s="455"/>
      <c r="D72" s="72"/>
      <c r="E72" s="46" t="s">
        <v>3</v>
      </c>
      <c r="F72" s="337">
        <f>'0664'!F72</f>
        <v>14805238</v>
      </c>
      <c r="G72" s="39" t="s">
        <v>6</v>
      </c>
      <c r="H72" s="131">
        <f>H63</f>
        <v>7.5900000000000002E-4</v>
      </c>
      <c r="I72" s="104">
        <f>ROUND(F72*H72,2)</f>
        <v>11237.18</v>
      </c>
      <c r="N72" s="481" t="s">
        <v>82</v>
      </c>
      <c r="O72" s="481"/>
      <c r="P72" s="481"/>
      <c r="Q72" s="47"/>
      <c r="R72" s="134">
        <f>F72</f>
        <v>14805238</v>
      </c>
      <c r="S72" s="40" t="s">
        <v>6</v>
      </c>
      <c r="T72" s="133">
        <f>T63</f>
        <v>7.5900000000000002E-4</v>
      </c>
      <c r="U72" s="99">
        <f>ROUND(R72*T72,0)</f>
        <v>11237</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7.5900000000000002E-4</v>
      </c>
      <c r="I76" s="104">
        <f t="shared" ref="I76:I85" si="14">ROUND(F76*H76,2)</f>
        <v>6623.65</v>
      </c>
      <c r="N76" s="480" t="s">
        <v>366</v>
      </c>
      <c r="O76" s="481"/>
      <c r="P76" s="481"/>
      <c r="Q76" s="47"/>
      <c r="R76" s="134">
        <f t="shared" ref="R76:R85" si="15">F76</f>
        <v>8726807</v>
      </c>
      <c r="S76" s="40" t="s">
        <v>6</v>
      </c>
      <c r="T76" s="133">
        <f>T63</f>
        <v>7.5900000000000002E-4</v>
      </c>
      <c r="U76" s="99">
        <f t="shared" ref="U76:U85" si="16">ROUND(R76*T76,0)</f>
        <v>6624</v>
      </c>
    </row>
    <row r="77" spans="1:21" x14ac:dyDescent="0.25">
      <c r="A77" s="465" t="s">
        <v>435</v>
      </c>
      <c r="B77" s="455"/>
      <c r="C77" s="455"/>
      <c r="D77" s="72"/>
      <c r="E77" s="46" t="s">
        <v>3</v>
      </c>
      <c r="F77" s="337">
        <f>'0664'!F77</f>
        <v>0</v>
      </c>
      <c r="G77" s="39" t="s">
        <v>6</v>
      </c>
      <c r="H77" s="131">
        <f>H63</f>
        <v>7.5900000000000002E-4</v>
      </c>
      <c r="I77" s="104">
        <f t="shared" si="14"/>
        <v>0</v>
      </c>
      <c r="N77" s="481" t="s">
        <v>367</v>
      </c>
      <c r="O77" s="481"/>
      <c r="P77" s="481"/>
      <c r="Q77" s="47"/>
      <c r="R77" s="134">
        <f t="shared" si="15"/>
        <v>0</v>
      </c>
      <c r="S77" s="40" t="s">
        <v>6</v>
      </c>
      <c r="T77" s="133">
        <f>T63</f>
        <v>7.5900000000000002E-4</v>
      </c>
      <c r="U77" s="99">
        <f t="shared" si="16"/>
        <v>0</v>
      </c>
    </row>
    <row r="78" spans="1:21" x14ac:dyDescent="0.25">
      <c r="A78" s="465" t="s">
        <v>436</v>
      </c>
      <c r="B78" s="455"/>
      <c r="C78" s="455"/>
      <c r="D78" s="72"/>
      <c r="E78" s="46" t="s">
        <v>4</v>
      </c>
      <c r="F78" s="337">
        <f>'0664'!F78</f>
        <v>0</v>
      </c>
      <c r="G78" s="39" t="s">
        <v>6</v>
      </c>
      <c r="H78" s="131">
        <f>H66</f>
        <v>2.8839999999999998E-3</v>
      </c>
      <c r="I78" s="104">
        <f t="shared" si="14"/>
        <v>0</v>
      </c>
      <c r="N78" s="480" t="s">
        <v>392</v>
      </c>
      <c r="O78" s="481"/>
      <c r="P78" s="481"/>
      <c r="Q78" s="47"/>
      <c r="R78" s="134">
        <f t="shared" si="15"/>
        <v>0</v>
      </c>
      <c r="S78" s="40" t="s">
        <v>6</v>
      </c>
      <c r="T78" s="133">
        <f>T66</f>
        <v>6.7699999999999998E-4</v>
      </c>
      <c r="U78" s="99">
        <f t="shared" si="16"/>
        <v>0</v>
      </c>
    </row>
    <row r="79" spans="1:21" x14ac:dyDescent="0.25">
      <c r="A79" s="465" t="s">
        <v>437</v>
      </c>
      <c r="B79" s="455"/>
      <c r="C79" s="455"/>
      <c r="D79" s="72"/>
      <c r="E79" s="46" t="s">
        <v>4</v>
      </c>
      <c r="F79" s="337">
        <f>'0664'!F79</f>
        <v>11286897</v>
      </c>
      <c r="G79" s="39" t="s">
        <v>6</v>
      </c>
      <c r="H79" s="131">
        <f>H66</f>
        <v>2.8839999999999998E-3</v>
      </c>
      <c r="I79" s="104">
        <f t="shared" si="14"/>
        <v>32551.41</v>
      </c>
      <c r="N79" s="480" t="s">
        <v>393</v>
      </c>
      <c r="O79" s="481"/>
      <c r="P79" s="481"/>
      <c r="Q79" s="47"/>
      <c r="R79" s="134">
        <f t="shared" si="15"/>
        <v>11286897</v>
      </c>
      <c r="S79" s="40" t="s">
        <v>6</v>
      </c>
      <c r="T79" s="133">
        <f>T66</f>
        <v>6.7699999999999998E-4</v>
      </c>
      <c r="U79" s="99">
        <f t="shared" si="16"/>
        <v>7641</v>
      </c>
    </row>
    <row r="80" spans="1:21" x14ac:dyDescent="0.25">
      <c r="A80" s="465" t="s">
        <v>438</v>
      </c>
      <c r="B80" s="455"/>
      <c r="C80" s="455"/>
      <c r="D80" s="72"/>
      <c r="E80" s="46" t="s">
        <v>4</v>
      </c>
      <c r="F80" s="337">
        <f>'0664'!F80</f>
        <v>206284749</v>
      </c>
      <c r="G80" s="39" t="s">
        <v>6</v>
      </c>
      <c r="H80" s="131">
        <f>H66</f>
        <v>2.8839999999999998E-3</v>
      </c>
      <c r="I80" s="104">
        <f t="shared" si="14"/>
        <v>594925.22</v>
      </c>
      <c r="N80" s="480" t="s">
        <v>397</v>
      </c>
      <c r="O80" s="481"/>
      <c r="P80" s="481"/>
      <c r="Q80" s="47"/>
      <c r="R80" s="134">
        <f t="shared" si="15"/>
        <v>206284749</v>
      </c>
      <c r="S80" s="40" t="s">
        <v>6</v>
      </c>
      <c r="T80" s="133">
        <f>T66</f>
        <v>6.7699999999999998E-4</v>
      </c>
      <c r="U80" s="99">
        <f t="shared" si="16"/>
        <v>139655</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2.8839999999999998E-3</v>
      </c>
      <c r="I82" s="104">
        <v>108870.37</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2.8839999999999998E-3</v>
      </c>
      <c r="I83" s="104">
        <v>49486.53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158356.9</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2.8839999999999998E-3</v>
      </c>
      <c r="I85" s="104">
        <f t="shared" si="14"/>
        <v>0</v>
      </c>
      <c r="N85" s="480" t="s">
        <v>398</v>
      </c>
      <c r="O85" s="481"/>
      <c r="P85" s="481"/>
      <c r="Q85" s="47"/>
      <c r="R85" s="132">
        <f t="shared" si="15"/>
        <v>0</v>
      </c>
      <c r="S85" s="40" t="s">
        <v>6</v>
      </c>
      <c r="T85" s="133">
        <f>T66</f>
        <v>6.7699999999999998E-4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260.89449999999999</v>
      </c>
      <c r="D90" s="469"/>
      <c r="E90" s="49">
        <f>H8</f>
        <v>1.0438000000000001</v>
      </c>
      <c r="F90" s="338">
        <f>'0664'!F90</f>
        <v>957.94</v>
      </c>
      <c r="G90" s="41" t="s">
        <v>13</v>
      </c>
      <c r="H90" s="104">
        <f>ROUND(C90*E90*F90,2)</f>
        <v>260867.83</v>
      </c>
      <c r="I90" s="107"/>
      <c r="N90" s="29" t="s">
        <v>22</v>
      </c>
      <c r="O90" s="50">
        <f>T13+T14+T19+T22+T25</f>
        <v>63.02</v>
      </c>
      <c r="P90" s="492">
        <f>T8</f>
        <v>1.0438000000000001</v>
      </c>
      <c r="Q90" s="492"/>
      <c r="R90" s="51">
        <f>F90</f>
        <v>957.94</v>
      </c>
      <c r="S90" s="42" t="s">
        <v>13</v>
      </c>
      <c r="T90" s="134">
        <f>ROUND(O90*P90*R90,0)</f>
        <v>63014</v>
      </c>
      <c r="U90" s="105"/>
    </row>
    <row r="91" spans="1:21" x14ac:dyDescent="0.25">
      <c r="A91" s="52"/>
      <c r="B91" s="52" t="s">
        <v>147</v>
      </c>
      <c r="C91" s="469">
        <f>H15+H16+H20+H23+H26</f>
        <v>365.60699999999997</v>
      </c>
      <c r="D91" s="469"/>
      <c r="E91" s="49">
        <f>H8</f>
        <v>1.0438000000000001</v>
      </c>
      <c r="F91" s="338">
        <f>'0664'!F91</f>
        <v>914.63</v>
      </c>
      <c r="G91" s="41" t="s">
        <v>13</v>
      </c>
      <c r="H91" s="104">
        <f>ROUND(C91*E91*F91,2)</f>
        <v>349041.64</v>
      </c>
      <c r="N91" s="53" t="s">
        <v>14</v>
      </c>
      <c r="O91" s="50">
        <f>T15+T16+T20+T23+T26</f>
        <v>84</v>
      </c>
      <c r="P91" s="492">
        <f>T8</f>
        <v>1.0438000000000001</v>
      </c>
      <c r="Q91" s="492"/>
      <c r="R91" s="51">
        <f>F91</f>
        <v>914.63</v>
      </c>
      <c r="S91" s="42" t="s">
        <v>13</v>
      </c>
      <c r="T91" s="134">
        <f>ROUND(O91*P91*R91,0)</f>
        <v>80194</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626.50149999999996</v>
      </c>
      <c r="D93" s="471"/>
      <c r="E93" s="143"/>
      <c r="F93" s="143"/>
      <c r="G93" s="143"/>
      <c r="H93" s="144" t="s">
        <v>143</v>
      </c>
      <c r="I93" s="104">
        <f>IF(A1=75,0,H92+H91+H90)</f>
        <v>609909.47</v>
      </c>
      <c r="N93" s="59" t="s">
        <v>120</v>
      </c>
      <c r="O93" s="60">
        <f>SUM(O90:O92)</f>
        <v>147.02000000000001</v>
      </c>
      <c r="P93" s="493" t="s">
        <v>18</v>
      </c>
      <c r="Q93" s="494"/>
      <c r="R93" s="494"/>
      <c r="S93" s="494"/>
      <c r="T93" s="494"/>
      <c r="U93" s="99">
        <f>IF(N1=75,0,T92+T91+T90)</f>
        <v>143208</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1054824</v>
      </c>
    </row>
    <row r="115" spans="1:21" ht="16.5" thickTop="1" x14ac:dyDescent="0.25">
      <c r="A115" s="463" t="s">
        <v>8</v>
      </c>
      <c r="B115" s="463"/>
      <c r="C115" s="463"/>
      <c r="D115" s="463"/>
      <c r="E115" s="463"/>
      <c r="F115" s="463"/>
      <c r="G115" s="463"/>
      <c r="H115" s="463"/>
      <c r="I115" s="97">
        <f>SUM(I113,I112,I110,I100,I99,I93,I85,I84,I80,I79,I78,I77,I76,I74,I73,I72,I71,I70,I68,I59,I45)</f>
        <v>4455977.5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4297620.5999999996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1054824</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1054824</v>
      </c>
      <c r="I122" s="97">
        <f>ROUND(IF(E29=0,0,IF(E29&gt;250,-(((250/E29)*H122)*IF(G122="H",0.02,0.05)),IF(G122="H",-0.02*H122,-0.05*H122))),2)</f>
        <v>-52741.2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4403236.3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-4031627.85-371608.45</f>
        <v>-4403236.3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0</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0</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3" t="str">
        <f>'0664'!A139</f>
        <v>(a) Additional FTE includes FTE earned through Advanced Placement, International Baccalaureate, Advanced International Certificate of Education, Industry Certified Career</v>
      </c>
      <c r="B139" s="384"/>
      <c r="C139" s="384"/>
      <c r="D139" s="384"/>
      <c r="E139" s="384"/>
      <c r="F139" s="384"/>
      <c r="G139" s="384"/>
      <c r="H139" s="384"/>
      <c r="I139" s="384"/>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84"/>
      <c r="C140" s="384"/>
      <c r="D140" s="384"/>
      <c r="E140" s="384"/>
      <c r="F140" s="384"/>
      <c r="G140" s="384"/>
      <c r="H140" s="384"/>
      <c r="I140" s="384"/>
      <c r="J140" s="80"/>
      <c r="K140" s="79"/>
      <c r="L140" s="79"/>
      <c r="M140" s="79"/>
      <c r="N140" s="76"/>
      <c r="O140" s="76"/>
      <c r="P140" s="76"/>
      <c r="Q140" s="76"/>
      <c r="R140" s="76"/>
      <c r="S140" s="76"/>
      <c r="T140" s="76"/>
      <c r="U140" s="76"/>
    </row>
    <row r="141" spans="1:21" x14ac:dyDescent="0.25">
      <c r="A141" s="383" t="str">
        <f>'0664'!A141</f>
        <v>(b) District allocations multiplied by percentage from item 3A.</v>
      </c>
      <c r="B141" s="385"/>
      <c r="C141" s="385"/>
      <c r="D141" s="385"/>
      <c r="E141" s="385"/>
      <c r="F141" s="385"/>
      <c r="G141" s="385"/>
      <c r="H141" s="385"/>
      <c r="I141" s="385"/>
      <c r="J141" s="79"/>
      <c r="K141" s="79"/>
      <c r="L141" s="79"/>
      <c r="M141" s="79"/>
      <c r="N141" s="81"/>
      <c r="O141" s="82"/>
      <c r="P141" s="82"/>
      <c r="Q141" s="82"/>
      <c r="R141" s="82"/>
      <c r="S141" s="82"/>
      <c r="T141" s="82"/>
      <c r="U141" s="82"/>
    </row>
    <row r="142" spans="1:21" s="79" customFormat="1" x14ac:dyDescent="0.2">
      <c r="A142" s="383" t="str">
        <f>'0664'!A142</f>
        <v>(c) District allocations multiplied by percentage from item 3B.</v>
      </c>
      <c r="B142" s="385"/>
      <c r="C142" s="385"/>
      <c r="D142" s="385"/>
      <c r="E142" s="385"/>
      <c r="F142" s="385"/>
      <c r="G142" s="385"/>
      <c r="H142" s="385"/>
      <c r="I142" s="385"/>
      <c r="N142" s="81"/>
    </row>
    <row r="143" spans="1:21" s="79" customFormat="1" ht="15.75" customHeight="1" x14ac:dyDescent="0.2">
      <c r="A143" s="383" t="str">
        <f>'0664'!A143</f>
        <v>(d) The Digital Classroom Allocation is provided pursuant to s. 1011.62(12), F.S.</v>
      </c>
      <c r="B143" s="385"/>
      <c r="C143" s="385"/>
      <c r="D143" s="385"/>
      <c r="E143" s="385"/>
      <c r="F143" s="385"/>
      <c r="G143" s="385"/>
      <c r="H143" s="385"/>
      <c r="I143" s="385"/>
      <c r="N143" s="81"/>
    </row>
    <row r="144" spans="1:21" s="79" customFormat="1" ht="15.75" customHeight="1" x14ac:dyDescent="0.2">
      <c r="A144" s="383" t="str">
        <f>'0664'!A144</f>
        <v>(e) School districts are required to pay for instructional materials used for the instruction of public high school students who are earning credit toward high school</v>
      </c>
      <c r="B144" s="385"/>
      <c r="C144" s="385"/>
      <c r="D144" s="385"/>
      <c r="E144" s="385"/>
      <c r="F144" s="385"/>
      <c r="G144" s="385"/>
      <c r="H144" s="385"/>
      <c r="I144" s="385"/>
      <c r="N144" s="81"/>
    </row>
    <row r="145" spans="1:14" s="79" customFormat="1" ht="15.75" customHeight="1" x14ac:dyDescent="0.2">
      <c r="A145" s="389" t="str">
        <f>'0664'!A145</f>
        <v xml:space="preserve">graduation under the dual enrollment program as provided in s. 1011.62(l)(i), F.S.  </v>
      </c>
      <c r="B145" s="385"/>
      <c r="C145" s="385"/>
      <c r="D145" s="385"/>
      <c r="E145" s="385"/>
      <c r="F145" s="385"/>
      <c r="G145" s="385"/>
      <c r="H145" s="385"/>
      <c r="I145" s="385"/>
      <c r="N145" s="81"/>
    </row>
    <row r="146" spans="1:14" s="79" customFormat="1" x14ac:dyDescent="0.2">
      <c r="A146" s="383" t="str">
        <f>'0664'!A146</f>
        <v>(f) This allocation will be frozen as of the 2021-22 FEFP Second Calculation and will not be recalculated throughout the year. Charter school allocations should be</v>
      </c>
      <c r="B146" s="385"/>
      <c r="C146" s="385"/>
      <c r="D146" s="385"/>
      <c r="E146" s="385"/>
      <c r="F146" s="385"/>
      <c r="G146" s="385"/>
      <c r="H146" s="385"/>
      <c r="I146" s="385"/>
      <c r="N146" s="81"/>
    </row>
    <row r="147" spans="1:14" s="79" customFormat="1" x14ac:dyDescent="0.2">
      <c r="A147" s="389" t="str">
        <f>'0664'!A147</f>
        <v xml:space="preserve">distributed on weighted FTE (or base funding as is done in the FEFP) and should not be recalculated with fluctuations in student enrollment later in the year. </v>
      </c>
      <c r="B147" s="385"/>
      <c r="C147" s="385"/>
      <c r="D147" s="385"/>
      <c r="E147" s="385"/>
      <c r="F147" s="385"/>
      <c r="G147" s="385"/>
      <c r="H147" s="385"/>
      <c r="I147" s="385"/>
      <c r="N147" s="81"/>
    </row>
    <row r="148" spans="1:14" s="79" customFormat="1" x14ac:dyDescent="0.2">
      <c r="A148" s="383" t="str">
        <f>'0664'!A148</f>
        <v>(g) Numbers entered here will be multiplied by the district level transportation funding per rider. "All Adjusted Fundable Riders" should include both basic and ESE Riders.</v>
      </c>
      <c r="B148" s="385"/>
      <c r="C148" s="385"/>
      <c r="D148" s="385"/>
      <c r="E148" s="385"/>
      <c r="F148" s="385"/>
      <c r="G148" s="385"/>
      <c r="H148" s="385"/>
      <c r="I148" s="385"/>
      <c r="N148" s="81"/>
    </row>
    <row r="149" spans="1:14" s="79" customFormat="1" x14ac:dyDescent="0.2">
      <c r="A149" s="389" t="str">
        <f>'0664'!A149</f>
        <v>"All Adjusted ESE Riders" should include only ESE Riders.</v>
      </c>
      <c r="B149" s="385"/>
      <c r="C149" s="385"/>
      <c r="D149" s="385"/>
      <c r="E149" s="385"/>
      <c r="F149" s="385"/>
      <c r="G149" s="385"/>
      <c r="H149" s="385"/>
      <c r="I149" s="385"/>
      <c r="N149" s="81"/>
    </row>
    <row r="150" spans="1:14" s="79" customFormat="1" x14ac:dyDescent="0.2">
      <c r="A150" s="383" t="str">
        <f>'0664'!A150</f>
        <v xml:space="preserve">(h) The Federally Connected Student Supplement provides additional funding for students on federal lands that receive Section 8003 impact aide pursuant to s. 1011.62(13), F.S. </v>
      </c>
      <c r="B150" s="385"/>
      <c r="C150" s="385"/>
      <c r="D150" s="385"/>
      <c r="E150" s="385"/>
      <c r="F150" s="385"/>
      <c r="G150" s="385"/>
      <c r="H150" s="385"/>
      <c r="I150" s="385"/>
      <c r="N150" s="81"/>
    </row>
    <row r="151" spans="1:14" s="79" customFormat="1" x14ac:dyDescent="0.2">
      <c r="A151" s="383" t="str">
        <f>'0664'!A151</f>
        <v>(i) Teacher Classroom Supply Assistance Program allocation pursuant to s. 1012.71, F.S., for certified teachers employed by a public school district or public charter school</v>
      </c>
      <c r="B151" s="385"/>
      <c r="C151" s="385"/>
      <c r="D151" s="385"/>
      <c r="E151" s="385"/>
      <c r="F151" s="385"/>
      <c r="G151" s="385"/>
      <c r="H151" s="385"/>
      <c r="I151" s="385"/>
      <c r="N151" s="81"/>
    </row>
    <row r="152" spans="1:14" s="79" customFormat="1" x14ac:dyDescent="0.2">
      <c r="A152" s="389" t="str">
        <f>'0664'!A152</f>
        <v xml:space="preserve">before September 1 of each year whose full-time or job-share responsibility is the classroom instruction of students in prekindergarten through grade 12, including </v>
      </c>
      <c r="B152" s="385"/>
      <c r="C152" s="385"/>
      <c r="D152" s="385"/>
      <c r="E152" s="385"/>
      <c r="F152" s="385"/>
      <c r="G152" s="385"/>
      <c r="H152" s="385"/>
      <c r="I152" s="385"/>
      <c r="N152" s="81"/>
    </row>
    <row r="153" spans="1:14" s="79" customFormat="1" ht="15.75" customHeight="1" x14ac:dyDescent="0.2">
      <c r="A153" s="389" t="str">
        <f>'0664'!A153</f>
        <v>full-time media specialists and certified school counselors serving students in prekindergarten through grade 12, who are funded through the FEFP.</v>
      </c>
      <c r="B153" s="385"/>
      <c r="C153" s="385"/>
      <c r="D153" s="385"/>
      <c r="E153" s="385"/>
      <c r="F153" s="385"/>
      <c r="G153" s="385"/>
      <c r="H153" s="385"/>
      <c r="I153" s="385"/>
      <c r="N153" s="81"/>
    </row>
    <row r="154" spans="1:14" s="79" customFormat="1" ht="15.75" customHeight="1" x14ac:dyDescent="0.2">
      <c r="A154" s="383" t="str">
        <f>'0664'!A154</f>
        <v xml:space="preserve">(j) Funding based on student eligibility and meals provided, if participating in the National School Lunch Program. </v>
      </c>
      <c r="B154" s="385"/>
      <c r="C154" s="385"/>
      <c r="D154" s="385"/>
      <c r="E154" s="385"/>
      <c r="F154" s="385"/>
      <c r="G154" s="385"/>
      <c r="H154" s="385"/>
      <c r="I154" s="385"/>
      <c r="N154" s="81"/>
    </row>
    <row r="155" spans="1:14" s="79" customFormat="1" ht="15.75" customHeight="1" x14ac:dyDescent="0.2">
      <c r="A155" s="383" t="str">
        <f>'0664'!A155</f>
        <v>(k) Consistent with s. 1002.33(20)(a), F.S., for charter schools with a population of 75% or more ESE students, the administrative fee shall be calculated based on</v>
      </c>
      <c r="B155" s="385"/>
      <c r="C155" s="385"/>
      <c r="D155" s="385"/>
      <c r="E155" s="385"/>
      <c r="F155" s="385"/>
      <c r="G155" s="385"/>
      <c r="H155" s="385"/>
      <c r="I155" s="385"/>
      <c r="N155" s="81"/>
    </row>
    <row r="156" spans="1:14" s="79" customFormat="1" ht="15.75" customHeight="1" x14ac:dyDescent="0.2">
      <c r="A156" s="389" t="str">
        <f>'0664'!A156</f>
        <v xml:space="preserve">unweighted full-time equivalent students. </v>
      </c>
      <c r="B156" s="385"/>
      <c r="C156" s="385"/>
      <c r="D156" s="385"/>
      <c r="E156" s="385"/>
      <c r="F156" s="385"/>
      <c r="G156" s="385"/>
      <c r="H156" s="385"/>
      <c r="I156" s="385"/>
      <c r="N156" s="81"/>
    </row>
    <row r="157" spans="1:14" s="79" customFormat="1" ht="15.75" customHeight="1" x14ac:dyDescent="0.2">
      <c r="A157" s="383"/>
      <c r="B157" s="385"/>
      <c r="C157" s="385"/>
      <c r="D157" s="385"/>
      <c r="E157" s="385"/>
      <c r="F157" s="385"/>
      <c r="G157" s="385"/>
      <c r="H157" s="385"/>
      <c r="I157" s="385"/>
      <c r="N157" s="81"/>
    </row>
    <row r="158" spans="1:14" s="79" customFormat="1" ht="15.75" customHeight="1" x14ac:dyDescent="0.25">
      <c r="A158" s="396" t="str">
        <f>'0664'!A158</f>
        <v>Administrative fees:</v>
      </c>
      <c r="B158" s="385"/>
      <c r="C158" s="385"/>
      <c r="D158" s="385"/>
      <c r="E158" s="385"/>
      <c r="F158" s="385"/>
      <c r="G158" s="385"/>
      <c r="H158" s="385"/>
      <c r="I158" s="385"/>
      <c r="J158" s="3"/>
      <c r="K158" s="3"/>
      <c r="L158" s="3"/>
      <c r="M158" s="3"/>
      <c r="N158" s="81"/>
    </row>
    <row r="159" spans="1:14" s="79" customFormat="1" ht="15.75" customHeight="1" x14ac:dyDescent="0.25">
      <c r="A159" s="400" t="str">
        <f>'0664'!A159</f>
        <v xml:space="preserve">Administrative fees charged by the school district pursuant to s. 1002.33(20)(a), F.S., shall be calculated based upon 5% of available funds from the FEFP and categorical </v>
      </c>
      <c r="B159" s="388"/>
      <c r="C159" s="388"/>
      <c r="D159" s="388"/>
      <c r="E159" s="388"/>
      <c r="F159" s="388"/>
      <c r="G159" s="388"/>
      <c r="H159" s="388"/>
      <c r="I159" s="388"/>
      <c r="J159" s="3"/>
      <c r="K159" s="3"/>
      <c r="L159" s="3"/>
      <c r="M159" s="3"/>
      <c r="N159" s="81"/>
    </row>
    <row r="160" spans="1:14" s="79" customFormat="1" ht="15.75" customHeight="1" x14ac:dyDescent="0.25">
      <c r="A160" s="401" t="str">
        <f>'0664'!A160</f>
        <v>funding for which charter students may be eligible.  To calculate the administrative fee to be withheld for schools with more than 250 students, divide the school</v>
      </c>
      <c r="B160" s="395"/>
      <c r="C160" s="395"/>
      <c r="D160" s="395"/>
      <c r="E160" s="395"/>
      <c r="F160" s="395"/>
      <c r="G160" s="395"/>
      <c r="H160" s="395"/>
      <c r="I160" s="395"/>
      <c r="J160" s="3"/>
      <c r="K160" s="3"/>
      <c r="L160" s="3"/>
      <c r="M160" s="3"/>
      <c r="N160" s="81"/>
    </row>
    <row r="161" spans="1:21" s="79" customFormat="1" ht="15.75" customHeight="1" x14ac:dyDescent="0.25">
      <c r="A161" s="401" t="str">
        <f>'0664'!A161</f>
        <v xml:space="preserve">population into 250. Multiply that fraction times the funds available, then times 5%.  </v>
      </c>
      <c r="B161" s="395"/>
      <c r="C161" s="395"/>
      <c r="D161" s="395"/>
      <c r="E161" s="395"/>
      <c r="F161" s="395"/>
      <c r="G161" s="395"/>
      <c r="H161" s="395"/>
      <c r="I161" s="395"/>
      <c r="J161" s="3"/>
      <c r="K161" s="3"/>
      <c r="L161" s="3"/>
      <c r="M161" s="3"/>
      <c r="N161" s="81"/>
    </row>
    <row r="162" spans="1:21" s="79" customFormat="1" ht="15.75" customHeight="1" x14ac:dyDescent="0.25">
      <c r="A162" s="400"/>
      <c r="B162" s="395"/>
      <c r="C162" s="395"/>
      <c r="D162" s="395"/>
      <c r="E162" s="395"/>
      <c r="F162" s="395"/>
      <c r="G162" s="395"/>
      <c r="H162" s="395"/>
      <c r="I162" s="395"/>
      <c r="N162" s="77"/>
      <c r="O162" s="3"/>
      <c r="P162" s="3"/>
      <c r="Q162" s="3"/>
      <c r="R162" s="3"/>
      <c r="S162" s="3"/>
      <c r="T162" s="3"/>
      <c r="U162" s="3"/>
    </row>
    <row r="163" spans="1:21" ht="15.75" customHeight="1" x14ac:dyDescent="0.25">
      <c r="A163" s="400" t="str">
        <f>'0664'!A163</f>
        <v xml:space="preserve">For high performing charter schools, administrative fees charged by the school district shall be calculated based upon 2% of available funds from the FEFP and categorical </v>
      </c>
      <c r="B163" s="388"/>
      <c r="C163" s="388"/>
      <c r="D163" s="388"/>
      <c r="E163" s="388"/>
      <c r="F163" s="388"/>
      <c r="G163" s="388"/>
      <c r="H163" s="388"/>
      <c r="I163" s="388"/>
      <c r="J163" s="79"/>
      <c r="K163" s="79"/>
      <c r="L163" s="79"/>
      <c r="M163" s="79"/>
      <c r="N163" s="81"/>
      <c r="O163" s="79"/>
      <c r="P163" s="79"/>
      <c r="Q163" s="79"/>
      <c r="R163" s="79"/>
      <c r="S163" s="79"/>
      <c r="T163" s="79"/>
      <c r="U163" s="79"/>
    </row>
    <row r="164" spans="1:21" ht="15.75" customHeight="1" x14ac:dyDescent="0.25">
      <c r="A164" s="401" t="str">
        <f>'0664'!A164</f>
        <v>funding for which charter students may be eligible.  To calculate the administrative fee to be withheld for schools with more than 250 students, divide the school</v>
      </c>
      <c r="B164" s="388"/>
      <c r="C164" s="388"/>
      <c r="D164" s="388"/>
      <c r="E164" s="388"/>
      <c r="F164" s="388"/>
      <c r="G164" s="388"/>
      <c r="H164" s="388"/>
      <c r="I164" s="388"/>
      <c r="J164" s="79"/>
      <c r="K164" s="79"/>
      <c r="L164" s="79"/>
      <c r="M164" s="79"/>
      <c r="N164" s="81"/>
      <c r="O164" s="79"/>
      <c r="P164" s="79"/>
      <c r="Q164" s="79"/>
      <c r="R164" s="79"/>
      <c r="S164" s="79"/>
      <c r="T164" s="79"/>
      <c r="U164" s="79"/>
    </row>
    <row r="165" spans="1:21" s="79" customFormat="1" ht="15.75" customHeight="1" x14ac:dyDescent="0.2">
      <c r="A165" s="401" t="str">
        <f>'0664'!A165</f>
        <v xml:space="preserve">population into 250. Multiply that fraction times the funds available, then times 2%.  </v>
      </c>
      <c r="B165" s="388"/>
      <c r="C165" s="388"/>
      <c r="D165" s="388"/>
      <c r="E165" s="388"/>
      <c r="F165" s="388"/>
      <c r="G165" s="388"/>
      <c r="H165" s="388"/>
      <c r="I165" s="388"/>
      <c r="N165" s="81"/>
    </row>
    <row r="166" spans="1:21" x14ac:dyDescent="0.25">
      <c r="A166" s="383"/>
      <c r="B166" s="388"/>
      <c r="C166" s="388"/>
      <c r="D166" s="388"/>
      <c r="E166" s="388"/>
      <c r="F166" s="388"/>
      <c r="G166" s="388"/>
      <c r="H166" s="388"/>
      <c r="I166" s="388"/>
      <c r="N166" s="77"/>
    </row>
    <row r="167" spans="1:21" x14ac:dyDescent="0.25">
      <c r="A167" s="396" t="str">
        <f>'0664'!A167</f>
        <v>Other:</v>
      </c>
      <c r="B167" s="394"/>
      <c r="C167" s="394"/>
      <c r="D167" s="394"/>
      <c r="E167" s="394"/>
      <c r="F167" s="394"/>
      <c r="G167" s="394"/>
      <c r="H167" s="394"/>
      <c r="I167" s="394"/>
      <c r="N167" s="77"/>
    </row>
    <row r="168" spans="1:21" x14ac:dyDescent="0.25">
      <c r="A168" s="400" t="str">
        <f>'0664'!A168</f>
        <v>FEFP and categorical funding are recalculated during the year to reflect the revised number of full-time equivalent students reported during the survey periods designated</v>
      </c>
      <c r="B168" s="388"/>
      <c r="C168" s="388"/>
      <c r="D168" s="388"/>
      <c r="E168" s="388"/>
      <c r="F168" s="388"/>
      <c r="G168" s="388"/>
      <c r="H168" s="388"/>
      <c r="I168" s="388"/>
      <c r="N168" s="77"/>
    </row>
    <row r="169" spans="1:21" x14ac:dyDescent="0.25">
      <c r="A169" s="401" t="str">
        <f>'0664'!A169</f>
        <v>by the Commissioner of Education.</v>
      </c>
      <c r="B169" s="395"/>
      <c r="C169" s="395"/>
      <c r="D169" s="395"/>
      <c r="E169" s="395"/>
      <c r="F169" s="395"/>
      <c r="G169" s="395"/>
      <c r="H169" s="395"/>
      <c r="I169" s="395"/>
      <c r="N169" s="77"/>
    </row>
    <row r="170" spans="1:21" x14ac:dyDescent="0.25">
      <c r="A170" s="400" t="str">
        <f>'0664'!A170</f>
        <v>Revenues flow to districts from state sources and from county tax collectors on various distribution schedules.</v>
      </c>
      <c r="B170" s="388"/>
      <c r="C170" s="388"/>
      <c r="D170" s="388"/>
      <c r="E170" s="388"/>
      <c r="F170" s="388"/>
      <c r="G170" s="388"/>
      <c r="H170" s="388"/>
      <c r="I170" s="388"/>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U206"/>
  <sheetViews>
    <sheetView showGridLines="0" zoomScaleNormal="100" workbookViewId="0">
      <pane ySplit="1" topLeftCell="A102" activePane="bottomLeft" state="frozen"/>
      <selection activeCell="E100" sqref="E100"/>
      <selection pane="bottomLeft" activeCell="D56" sqref="D5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470</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142.06</v>
      </c>
      <c r="D13" s="163">
        <v>138.74</v>
      </c>
      <c r="E13" s="210">
        <f>IF(D$29=0,C13*2,C13+D13)</f>
        <v>280.8</v>
      </c>
      <c r="F13" s="539">
        <f>'0664'!F13:G13</f>
        <v>1.1259999999999999</v>
      </c>
      <c r="G13" s="539"/>
      <c r="H13" s="167">
        <f>ROUND(E13*F13,4)</f>
        <v>316.18079999999998</v>
      </c>
      <c r="I13" s="119">
        <f t="shared" ref="I13:I28" si="0">ROUND(ROUND(H13*$C$8,4)*($H$8),2)</f>
        <v>1513977.42</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23.91</v>
      </c>
      <c r="D14" s="165">
        <v>25.5</v>
      </c>
      <c r="E14" s="125">
        <f t="shared" ref="E14:E28" si="3">IF(D$29=0,C14*2,C14+D14)</f>
        <v>49.41</v>
      </c>
      <c r="F14" s="534">
        <f>'0664'!F14:G14</f>
        <v>1.1259999999999999</v>
      </c>
      <c r="G14" s="534"/>
      <c r="H14" s="83">
        <f t="shared" ref="H14:H28" si="4">ROUND(E14*F14,4)</f>
        <v>55.6357</v>
      </c>
      <c r="I14" s="104">
        <f t="shared" si="0"/>
        <v>266401.99</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58.19</v>
      </c>
      <c r="D15" s="165">
        <v>56.04</v>
      </c>
      <c r="E15" s="125">
        <f t="shared" si="3"/>
        <v>114.22999999999999</v>
      </c>
      <c r="F15" s="534">
        <f>'0664'!F15:G15</f>
        <v>1</v>
      </c>
      <c r="G15" s="534"/>
      <c r="H15" s="83">
        <f t="shared" si="4"/>
        <v>114.23</v>
      </c>
      <c r="I15" s="104">
        <f t="shared" si="0"/>
        <v>546970.72</v>
      </c>
      <c r="N15" s="481" t="s">
        <v>31</v>
      </c>
      <c r="O15" s="481"/>
      <c r="P15" s="515">
        <f t="shared" si="1"/>
        <v>0</v>
      </c>
      <c r="Q15" s="515"/>
      <c r="R15" s="519">
        <v>1</v>
      </c>
      <c r="S15" s="519"/>
      <c r="T15" s="98">
        <f t="shared" si="5"/>
        <v>0</v>
      </c>
      <c r="U15" s="99">
        <f t="shared" si="2"/>
        <v>0</v>
      </c>
    </row>
    <row r="16" spans="1:21" x14ac:dyDescent="0.25">
      <c r="A16" s="455" t="s">
        <v>32</v>
      </c>
      <c r="B16" s="455"/>
      <c r="C16" s="165">
        <v>14</v>
      </c>
      <c r="D16" s="165">
        <v>14.48</v>
      </c>
      <c r="E16" s="125">
        <f t="shared" si="3"/>
        <v>28.48</v>
      </c>
      <c r="F16" s="534">
        <f>'0664'!F16:G16</f>
        <v>1</v>
      </c>
      <c r="G16" s="534"/>
      <c r="H16" s="83">
        <f t="shared" si="4"/>
        <v>28.48</v>
      </c>
      <c r="I16" s="104">
        <f t="shared" si="0"/>
        <v>136371.57999999999</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43.48</v>
      </c>
      <c r="D25" s="165">
        <v>44.23</v>
      </c>
      <c r="E25" s="125">
        <f t="shared" si="3"/>
        <v>87.71</v>
      </c>
      <c r="F25" s="534">
        <f>'0664'!F25:G25</f>
        <v>1.206</v>
      </c>
      <c r="G25" s="534"/>
      <c r="H25" s="83">
        <f t="shared" si="4"/>
        <v>105.7783</v>
      </c>
      <c r="I25" s="104">
        <f t="shared" si="0"/>
        <v>506501.21</v>
      </c>
      <c r="N25" s="481" t="s">
        <v>114</v>
      </c>
      <c r="O25" s="481"/>
      <c r="P25" s="515">
        <f t="shared" si="1"/>
        <v>0</v>
      </c>
      <c r="Q25" s="515"/>
      <c r="R25" s="519">
        <v>1</v>
      </c>
      <c r="S25" s="519"/>
      <c r="T25" s="98">
        <f t="shared" si="5"/>
        <v>0</v>
      </c>
      <c r="U25" s="99">
        <f t="shared" si="2"/>
        <v>0</v>
      </c>
    </row>
    <row r="26" spans="1:21" x14ac:dyDescent="0.25">
      <c r="A26" s="455" t="s">
        <v>115</v>
      </c>
      <c r="B26" s="455"/>
      <c r="C26" s="165">
        <v>16.239999999999998</v>
      </c>
      <c r="D26" s="165">
        <v>15.4</v>
      </c>
      <c r="E26" s="125">
        <f t="shared" si="3"/>
        <v>31.64</v>
      </c>
      <c r="F26" s="534">
        <f>'0664'!F26:G26</f>
        <v>1.206</v>
      </c>
      <c r="G26" s="534"/>
      <c r="H26" s="83">
        <f t="shared" si="4"/>
        <v>38.157800000000002</v>
      </c>
      <c r="I26" s="104">
        <f t="shared" si="0"/>
        <v>182712.07</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297.88</v>
      </c>
      <c r="D29" s="97">
        <f>SUM(D13:D28)</f>
        <v>294.39</v>
      </c>
      <c r="E29" s="97">
        <f>SUM(E13:E28)</f>
        <v>592.2700000000001</v>
      </c>
      <c r="F29" s="459"/>
      <c r="G29" s="459"/>
      <c r="H29" s="102">
        <f>SUM(H13:H28)</f>
        <v>658.46259999999984</v>
      </c>
      <c r="I29" s="97">
        <f>SUM(I13:I28)</f>
        <v>3152934.9899999998</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658.46259999999984</v>
      </c>
      <c r="F45" s="35"/>
      <c r="G45" s="109"/>
      <c r="H45" s="110" t="s">
        <v>129</v>
      </c>
      <c r="I45" s="97">
        <f>SUM(I43,I29)</f>
        <v>3152934.9899999998</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18.43</v>
      </c>
      <c r="D50" s="165">
        <v>20.5</v>
      </c>
      <c r="E50" s="125">
        <f>IF(D$59=0,C50*2,C50+D50)</f>
        <v>38.93</v>
      </c>
      <c r="F50" s="39" t="s">
        <v>21</v>
      </c>
      <c r="G50" s="39">
        <v>251</v>
      </c>
      <c r="H50" s="321">
        <f>'0664'!H50</f>
        <v>1047</v>
      </c>
      <c r="I50" s="104">
        <f>ROUND(E50*H50,2)</f>
        <v>40759.71</v>
      </c>
      <c r="N50" s="506" t="s">
        <v>28</v>
      </c>
      <c r="O50" s="506"/>
      <c r="P50" s="507"/>
      <c r="Q50" s="507"/>
      <c r="R50" s="40" t="s">
        <v>21</v>
      </c>
      <c r="S50" s="40">
        <v>251</v>
      </c>
      <c r="T50" s="117">
        <f>H50</f>
        <v>1047</v>
      </c>
      <c r="U50" s="118">
        <f>ROUND(P50*T50,0)</f>
        <v>0</v>
      </c>
    </row>
    <row r="51" spans="1:21" x14ac:dyDescent="0.25">
      <c r="A51" s="462"/>
      <c r="B51" s="462"/>
      <c r="C51" s="165">
        <v>4.9800000000000004</v>
      </c>
      <c r="D51" s="165">
        <v>4.5</v>
      </c>
      <c r="E51" s="125">
        <f t="shared" ref="E51:E58" si="10">IF(D$59=0,C51*2,C51+D51)</f>
        <v>9.48</v>
      </c>
      <c r="F51" s="39" t="s">
        <v>21</v>
      </c>
      <c r="G51" s="39">
        <v>252</v>
      </c>
      <c r="H51" s="321">
        <f>'0664'!H51</f>
        <v>3380</v>
      </c>
      <c r="I51" s="104">
        <f t="shared" ref="I51:I58" si="11">ROUND(E51*H51,2)</f>
        <v>32042.400000000001</v>
      </c>
      <c r="N51" s="506"/>
      <c r="O51" s="506"/>
      <c r="P51" s="508"/>
      <c r="Q51" s="508"/>
      <c r="R51" s="40" t="s">
        <v>21</v>
      </c>
      <c r="S51" s="40">
        <v>252</v>
      </c>
      <c r="T51" s="117">
        <f t="shared" ref="T51:T58" si="12">H51</f>
        <v>3380</v>
      </c>
      <c r="U51" s="118">
        <f t="shared" ref="U51:U58" si="13">ROUND(P51*T51,0)</f>
        <v>0</v>
      </c>
    </row>
    <row r="52" spans="1:21" x14ac:dyDescent="0.25">
      <c r="A52" s="462"/>
      <c r="B52" s="462"/>
      <c r="C52" s="165">
        <v>0.5</v>
      </c>
      <c r="D52" s="165">
        <v>0.5</v>
      </c>
      <c r="E52" s="125">
        <f t="shared" si="10"/>
        <v>1</v>
      </c>
      <c r="F52" s="39" t="s">
        <v>21</v>
      </c>
      <c r="G52" s="39">
        <v>253</v>
      </c>
      <c r="H52" s="321">
        <f>'0664'!H52</f>
        <v>6896</v>
      </c>
      <c r="I52" s="104">
        <f t="shared" si="11"/>
        <v>6896</v>
      </c>
      <c r="N52" s="506"/>
      <c r="O52" s="506"/>
      <c r="P52" s="508"/>
      <c r="Q52" s="508"/>
      <c r="R52" s="40" t="s">
        <v>21</v>
      </c>
      <c r="S52" s="40">
        <v>253</v>
      </c>
      <c r="T52" s="117">
        <f t="shared" si="12"/>
        <v>6896</v>
      </c>
      <c r="U52" s="118">
        <f t="shared" si="13"/>
        <v>0</v>
      </c>
    </row>
    <row r="53" spans="1:21" x14ac:dyDescent="0.25">
      <c r="A53" s="462"/>
      <c r="B53" s="462"/>
      <c r="C53" s="165">
        <v>13.5</v>
      </c>
      <c r="D53" s="165">
        <v>14.08</v>
      </c>
      <c r="E53" s="125">
        <f t="shared" si="10"/>
        <v>27.58</v>
      </c>
      <c r="F53" s="41" t="s">
        <v>14</v>
      </c>
      <c r="G53" s="39">
        <v>251</v>
      </c>
      <c r="H53" s="321">
        <f>'0664'!H53</f>
        <v>1173</v>
      </c>
      <c r="I53" s="104">
        <f t="shared" si="11"/>
        <v>32351.34</v>
      </c>
      <c r="N53" s="506"/>
      <c r="O53" s="506"/>
      <c r="P53" s="508"/>
      <c r="Q53" s="508"/>
      <c r="R53" s="42" t="s">
        <v>14</v>
      </c>
      <c r="S53" s="40">
        <v>251</v>
      </c>
      <c r="T53" s="117">
        <f t="shared" si="12"/>
        <v>1173</v>
      </c>
      <c r="U53" s="118">
        <f t="shared" si="13"/>
        <v>0</v>
      </c>
    </row>
    <row r="54" spans="1:21" x14ac:dyDescent="0.25">
      <c r="A54" s="462"/>
      <c r="B54" s="462"/>
      <c r="C54" s="165">
        <v>0.5</v>
      </c>
      <c r="D54" s="165">
        <v>0.4</v>
      </c>
      <c r="E54" s="125">
        <f t="shared" si="10"/>
        <v>0.9</v>
      </c>
      <c r="F54" s="41" t="s">
        <v>14</v>
      </c>
      <c r="G54" s="39">
        <v>252</v>
      </c>
      <c r="H54" s="321">
        <f>'0664'!H54</f>
        <v>3506</v>
      </c>
      <c r="I54" s="104">
        <f t="shared" si="11"/>
        <v>3155.4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37.909999999999997</v>
      </c>
      <c r="D59" s="100">
        <f>SUM(D50:D58)</f>
        <v>39.979999999999997</v>
      </c>
      <c r="E59" s="100">
        <f>SUM(E50:E58)</f>
        <v>77.89</v>
      </c>
      <c r="F59" s="463" t="s">
        <v>77</v>
      </c>
      <c r="G59" s="463"/>
      <c r="H59" s="463"/>
      <c r="I59" s="100">
        <f>SUM(I50:I58)</f>
        <v>115204.84999999999</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592.2700000000001</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3.0569999999999998E-3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658.46259999999984</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3.0309999999999998E-3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3.0569999999999998E-3</v>
      </c>
      <c r="I68" s="104">
        <f>ROUND(F68*H68,2)</f>
        <v>130043.17</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3.0569999999999998E-3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3.0569999999999998E-3</v>
      </c>
      <c r="I71" s="104">
        <f>ROUND(F71*H71,2)</f>
        <v>41047.800000000003</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3.0569999999999998E-3</v>
      </c>
      <c r="I72" s="104">
        <f>ROUND(F72*H72,2)</f>
        <v>45259.61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3.0569999999999998E-3</v>
      </c>
      <c r="I76" s="104">
        <f t="shared" ref="I76:I85" si="14">ROUND(F76*H76,2)</f>
        <v>26677.85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3.0569999999999998E-3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3.0309999999999998E-3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3.0309999999999998E-3</v>
      </c>
      <c r="I79" s="104">
        <f t="shared" si="14"/>
        <v>34210.58</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3.0309999999999998E-3</v>
      </c>
      <c r="I80" s="104">
        <f t="shared" si="14"/>
        <v>625249.06999999995</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3.0309999999999998E-3</v>
      </c>
      <c r="I82" s="104">
        <v>116287.62</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3.0309999999999998E-3</v>
      </c>
      <c r="I83" s="104">
        <v>52858.01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169145.63</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3.0309999999999998E-3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477.59479999999996</v>
      </c>
      <c r="D90" s="469"/>
      <c r="E90" s="49">
        <f>H8</f>
        <v>1.0438000000000001</v>
      </c>
      <c r="F90" s="338">
        <f>'0664'!F90</f>
        <v>957.94</v>
      </c>
      <c r="G90" s="41" t="s">
        <v>13</v>
      </c>
      <c r="H90" s="104">
        <f>ROUND(C90*E90*F90,2)</f>
        <v>477545.98</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180.86780000000002</v>
      </c>
      <c r="D91" s="469"/>
      <c r="E91" s="49">
        <f>H8</f>
        <v>1.0438000000000001</v>
      </c>
      <c r="F91" s="338">
        <f>'0664'!F91</f>
        <v>914.63</v>
      </c>
      <c r="G91" s="41" t="s">
        <v>13</v>
      </c>
      <c r="H91" s="104">
        <f>ROUND(C91*E91*F91,2)</f>
        <v>172672.82</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658.46259999999995</v>
      </c>
      <c r="D93" s="471"/>
      <c r="E93" s="143"/>
      <c r="F93" s="143"/>
      <c r="G93" s="143"/>
      <c r="H93" s="144" t="s">
        <v>143</v>
      </c>
      <c r="I93" s="104">
        <f>IF(A1=75,0,H92+H91+H90)</f>
        <v>650218.80000000005</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196</v>
      </c>
      <c r="D99" s="165">
        <v>193</v>
      </c>
      <c r="E99" s="125">
        <f>(C99+D99)/2</f>
        <v>194.5</v>
      </c>
      <c r="F99" s="148" t="s">
        <v>39</v>
      </c>
      <c r="G99" s="339">
        <f>'0664'!G99</f>
        <v>544</v>
      </c>
      <c r="I99" s="104">
        <f>ROUND(G99*E99,2)</f>
        <v>105808</v>
      </c>
      <c r="N99" s="490" t="s">
        <v>65</v>
      </c>
      <c r="O99" s="490"/>
      <c r="P99" s="491">
        <f>IF(H120=1,E99,0)</f>
        <v>0</v>
      </c>
      <c r="Q99" s="491"/>
      <c r="R99" s="491"/>
      <c r="S99" s="86" t="s">
        <v>39</v>
      </c>
      <c r="T99" s="61">
        <f>G99</f>
        <v>544</v>
      </c>
      <c r="U99" s="99">
        <f>ROUND(T99*P99,0)</f>
        <v>0</v>
      </c>
    </row>
    <row r="100" spans="1:21" x14ac:dyDescent="0.25">
      <c r="A100" s="538" t="s">
        <v>467</v>
      </c>
      <c r="B100" s="463"/>
      <c r="C100" s="165">
        <v>1</v>
      </c>
      <c r="D100" s="165">
        <v>0</v>
      </c>
      <c r="E100" s="125">
        <f>(C100+D100)/2</f>
        <v>0.5</v>
      </c>
      <c r="F100" s="148" t="s">
        <v>39</v>
      </c>
      <c r="G100" s="339">
        <f>'0664'!G100</f>
        <v>1697</v>
      </c>
      <c r="I100" s="104">
        <f>ROUND(G100*E100,2)</f>
        <v>848.5</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5096648.8499999996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4927503.22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4927503.22</v>
      </c>
      <c r="I122" s="97">
        <f>ROUND(IF(E29=0,0,IF(E29&gt;250,-(((250/E29)*H122)*IF(G122="H",0.02,0.05)),IF(G122="H",-0.02*H122,-0.05*H122))),2)</f>
        <v>-103996.13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4992652.72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-4590998.32-399973.18</f>
        <v>-4990971.5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1681.2199999997392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1681.22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142379.03099999999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U206"/>
  <sheetViews>
    <sheetView showGridLines="0" zoomScaleNormal="100" workbookViewId="0">
      <pane ySplit="1" topLeftCell="A102" activePane="bottomLeft" state="frozen"/>
      <selection activeCell="E100" sqref="E100"/>
      <selection pane="bottomLeft" activeCell="D47" sqref="D4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91.99</v>
      </c>
      <c r="D13" s="165">
        <v>88.09</v>
      </c>
      <c r="E13" s="210">
        <f>IF(D$29=0,C13*2,C13+D13)</f>
        <v>180.07999999999998</v>
      </c>
      <c r="F13" s="539">
        <f>'0664'!F13:G13</f>
        <v>1.1259999999999999</v>
      </c>
      <c r="G13" s="539"/>
      <c r="H13" s="167">
        <f>ROUND(E13*F13,4)</f>
        <v>202.77010000000001</v>
      </c>
      <c r="I13" s="119">
        <f t="shared" ref="I13:I28" si="0">ROUND(ROUND(H13*$C$8,4)*($H$8),2)</f>
        <v>970929.77</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15.48</v>
      </c>
      <c r="D14" s="165">
        <v>15.01</v>
      </c>
      <c r="E14" s="125">
        <f t="shared" ref="E14:E28" si="3">IF(D$29=0,C14*2,C14+D14)</f>
        <v>30.490000000000002</v>
      </c>
      <c r="F14" s="534">
        <f>'0664'!F14:G14</f>
        <v>1.1259999999999999</v>
      </c>
      <c r="G14" s="534"/>
      <c r="H14" s="83">
        <f t="shared" ref="H14:H28" si="4">ROUND(E14*F14,4)</f>
        <v>34.331699999999998</v>
      </c>
      <c r="I14" s="104">
        <f t="shared" si="0"/>
        <v>164391.44</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141.6</v>
      </c>
      <c r="D15" s="165">
        <v>138.63</v>
      </c>
      <c r="E15" s="125">
        <f t="shared" si="3"/>
        <v>280.23</v>
      </c>
      <c r="F15" s="534">
        <f>'0664'!F15:G15</f>
        <v>1</v>
      </c>
      <c r="G15" s="534"/>
      <c r="H15" s="83">
        <f t="shared" si="4"/>
        <v>280.23</v>
      </c>
      <c r="I15" s="104">
        <f t="shared" si="0"/>
        <v>1341833.19</v>
      </c>
      <c r="N15" s="481" t="s">
        <v>31</v>
      </c>
      <c r="O15" s="481"/>
      <c r="P15" s="515">
        <f t="shared" si="1"/>
        <v>0</v>
      </c>
      <c r="Q15" s="515"/>
      <c r="R15" s="519">
        <v>1</v>
      </c>
      <c r="S15" s="519"/>
      <c r="T15" s="98">
        <f t="shared" si="5"/>
        <v>0</v>
      </c>
      <c r="U15" s="99">
        <f t="shared" si="2"/>
        <v>0</v>
      </c>
    </row>
    <row r="16" spans="1:21" x14ac:dyDescent="0.25">
      <c r="A16" s="455" t="s">
        <v>32</v>
      </c>
      <c r="B16" s="455"/>
      <c r="C16" s="165">
        <v>35.119999999999997</v>
      </c>
      <c r="D16" s="165">
        <v>33.909999999999997</v>
      </c>
      <c r="E16" s="125">
        <f t="shared" si="3"/>
        <v>69.03</v>
      </c>
      <c r="F16" s="534">
        <f>'0664'!F16:G16</f>
        <v>1</v>
      </c>
      <c r="G16" s="534"/>
      <c r="H16" s="83">
        <f t="shared" si="4"/>
        <v>69.03</v>
      </c>
      <c r="I16" s="104">
        <f t="shared" si="0"/>
        <v>330538.28999999998</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6.99</v>
      </c>
      <c r="D25" s="165">
        <v>7.01</v>
      </c>
      <c r="E25" s="125">
        <f t="shared" si="3"/>
        <v>14</v>
      </c>
      <c r="F25" s="534">
        <f>'0664'!F25:G25</f>
        <v>1.206</v>
      </c>
      <c r="G25" s="534"/>
      <c r="H25" s="83">
        <f t="shared" si="4"/>
        <v>16.884</v>
      </c>
      <c r="I25" s="104">
        <f t="shared" si="0"/>
        <v>80846.13</v>
      </c>
      <c r="N25" s="481" t="s">
        <v>114</v>
      </c>
      <c r="O25" s="481"/>
      <c r="P25" s="515">
        <f t="shared" si="1"/>
        <v>0</v>
      </c>
      <c r="Q25" s="515"/>
      <c r="R25" s="519">
        <v>1</v>
      </c>
      <c r="S25" s="519"/>
      <c r="T25" s="98">
        <f t="shared" si="5"/>
        <v>0</v>
      </c>
      <c r="U25" s="99">
        <f t="shared" si="2"/>
        <v>0</v>
      </c>
    </row>
    <row r="26" spans="1:21" x14ac:dyDescent="0.25">
      <c r="A26" s="455" t="s">
        <v>115</v>
      </c>
      <c r="B26" s="455"/>
      <c r="C26" s="165">
        <v>0.77</v>
      </c>
      <c r="D26" s="165">
        <v>0.84</v>
      </c>
      <c r="E26" s="125">
        <f t="shared" si="3"/>
        <v>1.6099999999999999</v>
      </c>
      <c r="F26" s="534">
        <f>'0664'!F26:G26</f>
        <v>1.206</v>
      </c>
      <c r="G26" s="534"/>
      <c r="H26" s="83">
        <f t="shared" si="4"/>
        <v>1.9417</v>
      </c>
      <c r="I26" s="104">
        <f t="shared" si="0"/>
        <v>9297.5</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291.95</v>
      </c>
      <c r="D29" s="97">
        <f>SUM(D13:D28)</f>
        <v>283.48999999999995</v>
      </c>
      <c r="E29" s="97">
        <f>SUM(E13:E28)</f>
        <v>575.44000000000005</v>
      </c>
      <c r="F29" s="459"/>
      <c r="G29" s="459"/>
      <c r="H29" s="102">
        <f>SUM(H13:H28)</f>
        <v>605.1875</v>
      </c>
      <c r="I29" s="97">
        <f>SUM(I13:I28)</f>
        <v>2897836.32</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605.1875</v>
      </c>
      <c r="F45" s="35"/>
      <c r="G45" s="109"/>
      <c r="H45" s="110" t="s">
        <v>129</v>
      </c>
      <c r="I45" s="97">
        <f>SUM(I43,I29)</f>
        <v>2897836.32</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12.38</v>
      </c>
      <c r="D50" s="165">
        <v>12.09</v>
      </c>
      <c r="E50" s="125">
        <f>IF(D$59=0,C50*2,C50+D50)</f>
        <v>24.47</v>
      </c>
      <c r="F50" s="39" t="s">
        <v>21</v>
      </c>
      <c r="G50" s="39">
        <v>251</v>
      </c>
      <c r="H50" s="321">
        <f>'0664'!H50</f>
        <v>1047</v>
      </c>
      <c r="I50" s="104">
        <f>ROUND(E50*H50,2)</f>
        <v>25620.09</v>
      </c>
      <c r="N50" s="506" t="s">
        <v>28</v>
      </c>
      <c r="O50" s="506"/>
      <c r="P50" s="507"/>
      <c r="Q50" s="507"/>
      <c r="R50" s="40" t="s">
        <v>21</v>
      </c>
      <c r="S50" s="40">
        <v>251</v>
      </c>
      <c r="T50" s="117">
        <f>H50</f>
        <v>1047</v>
      </c>
      <c r="U50" s="118">
        <f>ROUND(P50*T50,0)</f>
        <v>0</v>
      </c>
    </row>
    <row r="51" spans="1:21" x14ac:dyDescent="0.25">
      <c r="A51" s="462"/>
      <c r="B51" s="462"/>
      <c r="C51" s="165">
        <v>3.1</v>
      </c>
      <c r="D51" s="165">
        <v>2.92</v>
      </c>
      <c r="E51" s="125">
        <f t="shared" ref="E51:E58" si="10">IF(D$59=0,C51*2,C51+D51)</f>
        <v>6.02</v>
      </c>
      <c r="F51" s="39" t="s">
        <v>21</v>
      </c>
      <c r="G51" s="39">
        <v>252</v>
      </c>
      <c r="H51" s="321">
        <f>'0664'!H51</f>
        <v>3380</v>
      </c>
      <c r="I51" s="104">
        <f t="shared" ref="I51:I58" si="11">ROUND(E51*H51,2)</f>
        <v>20347.599999999999</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31.61</v>
      </c>
      <c r="D53" s="165">
        <v>30.5</v>
      </c>
      <c r="E53" s="125">
        <f t="shared" si="10"/>
        <v>62.11</v>
      </c>
      <c r="F53" s="41" t="s">
        <v>14</v>
      </c>
      <c r="G53" s="39">
        <v>251</v>
      </c>
      <c r="H53" s="321">
        <f>'0664'!H53</f>
        <v>1173</v>
      </c>
      <c r="I53" s="104">
        <f t="shared" si="11"/>
        <v>72855.03</v>
      </c>
      <c r="N53" s="506"/>
      <c r="O53" s="506"/>
      <c r="P53" s="508"/>
      <c r="Q53" s="508"/>
      <c r="R53" s="42" t="s">
        <v>14</v>
      </c>
      <c r="S53" s="40">
        <v>251</v>
      </c>
      <c r="T53" s="117">
        <f t="shared" si="12"/>
        <v>1173</v>
      </c>
      <c r="U53" s="118">
        <f t="shared" si="13"/>
        <v>0</v>
      </c>
    </row>
    <row r="54" spans="1:21" x14ac:dyDescent="0.25">
      <c r="A54" s="462"/>
      <c r="B54" s="462"/>
      <c r="C54" s="165">
        <v>3.51</v>
      </c>
      <c r="D54" s="165">
        <v>3.41</v>
      </c>
      <c r="E54" s="125">
        <f t="shared" si="10"/>
        <v>6.92</v>
      </c>
      <c r="F54" s="41" t="s">
        <v>14</v>
      </c>
      <c r="G54" s="39">
        <v>252</v>
      </c>
      <c r="H54" s="321">
        <f>'0664'!H54</f>
        <v>3506</v>
      </c>
      <c r="I54" s="104">
        <f t="shared" si="11"/>
        <v>24261.52</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50.6</v>
      </c>
      <c r="D59" s="100">
        <f>SUM(D50:D58)</f>
        <v>48.92</v>
      </c>
      <c r="E59" s="100">
        <f>SUM(E50:E58)</f>
        <v>99.52</v>
      </c>
      <c r="F59" s="463" t="s">
        <v>77</v>
      </c>
      <c r="G59" s="463"/>
      <c r="H59" s="463"/>
      <c r="I59" s="100">
        <f>SUM(I50:I58)</f>
        <v>143084.24</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575.44000000000005</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2.97E-3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605.1875</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2.7859999999999998E-3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2.97E-3</v>
      </c>
      <c r="I68" s="104">
        <f>ROUND(F68*H68,2)</f>
        <v>126342.23</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2.97E-3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2.97E-3</v>
      </c>
      <c r="I71" s="104">
        <f>ROUND(F71*H71,2)</f>
        <v>39879.61</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2.97E-3</v>
      </c>
      <c r="I72" s="104">
        <f>ROUND(F72*H72,2)</f>
        <v>43971.56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2.97E-3</v>
      </c>
      <c r="I76" s="104">
        <f t="shared" ref="I76:I85" si="14">ROUND(F76*H76,2)</f>
        <v>25918.62</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2.97E-3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2.7859999999999998E-3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2.7859999999999998E-3</v>
      </c>
      <c r="I79" s="104">
        <f t="shared" si="14"/>
        <v>31445.3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2.7859999999999998E-3</v>
      </c>
      <c r="I80" s="104">
        <f t="shared" si="14"/>
        <v>574709.31000000006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2.7859999999999998E-3</v>
      </c>
      <c r="I82" s="104">
        <v>93111.34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2.7859999999999998E-3</v>
      </c>
      <c r="I83" s="104">
        <v>42323.34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135434.68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2.7859999999999998E-3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253.98580000000004</v>
      </c>
      <c r="D90" s="469"/>
      <c r="E90" s="49">
        <f>H8</f>
        <v>1.0438000000000001</v>
      </c>
      <c r="F90" s="338">
        <f>'0664'!F90</f>
        <v>957.94</v>
      </c>
      <c r="G90" s="41" t="s">
        <v>13</v>
      </c>
      <c r="H90" s="104">
        <f>ROUND(C90*E90*F90,2)</f>
        <v>253959.84</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351.20170000000002</v>
      </c>
      <c r="D91" s="469"/>
      <c r="E91" s="49">
        <f>H8</f>
        <v>1.0438000000000001</v>
      </c>
      <c r="F91" s="338">
        <f>'0664'!F91</f>
        <v>914.63</v>
      </c>
      <c r="G91" s="41" t="s">
        <v>13</v>
      </c>
      <c r="H91" s="104">
        <f>ROUND(C91*E91*F91,2)</f>
        <v>335289.03000000003</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605.1875</v>
      </c>
      <c r="D93" s="471"/>
      <c r="E93" s="143"/>
      <c r="F93" s="143"/>
      <c r="G93" s="143"/>
      <c r="H93" s="144" t="s">
        <v>143</v>
      </c>
      <c r="I93" s="104">
        <f>IF(A1=75,0,H92+H91+H90)</f>
        <v>589248.87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1</v>
      </c>
      <c r="E99" s="125">
        <f>(C99+D99)/2</f>
        <v>0.5</v>
      </c>
      <c r="F99" s="148" t="s">
        <v>39</v>
      </c>
      <c r="G99" s="339">
        <f>'0664'!G99</f>
        <v>544</v>
      </c>
      <c r="I99" s="104">
        <f>ROUND(G99*E99,2)</f>
        <v>272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4608142.74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4472708.0600000005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4472708.0600000005</v>
      </c>
      <c r="I122" s="97">
        <f>ROUND(IF(E29=0,0,IF(E29&gt;250,-(((250/E29)*H122)*IF(G122="H",0.02,0.05)),IF(G122="H",-0.02*H122,-0.05*H122))),2)</f>
        <v>-38863.370000000003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4569279.37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-4116487.22-452561.72</f>
        <v>-4569048.9400000004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230.42999999970198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230.43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50590.791200000014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U206"/>
  <sheetViews>
    <sheetView showGridLines="0" zoomScaleNormal="100" workbookViewId="0">
      <pane ySplit="1" topLeftCell="A115" activePane="bottomLeft" state="frozen"/>
      <selection activeCell="E100" sqref="E100"/>
      <selection pane="bottomLeft" activeCell="F57" sqref="F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160</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0.25</v>
      </c>
      <c r="D13" s="165">
        <v>0</v>
      </c>
      <c r="E13" s="210">
        <f>IF(D$29=0,C13*2,C13+D13)</f>
        <v>0.25</v>
      </c>
      <c r="F13" s="539">
        <f>'0664'!F13:G13</f>
        <v>1.1259999999999999</v>
      </c>
      <c r="G13" s="539"/>
      <c r="H13" s="167">
        <f>ROUND(E13*F13,4)</f>
        <v>0.28149999999999997</v>
      </c>
      <c r="I13" s="119">
        <f t="shared" ref="I13:I28" si="0">ROUND(ROUND(H13*$C$8,4)*($H$8),2)</f>
        <v>1347.91</v>
      </c>
      <c r="N13" s="514" t="s">
        <v>29</v>
      </c>
      <c r="O13" s="514"/>
      <c r="P13" s="515">
        <f t="shared" ref="P13:P28" si="1">IF($H$120=1,E13,0)</f>
        <v>0.25</v>
      </c>
      <c r="Q13" s="515"/>
      <c r="R13" s="528">
        <v>1</v>
      </c>
      <c r="S13" s="528"/>
      <c r="T13" s="98">
        <f>ROUND(P13*R13,4)</f>
        <v>0.25</v>
      </c>
      <c r="U13" s="99">
        <f t="shared" ref="U13:U28" si="2">ROUND(ROUND(T13*$C$8,4)*($H$8),0)</f>
        <v>1197</v>
      </c>
    </row>
    <row r="14" spans="1:21" x14ac:dyDescent="0.25">
      <c r="A14" s="455" t="s">
        <v>30</v>
      </c>
      <c r="B14" s="455"/>
      <c r="C14" s="165">
        <v>4.75</v>
      </c>
      <c r="D14" s="165">
        <v>6</v>
      </c>
      <c r="E14" s="125">
        <f t="shared" ref="E14:E28" si="3">IF(D$29=0,C14*2,C14+D14)</f>
        <v>10.75</v>
      </c>
      <c r="F14" s="534">
        <f>'0664'!F14:G14</f>
        <v>1.1259999999999999</v>
      </c>
      <c r="G14" s="534"/>
      <c r="H14" s="83">
        <f t="shared" ref="H14:H28" si="4">ROUND(E14*F14,4)</f>
        <v>12.1045</v>
      </c>
      <c r="I14" s="104">
        <f t="shared" si="0"/>
        <v>57960.32</v>
      </c>
      <c r="J14" s="68" t="str">
        <f>IF(ROUND(E14,2)=ROUND(SUM(E50:E52),2)," ","CHECK PK-3 LINES BELOW")</f>
        <v xml:space="preserve"> </v>
      </c>
      <c r="N14" s="481" t="s">
        <v>30</v>
      </c>
      <c r="O14" s="481"/>
      <c r="P14" s="515">
        <f t="shared" si="1"/>
        <v>10.75</v>
      </c>
      <c r="Q14" s="515"/>
      <c r="R14" s="519">
        <v>1</v>
      </c>
      <c r="S14" s="519"/>
      <c r="T14" s="98">
        <f t="shared" ref="T14:T28" si="5">ROUND(P14*R14,4)</f>
        <v>10.75</v>
      </c>
      <c r="U14" s="99">
        <f t="shared" si="2"/>
        <v>51475</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11</v>
      </c>
      <c r="D16" s="165">
        <v>10.5</v>
      </c>
      <c r="E16" s="125">
        <f t="shared" si="3"/>
        <v>21.5</v>
      </c>
      <c r="F16" s="534">
        <f>'0664'!F16:G16</f>
        <v>1</v>
      </c>
      <c r="G16" s="534"/>
      <c r="H16" s="83">
        <f t="shared" si="4"/>
        <v>21.5</v>
      </c>
      <c r="I16" s="104">
        <f t="shared" si="0"/>
        <v>102949.05</v>
      </c>
      <c r="J16" s="68" t="str">
        <f>IF(ROUND(E16,2)=ROUND(SUM(E53:E55),2)," ","CHECK 4-8 LINES BELOW")</f>
        <v xml:space="preserve"> </v>
      </c>
      <c r="N16" s="481" t="s">
        <v>32</v>
      </c>
      <c r="O16" s="481"/>
      <c r="P16" s="515">
        <f t="shared" si="1"/>
        <v>21.5</v>
      </c>
      <c r="Q16" s="515"/>
      <c r="R16" s="519">
        <v>1</v>
      </c>
      <c r="S16" s="519"/>
      <c r="T16" s="98">
        <f t="shared" si="5"/>
        <v>21.5</v>
      </c>
      <c r="U16" s="99">
        <f t="shared" si="2"/>
        <v>102949</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21.43</v>
      </c>
      <c r="D18" s="165">
        <v>24.98</v>
      </c>
      <c r="E18" s="125">
        <f t="shared" si="3"/>
        <v>46.41</v>
      </c>
      <c r="F18" s="534">
        <f>'0664'!F18:G18</f>
        <v>0.999</v>
      </c>
      <c r="G18" s="534"/>
      <c r="H18" s="83">
        <f t="shared" si="4"/>
        <v>46.363599999999998</v>
      </c>
      <c r="I18" s="104">
        <f t="shared" si="0"/>
        <v>222004.13</v>
      </c>
      <c r="J18" s="68" t="str">
        <f>IF(ROUND(E18,2)=ROUND(SUM(E56:E58),2)," ","CHECK 4-8 LINES BELOW")</f>
        <v xml:space="preserve"> </v>
      </c>
      <c r="N18" s="481" t="s">
        <v>34</v>
      </c>
      <c r="O18" s="481"/>
      <c r="P18" s="515">
        <f t="shared" si="1"/>
        <v>46.41</v>
      </c>
      <c r="Q18" s="515"/>
      <c r="R18" s="519">
        <v>1</v>
      </c>
      <c r="S18" s="519"/>
      <c r="T18" s="98">
        <f t="shared" si="5"/>
        <v>46.41</v>
      </c>
      <c r="U18" s="101">
        <f t="shared" si="2"/>
        <v>222226</v>
      </c>
    </row>
    <row r="19" spans="1:21" x14ac:dyDescent="0.25">
      <c r="A19" s="455" t="s">
        <v>108</v>
      </c>
      <c r="B19" s="455"/>
      <c r="C19" s="165">
        <v>51.3</v>
      </c>
      <c r="D19" s="165">
        <v>53</v>
      </c>
      <c r="E19" s="125">
        <f t="shared" si="3"/>
        <v>104.3</v>
      </c>
      <c r="F19" s="534">
        <f>'0664'!F19:G19</f>
        <v>3.6739999999999999</v>
      </c>
      <c r="G19" s="534"/>
      <c r="H19" s="83">
        <f t="shared" si="4"/>
        <v>383.19819999999999</v>
      </c>
      <c r="I19" s="104">
        <f t="shared" si="0"/>
        <v>1834878.72</v>
      </c>
      <c r="N19" s="481" t="s">
        <v>108</v>
      </c>
      <c r="O19" s="481"/>
      <c r="P19" s="515">
        <f t="shared" si="1"/>
        <v>104.3</v>
      </c>
      <c r="Q19" s="515"/>
      <c r="R19" s="519">
        <v>1</v>
      </c>
      <c r="S19" s="519"/>
      <c r="T19" s="98">
        <f t="shared" si="5"/>
        <v>104.3</v>
      </c>
      <c r="U19" s="99">
        <f t="shared" si="2"/>
        <v>499423</v>
      </c>
    </row>
    <row r="20" spans="1:21" x14ac:dyDescent="0.25">
      <c r="A20" s="455" t="s">
        <v>109</v>
      </c>
      <c r="B20" s="455"/>
      <c r="C20" s="165">
        <v>31.38</v>
      </c>
      <c r="D20" s="165">
        <v>32</v>
      </c>
      <c r="E20" s="125">
        <f t="shared" si="3"/>
        <v>63.379999999999995</v>
      </c>
      <c r="F20" s="534">
        <f>'0664'!F20:G20</f>
        <v>3.6739999999999999</v>
      </c>
      <c r="G20" s="534"/>
      <c r="H20" s="83">
        <f t="shared" si="4"/>
        <v>232.85810000000001</v>
      </c>
      <c r="I20" s="104">
        <f t="shared" si="0"/>
        <v>1115000.99</v>
      </c>
      <c r="N20" s="481" t="s">
        <v>109</v>
      </c>
      <c r="O20" s="481"/>
      <c r="P20" s="515">
        <f t="shared" si="1"/>
        <v>63.379999999999995</v>
      </c>
      <c r="Q20" s="515"/>
      <c r="R20" s="519">
        <v>1</v>
      </c>
      <c r="S20" s="519"/>
      <c r="T20" s="98">
        <f t="shared" si="5"/>
        <v>63.38</v>
      </c>
      <c r="U20" s="99">
        <f t="shared" si="2"/>
        <v>303484</v>
      </c>
    </row>
    <row r="21" spans="1:21" x14ac:dyDescent="0.25">
      <c r="A21" s="455" t="s">
        <v>110</v>
      </c>
      <c r="B21" s="455"/>
      <c r="C21" s="165">
        <v>30.38</v>
      </c>
      <c r="D21" s="165">
        <v>30.46</v>
      </c>
      <c r="E21" s="125">
        <f t="shared" si="3"/>
        <v>60.84</v>
      </c>
      <c r="F21" s="534">
        <f>'0664'!F21:G21</f>
        <v>3.6739999999999999</v>
      </c>
      <c r="G21" s="534"/>
      <c r="H21" s="83">
        <f t="shared" si="4"/>
        <v>223.52619999999999</v>
      </c>
      <c r="I21" s="104">
        <f t="shared" si="0"/>
        <v>1070316.79</v>
      </c>
      <c r="N21" s="481" t="s">
        <v>110</v>
      </c>
      <c r="O21" s="481"/>
      <c r="P21" s="515">
        <f t="shared" si="1"/>
        <v>60.84</v>
      </c>
      <c r="Q21" s="515"/>
      <c r="R21" s="519">
        <v>1</v>
      </c>
      <c r="S21" s="519"/>
      <c r="T21" s="98">
        <f t="shared" si="5"/>
        <v>60.84</v>
      </c>
      <c r="U21" s="99">
        <f t="shared" si="2"/>
        <v>291322</v>
      </c>
    </row>
    <row r="22" spans="1:21" x14ac:dyDescent="0.25">
      <c r="A22" s="455" t="s">
        <v>111</v>
      </c>
      <c r="B22" s="455"/>
      <c r="C22" s="165">
        <v>5.97</v>
      </c>
      <c r="D22" s="165">
        <v>5</v>
      </c>
      <c r="E22" s="125">
        <f t="shared" si="3"/>
        <v>10.969999999999999</v>
      </c>
      <c r="F22" s="534">
        <f>'0664'!F22:G22</f>
        <v>5.4009999999999998</v>
      </c>
      <c r="G22" s="534"/>
      <c r="H22" s="83">
        <f t="shared" si="4"/>
        <v>59.249000000000002</v>
      </c>
      <c r="I22" s="104">
        <f t="shared" si="0"/>
        <v>283703.65000000002</v>
      </c>
      <c r="N22" s="481" t="s">
        <v>111</v>
      </c>
      <c r="O22" s="481"/>
      <c r="P22" s="515">
        <f t="shared" si="1"/>
        <v>10.969999999999999</v>
      </c>
      <c r="Q22" s="515"/>
      <c r="R22" s="519">
        <v>1</v>
      </c>
      <c r="S22" s="519"/>
      <c r="T22" s="98">
        <f t="shared" si="5"/>
        <v>10.97</v>
      </c>
      <c r="U22" s="99">
        <f t="shared" si="2"/>
        <v>52528</v>
      </c>
    </row>
    <row r="23" spans="1:21" x14ac:dyDescent="0.25">
      <c r="A23" s="455" t="s">
        <v>112</v>
      </c>
      <c r="B23" s="455"/>
      <c r="C23" s="165">
        <v>19.39</v>
      </c>
      <c r="D23" s="165">
        <v>17.5</v>
      </c>
      <c r="E23" s="125">
        <f t="shared" si="3"/>
        <v>36.89</v>
      </c>
      <c r="F23" s="534">
        <f>'0664'!F23:G23</f>
        <v>5.4009999999999998</v>
      </c>
      <c r="G23" s="534"/>
      <c r="H23" s="83">
        <f t="shared" si="4"/>
        <v>199.24289999999999</v>
      </c>
      <c r="I23" s="104">
        <f t="shared" si="0"/>
        <v>954040.38</v>
      </c>
      <c r="N23" s="481" t="s">
        <v>112</v>
      </c>
      <c r="O23" s="481"/>
      <c r="P23" s="515">
        <f t="shared" si="1"/>
        <v>36.89</v>
      </c>
      <c r="Q23" s="515"/>
      <c r="R23" s="519">
        <v>1</v>
      </c>
      <c r="S23" s="519"/>
      <c r="T23" s="98">
        <f t="shared" si="5"/>
        <v>36.89</v>
      </c>
      <c r="U23" s="99">
        <f t="shared" si="2"/>
        <v>176641</v>
      </c>
    </row>
    <row r="24" spans="1:21" x14ac:dyDescent="0.25">
      <c r="A24" s="455" t="s">
        <v>113</v>
      </c>
      <c r="B24" s="455"/>
      <c r="C24" s="165">
        <v>15.91</v>
      </c>
      <c r="D24" s="165">
        <v>14.18</v>
      </c>
      <c r="E24" s="125">
        <f t="shared" si="3"/>
        <v>30.09</v>
      </c>
      <c r="F24" s="534">
        <f>'0664'!F24:G24</f>
        <v>5.4009999999999998</v>
      </c>
      <c r="G24" s="534"/>
      <c r="H24" s="83">
        <f t="shared" si="4"/>
        <v>162.51609999999999</v>
      </c>
      <c r="I24" s="104">
        <f t="shared" si="0"/>
        <v>778180.41</v>
      </c>
      <c r="N24" s="481" t="s">
        <v>113</v>
      </c>
      <c r="O24" s="481"/>
      <c r="P24" s="515">
        <f t="shared" si="1"/>
        <v>30.09</v>
      </c>
      <c r="Q24" s="515"/>
      <c r="R24" s="519">
        <v>1</v>
      </c>
      <c r="S24" s="519"/>
      <c r="T24" s="98">
        <f t="shared" si="5"/>
        <v>30.09</v>
      </c>
      <c r="U24" s="99">
        <f t="shared" si="2"/>
        <v>144081</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191.75999999999996</v>
      </c>
      <c r="D29" s="97">
        <f>SUM(D13:D28)</f>
        <v>193.62</v>
      </c>
      <c r="E29" s="97">
        <f>SUM(E13:E28)</f>
        <v>385.37999999999994</v>
      </c>
      <c r="F29" s="459"/>
      <c r="G29" s="459"/>
      <c r="H29" s="102">
        <f>SUM(H13:H28)</f>
        <v>1340.8401000000001</v>
      </c>
      <c r="I29" s="97">
        <f>SUM(I13:I28)</f>
        <v>6420382.3500000006</v>
      </c>
      <c r="N29" s="517" t="s">
        <v>5</v>
      </c>
      <c r="O29" s="517"/>
      <c r="P29" s="518">
        <f>SUM(P13:P28)</f>
        <v>385.37999999999994</v>
      </c>
      <c r="Q29" s="518"/>
      <c r="R29" s="510"/>
      <c r="S29" s="510"/>
      <c r="T29" s="103">
        <f>SUM(T13:T28)</f>
        <v>385.37999999999994</v>
      </c>
      <c r="U29" s="99">
        <f>SUM(U13:U28)</f>
        <v>1845326</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1340.8401000000001</v>
      </c>
      <c r="F45" s="35"/>
      <c r="G45" s="109"/>
      <c r="H45" s="110" t="s">
        <v>129</v>
      </c>
      <c r="I45" s="97">
        <f>SUM(I43,I29)</f>
        <v>6420382.3500000006</v>
      </c>
      <c r="N45" s="482" t="s">
        <v>55</v>
      </c>
      <c r="O45" s="482"/>
      <c r="P45" s="482"/>
      <c r="Q45" s="482"/>
      <c r="R45" s="36">
        <f>R43+T29</f>
        <v>385.37999999999994</v>
      </c>
      <c r="S45" s="510" t="s">
        <v>53</v>
      </c>
      <c r="T45" s="510"/>
      <c r="U45" s="111">
        <f>SUM(U43,U29)</f>
        <v>1845326</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4.75</v>
      </c>
      <c r="D52" s="165">
        <v>6</v>
      </c>
      <c r="E52" s="125">
        <f t="shared" si="10"/>
        <v>10.75</v>
      </c>
      <c r="F52" s="39" t="s">
        <v>21</v>
      </c>
      <c r="G52" s="39">
        <v>253</v>
      </c>
      <c r="H52" s="321">
        <f>'0664'!H52</f>
        <v>6896</v>
      </c>
      <c r="I52" s="104">
        <f t="shared" si="11"/>
        <v>74132</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11</v>
      </c>
      <c r="D55" s="165">
        <v>10.5</v>
      </c>
      <c r="E55" s="125">
        <f t="shared" si="10"/>
        <v>21.5</v>
      </c>
      <c r="F55" s="41" t="s">
        <v>14</v>
      </c>
      <c r="G55" s="39">
        <v>253</v>
      </c>
      <c r="H55" s="321">
        <f>'0664'!H55</f>
        <v>7023</v>
      </c>
      <c r="I55" s="104">
        <f t="shared" si="11"/>
        <v>150994.5</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0.98</v>
      </c>
      <c r="D57" s="165">
        <v>0.91</v>
      </c>
      <c r="E57" s="125">
        <f t="shared" si="10"/>
        <v>1.8900000000000001</v>
      </c>
      <c r="F57" s="41" t="s">
        <v>15</v>
      </c>
      <c r="G57" s="39">
        <v>252</v>
      </c>
      <c r="H57" s="321">
        <f>'0664'!H57</f>
        <v>3168</v>
      </c>
      <c r="I57" s="104">
        <f t="shared" si="11"/>
        <v>5987.52</v>
      </c>
      <c r="N57" s="506"/>
      <c r="O57" s="506"/>
      <c r="P57" s="508"/>
      <c r="Q57" s="508"/>
      <c r="R57" s="42" t="s">
        <v>15</v>
      </c>
      <c r="S57" s="40">
        <v>252</v>
      </c>
      <c r="T57" s="117">
        <f t="shared" si="12"/>
        <v>3168</v>
      </c>
      <c r="U57" s="118">
        <f t="shared" si="13"/>
        <v>0</v>
      </c>
    </row>
    <row r="58" spans="1:21" ht="16.5" thickBot="1" x14ac:dyDescent="0.3">
      <c r="A58" s="462"/>
      <c r="B58" s="462"/>
      <c r="C58" s="165">
        <v>20.45</v>
      </c>
      <c r="D58" s="165">
        <v>24.07</v>
      </c>
      <c r="E58" s="125">
        <f t="shared" si="10"/>
        <v>44.519999999999996</v>
      </c>
      <c r="F58" s="41" t="s">
        <v>15</v>
      </c>
      <c r="G58" s="39">
        <v>253</v>
      </c>
      <c r="H58" s="321">
        <f>'0664'!H58</f>
        <v>6685</v>
      </c>
      <c r="I58" s="104">
        <f t="shared" si="11"/>
        <v>297616.2</v>
      </c>
      <c r="N58" s="506"/>
      <c r="O58" s="506"/>
      <c r="P58" s="509"/>
      <c r="Q58" s="509"/>
      <c r="R58" s="42" t="s">
        <v>15</v>
      </c>
      <c r="S58" s="40">
        <v>253</v>
      </c>
      <c r="T58" s="117">
        <f t="shared" si="12"/>
        <v>6685</v>
      </c>
      <c r="U58" s="120">
        <f t="shared" si="13"/>
        <v>0</v>
      </c>
    </row>
    <row r="59" spans="1:21" ht="16.5" thickBot="1" x14ac:dyDescent="0.3">
      <c r="A59" s="463" t="s">
        <v>16</v>
      </c>
      <c r="B59" s="463"/>
      <c r="C59" s="100">
        <f>SUM(C50:C58)</f>
        <v>37.18</v>
      </c>
      <c r="D59" s="100">
        <f>SUM(D50:D58)</f>
        <v>41.480000000000004</v>
      </c>
      <c r="E59" s="100">
        <f>SUM(E50:E58)</f>
        <v>78.66</v>
      </c>
      <c r="F59" s="463" t="s">
        <v>77</v>
      </c>
      <c r="G59" s="463"/>
      <c r="H59" s="463"/>
      <c r="I59" s="100">
        <f>SUM(I50:I58)</f>
        <v>528730.22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385.37999999999994</v>
      </c>
      <c r="D62" s="466" t="s">
        <v>135</v>
      </c>
      <c r="E62" s="466"/>
      <c r="F62" s="466"/>
      <c r="G62" s="466"/>
      <c r="H62" s="335">
        <f>'0664'!H62</f>
        <v>193726.47</v>
      </c>
      <c r="I62" s="122"/>
      <c r="N62" s="480" t="s">
        <v>312</v>
      </c>
      <c r="O62" s="481"/>
      <c r="P62" s="43">
        <f>P29</f>
        <v>385.37999999999994</v>
      </c>
      <c r="Q62" s="500" t="s">
        <v>78</v>
      </c>
      <c r="R62" s="500"/>
      <c r="S62" s="500"/>
      <c r="T62" s="499">
        <f>H62</f>
        <v>193726.47</v>
      </c>
      <c r="U62" s="499"/>
    </row>
    <row r="63" spans="1:21" x14ac:dyDescent="0.25">
      <c r="B63" s="72"/>
      <c r="G63" s="44" t="s">
        <v>13</v>
      </c>
      <c r="H63" s="123">
        <f>ROUND(C62/H62,6)</f>
        <v>1.9889999999999999E-3</v>
      </c>
      <c r="I63" s="124"/>
      <c r="N63" s="481" t="s">
        <v>19</v>
      </c>
      <c r="O63" s="481"/>
      <c r="P63" s="481"/>
      <c r="Q63" s="481"/>
      <c r="R63" s="481"/>
      <c r="S63" s="481"/>
      <c r="T63" s="503">
        <f>ROUND(P62/T62,6)</f>
        <v>1.9889999999999999E-3</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1340.8401000000001</v>
      </c>
      <c r="D65" s="466" t="s">
        <v>140</v>
      </c>
      <c r="E65" s="466"/>
      <c r="F65" s="466"/>
      <c r="G65" s="466"/>
      <c r="H65" s="336">
        <f>'0664'!H65</f>
        <v>217214.58</v>
      </c>
      <c r="I65" s="125"/>
      <c r="N65" s="481" t="s">
        <v>80</v>
      </c>
      <c r="O65" s="481"/>
      <c r="P65" s="43">
        <f>R45</f>
        <v>385.37999999999994</v>
      </c>
      <c r="Q65" s="500" t="s">
        <v>79</v>
      </c>
      <c r="R65" s="500"/>
      <c r="S65" s="500"/>
      <c r="T65" s="499">
        <f>H65</f>
        <v>217214.58</v>
      </c>
      <c r="U65" s="499"/>
    </row>
    <row r="66" spans="1:21" s="37" customFormat="1" x14ac:dyDescent="0.25">
      <c r="A66" s="126"/>
      <c r="G66" s="45" t="s">
        <v>13</v>
      </c>
      <c r="H66" s="127">
        <f>ROUND(C65/H65,6)</f>
        <v>6.1729999999999997E-3</v>
      </c>
      <c r="I66" s="127"/>
      <c r="N66" s="484" t="s">
        <v>20</v>
      </c>
      <c r="O66" s="484"/>
      <c r="P66" s="484"/>
      <c r="Q66" s="484"/>
      <c r="R66" s="484"/>
      <c r="S66" s="484"/>
      <c r="T66" s="502">
        <f>ROUND(P65/T65,6)</f>
        <v>1.774E-3</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1.9889999999999999E-3</v>
      </c>
      <c r="I68" s="104">
        <f>ROUND(F68*H68,2)</f>
        <v>84611.01</v>
      </c>
      <c r="N68" s="481" t="s">
        <v>85</v>
      </c>
      <c r="O68" s="481"/>
      <c r="P68" s="481"/>
      <c r="Q68" s="47"/>
      <c r="R68" s="132">
        <f>F68</f>
        <v>42539472</v>
      </c>
      <c r="S68" s="40" t="s">
        <v>6</v>
      </c>
      <c r="T68" s="133">
        <f>T63</f>
        <v>1.9889999999999999E-3</v>
      </c>
      <c r="U68" s="99">
        <f>ROUND(R68*T68,0)</f>
        <v>84611</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1.9889999999999999E-3</v>
      </c>
      <c r="I70" s="104">
        <f>ROUND(F70*H70,2)</f>
        <v>0</v>
      </c>
      <c r="N70" s="48"/>
      <c r="O70" s="48"/>
      <c r="P70" s="48"/>
      <c r="Q70" s="47"/>
      <c r="R70" s="132">
        <f>F70</f>
        <v>0</v>
      </c>
      <c r="S70" s="40" t="s">
        <v>6</v>
      </c>
      <c r="T70" s="133">
        <f>T63</f>
        <v>1.9889999999999999E-3</v>
      </c>
      <c r="U70" s="99">
        <f>ROUND(R70*T70,0)</f>
        <v>0</v>
      </c>
    </row>
    <row r="71" spans="1:21" x14ac:dyDescent="0.25">
      <c r="A71" s="465" t="s">
        <v>432</v>
      </c>
      <c r="B71" s="455"/>
      <c r="C71" s="455"/>
      <c r="D71" s="72"/>
      <c r="E71" s="46" t="s">
        <v>3</v>
      </c>
      <c r="F71" s="337">
        <f>'0664'!F71</f>
        <v>13427478</v>
      </c>
      <c r="G71" s="39" t="s">
        <v>6</v>
      </c>
      <c r="H71" s="131">
        <f>H63</f>
        <v>1.9889999999999999E-3</v>
      </c>
      <c r="I71" s="104">
        <f>ROUND(F71*H71,2)</f>
        <v>26707.25</v>
      </c>
      <c r="N71" s="481" t="s">
        <v>83</v>
      </c>
      <c r="O71" s="481"/>
      <c r="P71" s="481"/>
      <c r="Q71" s="47"/>
      <c r="R71" s="132">
        <f>F71</f>
        <v>13427478</v>
      </c>
      <c r="S71" s="40" t="s">
        <v>6</v>
      </c>
      <c r="T71" s="133">
        <f>T63</f>
        <v>1.9889999999999999E-3</v>
      </c>
      <c r="U71" s="99">
        <f>ROUND(R71*T71,0)</f>
        <v>26707</v>
      </c>
    </row>
    <row r="72" spans="1:21" x14ac:dyDescent="0.25">
      <c r="A72" s="465" t="s">
        <v>433</v>
      </c>
      <c r="B72" s="455"/>
      <c r="C72" s="455"/>
      <c r="D72" s="72"/>
      <c r="E72" s="46" t="s">
        <v>3</v>
      </c>
      <c r="F72" s="337">
        <f>'0664'!F72</f>
        <v>14805238</v>
      </c>
      <c r="G72" s="39" t="s">
        <v>6</v>
      </c>
      <c r="H72" s="131">
        <f>H63</f>
        <v>1.9889999999999999E-3</v>
      </c>
      <c r="I72" s="104">
        <f>ROUND(F72*H72,2)</f>
        <v>29447.62</v>
      </c>
      <c r="N72" s="481" t="s">
        <v>82</v>
      </c>
      <c r="O72" s="481"/>
      <c r="P72" s="481"/>
      <c r="Q72" s="47"/>
      <c r="R72" s="134">
        <f>F72</f>
        <v>14805238</v>
      </c>
      <c r="S72" s="40" t="s">
        <v>6</v>
      </c>
      <c r="T72" s="133">
        <f>T63</f>
        <v>1.9889999999999999E-3</v>
      </c>
      <c r="U72" s="99">
        <f>ROUND(R72*T72,0)</f>
        <v>29448</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1.9889999999999999E-3</v>
      </c>
      <c r="I76" s="104">
        <f t="shared" ref="I76:I85" si="14">ROUND(F76*H76,2)</f>
        <v>17357.62</v>
      </c>
      <c r="N76" s="480" t="s">
        <v>366</v>
      </c>
      <c r="O76" s="481"/>
      <c r="P76" s="481"/>
      <c r="Q76" s="47"/>
      <c r="R76" s="134">
        <f t="shared" ref="R76:R85" si="15">F76</f>
        <v>8726807</v>
      </c>
      <c r="S76" s="40" t="s">
        <v>6</v>
      </c>
      <c r="T76" s="133">
        <f>T63</f>
        <v>1.9889999999999999E-3</v>
      </c>
      <c r="U76" s="99">
        <f t="shared" ref="U76:U85" si="16">ROUND(R76*T76,0)</f>
        <v>17358</v>
      </c>
    </row>
    <row r="77" spans="1:21" x14ac:dyDescent="0.25">
      <c r="A77" s="465" t="s">
        <v>435</v>
      </c>
      <c r="B77" s="455"/>
      <c r="C77" s="455"/>
      <c r="D77" s="72"/>
      <c r="E77" s="46" t="s">
        <v>3</v>
      </c>
      <c r="F77" s="337">
        <f>'0664'!F77</f>
        <v>0</v>
      </c>
      <c r="G77" s="39" t="s">
        <v>6</v>
      </c>
      <c r="H77" s="131">
        <f>H63</f>
        <v>1.9889999999999999E-3</v>
      </c>
      <c r="I77" s="104">
        <f t="shared" si="14"/>
        <v>0</v>
      </c>
      <c r="N77" s="481" t="s">
        <v>367</v>
      </c>
      <c r="O77" s="481"/>
      <c r="P77" s="481"/>
      <c r="Q77" s="47"/>
      <c r="R77" s="134">
        <f t="shared" si="15"/>
        <v>0</v>
      </c>
      <c r="S77" s="40" t="s">
        <v>6</v>
      </c>
      <c r="T77" s="133">
        <f>T63</f>
        <v>1.9889999999999999E-3</v>
      </c>
      <c r="U77" s="99">
        <f t="shared" si="16"/>
        <v>0</v>
      </c>
    </row>
    <row r="78" spans="1:21" x14ac:dyDescent="0.25">
      <c r="A78" s="465" t="s">
        <v>436</v>
      </c>
      <c r="B78" s="455"/>
      <c r="C78" s="455"/>
      <c r="D78" s="72"/>
      <c r="E78" s="46" t="s">
        <v>4</v>
      </c>
      <c r="F78" s="337">
        <f>'0664'!F78</f>
        <v>0</v>
      </c>
      <c r="G78" s="39" t="s">
        <v>6</v>
      </c>
      <c r="H78" s="131">
        <f>H66</f>
        <v>6.1729999999999997E-3</v>
      </c>
      <c r="I78" s="104">
        <f t="shared" si="14"/>
        <v>0</v>
      </c>
      <c r="N78" s="480" t="s">
        <v>392</v>
      </c>
      <c r="O78" s="481"/>
      <c r="P78" s="481"/>
      <c r="Q78" s="47"/>
      <c r="R78" s="134">
        <f t="shared" si="15"/>
        <v>0</v>
      </c>
      <c r="S78" s="40" t="s">
        <v>6</v>
      </c>
      <c r="T78" s="133">
        <f>T66</f>
        <v>1.774E-3</v>
      </c>
      <c r="U78" s="99">
        <f t="shared" si="16"/>
        <v>0</v>
      </c>
    </row>
    <row r="79" spans="1:21" x14ac:dyDescent="0.25">
      <c r="A79" s="465" t="s">
        <v>437</v>
      </c>
      <c r="B79" s="455"/>
      <c r="C79" s="455"/>
      <c r="D79" s="72"/>
      <c r="E79" s="46" t="s">
        <v>4</v>
      </c>
      <c r="F79" s="337">
        <f>'0664'!F79</f>
        <v>11286897</v>
      </c>
      <c r="G79" s="39" t="s">
        <v>6</v>
      </c>
      <c r="H79" s="131">
        <f>H66</f>
        <v>6.1729999999999997E-3</v>
      </c>
      <c r="I79" s="104">
        <f t="shared" si="14"/>
        <v>69674.02</v>
      </c>
      <c r="N79" s="480" t="s">
        <v>393</v>
      </c>
      <c r="O79" s="481"/>
      <c r="P79" s="481"/>
      <c r="Q79" s="47"/>
      <c r="R79" s="134">
        <f t="shared" si="15"/>
        <v>11286897</v>
      </c>
      <c r="S79" s="40" t="s">
        <v>6</v>
      </c>
      <c r="T79" s="133">
        <f>T66</f>
        <v>1.774E-3</v>
      </c>
      <c r="U79" s="99">
        <f t="shared" si="16"/>
        <v>20023</v>
      </c>
    </row>
    <row r="80" spans="1:21" x14ac:dyDescent="0.25">
      <c r="A80" s="465" t="s">
        <v>438</v>
      </c>
      <c r="B80" s="455"/>
      <c r="C80" s="455"/>
      <c r="D80" s="72"/>
      <c r="E80" s="46" t="s">
        <v>4</v>
      </c>
      <c r="F80" s="337">
        <f>'0664'!F80</f>
        <v>206284749</v>
      </c>
      <c r="G80" s="39" t="s">
        <v>6</v>
      </c>
      <c r="H80" s="131">
        <f>H66</f>
        <v>6.1729999999999997E-3</v>
      </c>
      <c r="I80" s="104">
        <f t="shared" si="14"/>
        <v>1273395.76</v>
      </c>
      <c r="N80" s="480" t="s">
        <v>397</v>
      </c>
      <c r="O80" s="481"/>
      <c r="P80" s="481"/>
      <c r="Q80" s="47"/>
      <c r="R80" s="134">
        <f t="shared" si="15"/>
        <v>206284749</v>
      </c>
      <c r="S80" s="40" t="s">
        <v>6</v>
      </c>
      <c r="T80" s="133">
        <f>T66</f>
        <v>1.774E-3</v>
      </c>
      <c r="U80" s="99">
        <f t="shared" si="16"/>
        <v>365949</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6.1729999999999997E-3</v>
      </c>
      <c r="I82" s="104">
        <v>230412.76</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6.1729999999999997E-3</v>
      </c>
      <c r="I83" s="104">
        <v>104733.07</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335145.83</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6.1729999999999997E-3</v>
      </c>
      <c r="I85" s="104">
        <f t="shared" si="14"/>
        <v>0</v>
      </c>
      <c r="N85" s="480" t="s">
        <v>398</v>
      </c>
      <c r="O85" s="481"/>
      <c r="P85" s="481"/>
      <c r="Q85" s="47"/>
      <c r="R85" s="132">
        <f t="shared" si="15"/>
        <v>0</v>
      </c>
      <c r="S85" s="40" t="s">
        <v>6</v>
      </c>
      <c r="T85" s="133">
        <f>T66</f>
        <v>1.774E-3</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454.83320000000003</v>
      </c>
      <c r="D90" s="469"/>
      <c r="E90" s="49">
        <f>H8</f>
        <v>1.0438000000000001</v>
      </c>
      <c r="F90" s="338">
        <f>'0664'!F90</f>
        <v>957.94</v>
      </c>
      <c r="G90" s="41" t="s">
        <v>13</v>
      </c>
      <c r="H90" s="104">
        <f>ROUND(C90*E90*F90,2)</f>
        <v>454786.7</v>
      </c>
      <c r="I90" s="107"/>
      <c r="N90" s="29" t="s">
        <v>22</v>
      </c>
      <c r="O90" s="50">
        <f>T13+T14+T19+T22+T25</f>
        <v>126.27</v>
      </c>
      <c r="P90" s="492">
        <f>T8</f>
        <v>1.0438000000000001</v>
      </c>
      <c r="Q90" s="492"/>
      <c r="R90" s="51">
        <f>F90</f>
        <v>957.94</v>
      </c>
      <c r="S90" s="42" t="s">
        <v>13</v>
      </c>
      <c r="T90" s="134">
        <f>ROUND(O90*P90*R90,0)</f>
        <v>126257</v>
      </c>
      <c r="U90" s="105"/>
    </row>
    <row r="91" spans="1:21" x14ac:dyDescent="0.25">
      <c r="A91" s="52"/>
      <c r="B91" s="52" t="s">
        <v>147</v>
      </c>
      <c r="C91" s="469">
        <f>H15+H16+H20+H23+H26</f>
        <v>453.601</v>
      </c>
      <c r="D91" s="469"/>
      <c r="E91" s="49">
        <f>H8</f>
        <v>1.0438000000000001</v>
      </c>
      <c r="F91" s="338">
        <f>'0664'!F91</f>
        <v>914.63</v>
      </c>
      <c r="G91" s="41" t="s">
        <v>13</v>
      </c>
      <c r="H91" s="104">
        <f>ROUND(C91*E91*F91,2)</f>
        <v>433048.7</v>
      </c>
      <c r="N91" s="53" t="s">
        <v>14</v>
      </c>
      <c r="O91" s="50">
        <f>T15+T16+T20+T23+T26</f>
        <v>121.77</v>
      </c>
      <c r="P91" s="492">
        <f>T8</f>
        <v>1.0438000000000001</v>
      </c>
      <c r="Q91" s="492"/>
      <c r="R91" s="51">
        <f>F91</f>
        <v>914.63</v>
      </c>
      <c r="S91" s="42" t="s">
        <v>13</v>
      </c>
      <c r="T91" s="134">
        <f>ROUND(O91*P91*R91,0)</f>
        <v>116253</v>
      </c>
      <c r="U91" s="54"/>
    </row>
    <row r="92" spans="1:21" ht="16.5" thickBot="1" x14ac:dyDescent="0.3">
      <c r="A92" s="55"/>
      <c r="B92" s="55" t="s">
        <v>146</v>
      </c>
      <c r="C92" s="469">
        <f>H17+H18+H21+H24+H27+H28</f>
        <v>432.40589999999997</v>
      </c>
      <c r="D92" s="469"/>
      <c r="E92" s="49">
        <f>H8</f>
        <v>1.0438000000000001</v>
      </c>
      <c r="F92" s="338">
        <f>'0664'!F92</f>
        <v>916.84</v>
      </c>
      <c r="G92" s="41" t="s">
        <v>13</v>
      </c>
      <c r="H92" s="97">
        <f>ROUND(C92*E92*F92,2)</f>
        <v>413811.41</v>
      </c>
      <c r="N92" s="56" t="s">
        <v>15</v>
      </c>
      <c r="O92" s="57">
        <f>T17+T18+T21+T24+T27+T28</f>
        <v>137.34</v>
      </c>
      <c r="P92" s="492">
        <f>T8</f>
        <v>1.0438000000000001</v>
      </c>
      <c r="Q92" s="492"/>
      <c r="R92" s="51">
        <f>F92</f>
        <v>916.84</v>
      </c>
      <c r="S92" s="42" t="s">
        <v>13</v>
      </c>
      <c r="T92" s="134">
        <f>ROUND(O92*P92*R92,0)</f>
        <v>131434</v>
      </c>
      <c r="U92" s="54"/>
    </row>
    <row r="93" spans="1:21" ht="16.5" thickBot="1" x14ac:dyDescent="0.3">
      <c r="A93" s="58"/>
      <c r="B93" s="142" t="s">
        <v>145</v>
      </c>
      <c r="C93" s="471">
        <f>SUM(C90:C92)</f>
        <v>1340.8400999999999</v>
      </c>
      <c r="D93" s="471"/>
      <c r="E93" s="143"/>
      <c r="F93" s="143"/>
      <c r="G93" s="143"/>
      <c r="H93" s="144" t="s">
        <v>143</v>
      </c>
      <c r="I93" s="104">
        <f>IF(A1=75,0,H92+H91+H90)</f>
        <v>1301646.81</v>
      </c>
      <c r="N93" s="59" t="s">
        <v>120</v>
      </c>
      <c r="O93" s="60">
        <f>SUM(O90:O92)</f>
        <v>385.38</v>
      </c>
      <c r="P93" s="493" t="s">
        <v>18</v>
      </c>
      <c r="Q93" s="494"/>
      <c r="R93" s="494"/>
      <c r="S93" s="494"/>
      <c r="T93" s="494"/>
      <c r="U93" s="99">
        <f>IF(N1=75,0,T92+T91+T90)</f>
        <v>373944</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1</v>
      </c>
      <c r="E99" s="125">
        <f>(C99+D99)/2</f>
        <v>0.5</v>
      </c>
      <c r="F99" s="148" t="s">
        <v>39</v>
      </c>
      <c r="G99" s="339">
        <f>'0664'!G99</f>
        <v>544</v>
      </c>
      <c r="I99" s="104">
        <f>ROUND(G99*E99,2)</f>
        <v>272</v>
      </c>
      <c r="N99" s="490" t="s">
        <v>65</v>
      </c>
      <c r="O99" s="490"/>
      <c r="P99" s="491">
        <f>IF(H120=1,E99,0)</f>
        <v>0.5</v>
      </c>
      <c r="Q99" s="491"/>
      <c r="R99" s="491"/>
      <c r="S99" s="86" t="s">
        <v>39</v>
      </c>
      <c r="T99" s="61">
        <f>G99</f>
        <v>544</v>
      </c>
      <c r="U99" s="99">
        <f>ROUND(T99*P99,0)</f>
        <v>272</v>
      </c>
    </row>
    <row r="100" spans="1:21" x14ac:dyDescent="0.25">
      <c r="A100" s="538" t="s">
        <v>467</v>
      </c>
      <c r="B100" s="463"/>
      <c r="C100" s="165">
        <v>0</v>
      </c>
      <c r="D100" s="165">
        <v>1</v>
      </c>
      <c r="E100" s="125">
        <f>(C100+D100)/2</f>
        <v>0.5</v>
      </c>
      <c r="F100" s="148" t="s">
        <v>39</v>
      </c>
      <c r="G100" s="339">
        <f>'0664'!G100</f>
        <v>1697</v>
      </c>
      <c r="I100" s="104">
        <f>ROUND(G100*E100,2)</f>
        <v>848.5</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2763638</v>
      </c>
    </row>
    <row r="115" spans="1:21" ht="16.5" thickTop="1" x14ac:dyDescent="0.25">
      <c r="A115" s="463" t="s">
        <v>8</v>
      </c>
      <c r="B115" s="463"/>
      <c r="C115" s="463"/>
      <c r="D115" s="463"/>
      <c r="E115" s="463"/>
      <c r="F115" s="463"/>
      <c r="G115" s="463"/>
      <c r="H115" s="463"/>
      <c r="I115" s="97">
        <f>SUM(I113,I112,I110,I100,I99,I93,I85,I84,I80,I79,I78,I77,I76,I74,I73,I72,I71,I70,I68,I59,I45)</f>
        <v>10088218.990000002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9753073.160000002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2763638</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2763638</v>
      </c>
      <c r="I122" s="97">
        <f>ROUND(IF(E29=0,0,IF(E29&gt;250,-(((250/E29)*H122)*IF(G122="H",0.02,0.05)),IF(G122="H",-0.02*H122,-0.05*H122))),2)</f>
        <v>-89640.03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9998578.9600000028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-9171336.5-852465.99</f>
        <v>-10023802.49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-25223.529999997467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-25223.53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48541.869999999995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U206"/>
  <sheetViews>
    <sheetView showGridLines="0" zoomScaleNormal="100" workbookViewId="0">
      <pane ySplit="1" topLeftCell="A118" activePane="bottomLeft" state="frozen"/>
      <selection activeCell="E100" sqref="E100"/>
      <selection pane="bottomLeft" activeCell="D58" sqref="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387</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5.5</v>
      </c>
      <c r="D18" s="165">
        <v>5</v>
      </c>
      <c r="E18" s="125">
        <f t="shared" si="3"/>
        <v>10.5</v>
      </c>
      <c r="F18" s="534">
        <f>'0664'!F18:G18</f>
        <v>0.999</v>
      </c>
      <c r="G18" s="534"/>
      <c r="H18" s="83">
        <f t="shared" si="4"/>
        <v>10.4895</v>
      </c>
      <c r="I18" s="104">
        <f t="shared" si="0"/>
        <v>50227.17</v>
      </c>
      <c r="J18" s="68" t="str">
        <f>IF(ROUND(E18,2)=ROUND(SUM(E56:E58),2)," ","CHECK 4-8 LINES BELOW")</f>
        <v xml:space="preserve"> </v>
      </c>
      <c r="N18" s="481" t="s">
        <v>34</v>
      </c>
      <c r="O18" s="481"/>
      <c r="P18" s="515">
        <f t="shared" si="1"/>
        <v>10.5</v>
      </c>
      <c r="Q18" s="515"/>
      <c r="R18" s="519">
        <v>1</v>
      </c>
      <c r="S18" s="519"/>
      <c r="T18" s="98">
        <f t="shared" si="5"/>
        <v>10.5</v>
      </c>
      <c r="U18" s="101">
        <f t="shared" si="2"/>
        <v>50277</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24</v>
      </c>
      <c r="D21" s="165">
        <v>23.5</v>
      </c>
      <c r="E21" s="125">
        <f t="shared" si="3"/>
        <v>47.5</v>
      </c>
      <c r="F21" s="534">
        <f>'0664'!F21:G21</f>
        <v>3.6739999999999999</v>
      </c>
      <c r="G21" s="534"/>
      <c r="H21" s="83">
        <f t="shared" si="4"/>
        <v>174.51499999999999</v>
      </c>
      <c r="I21" s="104">
        <f t="shared" si="0"/>
        <v>835635.08</v>
      </c>
      <c r="N21" s="481" t="s">
        <v>110</v>
      </c>
      <c r="O21" s="481"/>
      <c r="P21" s="515">
        <f t="shared" si="1"/>
        <v>47.5</v>
      </c>
      <c r="Q21" s="515"/>
      <c r="R21" s="519">
        <v>1</v>
      </c>
      <c r="S21" s="519"/>
      <c r="T21" s="98">
        <f t="shared" si="5"/>
        <v>47.5</v>
      </c>
      <c r="U21" s="99">
        <f t="shared" si="2"/>
        <v>227446</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32.5</v>
      </c>
      <c r="D24" s="165">
        <v>33.5</v>
      </c>
      <c r="E24" s="125">
        <f t="shared" si="3"/>
        <v>66</v>
      </c>
      <c r="F24" s="534">
        <f>'0664'!F24:G24</f>
        <v>5.4009999999999998</v>
      </c>
      <c r="G24" s="534"/>
      <c r="H24" s="83">
        <f t="shared" si="4"/>
        <v>356.46600000000001</v>
      </c>
      <c r="I24" s="104">
        <f t="shared" si="0"/>
        <v>1706876.17</v>
      </c>
      <c r="N24" s="481" t="s">
        <v>113</v>
      </c>
      <c r="O24" s="481"/>
      <c r="P24" s="515">
        <f t="shared" si="1"/>
        <v>66</v>
      </c>
      <c r="Q24" s="515"/>
      <c r="R24" s="519">
        <v>1</v>
      </c>
      <c r="S24" s="519"/>
      <c r="T24" s="98">
        <f t="shared" si="5"/>
        <v>66</v>
      </c>
      <c r="U24" s="99">
        <f t="shared" si="2"/>
        <v>316030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62</v>
      </c>
      <c r="D29" s="97">
        <f>SUM(D13:D28)</f>
        <v>62</v>
      </c>
      <c r="E29" s="97">
        <f>SUM(E13:E28)</f>
        <v>124</v>
      </c>
      <c r="F29" s="459"/>
      <c r="G29" s="459"/>
      <c r="H29" s="102">
        <f>SUM(H13:H28)</f>
        <v>541.47050000000002</v>
      </c>
      <c r="I29" s="97">
        <f>SUM(I13:I28)</f>
        <v>2592738.42</v>
      </c>
      <c r="N29" s="517" t="s">
        <v>5</v>
      </c>
      <c r="O29" s="517"/>
      <c r="P29" s="518">
        <f>SUM(P13:P28)</f>
        <v>124</v>
      </c>
      <c r="Q29" s="518"/>
      <c r="R29" s="510"/>
      <c r="S29" s="510"/>
      <c r="T29" s="103">
        <f>SUM(T13:T28)</f>
        <v>124</v>
      </c>
      <c r="U29" s="99">
        <f>SUM(U13:U28)</f>
        <v>593753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541.47050000000002</v>
      </c>
      <c r="F45" s="35"/>
      <c r="G45" s="109"/>
      <c r="H45" s="110" t="s">
        <v>129</v>
      </c>
      <c r="I45" s="97">
        <f>SUM(I43,I29)</f>
        <v>2592738.42</v>
      </c>
      <c r="N45" s="482" t="s">
        <v>55</v>
      </c>
      <c r="O45" s="482"/>
      <c r="P45" s="482"/>
      <c r="Q45" s="482"/>
      <c r="R45" s="36">
        <f>R43+T29</f>
        <v>124</v>
      </c>
      <c r="S45" s="510" t="s">
        <v>53</v>
      </c>
      <c r="T45" s="510"/>
      <c r="U45" s="111">
        <f>SUM(U43,U29)</f>
        <v>593753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7"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5.5</v>
      </c>
      <c r="D58" s="165">
        <v>5</v>
      </c>
      <c r="E58" s="125">
        <f>IF(D$59=0,C58*2,C58+D58)</f>
        <v>10.5</v>
      </c>
      <c r="F58" s="41" t="s">
        <v>15</v>
      </c>
      <c r="G58" s="39">
        <v>253</v>
      </c>
      <c r="H58" s="321">
        <f>'0664'!H58</f>
        <v>6685</v>
      </c>
      <c r="I58" s="104">
        <f t="shared" si="11"/>
        <v>70192.5</v>
      </c>
      <c r="N58" s="506"/>
      <c r="O58" s="506"/>
      <c r="P58" s="509"/>
      <c r="Q58" s="509"/>
      <c r="R58" s="42" t="s">
        <v>15</v>
      </c>
      <c r="S58" s="40">
        <v>253</v>
      </c>
      <c r="T58" s="117">
        <f t="shared" si="12"/>
        <v>6685</v>
      </c>
      <c r="U58" s="120">
        <f t="shared" si="13"/>
        <v>0</v>
      </c>
    </row>
    <row r="59" spans="1:21" ht="16.5" thickBot="1" x14ac:dyDescent="0.3">
      <c r="A59" s="463" t="s">
        <v>16</v>
      </c>
      <c r="B59" s="463"/>
      <c r="C59" s="100">
        <f>SUM(C50:C58)</f>
        <v>5.5</v>
      </c>
      <c r="D59" s="100">
        <f>SUM(D50:D58)</f>
        <v>5</v>
      </c>
      <c r="E59" s="100">
        <f>SUM(E50:E58)</f>
        <v>10.5</v>
      </c>
      <c r="F59" s="463" t="s">
        <v>77</v>
      </c>
      <c r="G59" s="463"/>
      <c r="H59" s="463"/>
      <c r="I59" s="100">
        <f>SUM(I50:I58)</f>
        <v>70192.5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124</v>
      </c>
      <c r="D62" s="466" t="s">
        <v>135</v>
      </c>
      <c r="E62" s="466"/>
      <c r="F62" s="466"/>
      <c r="G62" s="466"/>
      <c r="H62" s="335">
        <f>'0664'!H62</f>
        <v>193726.47</v>
      </c>
      <c r="I62" s="122"/>
      <c r="N62" s="480" t="s">
        <v>312</v>
      </c>
      <c r="O62" s="481"/>
      <c r="P62" s="43">
        <f>P29</f>
        <v>124</v>
      </c>
      <c r="Q62" s="500" t="s">
        <v>78</v>
      </c>
      <c r="R62" s="500"/>
      <c r="S62" s="500"/>
      <c r="T62" s="499">
        <f>H62</f>
        <v>193726.47</v>
      </c>
      <c r="U62" s="499"/>
    </row>
    <row r="63" spans="1:21" x14ac:dyDescent="0.25">
      <c r="B63" s="72"/>
      <c r="G63" s="44" t="s">
        <v>13</v>
      </c>
      <c r="H63" s="123">
        <f>ROUND(C62/H62,6)</f>
        <v>6.4000000000000005E-4</v>
      </c>
      <c r="I63" s="124"/>
      <c r="N63" s="481" t="s">
        <v>19</v>
      </c>
      <c r="O63" s="481"/>
      <c r="P63" s="481"/>
      <c r="Q63" s="481"/>
      <c r="R63" s="481"/>
      <c r="S63" s="481"/>
      <c r="T63" s="503">
        <f>ROUND(P62/T62,6)</f>
        <v>6.4000000000000005E-4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541.47050000000002</v>
      </c>
      <c r="D65" s="466" t="s">
        <v>140</v>
      </c>
      <c r="E65" s="466"/>
      <c r="F65" s="466"/>
      <c r="G65" s="466"/>
      <c r="H65" s="336">
        <f>'0664'!H65</f>
        <v>217214.58</v>
      </c>
      <c r="I65" s="125"/>
      <c r="N65" s="481" t="s">
        <v>80</v>
      </c>
      <c r="O65" s="481"/>
      <c r="P65" s="43">
        <f>R45</f>
        <v>124</v>
      </c>
      <c r="Q65" s="500" t="s">
        <v>79</v>
      </c>
      <c r="R65" s="500"/>
      <c r="S65" s="500"/>
      <c r="T65" s="499">
        <f>H65</f>
        <v>217214.58</v>
      </c>
      <c r="U65" s="499"/>
    </row>
    <row r="66" spans="1:21" s="37" customFormat="1" x14ac:dyDescent="0.25">
      <c r="A66" s="126"/>
      <c r="G66" s="45" t="s">
        <v>13</v>
      </c>
      <c r="H66" s="127">
        <f>ROUND(C65/H65,6)</f>
        <v>2.493E-3</v>
      </c>
      <c r="I66" s="127"/>
      <c r="N66" s="484" t="s">
        <v>20</v>
      </c>
      <c r="O66" s="484"/>
      <c r="P66" s="484"/>
      <c r="Q66" s="484"/>
      <c r="R66" s="484"/>
      <c r="S66" s="484"/>
      <c r="T66" s="502">
        <f>ROUND(P65/T65,6)</f>
        <v>5.71E-4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6.4000000000000005E-4</v>
      </c>
      <c r="I68" s="104">
        <f>ROUND(F68*H68,2)</f>
        <v>27225.26</v>
      </c>
      <c r="N68" s="481" t="s">
        <v>85</v>
      </c>
      <c r="O68" s="481"/>
      <c r="P68" s="481"/>
      <c r="Q68" s="47"/>
      <c r="R68" s="132">
        <f>F68</f>
        <v>42539472</v>
      </c>
      <c r="S68" s="40" t="s">
        <v>6</v>
      </c>
      <c r="T68" s="133">
        <f>T63</f>
        <v>6.4000000000000005E-4</v>
      </c>
      <c r="U68" s="99">
        <f>ROUND(R68*T68,0)</f>
        <v>27225</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6.4000000000000005E-4</v>
      </c>
      <c r="I70" s="104">
        <f>ROUND(F70*H70,2)</f>
        <v>0</v>
      </c>
      <c r="N70" s="48"/>
      <c r="O70" s="48"/>
      <c r="P70" s="48"/>
      <c r="Q70" s="47"/>
      <c r="R70" s="132">
        <f>F70</f>
        <v>0</v>
      </c>
      <c r="S70" s="40" t="s">
        <v>6</v>
      </c>
      <c r="T70" s="133">
        <f>T63</f>
        <v>6.4000000000000005E-4</v>
      </c>
      <c r="U70" s="99">
        <f>ROUND(R70*T70,0)</f>
        <v>0</v>
      </c>
    </row>
    <row r="71" spans="1:21" x14ac:dyDescent="0.25">
      <c r="A71" s="465" t="s">
        <v>432</v>
      </c>
      <c r="B71" s="455"/>
      <c r="C71" s="455"/>
      <c r="D71" s="72"/>
      <c r="E71" s="46" t="s">
        <v>3</v>
      </c>
      <c r="F71" s="337">
        <f>'0664'!F71</f>
        <v>13427478</v>
      </c>
      <c r="G71" s="39" t="s">
        <v>6</v>
      </c>
      <c r="H71" s="131">
        <f>H63</f>
        <v>6.4000000000000005E-4</v>
      </c>
      <c r="I71" s="104">
        <f>ROUND(F71*H71,2)</f>
        <v>8593.59</v>
      </c>
      <c r="N71" s="481" t="s">
        <v>83</v>
      </c>
      <c r="O71" s="481"/>
      <c r="P71" s="481"/>
      <c r="Q71" s="47"/>
      <c r="R71" s="132">
        <f>F71</f>
        <v>13427478</v>
      </c>
      <c r="S71" s="40" t="s">
        <v>6</v>
      </c>
      <c r="T71" s="133">
        <f>T63</f>
        <v>6.4000000000000005E-4</v>
      </c>
      <c r="U71" s="99">
        <f>ROUND(R71*T71,0)</f>
        <v>8594</v>
      </c>
    </row>
    <row r="72" spans="1:21" x14ac:dyDescent="0.25">
      <c r="A72" s="465" t="s">
        <v>433</v>
      </c>
      <c r="B72" s="455"/>
      <c r="C72" s="455"/>
      <c r="D72" s="72"/>
      <c r="E72" s="46" t="s">
        <v>3</v>
      </c>
      <c r="F72" s="337">
        <f>'0664'!F72</f>
        <v>14805238</v>
      </c>
      <c r="G72" s="39" t="s">
        <v>6</v>
      </c>
      <c r="H72" s="131">
        <f>H63</f>
        <v>6.4000000000000005E-4</v>
      </c>
      <c r="I72" s="104">
        <f>ROUND(F72*H72,2)</f>
        <v>9475.35</v>
      </c>
      <c r="N72" s="481" t="s">
        <v>82</v>
      </c>
      <c r="O72" s="481"/>
      <c r="P72" s="481"/>
      <c r="Q72" s="47"/>
      <c r="R72" s="134">
        <f>F72</f>
        <v>14805238</v>
      </c>
      <c r="S72" s="40" t="s">
        <v>6</v>
      </c>
      <c r="T72" s="133">
        <f>T63</f>
        <v>6.4000000000000005E-4</v>
      </c>
      <c r="U72" s="99">
        <f>ROUND(R72*T72,0)</f>
        <v>9475</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6.4000000000000005E-4</v>
      </c>
      <c r="I76" s="104">
        <f t="shared" ref="I76:I85" si="14">ROUND(F76*H76,2)</f>
        <v>5585.16</v>
      </c>
      <c r="N76" s="480" t="s">
        <v>366</v>
      </c>
      <c r="O76" s="481"/>
      <c r="P76" s="481"/>
      <c r="Q76" s="47"/>
      <c r="R76" s="134">
        <f t="shared" ref="R76:R85" si="15">F76</f>
        <v>8726807</v>
      </c>
      <c r="S76" s="40" t="s">
        <v>6</v>
      </c>
      <c r="T76" s="133">
        <f>T63</f>
        <v>6.4000000000000005E-4</v>
      </c>
      <c r="U76" s="99">
        <f t="shared" ref="U76:U85" si="16">ROUND(R76*T76,0)</f>
        <v>5585</v>
      </c>
    </row>
    <row r="77" spans="1:21" x14ac:dyDescent="0.25">
      <c r="A77" s="465" t="s">
        <v>435</v>
      </c>
      <c r="B77" s="455"/>
      <c r="C77" s="455"/>
      <c r="D77" s="72"/>
      <c r="E77" s="46" t="s">
        <v>3</v>
      </c>
      <c r="F77" s="337">
        <f>'0664'!F77</f>
        <v>0</v>
      </c>
      <c r="G77" s="39" t="s">
        <v>6</v>
      </c>
      <c r="H77" s="131">
        <f>H63</f>
        <v>6.4000000000000005E-4</v>
      </c>
      <c r="I77" s="104">
        <f t="shared" si="14"/>
        <v>0</v>
      </c>
      <c r="N77" s="481" t="s">
        <v>367</v>
      </c>
      <c r="O77" s="481"/>
      <c r="P77" s="481"/>
      <c r="Q77" s="47"/>
      <c r="R77" s="134">
        <f t="shared" si="15"/>
        <v>0</v>
      </c>
      <c r="S77" s="40" t="s">
        <v>6</v>
      </c>
      <c r="T77" s="133">
        <f>T63</f>
        <v>6.4000000000000005E-4</v>
      </c>
      <c r="U77" s="99">
        <f t="shared" si="16"/>
        <v>0</v>
      </c>
    </row>
    <row r="78" spans="1:21" x14ac:dyDescent="0.25">
      <c r="A78" s="465" t="s">
        <v>436</v>
      </c>
      <c r="B78" s="455"/>
      <c r="C78" s="455"/>
      <c r="D78" s="72"/>
      <c r="E78" s="46" t="s">
        <v>4</v>
      </c>
      <c r="F78" s="337">
        <f>'0664'!F78</f>
        <v>0</v>
      </c>
      <c r="G78" s="39" t="s">
        <v>6</v>
      </c>
      <c r="H78" s="131">
        <f>H66</f>
        <v>2.493E-3</v>
      </c>
      <c r="I78" s="104">
        <f t="shared" si="14"/>
        <v>0</v>
      </c>
      <c r="N78" s="480" t="s">
        <v>392</v>
      </c>
      <c r="O78" s="481"/>
      <c r="P78" s="481"/>
      <c r="Q78" s="47"/>
      <c r="R78" s="134">
        <f t="shared" si="15"/>
        <v>0</v>
      </c>
      <c r="S78" s="40" t="s">
        <v>6</v>
      </c>
      <c r="T78" s="133">
        <f>T66</f>
        <v>5.71E-4</v>
      </c>
      <c r="U78" s="99">
        <f t="shared" si="16"/>
        <v>0</v>
      </c>
    </row>
    <row r="79" spans="1:21" x14ac:dyDescent="0.25">
      <c r="A79" s="465" t="s">
        <v>437</v>
      </c>
      <c r="B79" s="455"/>
      <c r="C79" s="455"/>
      <c r="D79" s="72"/>
      <c r="E79" s="46" t="s">
        <v>4</v>
      </c>
      <c r="F79" s="337">
        <f>'0664'!F79</f>
        <v>11286897</v>
      </c>
      <c r="G79" s="39" t="s">
        <v>6</v>
      </c>
      <c r="H79" s="131">
        <f>H66</f>
        <v>2.493E-3</v>
      </c>
      <c r="I79" s="104">
        <f t="shared" si="14"/>
        <v>28138.23</v>
      </c>
      <c r="N79" s="480" t="s">
        <v>393</v>
      </c>
      <c r="O79" s="481"/>
      <c r="P79" s="481"/>
      <c r="Q79" s="47"/>
      <c r="R79" s="134">
        <f t="shared" si="15"/>
        <v>11286897</v>
      </c>
      <c r="S79" s="40" t="s">
        <v>6</v>
      </c>
      <c r="T79" s="133">
        <f>T66</f>
        <v>5.71E-4</v>
      </c>
      <c r="U79" s="99">
        <f t="shared" si="16"/>
        <v>6445</v>
      </c>
    </row>
    <row r="80" spans="1:21" x14ac:dyDescent="0.25">
      <c r="A80" s="465" t="s">
        <v>438</v>
      </c>
      <c r="B80" s="455"/>
      <c r="C80" s="455"/>
      <c r="D80" s="72"/>
      <c r="E80" s="46" t="s">
        <v>4</v>
      </c>
      <c r="F80" s="337">
        <f>'0664'!F80</f>
        <v>206284749</v>
      </c>
      <c r="G80" s="39" t="s">
        <v>6</v>
      </c>
      <c r="H80" s="131">
        <f>H66</f>
        <v>2.493E-3</v>
      </c>
      <c r="I80" s="104">
        <f t="shared" si="14"/>
        <v>514267.88</v>
      </c>
      <c r="N80" s="480" t="s">
        <v>397</v>
      </c>
      <c r="O80" s="481"/>
      <c r="P80" s="481"/>
      <c r="Q80" s="47"/>
      <c r="R80" s="134">
        <f t="shared" si="15"/>
        <v>206284749</v>
      </c>
      <c r="S80" s="40" t="s">
        <v>6</v>
      </c>
      <c r="T80" s="133">
        <f>T66</f>
        <v>5.71E-4</v>
      </c>
      <c r="U80" s="99">
        <f t="shared" si="16"/>
        <v>117789</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2.493E-3</v>
      </c>
      <c r="I82" s="104">
        <v>88931.7</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2.493E-3</v>
      </c>
      <c r="I83" s="104">
        <v>40423.5</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129355.2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2.493E-3</v>
      </c>
      <c r="I85" s="104">
        <f t="shared" si="14"/>
        <v>0</v>
      </c>
      <c r="N85" s="480" t="s">
        <v>398</v>
      </c>
      <c r="O85" s="481"/>
      <c r="P85" s="481"/>
      <c r="Q85" s="47"/>
      <c r="R85" s="132">
        <f t="shared" si="15"/>
        <v>0</v>
      </c>
      <c r="S85" s="40" t="s">
        <v>6</v>
      </c>
      <c r="T85" s="133">
        <f>T66</f>
        <v>5.71E-4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541.47050000000002</v>
      </c>
      <c r="D92" s="469"/>
      <c r="E92" s="49">
        <f>H8</f>
        <v>1.0438000000000001</v>
      </c>
      <c r="F92" s="338">
        <f>'0664'!F92</f>
        <v>916.84</v>
      </c>
      <c r="G92" s="41" t="s">
        <v>13</v>
      </c>
      <c r="H92" s="97">
        <f>ROUND(C92*E92*F92,2)</f>
        <v>518185.96</v>
      </c>
      <c r="N92" s="56" t="s">
        <v>15</v>
      </c>
      <c r="O92" s="57">
        <f>T17+T18+T21+T24+T27+T28</f>
        <v>124</v>
      </c>
      <c r="P92" s="492">
        <f>T8</f>
        <v>1.0438000000000001</v>
      </c>
      <c r="Q92" s="492"/>
      <c r="R92" s="51">
        <f>F92</f>
        <v>916.84</v>
      </c>
      <c r="S92" s="42" t="s">
        <v>13</v>
      </c>
      <c r="T92" s="134">
        <f>ROUND(O92*P92*R92,0)</f>
        <v>118668</v>
      </c>
      <c r="U92" s="54"/>
    </row>
    <row r="93" spans="1:21" ht="16.5" thickBot="1" x14ac:dyDescent="0.3">
      <c r="A93" s="58"/>
      <c r="B93" s="142" t="s">
        <v>145</v>
      </c>
      <c r="C93" s="471">
        <f>SUM(C90:C92)</f>
        <v>541.47050000000002</v>
      </c>
      <c r="D93" s="471"/>
      <c r="E93" s="143"/>
      <c r="F93" s="143"/>
      <c r="G93" s="143"/>
      <c r="H93" s="144" t="s">
        <v>143</v>
      </c>
      <c r="I93" s="104">
        <f>IF(A1=75,0,H92+H91+H90)</f>
        <v>518185.96</v>
      </c>
      <c r="N93" s="59" t="s">
        <v>120</v>
      </c>
      <c r="O93" s="60">
        <f>SUM(O90:O92)</f>
        <v>124</v>
      </c>
      <c r="P93" s="493" t="s">
        <v>18</v>
      </c>
      <c r="Q93" s="494"/>
      <c r="R93" s="494"/>
      <c r="S93" s="494"/>
      <c r="T93" s="494"/>
      <c r="U93" s="99">
        <f>IF(N1=75,0,T92+T91+T90)</f>
        <v>118668</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887534</v>
      </c>
    </row>
    <row r="115" spans="1:21" ht="16.5" thickTop="1" x14ac:dyDescent="0.25">
      <c r="A115" s="463" t="s">
        <v>8</v>
      </c>
      <c r="B115" s="463"/>
      <c r="C115" s="463"/>
      <c r="D115" s="463"/>
      <c r="E115" s="463"/>
      <c r="F115" s="463"/>
      <c r="G115" s="463"/>
      <c r="H115" s="463"/>
      <c r="I115" s="97">
        <f>SUM(I113,I112,I110,I100,I99,I93,I85,I84,I80,I79,I78,I77,I76,I74,I73,I72,I71,I70,I68,I59,I45)</f>
        <v>3903757.55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3774402.3499999996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887534</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887534</v>
      </c>
      <c r="I122" s="97">
        <f>ROUND(IF(E29=0,0,IF(E29&gt;250,-(((250/E29)*H122)*IF(G122="H",0.02,0.05)),IF(G122="H",-0.02*H122,-0.05*H122))),2)</f>
        <v>-44376.7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3859380.8499999996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-3514352.11-345028.74</f>
        <v>-3859380.8499999996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0</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0</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U206"/>
  <sheetViews>
    <sheetView showGridLines="0" zoomScaleNormal="100" workbookViewId="0">
      <pane ySplit="1" topLeftCell="A102" activePane="bottomLeft" state="frozen"/>
      <selection activeCell="E100" sqref="E100"/>
      <selection pane="bottomLeft" activeCell="D58" sqref="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468</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23.5</v>
      </c>
      <c r="D18" s="165">
        <v>25.94</v>
      </c>
      <c r="E18" s="125">
        <f t="shared" si="3"/>
        <v>49.44</v>
      </c>
      <c r="F18" s="534">
        <f>'0664'!F18:G18</f>
        <v>0.999</v>
      </c>
      <c r="G18" s="534"/>
      <c r="H18" s="83">
        <f t="shared" si="4"/>
        <v>49.390599999999999</v>
      </c>
      <c r="I18" s="104">
        <f t="shared" si="0"/>
        <v>236498.4</v>
      </c>
      <c r="J18" s="68" t="str">
        <f>IF(ROUND(E18,2)=ROUND(SUM(E56:E58),2)," ","CHECK 4-8 LINES BELOW")</f>
        <v xml:space="preserve"> </v>
      </c>
      <c r="N18" s="481" t="s">
        <v>34</v>
      </c>
      <c r="O18" s="481"/>
      <c r="P18" s="515">
        <f t="shared" si="1"/>
        <v>49.44</v>
      </c>
      <c r="Q18" s="515"/>
      <c r="R18" s="519">
        <v>1</v>
      </c>
      <c r="S18" s="519"/>
      <c r="T18" s="98">
        <f t="shared" si="5"/>
        <v>49.44</v>
      </c>
      <c r="U18" s="101">
        <f t="shared" si="2"/>
        <v>236735</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23.5</v>
      </c>
      <c r="D29" s="97">
        <f>SUM(D13:D28)</f>
        <v>25.94</v>
      </c>
      <c r="E29" s="97">
        <f>SUM(E13:E28)</f>
        <v>49.44</v>
      </c>
      <c r="F29" s="459"/>
      <c r="G29" s="459"/>
      <c r="H29" s="102">
        <f>SUM(H13:H28)</f>
        <v>49.390599999999999</v>
      </c>
      <c r="I29" s="97">
        <f>SUM(I13:I28)</f>
        <v>236498.4</v>
      </c>
      <c r="N29" s="517" t="s">
        <v>5</v>
      </c>
      <c r="O29" s="517"/>
      <c r="P29" s="518">
        <f>SUM(P13:P28)</f>
        <v>49.44</v>
      </c>
      <c r="Q29" s="518"/>
      <c r="R29" s="510"/>
      <c r="S29" s="510"/>
      <c r="T29" s="103">
        <f>SUM(T13:T28)</f>
        <v>49.44</v>
      </c>
      <c r="U29" s="99">
        <f>SUM(U13:U28)</f>
        <v>236735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49.390599999999999</v>
      </c>
      <c r="F45" s="35"/>
      <c r="G45" s="109"/>
      <c r="H45" s="110" t="s">
        <v>129</v>
      </c>
      <c r="I45" s="97">
        <f>SUM(I43,I29)</f>
        <v>236498.4</v>
      </c>
      <c r="N45" s="482" t="s">
        <v>55</v>
      </c>
      <c r="O45" s="482"/>
      <c r="P45" s="482"/>
      <c r="Q45" s="482"/>
      <c r="R45" s="36">
        <f>R43+T29</f>
        <v>49.44</v>
      </c>
      <c r="S45" s="510" t="s">
        <v>53</v>
      </c>
      <c r="T45" s="510"/>
      <c r="U45" s="111">
        <f>SUM(U43,U29)</f>
        <v>236735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3</v>
      </c>
      <c r="D57" s="165">
        <v>2.5</v>
      </c>
      <c r="E57" s="125">
        <f t="shared" si="10"/>
        <v>5.5</v>
      </c>
      <c r="F57" s="41" t="s">
        <v>15</v>
      </c>
      <c r="G57" s="39">
        <v>252</v>
      </c>
      <c r="H57" s="321">
        <f>'0664'!H57</f>
        <v>3168</v>
      </c>
      <c r="I57" s="104">
        <f t="shared" si="11"/>
        <v>17424</v>
      </c>
      <c r="N57" s="506"/>
      <c r="O57" s="506"/>
      <c r="P57" s="508"/>
      <c r="Q57" s="508"/>
      <c r="R57" s="42" t="s">
        <v>15</v>
      </c>
      <c r="S57" s="40">
        <v>252</v>
      </c>
      <c r="T57" s="117">
        <f t="shared" si="12"/>
        <v>3168</v>
      </c>
      <c r="U57" s="118">
        <f t="shared" si="13"/>
        <v>0</v>
      </c>
    </row>
    <row r="58" spans="1:21" ht="16.5" thickBot="1" x14ac:dyDescent="0.3">
      <c r="A58" s="462"/>
      <c r="B58" s="462"/>
      <c r="C58" s="165">
        <v>20.5</v>
      </c>
      <c r="D58" s="165">
        <v>23.44</v>
      </c>
      <c r="E58" s="125">
        <f t="shared" si="10"/>
        <v>43.94</v>
      </c>
      <c r="F58" s="41" t="s">
        <v>15</v>
      </c>
      <c r="G58" s="39">
        <v>253</v>
      </c>
      <c r="H58" s="321">
        <f>'0664'!H58</f>
        <v>6685</v>
      </c>
      <c r="I58" s="104">
        <f t="shared" si="11"/>
        <v>293738.90000000002</v>
      </c>
      <c r="N58" s="506"/>
      <c r="O58" s="506"/>
      <c r="P58" s="509"/>
      <c r="Q58" s="509"/>
      <c r="R58" s="42" t="s">
        <v>15</v>
      </c>
      <c r="S58" s="40">
        <v>253</v>
      </c>
      <c r="T58" s="117">
        <f t="shared" si="12"/>
        <v>6685</v>
      </c>
      <c r="U58" s="120">
        <f t="shared" si="13"/>
        <v>0</v>
      </c>
    </row>
    <row r="59" spans="1:21" ht="16.5" thickBot="1" x14ac:dyDescent="0.3">
      <c r="A59" s="463" t="s">
        <v>16</v>
      </c>
      <c r="B59" s="463"/>
      <c r="C59" s="100">
        <f>SUM(C50:C58)</f>
        <v>23.5</v>
      </c>
      <c r="D59" s="100">
        <f>SUM(D50:D58)</f>
        <v>25.94</v>
      </c>
      <c r="E59" s="100">
        <f>SUM(E50:E58)</f>
        <v>49.44</v>
      </c>
      <c r="F59" s="463" t="s">
        <v>77</v>
      </c>
      <c r="G59" s="463"/>
      <c r="H59" s="463"/>
      <c r="I59" s="100">
        <f>SUM(I50:I58)</f>
        <v>311162.90000000002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49.44</v>
      </c>
      <c r="D62" s="466" t="s">
        <v>135</v>
      </c>
      <c r="E62" s="466"/>
      <c r="F62" s="466"/>
      <c r="G62" s="466"/>
      <c r="H62" s="335">
        <f>'0664'!H62</f>
        <v>193726.47</v>
      </c>
      <c r="I62" s="122"/>
      <c r="N62" s="480" t="s">
        <v>312</v>
      </c>
      <c r="O62" s="481"/>
      <c r="P62" s="43">
        <f>P29</f>
        <v>49.44</v>
      </c>
      <c r="Q62" s="500" t="s">
        <v>78</v>
      </c>
      <c r="R62" s="500"/>
      <c r="S62" s="500"/>
      <c r="T62" s="499">
        <f>H62</f>
        <v>193726.47</v>
      </c>
      <c r="U62" s="499"/>
    </row>
    <row r="63" spans="1:21" x14ac:dyDescent="0.25">
      <c r="B63" s="72"/>
      <c r="G63" s="44" t="s">
        <v>13</v>
      </c>
      <c r="H63" s="123">
        <f>ROUND(C62/H62,6)</f>
        <v>2.5500000000000002E-4</v>
      </c>
      <c r="I63" s="124"/>
      <c r="N63" s="481" t="s">
        <v>19</v>
      </c>
      <c r="O63" s="481"/>
      <c r="P63" s="481"/>
      <c r="Q63" s="481"/>
      <c r="R63" s="481"/>
      <c r="S63" s="481"/>
      <c r="T63" s="503">
        <f>ROUND(P62/T62,6)</f>
        <v>2.5500000000000002E-4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49.390599999999999</v>
      </c>
      <c r="D65" s="466" t="s">
        <v>140</v>
      </c>
      <c r="E65" s="466"/>
      <c r="F65" s="466"/>
      <c r="G65" s="466"/>
      <c r="H65" s="336">
        <f>'0664'!H65</f>
        <v>217214.58</v>
      </c>
      <c r="I65" s="125"/>
      <c r="N65" s="481" t="s">
        <v>80</v>
      </c>
      <c r="O65" s="481"/>
      <c r="P65" s="43">
        <f>R45</f>
        <v>49.44</v>
      </c>
      <c r="Q65" s="500" t="s">
        <v>79</v>
      </c>
      <c r="R65" s="500"/>
      <c r="S65" s="500"/>
      <c r="T65" s="499">
        <f>H65</f>
        <v>217214.58</v>
      </c>
      <c r="U65" s="499"/>
    </row>
    <row r="66" spans="1:21" s="37" customFormat="1" x14ac:dyDescent="0.25">
      <c r="A66" s="126"/>
      <c r="G66" s="45" t="s">
        <v>13</v>
      </c>
      <c r="H66" s="127">
        <f>ROUND(C65/H65,6)</f>
        <v>2.2699999999999999E-4</v>
      </c>
      <c r="I66" s="127"/>
      <c r="N66" s="484" t="s">
        <v>20</v>
      </c>
      <c r="O66" s="484"/>
      <c r="P66" s="484"/>
      <c r="Q66" s="484"/>
      <c r="R66" s="484"/>
      <c r="S66" s="484"/>
      <c r="T66" s="502">
        <f>ROUND(P65/T65,6)</f>
        <v>2.2800000000000001E-4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2.5500000000000002E-4</v>
      </c>
      <c r="I68" s="104">
        <f>ROUND(F68*H68,2)</f>
        <v>10847.57</v>
      </c>
      <c r="N68" s="481" t="s">
        <v>85</v>
      </c>
      <c r="O68" s="481"/>
      <c r="P68" s="481"/>
      <c r="Q68" s="47"/>
      <c r="R68" s="132">
        <f>F68</f>
        <v>42539472</v>
      </c>
      <c r="S68" s="40" t="s">
        <v>6</v>
      </c>
      <c r="T68" s="133">
        <f>T63</f>
        <v>2.5500000000000002E-4</v>
      </c>
      <c r="U68" s="99">
        <f>ROUND(R68*T68,0)</f>
        <v>10848</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2.5500000000000002E-4</v>
      </c>
      <c r="I70" s="104">
        <f>ROUND(F70*H70,2)</f>
        <v>0</v>
      </c>
      <c r="N70" s="48"/>
      <c r="O70" s="48"/>
      <c r="P70" s="48"/>
      <c r="Q70" s="47"/>
      <c r="R70" s="132">
        <f>F70</f>
        <v>0</v>
      </c>
      <c r="S70" s="40" t="s">
        <v>6</v>
      </c>
      <c r="T70" s="133">
        <f>T63</f>
        <v>2.5500000000000002E-4</v>
      </c>
      <c r="U70" s="99">
        <f>ROUND(R70*T70,0)</f>
        <v>0</v>
      </c>
    </row>
    <row r="71" spans="1:21" x14ac:dyDescent="0.25">
      <c r="A71" s="465" t="s">
        <v>432</v>
      </c>
      <c r="B71" s="455"/>
      <c r="C71" s="455"/>
      <c r="D71" s="72"/>
      <c r="E71" s="46" t="s">
        <v>3</v>
      </c>
      <c r="F71" s="337">
        <f>'0664'!F71</f>
        <v>13427478</v>
      </c>
      <c r="G71" s="39" t="s">
        <v>6</v>
      </c>
      <c r="H71" s="131">
        <f>H63</f>
        <v>2.5500000000000002E-4</v>
      </c>
      <c r="I71" s="104">
        <f>ROUND(F71*H71,2)</f>
        <v>3424.01</v>
      </c>
      <c r="N71" s="481" t="s">
        <v>83</v>
      </c>
      <c r="O71" s="481"/>
      <c r="P71" s="481"/>
      <c r="Q71" s="47"/>
      <c r="R71" s="132">
        <f>F71</f>
        <v>13427478</v>
      </c>
      <c r="S71" s="40" t="s">
        <v>6</v>
      </c>
      <c r="T71" s="133">
        <f>T63</f>
        <v>2.5500000000000002E-4</v>
      </c>
      <c r="U71" s="99">
        <f>ROUND(R71*T71,0)</f>
        <v>3424</v>
      </c>
    </row>
    <row r="72" spans="1:21" x14ac:dyDescent="0.25">
      <c r="A72" s="465" t="s">
        <v>433</v>
      </c>
      <c r="B72" s="455"/>
      <c r="C72" s="455"/>
      <c r="D72" s="72"/>
      <c r="E72" s="46" t="s">
        <v>3</v>
      </c>
      <c r="F72" s="337">
        <f>'0664'!F72</f>
        <v>14805238</v>
      </c>
      <c r="G72" s="39" t="s">
        <v>6</v>
      </c>
      <c r="H72" s="131">
        <f>H63</f>
        <v>2.5500000000000002E-4</v>
      </c>
      <c r="I72" s="104">
        <f>ROUND(F72*H72,2)</f>
        <v>3775.34</v>
      </c>
      <c r="N72" s="481" t="s">
        <v>82</v>
      </c>
      <c r="O72" s="481"/>
      <c r="P72" s="481"/>
      <c r="Q72" s="47"/>
      <c r="R72" s="134">
        <f>F72</f>
        <v>14805238</v>
      </c>
      <c r="S72" s="40" t="s">
        <v>6</v>
      </c>
      <c r="T72" s="133">
        <f>T63</f>
        <v>2.5500000000000002E-4</v>
      </c>
      <c r="U72" s="99">
        <f>ROUND(R72*T72,0)</f>
        <v>3775</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2.5500000000000002E-4</v>
      </c>
      <c r="I76" s="104">
        <f t="shared" ref="I76:I85" si="14">ROUND(F76*H76,2)</f>
        <v>2225.34</v>
      </c>
      <c r="N76" s="480" t="s">
        <v>366</v>
      </c>
      <c r="O76" s="481"/>
      <c r="P76" s="481"/>
      <c r="Q76" s="47"/>
      <c r="R76" s="134">
        <f t="shared" ref="R76:R85" si="15">F76</f>
        <v>8726807</v>
      </c>
      <c r="S76" s="40" t="s">
        <v>6</v>
      </c>
      <c r="T76" s="133">
        <f>T63</f>
        <v>2.5500000000000002E-4</v>
      </c>
      <c r="U76" s="99">
        <f t="shared" ref="U76:U85" si="16">ROUND(R76*T76,0)</f>
        <v>2225</v>
      </c>
    </row>
    <row r="77" spans="1:21" x14ac:dyDescent="0.25">
      <c r="A77" s="465" t="s">
        <v>435</v>
      </c>
      <c r="B77" s="455"/>
      <c r="C77" s="455"/>
      <c r="D77" s="72"/>
      <c r="E77" s="46" t="s">
        <v>3</v>
      </c>
      <c r="F77" s="337">
        <f>'0664'!F77</f>
        <v>0</v>
      </c>
      <c r="G77" s="39" t="s">
        <v>6</v>
      </c>
      <c r="H77" s="131">
        <f>H63</f>
        <v>2.5500000000000002E-4</v>
      </c>
      <c r="I77" s="104">
        <f t="shared" si="14"/>
        <v>0</v>
      </c>
      <c r="N77" s="481" t="s">
        <v>367</v>
      </c>
      <c r="O77" s="481"/>
      <c r="P77" s="481"/>
      <c r="Q77" s="47"/>
      <c r="R77" s="134">
        <f t="shared" si="15"/>
        <v>0</v>
      </c>
      <c r="S77" s="40" t="s">
        <v>6</v>
      </c>
      <c r="T77" s="133">
        <f>T63</f>
        <v>2.5500000000000002E-4</v>
      </c>
      <c r="U77" s="99">
        <f t="shared" si="16"/>
        <v>0</v>
      </c>
    </row>
    <row r="78" spans="1:21" x14ac:dyDescent="0.25">
      <c r="A78" s="465" t="s">
        <v>436</v>
      </c>
      <c r="B78" s="455"/>
      <c r="C78" s="455"/>
      <c r="D78" s="72"/>
      <c r="E78" s="46" t="s">
        <v>4</v>
      </c>
      <c r="F78" s="337">
        <f>'0664'!F78</f>
        <v>0</v>
      </c>
      <c r="G78" s="39" t="s">
        <v>6</v>
      </c>
      <c r="H78" s="131">
        <f>H66</f>
        <v>2.2699999999999999E-4</v>
      </c>
      <c r="I78" s="104">
        <f t="shared" si="14"/>
        <v>0</v>
      </c>
      <c r="N78" s="480" t="s">
        <v>392</v>
      </c>
      <c r="O78" s="481"/>
      <c r="P78" s="481"/>
      <c r="Q78" s="47"/>
      <c r="R78" s="134">
        <f t="shared" si="15"/>
        <v>0</v>
      </c>
      <c r="S78" s="40" t="s">
        <v>6</v>
      </c>
      <c r="T78" s="133">
        <f>T66</f>
        <v>2.2800000000000001E-4</v>
      </c>
      <c r="U78" s="99">
        <f t="shared" si="16"/>
        <v>0</v>
      </c>
    </row>
    <row r="79" spans="1:21" x14ac:dyDescent="0.25">
      <c r="A79" s="465" t="s">
        <v>437</v>
      </c>
      <c r="B79" s="455"/>
      <c r="C79" s="455"/>
      <c r="D79" s="72"/>
      <c r="E79" s="46" t="s">
        <v>4</v>
      </c>
      <c r="F79" s="337">
        <f>'0664'!F79</f>
        <v>11286897</v>
      </c>
      <c r="G79" s="39" t="s">
        <v>6</v>
      </c>
      <c r="H79" s="131">
        <f>H66</f>
        <v>2.2699999999999999E-4</v>
      </c>
      <c r="I79" s="104">
        <f t="shared" si="14"/>
        <v>2562.13</v>
      </c>
      <c r="N79" s="480" t="s">
        <v>393</v>
      </c>
      <c r="O79" s="481"/>
      <c r="P79" s="481"/>
      <c r="Q79" s="47"/>
      <c r="R79" s="134">
        <f t="shared" si="15"/>
        <v>11286897</v>
      </c>
      <c r="S79" s="40" t="s">
        <v>6</v>
      </c>
      <c r="T79" s="133">
        <f>T66</f>
        <v>2.2800000000000001E-4</v>
      </c>
      <c r="U79" s="99">
        <f t="shared" si="16"/>
        <v>2573</v>
      </c>
    </row>
    <row r="80" spans="1:21" x14ac:dyDescent="0.25">
      <c r="A80" s="465" t="s">
        <v>438</v>
      </c>
      <c r="B80" s="455"/>
      <c r="C80" s="455"/>
      <c r="D80" s="72"/>
      <c r="E80" s="46" t="s">
        <v>4</v>
      </c>
      <c r="F80" s="337">
        <f>'0664'!F80</f>
        <v>206284749</v>
      </c>
      <c r="G80" s="39" t="s">
        <v>6</v>
      </c>
      <c r="H80" s="131">
        <f>H66</f>
        <v>2.2699999999999999E-4</v>
      </c>
      <c r="I80" s="104">
        <f t="shared" si="14"/>
        <v>46826.64</v>
      </c>
      <c r="N80" s="480" t="s">
        <v>397</v>
      </c>
      <c r="O80" s="481"/>
      <c r="P80" s="481"/>
      <c r="Q80" s="47"/>
      <c r="R80" s="134">
        <f t="shared" si="15"/>
        <v>206284749</v>
      </c>
      <c r="S80" s="40" t="s">
        <v>6</v>
      </c>
      <c r="T80" s="133">
        <f>T66</f>
        <v>2.2800000000000001E-4</v>
      </c>
      <c r="U80" s="99">
        <f t="shared" si="16"/>
        <v>47033</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2.2699999999999999E-4</v>
      </c>
      <c r="I82" s="104">
        <v>9858.15</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2.2699999999999999E-4</v>
      </c>
      <c r="I83" s="104">
        <v>4480.9799999999996</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14339.13</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2.2699999999999999E-4</v>
      </c>
      <c r="I85" s="104">
        <f t="shared" si="14"/>
        <v>0</v>
      </c>
      <c r="N85" s="480" t="s">
        <v>398</v>
      </c>
      <c r="O85" s="481"/>
      <c r="P85" s="481"/>
      <c r="Q85" s="47"/>
      <c r="R85" s="132">
        <f t="shared" si="15"/>
        <v>0</v>
      </c>
      <c r="S85" s="40" t="s">
        <v>6</v>
      </c>
      <c r="T85" s="133">
        <f>T66</f>
        <v>2.2800000000000001E-4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49.390599999999999</v>
      </c>
      <c r="D92" s="469"/>
      <c r="E92" s="49">
        <f>H8</f>
        <v>1.0438000000000001</v>
      </c>
      <c r="F92" s="338">
        <f>'0664'!F92</f>
        <v>916.84</v>
      </c>
      <c r="G92" s="41" t="s">
        <v>13</v>
      </c>
      <c r="H92" s="97">
        <f>ROUND(C92*E92*F92,2)</f>
        <v>47266.69</v>
      </c>
      <c r="N92" s="56" t="s">
        <v>15</v>
      </c>
      <c r="O92" s="57">
        <f>T17+T18+T21+T24+T27+T28</f>
        <v>49.44</v>
      </c>
      <c r="P92" s="492">
        <f>T8</f>
        <v>1.0438000000000001</v>
      </c>
      <c r="Q92" s="492"/>
      <c r="R92" s="51">
        <f>F92</f>
        <v>916.84</v>
      </c>
      <c r="S92" s="42" t="s">
        <v>13</v>
      </c>
      <c r="T92" s="134">
        <f>ROUND(O92*P92*R92,0)</f>
        <v>47314</v>
      </c>
      <c r="U92" s="54"/>
    </row>
    <row r="93" spans="1:21" ht="16.5" thickBot="1" x14ac:dyDescent="0.3">
      <c r="A93" s="58"/>
      <c r="B93" s="142" t="s">
        <v>145</v>
      </c>
      <c r="C93" s="471">
        <f>SUM(C90:C92)</f>
        <v>49.390599999999999</v>
      </c>
      <c r="D93" s="471"/>
      <c r="E93" s="143"/>
      <c r="F93" s="143"/>
      <c r="G93" s="143"/>
      <c r="H93" s="144" t="s">
        <v>143</v>
      </c>
      <c r="I93" s="104">
        <f>IF(A1=75,0,H92+H91+H90)</f>
        <v>47266.69</v>
      </c>
      <c r="N93" s="59" t="s">
        <v>120</v>
      </c>
      <c r="O93" s="60">
        <f>SUM(O90:O92)</f>
        <v>49.44</v>
      </c>
      <c r="P93" s="493" t="s">
        <v>18</v>
      </c>
      <c r="Q93" s="494"/>
      <c r="R93" s="494"/>
      <c r="S93" s="494"/>
      <c r="T93" s="494"/>
      <c r="U93" s="99">
        <f>IF(N1=75,0,T92+T91+T90)</f>
        <v>47314</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47</v>
      </c>
      <c r="D99" s="165">
        <v>50</v>
      </c>
      <c r="E99" s="125">
        <f>(C99+D99)/2</f>
        <v>48.5</v>
      </c>
      <c r="F99" s="148" t="s">
        <v>39</v>
      </c>
      <c r="G99" s="339">
        <f>'0664'!G99</f>
        <v>544</v>
      </c>
      <c r="I99" s="104">
        <f>ROUND(G99*E99,2)</f>
        <v>26384</v>
      </c>
      <c r="N99" s="490" t="s">
        <v>65</v>
      </c>
      <c r="O99" s="490"/>
      <c r="P99" s="491">
        <f>IF(H120=1,E99,0)</f>
        <v>48.5</v>
      </c>
      <c r="Q99" s="491"/>
      <c r="R99" s="491"/>
      <c r="S99" s="86" t="s">
        <v>39</v>
      </c>
      <c r="T99" s="61">
        <f>G99</f>
        <v>544</v>
      </c>
      <c r="U99" s="99">
        <f>ROUND(T99*P99,0)</f>
        <v>26384</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380311</v>
      </c>
    </row>
    <row r="115" spans="1:21" ht="16.5" thickTop="1" x14ac:dyDescent="0.25">
      <c r="A115" s="463" t="s">
        <v>8</v>
      </c>
      <c r="B115" s="463"/>
      <c r="C115" s="463"/>
      <c r="D115" s="463"/>
      <c r="E115" s="463"/>
      <c r="F115" s="463"/>
      <c r="G115" s="463"/>
      <c r="H115" s="463"/>
      <c r="I115" s="97">
        <f>SUM(I113,I112,I110,I100,I99,I93,I85,I84,I80,I79,I78,I77,I76,I74,I73,I72,I71,I70,I68,I59,I45)</f>
        <v>705312.15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690973.02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380311</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380311</v>
      </c>
      <c r="I122" s="97">
        <f>ROUND(IF(E29=0,0,IF(E29&gt;250,-(((250/E29)*H122)*IF(G122="H",0.02,0.05)),IF(G122="H",-0.02*H122,-0.05*H122))),2)</f>
        <v>-19015.55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686296.6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-624985.75-61310.85</f>
        <v>-686296.6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0</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0</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U206"/>
  <sheetViews>
    <sheetView showGridLines="0" zoomScaleNormal="100" workbookViewId="0">
      <pane ySplit="1" topLeftCell="A102" activePane="bottomLeft" state="frozen"/>
      <selection activeCell="E100" sqref="E100"/>
      <selection pane="bottomLeft" activeCell="D53" sqref="D53"/>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161</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191.33</v>
      </c>
      <c r="D13" s="163">
        <v>186</v>
      </c>
      <c r="E13" s="210">
        <f>IF(D$29=0,C13*2,C13+D13)</f>
        <v>377.33000000000004</v>
      </c>
      <c r="F13" s="539">
        <f>'0664'!F13:G13</f>
        <v>1.1259999999999999</v>
      </c>
      <c r="G13" s="539"/>
      <c r="H13" s="167">
        <f>ROUND(E13*F13,4)</f>
        <v>424.87360000000001</v>
      </c>
      <c r="I13" s="119">
        <f t="shared" ref="I13:I28" si="0">ROUND(ROUND(H13*$C$8,4)*($H$8),2)</f>
        <v>2034434.21</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33.5</v>
      </c>
      <c r="D14" s="165">
        <v>42.09</v>
      </c>
      <c r="E14" s="125">
        <f t="shared" ref="E14:E28" si="3">IF(D$29=0,C14*2,C14+D14)</f>
        <v>75.59</v>
      </c>
      <c r="F14" s="534">
        <f>'0664'!F14:G14</f>
        <v>1.1259999999999999</v>
      </c>
      <c r="G14" s="534"/>
      <c r="H14" s="83">
        <f t="shared" ref="H14:H28" si="4">ROUND(E14*F14,4)</f>
        <v>85.1143</v>
      </c>
      <c r="I14" s="104">
        <f t="shared" si="0"/>
        <v>407555.2</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226.53</v>
      </c>
      <c r="D15" s="165">
        <v>225.17</v>
      </c>
      <c r="E15" s="125">
        <f t="shared" si="3"/>
        <v>451.7</v>
      </c>
      <c r="F15" s="534">
        <f>'0664'!F15:G15</f>
        <v>1</v>
      </c>
      <c r="G15" s="534"/>
      <c r="H15" s="83">
        <f t="shared" si="4"/>
        <v>451.7</v>
      </c>
      <c r="I15" s="104">
        <f t="shared" si="0"/>
        <v>2162887.81</v>
      </c>
      <c r="N15" s="481" t="s">
        <v>31</v>
      </c>
      <c r="O15" s="481"/>
      <c r="P15" s="515">
        <f t="shared" si="1"/>
        <v>0</v>
      </c>
      <c r="Q15" s="515"/>
      <c r="R15" s="519">
        <v>1</v>
      </c>
      <c r="S15" s="519"/>
      <c r="T15" s="98">
        <f t="shared" si="5"/>
        <v>0</v>
      </c>
      <c r="U15" s="99">
        <f t="shared" si="2"/>
        <v>0</v>
      </c>
    </row>
    <row r="16" spans="1:21" x14ac:dyDescent="0.25">
      <c r="A16" s="455" t="s">
        <v>32</v>
      </c>
      <c r="B16" s="455"/>
      <c r="C16" s="165">
        <v>56.95</v>
      </c>
      <c r="D16" s="165">
        <v>55.22</v>
      </c>
      <c r="E16" s="125">
        <f t="shared" si="3"/>
        <v>112.17</v>
      </c>
      <c r="F16" s="534">
        <f>'0664'!F16:G16</f>
        <v>1</v>
      </c>
      <c r="G16" s="534"/>
      <c r="H16" s="83">
        <f t="shared" si="4"/>
        <v>112.17</v>
      </c>
      <c r="I16" s="104">
        <f t="shared" si="0"/>
        <v>537106.77</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13.8</v>
      </c>
      <c r="D25" s="165">
        <v>12.9</v>
      </c>
      <c r="E25" s="125">
        <f t="shared" si="3"/>
        <v>26.700000000000003</v>
      </c>
      <c r="F25" s="534">
        <f>'0664'!F25:G25</f>
        <v>1.206</v>
      </c>
      <c r="G25" s="534"/>
      <c r="H25" s="83">
        <f t="shared" si="4"/>
        <v>32.200200000000002</v>
      </c>
      <c r="I25" s="104">
        <f t="shared" si="0"/>
        <v>154185.12</v>
      </c>
      <c r="N25" s="481" t="s">
        <v>114</v>
      </c>
      <c r="O25" s="481"/>
      <c r="P25" s="515">
        <f t="shared" si="1"/>
        <v>0</v>
      </c>
      <c r="Q25" s="515"/>
      <c r="R25" s="519">
        <v>1</v>
      </c>
      <c r="S25" s="519"/>
      <c r="T25" s="98">
        <f t="shared" si="5"/>
        <v>0</v>
      </c>
      <c r="U25" s="99">
        <f t="shared" si="2"/>
        <v>0</v>
      </c>
    </row>
    <row r="26" spans="1:21" x14ac:dyDescent="0.25">
      <c r="A26" s="455" t="s">
        <v>115</v>
      </c>
      <c r="B26" s="455"/>
      <c r="C26" s="165">
        <v>1.99</v>
      </c>
      <c r="D26" s="165">
        <v>1.98</v>
      </c>
      <c r="E26" s="125">
        <f t="shared" si="3"/>
        <v>3.9699999999999998</v>
      </c>
      <c r="F26" s="534">
        <f>'0664'!F26:G26</f>
        <v>1.206</v>
      </c>
      <c r="G26" s="534"/>
      <c r="H26" s="83">
        <f t="shared" si="4"/>
        <v>4.7877999999999998</v>
      </c>
      <c r="I26" s="104">
        <f t="shared" si="0"/>
        <v>22925.56</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524.1</v>
      </c>
      <c r="D29" s="97">
        <f>SUM(D13:D28)</f>
        <v>523.36</v>
      </c>
      <c r="E29" s="97">
        <f>SUM(E13:E28)</f>
        <v>1047.46</v>
      </c>
      <c r="F29" s="459"/>
      <c r="G29" s="459"/>
      <c r="H29" s="102">
        <f>SUM(H13:H28)</f>
        <v>1110.8459</v>
      </c>
      <c r="I29" s="97">
        <f>SUM(I13:I28)</f>
        <v>5319094.67</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1110.8459</v>
      </c>
      <c r="F45" s="35"/>
      <c r="G45" s="109"/>
      <c r="H45" s="110" t="s">
        <v>129</v>
      </c>
      <c r="I45" s="97">
        <f>SUM(I43,I29)</f>
        <v>5319094.67</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31.5</v>
      </c>
      <c r="D50" s="165">
        <v>39.68</v>
      </c>
      <c r="E50" s="125">
        <f>IF(D$59=0,C50*2,C50+D50)</f>
        <v>71.180000000000007</v>
      </c>
      <c r="F50" s="39" t="s">
        <v>21</v>
      </c>
      <c r="G50" s="39">
        <v>251</v>
      </c>
      <c r="H50" s="321">
        <f>'0664'!H50</f>
        <v>1047</v>
      </c>
      <c r="I50" s="104">
        <f>ROUND(E50*H50,2)</f>
        <v>74525.460000000006</v>
      </c>
      <c r="N50" s="506" t="s">
        <v>28</v>
      </c>
      <c r="O50" s="506"/>
      <c r="P50" s="507"/>
      <c r="Q50" s="507"/>
      <c r="R50" s="40" t="s">
        <v>21</v>
      </c>
      <c r="S50" s="40">
        <v>251</v>
      </c>
      <c r="T50" s="117">
        <f>H50</f>
        <v>1047</v>
      </c>
      <c r="U50" s="118">
        <f>ROUND(P50*T50,0)</f>
        <v>0</v>
      </c>
    </row>
    <row r="51" spans="1:21" x14ac:dyDescent="0.25">
      <c r="A51" s="462"/>
      <c r="B51" s="462"/>
      <c r="C51" s="165">
        <v>2</v>
      </c>
      <c r="D51" s="165">
        <v>2.41</v>
      </c>
      <c r="E51" s="125">
        <f t="shared" ref="E51:E58" si="10">IF(D$59=0,C51*2,C51+D51)</f>
        <v>4.41</v>
      </c>
      <c r="F51" s="39" t="s">
        <v>21</v>
      </c>
      <c r="G51" s="39">
        <v>252</v>
      </c>
      <c r="H51" s="321">
        <f>'0664'!H51</f>
        <v>3380</v>
      </c>
      <c r="I51" s="104">
        <f t="shared" ref="I51:I58" si="11">ROUND(E51*H51,2)</f>
        <v>14905.8</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54.95</v>
      </c>
      <c r="D53" s="165">
        <v>53.32</v>
      </c>
      <c r="E53" s="125">
        <f t="shared" si="10"/>
        <v>108.27000000000001</v>
      </c>
      <c r="F53" s="41" t="s">
        <v>14</v>
      </c>
      <c r="G53" s="39">
        <v>251</v>
      </c>
      <c r="H53" s="321">
        <f>'0664'!H53</f>
        <v>1173</v>
      </c>
      <c r="I53" s="104">
        <f t="shared" si="11"/>
        <v>127000.71</v>
      </c>
      <c r="N53" s="506"/>
      <c r="O53" s="506"/>
      <c r="P53" s="508"/>
      <c r="Q53" s="508"/>
      <c r="R53" s="42" t="s">
        <v>14</v>
      </c>
      <c r="S53" s="40">
        <v>251</v>
      </c>
      <c r="T53" s="117">
        <f t="shared" si="12"/>
        <v>1173</v>
      </c>
      <c r="U53" s="118">
        <f t="shared" si="13"/>
        <v>0</v>
      </c>
    </row>
    <row r="54" spans="1:21" x14ac:dyDescent="0.25">
      <c r="A54" s="462"/>
      <c r="B54" s="462"/>
      <c r="C54" s="165">
        <v>2</v>
      </c>
      <c r="D54" s="165">
        <v>1.9</v>
      </c>
      <c r="E54" s="125">
        <f t="shared" si="10"/>
        <v>3.9</v>
      </c>
      <c r="F54" s="41" t="s">
        <v>14</v>
      </c>
      <c r="G54" s="39">
        <v>252</v>
      </c>
      <c r="H54" s="321">
        <f>'0664'!H54</f>
        <v>3506</v>
      </c>
      <c r="I54" s="104">
        <f t="shared" si="11"/>
        <v>13673.4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90.45</v>
      </c>
      <c r="D59" s="100">
        <f>SUM(D50:D58)</f>
        <v>97.31</v>
      </c>
      <c r="E59" s="100">
        <f>SUM(E50:E58)</f>
        <v>187.76000000000002</v>
      </c>
      <c r="F59" s="463" t="s">
        <v>77</v>
      </c>
      <c r="G59" s="463"/>
      <c r="H59" s="463"/>
      <c r="I59" s="100">
        <f>SUM(I50:I58)</f>
        <v>230105.37000000002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1047.46</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5.4070000000000003E-3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1110.8459</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5.1139999999999996E-3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5.4070000000000003E-3</v>
      </c>
      <c r="I68" s="104">
        <f>ROUND(F68*H68,2)</f>
        <v>230010.93</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5.4070000000000003E-3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5.4070000000000003E-3</v>
      </c>
      <c r="I71" s="104">
        <f>ROUND(F71*H71,2)</f>
        <v>72602.37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5.4070000000000003E-3</v>
      </c>
      <c r="I72" s="104">
        <f>ROUND(F72*H72,2)</f>
        <v>80051.92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5.4070000000000003E-3</v>
      </c>
      <c r="I76" s="104">
        <f t="shared" ref="I76:I85" si="14">ROUND(F76*H76,2)</f>
        <v>47185.85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5.4070000000000003E-3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5.1139999999999996E-3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5.1139999999999996E-3</v>
      </c>
      <c r="I79" s="104">
        <f t="shared" si="14"/>
        <v>57721.19</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5.1139999999999996E-3</v>
      </c>
      <c r="I80" s="104">
        <f t="shared" si="14"/>
        <v>1054940.21</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5.1139999999999996E-3</v>
      </c>
      <c r="I82" s="104">
        <v>194588.98</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5.1139999999999996E-3</v>
      </c>
      <c r="I83" s="104">
        <v>88449.54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283038.52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5.1139999999999996E-3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542.18810000000008</v>
      </c>
      <c r="D90" s="469"/>
      <c r="E90" s="49">
        <f>H8</f>
        <v>1.0438000000000001</v>
      </c>
      <c r="F90" s="338">
        <f>'0664'!F90</f>
        <v>957.94</v>
      </c>
      <c r="G90" s="41" t="s">
        <v>13</v>
      </c>
      <c r="H90" s="104">
        <f>ROUND(C90*E90*F90,2)</f>
        <v>542132.67000000004</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568.65779999999995</v>
      </c>
      <c r="D91" s="469"/>
      <c r="E91" s="49">
        <f>H8</f>
        <v>1.0438000000000001</v>
      </c>
      <c r="F91" s="338">
        <f>'0664'!F91</f>
        <v>914.63</v>
      </c>
      <c r="G91" s="41" t="s">
        <v>13</v>
      </c>
      <c r="H91" s="104">
        <f>ROUND(C91*E91*F91,2)</f>
        <v>542892.37</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1110.8459</v>
      </c>
      <c r="D93" s="471"/>
      <c r="E93" s="143"/>
      <c r="F93" s="143"/>
      <c r="G93" s="143"/>
      <c r="H93" s="144" t="s">
        <v>143</v>
      </c>
      <c r="I93" s="104">
        <f>IF(A1=75,0,H92+H91+H90)</f>
        <v>1085025.04</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71</v>
      </c>
      <c r="D99" s="165">
        <v>78</v>
      </c>
      <c r="E99" s="125">
        <f>(C99+D99)/2</f>
        <v>74.5</v>
      </c>
      <c r="F99" s="148" t="s">
        <v>39</v>
      </c>
      <c r="G99" s="339">
        <f>'0664'!G99</f>
        <v>544</v>
      </c>
      <c r="I99" s="104">
        <f>ROUND(G99*E99,2)</f>
        <v>40528</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8500304.0700000003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8217265.5500000007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8217265.5500000007</v>
      </c>
      <c r="I122" s="97">
        <f>ROUND(IF(E29=0,0,IF(E29&gt;250,-(((250/E29)*H122)*IF(G122="H",0.02,0.05)),IF(G122="H",-0.02*H122,-0.05*H122))),2)</f>
        <v>-39224.720000000001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8461079.3499999996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-7741962.83-713215.52</f>
        <v>-8455178.3499999996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5901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5901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125120.59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U206"/>
  <sheetViews>
    <sheetView showGridLines="0" zoomScaleNormal="100" workbookViewId="0">
      <pane ySplit="1" topLeftCell="A118" activePane="bottomLeft" state="frozen"/>
      <selection activeCell="E100" sqref="E100"/>
      <selection pane="bottomLeft" activeCell="D24" sqref="D2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162</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51.07</v>
      </c>
      <c r="D13" s="163">
        <v>50.11</v>
      </c>
      <c r="E13" s="210">
        <f>IF(D$29=0,C13*2,C13+D13)</f>
        <v>101.18</v>
      </c>
      <c r="F13" s="539">
        <f>'0664'!F13:G13</f>
        <v>1.1259999999999999</v>
      </c>
      <c r="G13" s="539"/>
      <c r="H13" s="167">
        <f>ROUND(E13*F13,4)</f>
        <v>113.92870000000001</v>
      </c>
      <c r="I13" s="119">
        <f t="shared" ref="I13:I28" si="0">ROUND(ROUND(H13*$C$8,4)*($H$8),2)</f>
        <v>545528</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7</v>
      </c>
      <c r="D14" s="165">
        <v>7.91</v>
      </c>
      <c r="E14" s="125">
        <f t="shared" ref="E14:E28" si="3">IF(D$29=0,C14*2,C14+D14)</f>
        <v>14.91</v>
      </c>
      <c r="F14" s="534">
        <f>'0664'!F14:G14</f>
        <v>1.1259999999999999</v>
      </c>
      <c r="G14" s="534"/>
      <c r="H14" s="83">
        <f t="shared" ref="H14:H28" si="4">ROUND(E14*F14,4)</f>
        <v>16.788699999999999</v>
      </c>
      <c r="I14" s="104">
        <f t="shared" si="0"/>
        <v>80389.8</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60.02</v>
      </c>
      <c r="D15" s="165">
        <v>60.58</v>
      </c>
      <c r="E15" s="125">
        <f t="shared" si="3"/>
        <v>120.6</v>
      </c>
      <c r="F15" s="534">
        <f>'0664'!F15:G15</f>
        <v>1</v>
      </c>
      <c r="G15" s="534"/>
      <c r="H15" s="83">
        <f t="shared" si="4"/>
        <v>120.6</v>
      </c>
      <c r="I15" s="104">
        <f t="shared" si="0"/>
        <v>577472.37</v>
      </c>
      <c r="N15" s="481" t="s">
        <v>31</v>
      </c>
      <c r="O15" s="481"/>
      <c r="P15" s="515">
        <f t="shared" si="1"/>
        <v>0</v>
      </c>
      <c r="Q15" s="515"/>
      <c r="R15" s="519">
        <v>1</v>
      </c>
      <c r="S15" s="519"/>
      <c r="T15" s="98">
        <f t="shared" si="5"/>
        <v>0</v>
      </c>
      <c r="U15" s="99">
        <f t="shared" si="2"/>
        <v>0</v>
      </c>
    </row>
    <row r="16" spans="1:21" x14ac:dyDescent="0.25">
      <c r="A16" s="455" t="s">
        <v>32</v>
      </c>
      <c r="B16" s="455"/>
      <c r="C16" s="165">
        <v>12</v>
      </c>
      <c r="D16" s="165">
        <v>11</v>
      </c>
      <c r="E16" s="125">
        <f t="shared" si="3"/>
        <v>23</v>
      </c>
      <c r="F16" s="534">
        <f>'0664'!F16:G16</f>
        <v>1</v>
      </c>
      <c r="G16" s="534"/>
      <c r="H16" s="83">
        <f t="shared" si="4"/>
        <v>23</v>
      </c>
      <c r="I16" s="104">
        <f t="shared" si="0"/>
        <v>110131.55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0.92</v>
      </c>
      <c r="D25" s="165">
        <v>0.92</v>
      </c>
      <c r="E25" s="125">
        <f t="shared" si="3"/>
        <v>1.84</v>
      </c>
      <c r="F25" s="534">
        <f>'0664'!F25:G25</f>
        <v>1.206</v>
      </c>
      <c r="G25" s="534"/>
      <c r="H25" s="83">
        <f t="shared" si="4"/>
        <v>2.2189999999999999</v>
      </c>
      <c r="I25" s="104">
        <f t="shared" si="0"/>
        <v>10625.3</v>
      </c>
      <c r="N25" s="481" t="s">
        <v>114</v>
      </c>
      <c r="O25" s="481"/>
      <c r="P25" s="515">
        <f t="shared" si="1"/>
        <v>0</v>
      </c>
      <c r="Q25" s="515"/>
      <c r="R25" s="519">
        <v>1</v>
      </c>
      <c r="S25" s="519"/>
      <c r="T25" s="98">
        <f t="shared" si="5"/>
        <v>0</v>
      </c>
      <c r="U25" s="99">
        <f t="shared" si="2"/>
        <v>0</v>
      </c>
    </row>
    <row r="26" spans="1:21" x14ac:dyDescent="0.25">
      <c r="A26" s="455" t="s">
        <v>115</v>
      </c>
      <c r="B26" s="455"/>
      <c r="C26" s="165">
        <v>2.5</v>
      </c>
      <c r="D26" s="165">
        <v>0.42</v>
      </c>
      <c r="E26" s="125">
        <f t="shared" si="3"/>
        <v>2.92</v>
      </c>
      <c r="F26" s="534">
        <f>'0664'!F26:G26</f>
        <v>1.206</v>
      </c>
      <c r="G26" s="534"/>
      <c r="H26" s="83">
        <f t="shared" si="4"/>
        <v>3.5215000000000001</v>
      </c>
      <c r="I26" s="104">
        <f t="shared" si="0"/>
        <v>16862.099999999999</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133.51</v>
      </c>
      <c r="D29" s="97">
        <f>SUM(D13:D28)</f>
        <v>130.93999999999997</v>
      </c>
      <c r="E29" s="97">
        <f>SUM(E13:E28)</f>
        <v>264.45</v>
      </c>
      <c r="F29" s="459"/>
      <c r="G29" s="459"/>
      <c r="H29" s="102">
        <f>SUM(H13:H28)</f>
        <v>280.05790000000002</v>
      </c>
      <c r="I29" s="97">
        <f>SUM(I13:I28)</f>
        <v>1341009.1200000001</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280.05790000000002</v>
      </c>
      <c r="F45" s="35"/>
      <c r="G45" s="109"/>
      <c r="H45" s="110" t="s">
        <v>129</v>
      </c>
      <c r="I45" s="97">
        <f>SUM(I43,I29)</f>
        <v>1341009.1200000001</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7</v>
      </c>
      <c r="D50" s="165">
        <v>7.91</v>
      </c>
      <c r="E50" s="125">
        <f>IF(D$59=0,C50*2,C50+D50)</f>
        <v>14.91</v>
      </c>
      <c r="F50" s="39" t="s">
        <v>21</v>
      </c>
      <c r="G50" s="39">
        <v>251</v>
      </c>
      <c r="H50" s="321">
        <f>'0664'!H50</f>
        <v>1047</v>
      </c>
      <c r="I50" s="104">
        <f>ROUND(E50*H50,2)</f>
        <v>15610.77</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12</v>
      </c>
      <c r="D53" s="165">
        <v>11</v>
      </c>
      <c r="E53" s="125">
        <f t="shared" si="10"/>
        <v>23</v>
      </c>
      <c r="F53" s="41" t="s">
        <v>14</v>
      </c>
      <c r="G53" s="39">
        <v>251</v>
      </c>
      <c r="H53" s="321">
        <f>'0664'!H53</f>
        <v>1173</v>
      </c>
      <c r="I53" s="104">
        <f t="shared" si="11"/>
        <v>26979</v>
      </c>
      <c r="N53" s="506"/>
      <c r="O53" s="506"/>
      <c r="P53" s="508"/>
      <c r="Q53" s="508"/>
      <c r="R53" s="42" t="s">
        <v>14</v>
      </c>
      <c r="S53" s="40">
        <v>251</v>
      </c>
      <c r="T53" s="117">
        <f t="shared" si="12"/>
        <v>1173</v>
      </c>
      <c r="U53" s="118">
        <f t="shared" si="13"/>
        <v>0</v>
      </c>
    </row>
    <row r="54" spans="1:21" x14ac:dyDescent="0.25">
      <c r="A54" s="462"/>
      <c r="B54" s="462"/>
      <c r="C54" s="165">
        <v>0</v>
      </c>
      <c r="D54" s="165">
        <v>0</v>
      </c>
      <c r="E54" s="125">
        <f>IF(D$59=0,C54*2,C54+D54)</f>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19</v>
      </c>
      <c r="D59" s="100">
        <f>SUM(D50:D58)</f>
        <v>18.91</v>
      </c>
      <c r="E59" s="100">
        <f>SUM(E50:E58)</f>
        <v>37.909999999999997</v>
      </c>
      <c r="F59" s="463" t="s">
        <v>77</v>
      </c>
      <c r="G59" s="463"/>
      <c r="H59" s="463"/>
      <c r="I59" s="100">
        <f>SUM(I50:I58)</f>
        <v>42589.770000000004</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264.45</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1.3649999999999999E-3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280.05790000000002</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1.289E-3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1.3649999999999999E-3</v>
      </c>
      <c r="I68" s="104">
        <f>ROUND(F68*H68,2)</f>
        <v>58066.38</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1.3649999999999999E-3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1.3649999999999999E-3</v>
      </c>
      <c r="I71" s="104">
        <f>ROUND(F71*H71,2)</f>
        <v>18328.509999999998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1.3649999999999999E-3</v>
      </c>
      <c r="I72" s="104">
        <f>ROUND(F72*H72,2)</f>
        <v>20209.150000000001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1.3649999999999999E-3</v>
      </c>
      <c r="I76" s="104">
        <f t="shared" ref="I76:I85" si="14">ROUND(F76*H76,2)</f>
        <v>11912.09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1.3649999999999999E-3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1.289E-3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1.289E-3</v>
      </c>
      <c r="I79" s="104">
        <f t="shared" si="14"/>
        <v>14548.81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1.289E-3</v>
      </c>
      <c r="I80" s="104">
        <f t="shared" si="14"/>
        <v>265901.03999999998</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1.289E-3</v>
      </c>
      <c r="I82" s="104">
        <v>47037.2</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1.289E-3</v>
      </c>
      <c r="I83" s="104">
        <v>21380.54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68417.739999999991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1.289E-3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132.93639999999999</v>
      </c>
      <c r="D90" s="469"/>
      <c r="E90" s="49">
        <f>H8</f>
        <v>1.0438000000000001</v>
      </c>
      <c r="F90" s="338">
        <f>'0664'!F90</f>
        <v>957.94</v>
      </c>
      <c r="G90" s="41" t="s">
        <v>13</v>
      </c>
      <c r="H90" s="104">
        <f>ROUND(C90*E90*F90,2)</f>
        <v>132922.81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147.1215</v>
      </c>
      <c r="D91" s="469"/>
      <c r="E91" s="49">
        <f>H8</f>
        <v>1.0438000000000001</v>
      </c>
      <c r="F91" s="338">
        <f>'0664'!F91</f>
        <v>914.63</v>
      </c>
      <c r="G91" s="41" t="s">
        <v>13</v>
      </c>
      <c r="H91" s="104">
        <f>ROUND(C91*E91*F91,2)</f>
        <v>140455.54</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280.05790000000002</v>
      </c>
      <c r="D93" s="471"/>
      <c r="E93" s="143"/>
      <c r="F93" s="143"/>
      <c r="G93" s="143"/>
      <c r="H93" s="144" t="s">
        <v>143</v>
      </c>
      <c r="I93" s="104">
        <f>IF(A1=75,0,H92+H91+H90)</f>
        <v>273378.34999999998</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182</v>
      </c>
      <c r="D99" s="165">
        <v>253</v>
      </c>
      <c r="E99" s="125">
        <f>(C99+D99)/2</f>
        <v>217.5</v>
      </c>
      <c r="F99" s="148" t="s">
        <v>39</v>
      </c>
      <c r="G99" s="339">
        <f>'0664'!G99</f>
        <v>544</v>
      </c>
      <c r="I99" s="104">
        <f>ROUND(G99*E99,2)</f>
        <v>118320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2232680.96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2164263.2199999997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2164263.2199999997</v>
      </c>
      <c r="I122" s="97">
        <f>ROUND(IF(E29=0,0,IF(E29&gt;250,-(((250/E29)*H122)*IF(G122="H",0.02,0.05)),IF(G122="H",-0.02*H122,-0.05*H122))),2)</f>
        <v>-102300.21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2130380.75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-1890520.74-237810.72</f>
        <v>-2128331.46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2049.2900000000373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2049.29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5912.95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U206"/>
  <sheetViews>
    <sheetView showGridLines="0" zoomScaleNormal="100" workbookViewId="0">
      <pane ySplit="1" topLeftCell="A115" activePane="bottomLeft" state="frozen"/>
      <selection activeCell="E100" sqref="E100"/>
      <selection pane="bottomLeft" activeCell="G56" sqref="G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163</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1.5</v>
      </c>
      <c r="D16" s="165">
        <v>1</v>
      </c>
      <c r="E16" s="125">
        <f t="shared" si="3"/>
        <v>2.5</v>
      </c>
      <c r="F16" s="534">
        <f>'0664'!F16:G16</f>
        <v>1</v>
      </c>
      <c r="G16" s="534"/>
      <c r="H16" s="83">
        <f t="shared" si="4"/>
        <v>2.5</v>
      </c>
      <c r="I16" s="104">
        <f t="shared" si="0"/>
        <v>11970.82</v>
      </c>
      <c r="J16" s="68" t="str">
        <f>IF(ROUND(E16,2)=ROUND(SUM(E53:E55),2)," ","CHECK 4-8 LINES BELOW")</f>
        <v xml:space="preserve"> </v>
      </c>
      <c r="N16" s="481" t="s">
        <v>32</v>
      </c>
      <c r="O16" s="481"/>
      <c r="P16" s="515">
        <f t="shared" si="1"/>
        <v>2.5</v>
      </c>
      <c r="Q16" s="515"/>
      <c r="R16" s="519">
        <v>1</v>
      </c>
      <c r="S16" s="519"/>
      <c r="T16" s="98">
        <f t="shared" si="5"/>
        <v>2.5</v>
      </c>
      <c r="U16" s="99">
        <f t="shared" si="2"/>
        <v>11971</v>
      </c>
    </row>
    <row r="17" spans="1:21" x14ac:dyDescent="0.25">
      <c r="A17" s="455" t="s">
        <v>33</v>
      </c>
      <c r="B17" s="455"/>
      <c r="C17" s="165">
        <v>0</v>
      </c>
      <c r="D17" s="165"/>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15</v>
      </c>
      <c r="D18" s="165">
        <v>14.96</v>
      </c>
      <c r="E18" s="125">
        <f t="shared" si="3"/>
        <v>29.96</v>
      </c>
      <c r="F18" s="534">
        <f>'0664'!F18:G18</f>
        <v>0.999</v>
      </c>
      <c r="G18" s="534"/>
      <c r="H18" s="83">
        <f t="shared" si="4"/>
        <v>29.93</v>
      </c>
      <c r="I18" s="104">
        <f t="shared" si="0"/>
        <v>143314.66</v>
      </c>
      <c r="J18" s="68" t="str">
        <f>IF(ROUND(E18,2)=ROUND(SUM(E56:E58),2)," ","CHECK 4-8 LINES BELOW")</f>
        <v xml:space="preserve"> </v>
      </c>
      <c r="N18" s="481" t="s">
        <v>34</v>
      </c>
      <c r="O18" s="481"/>
      <c r="P18" s="515">
        <f t="shared" si="1"/>
        <v>29.96</v>
      </c>
      <c r="Q18" s="515"/>
      <c r="R18" s="519">
        <v>1</v>
      </c>
      <c r="S18" s="519"/>
      <c r="T18" s="98">
        <f t="shared" si="5"/>
        <v>29.96</v>
      </c>
      <c r="U18" s="101">
        <f t="shared" si="2"/>
        <v>143458</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16.5</v>
      </c>
      <c r="D29" s="97">
        <f>SUM(D13:D28)</f>
        <v>15.96</v>
      </c>
      <c r="E29" s="97">
        <f>SUM(E13:E28)</f>
        <v>32.46</v>
      </c>
      <c r="F29" s="459"/>
      <c r="G29" s="459"/>
      <c r="H29" s="102">
        <f>SUM(H13:H28)</f>
        <v>32.43</v>
      </c>
      <c r="I29" s="97">
        <f>SUM(I13:I28)</f>
        <v>155285.48000000001</v>
      </c>
      <c r="N29" s="517" t="s">
        <v>5</v>
      </c>
      <c r="O29" s="517"/>
      <c r="P29" s="518">
        <f>SUM(P13:P28)</f>
        <v>32.46</v>
      </c>
      <c r="Q29" s="518"/>
      <c r="R29" s="510"/>
      <c r="S29" s="510"/>
      <c r="T29" s="103">
        <f>SUM(T13:T28)</f>
        <v>32.46</v>
      </c>
      <c r="U29" s="99">
        <f>SUM(U13:U28)</f>
        <v>155429</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32.43</v>
      </c>
      <c r="F45" s="35"/>
      <c r="G45" s="109"/>
      <c r="H45" s="110" t="s">
        <v>129</v>
      </c>
      <c r="I45" s="97">
        <f>SUM(I43,I29)</f>
        <v>155285.48000000001</v>
      </c>
      <c r="N45" s="482" t="s">
        <v>55</v>
      </c>
      <c r="O45" s="482"/>
      <c r="P45" s="482"/>
      <c r="Q45" s="482"/>
      <c r="R45" s="36">
        <f>R43+T29</f>
        <v>32.46</v>
      </c>
      <c r="S45" s="510" t="s">
        <v>53</v>
      </c>
      <c r="T45" s="510"/>
      <c r="U45" s="111">
        <f>SUM(U43,U29)</f>
        <v>155429</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1.5</v>
      </c>
      <c r="D55" s="165">
        <v>1</v>
      </c>
      <c r="E55" s="125">
        <f t="shared" si="10"/>
        <v>2.5</v>
      </c>
      <c r="F55" s="41" t="s">
        <v>14</v>
      </c>
      <c r="G55" s="39">
        <v>253</v>
      </c>
      <c r="H55" s="321">
        <f>'0664'!H55</f>
        <v>7023</v>
      </c>
      <c r="I55" s="104">
        <f t="shared" si="11"/>
        <v>17557.5</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1.5</v>
      </c>
      <c r="D57" s="165">
        <v>0.91</v>
      </c>
      <c r="E57" s="125">
        <f t="shared" si="10"/>
        <v>2.41</v>
      </c>
      <c r="F57" s="41" t="s">
        <v>15</v>
      </c>
      <c r="G57" s="39">
        <v>252</v>
      </c>
      <c r="H57" s="321">
        <f>'0664'!H57</f>
        <v>3168</v>
      </c>
      <c r="I57" s="104">
        <f t="shared" si="11"/>
        <v>7634.88</v>
      </c>
      <c r="N57" s="506"/>
      <c r="O57" s="506"/>
      <c r="P57" s="508"/>
      <c r="Q57" s="508"/>
      <c r="R57" s="42" t="s">
        <v>15</v>
      </c>
      <c r="S57" s="40">
        <v>252</v>
      </c>
      <c r="T57" s="117">
        <f t="shared" si="12"/>
        <v>3168</v>
      </c>
      <c r="U57" s="118">
        <f t="shared" si="13"/>
        <v>0</v>
      </c>
    </row>
    <row r="58" spans="1:21" ht="16.5" thickBot="1" x14ac:dyDescent="0.3">
      <c r="A58" s="462"/>
      <c r="B58" s="462"/>
      <c r="C58" s="165">
        <v>13.5</v>
      </c>
      <c r="D58" s="165">
        <v>14.05</v>
      </c>
      <c r="E58" s="125">
        <f t="shared" si="10"/>
        <v>27.55</v>
      </c>
      <c r="F58" s="41" t="s">
        <v>15</v>
      </c>
      <c r="G58" s="39">
        <v>253</v>
      </c>
      <c r="H58" s="321">
        <f>'0664'!H58</f>
        <v>6685</v>
      </c>
      <c r="I58" s="104">
        <f t="shared" si="11"/>
        <v>184171.75</v>
      </c>
      <c r="N58" s="506"/>
      <c r="O58" s="506"/>
      <c r="P58" s="509"/>
      <c r="Q58" s="509"/>
      <c r="R58" s="42" t="s">
        <v>15</v>
      </c>
      <c r="S58" s="40">
        <v>253</v>
      </c>
      <c r="T58" s="117">
        <f t="shared" si="12"/>
        <v>6685</v>
      </c>
      <c r="U58" s="120">
        <f t="shared" si="13"/>
        <v>0</v>
      </c>
    </row>
    <row r="59" spans="1:21" ht="16.5" thickBot="1" x14ac:dyDescent="0.3">
      <c r="A59" s="463" t="s">
        <v>16</v>
      </c>
      <c r="B59" s="463"/>
      <c r="C59" s="100">
        <f>SUM(C50:C58)</f>
        <v>16.5</v>
      </c>
      <c r="D59" s="100">
        <f>SUM(D50:D58)</f>
        <v>15.96</v>
      </c>
      <c r="E59" s="100">
        <f>SUM(E50:E58)</f>
        <v>32.46</v>
      </c>
      <c r="F59" s="463" t="s">
        <v>77</v>
      </c>
      <c r="G59" s="463"/>
      <c r="H59" s="463"/>
      <c r="I59" s="100">
        <f>SUM(I50:I58)</f>
        <v>209364.13</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32.46</v>
      </c>
      <c r="D62" s="466" t="s">
        <v>135</v>
      </c>
      <c r="E62" s="466"/>
      <c r="F62" s="466"/>
      <c r="G62" s="466"/>
      <c r="H62" s="335">
        <f>'0664'!H62</f>
        <v>193726.47</v>
      </c>
      <c r="I62" s="122"/>
      <c r="N62" s="480" t="s">
        <v>312</v>
      </c>
      <c r="O62" s="481"/>
      <c r="P62" s="43">
        <f>P29</f>
        <v>32.46</v>
      </c>
      <c r="Q62" s="500" t="s">
        <v>78</v>
      </c>
      <c r="R62" s="500"/>
      <c r="S62" s="500"/>
      <c r="T62" s="499">
        <f>H62</f>
        <v>193726.47</v>
      </c>
      <c r="U62" s="499"/>
    </row>
    <row r="63" spans="1:21" x14ac:dyDescent="0.25">
      <c r="B63" s="72"/>
      <c r="G63" s="44" t="s">
        <v>13</v>
      </c>
      <c r="H63" s="123">
        <f>ROUND(C62/H62,6)</f>
        <v>1.6799999999999999E-4</v>
      </c>
      <c r="I63" s="124"/>
      <c r="N63" s="481" t="s">
        <v>19</v>
      </c>
      <c r="O63" s="481"/>
      <c r="P63" s="481"/>
      <c r="Q63" s="481"/>
      <c r="R63" s="481"/>
      <c r="S63" s="481"/>
      <c r="T63" s="503">
        <f>ROUND(P62/T62,6)</f>
        <v>1.6799999999999999E-4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32.43</v>
      </c>
      <c r="D65" s="466" t="s">
        <v>140</v>
      </c>
      <c r="E65" s="466"/>
      <c r="F65" s="466"/>
      <c r="G65" s="466"/>
      <c r="H65" s="336">
        <f>'0664'!H65</f>
        <v>217214.58</v>
      </c>
      <c r="I65" s="125"/>
      <c r="N65" s="481" t="s">
        <v>80</v>
      </c>
      <c r="O65" s="481"/>
      <c r="P65" s="43">
        <f>R45</f>
        <v>32.46</v>
      </c>
      <c r="Q65" s="500" t="s">
        <v>79</v>
      </c>
      <c r="R65" s="500"/>
      <c r="S65" s="500"/>
      <c r="T65" s="499">
        <f>H65</f>
        <v>217214.58</v>
      </c>
      <c r="U65" s="499"/>
    </row>
    <row r="66" spans="1:21" s="37" customFormat="1" x14ac:dyDescent="0.25">
      <c r="A66" s="126"/>
      <c r="G66" s="45" t="s">
        <v>13</v>
      </c>
      <c r="H66" s="127">
        <f>ROUND(C65/H65,6)</f>
        <v>1.4899999999999999E-4</v>
      </c>
      <c r="I66" s="127"/>
      <c r="N66" s="484" t="s">
        <v>20</v>
      </c>
      <c r="O66" s="484"/>
      <c r="P66" s="484"/>
      <c r="Q66" s="484"/>
      <c r="R66" s="484"/>
      <c r="S66" s="484"/>
      <c r="T66" s="502">
        <f>ROUND(P65/T65,6)</f>
        <v>1.4899999999999999E-4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1.6799999999999999E-4</v>
      </c>
      <c r="I68" s="104">
        <f>ROUND(F68*H68,2)</f>
        <v>7146.63</v>
      </c>
      <c r="N68" s="481" t="s">
        <v>85</v>
      </c>
      <c r="O68" s="481"/>
      <c r="P68" s="481"/>
      <c r="Q68" s="47"/>
      <c r="R68" s="132">
        <f>F68</f>
        <v>42539472</v>
      </c>
      <c r="S68" s="40" t="s">
        <v>6</v>
      </c>
      <c r="T68" s="133">
        <f>T63</f>
        <v>1.6799999999999999E-4</v>
      </c>
      <c r="U68" s="99">
        <f>ROUND(R68*T68,0)</f>
        <v>7147</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1.6799999999999999E-4</v>
      </c>
      <c r="I70" s="104">
        <f>ROUND(F70*H70,2)</f>
        <v>0</v>
      </c>
      <c r="N70" s="48"/>
      <c r="O70" s="48"/>
      <c r="P70" s="48"/>
      <c r="Q70" s="47"/>
      <c r="R70" s="132">
        <f>F70</f>
        <v>0</v>
      </c>
      <c r="S70" s="40" t="s">
        <v>6</v>
      </c>
      <c r="T70" s="133">
        <f>T63</f>
        <v>1.6799999999999999E-4</v>
      </c>
      <c r="U70" s="99">
        <f>ROUND(R70*T70,0)</f>
        <v>0</v>
      </c>
    </row>
    <row r="71" spans="1:21" x14ac:dyDescent="0.25">
      <c r="A71" s="465" t="s">
        <v>432</v>
      </c>
      <c r="B71" s="455"/>
      <c r="C71" s="455"/>
      <c r="D71" s="72"/>
      <c r="E71" s="46" t="s">
        <v>3</v>
      </c>
      <c r="F71" s="337">
        <f>'0664'!F71</f>
        <v>13427478</v>
      </c>
      <c r="G71" s="39" t="s">
        <v>6</v>
      </c>
      <c r="H71" s="131">
        <f>H63</f>
        <v>1.6799999999999999E-4</v>
      </c>
      <c r="I71" s="104">
        <f>ROUND(F71*H71,2)</f>
        <v>2255.8200000000002</v>
      </c>
      <c r="N71" s="481" t="s">
        <v>83</v>
      </c>
      <c r="O71" s="481"/>
      <c r="P71" s="481"/>
      <c r="Q71" s="47"/>
      <c r="R71" s="132">
        <f>F71</f>
        <v>13427478</v>
      </c>
      <c r="S71" s="40" t="s">
        <v>6</v>
      </c>
      <c r="T71" s="133">
        <f>T63</f>
        <v>1.6799999999999999E-4</v>
      </c>
      <c r="U71" s="99">
        <f>ROUND(R71*T71,0)</f>
        <v>2256</v>
      </c>
    </row>
    <row r="72" spans="1:21" x14ac:dyDescent="0.25">
      <c r="A72" s="465" t="s">
        <v>433</v>
      </c>
      <c r="B72" s="455"/>
      <c r="C72" s="455"/>
      <c r="D72" s="72"/>
      <c r="E72" s="46" t="s">
        <v>3</v>
      </c>
      <c r="F72" s="337">
        <f>'0664'!F72</f>
        <v>14805238</v>
      </c>
      <c r="G72" s="39" t="s">
        <v>6</v>
      </c>
      <c r="H72" s="131">
        <f>H63</f>
        <v>1.6799999999999999E-4</v>
      </c>
      <c r="I72" s="104">
        <f>ROUND(F72*H72,2)</f>
        <v>2487.2800000000002</v>
      </c>
      <c r="N72" s="481" t="s">
        <v>82</v>
      </c>
      <c r="O72" s="481"/>
      <c r="P72" s="481"/>
      <c r="Q72" s="47"/>
      <c r="R72" s="134">
        <f>F72</f>
        <v>14805238</v>
      </c>
      <c r="S72" s="40" t="s">
        <v>6</v>
      </c>
      <c r="T72" s="133">
        <f>T63</f>
        <v>1.6799999999999999E-4</v>
      </c>
      <c r="U72" s="99">
        <f>ROUND(R72*T72,0)</f>
        <v>2487</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1.6799999999999999E-4</v>
      </c>
      <c r="I76" s="104">
        <f t="shared" ref="I76:I85" si="14">ROUND(F76*H76,2)</f>
        <v>1466.1</v>
      </c>
      <c r="N76" s="480" t="s">
        <v>366</v>
      </c>
      <c r="O76" s="481"/>
      <c r="P76" s="481"/>
      <c r="Q76" s="47"/>
      <c r="R76" s="134">
        <f t="shared" ref="R76:R85" si="15">F76</f>
        <v>8726807</v>
      </c>
      <c r="S76" s="40" t="s">
        <v>6</v>
      </c>
      <c r="T76" s="133">
        <f>T63</f>
        <v>1.6799999999999999E-4</v>
      </c>
      <c r="U76" s="99">
        <f t="shared" ref="U76:U85" si="16">ROUND(R76*T76,0)</f>
        <v>1466</v>
      </c>
    </row>
    <row r="77" spans="1:21" x14ac:dyDescent="0.25">
      <c r="A77" s="465" t="s">
        <v>435</v>
      </c>
      <c r="B77" s="455"/>
      <c r="C77" s="455"/>
      <c r="D77" s="72"/>
      <c r="E77" s="46" t="s">
        <v>3</v>
      </c>
      <c r="F77" s="337">
        <f>'0664'!F77</f>
        <v>0</v>
      </c>
      <c r="G77" s="39" t="s">
        <v>6</v>
      </c>
      <c r="H77" s="131">
        <f>H63</f>
        <v>1.6799999999999999E-4</v>
      </c>
      <c r="I77" s="104">
        <f t="shared" si="14"/>
        <v>0</v>
      </c>
      <c r="N77" s="481" t="s">
        <v>367</v>
      </c>
      <c r="O77" s="481"/>
      <c r="P77" s="481"/>
      <c r="Q77" s="47"/>
      <c r="R77" s="134">
        <f t="shared" si="15"/>
        <v>0</v>
      </c>
      <c r="S77" s="40" t="s">
        <v>6</v>
      </c>
      <c r="T77" s="133">
        <f>T63</f>
        <v>1.6799999999999999E-4</v>
      </c>
      <c r="U77" s="99">
        <f t="shared" si="16"/>
        <v>0</v>
      </c>
    </row>
    <row r="78" spans="1:21" x14ac:dyDescent="0.25">
      <c r="A78" s="465" t="s">
        <v>436</v>
      </c>
      <c r="B78" s="455"/>
      <c r="C78" s="455"/>
      <c r="D78" s="72"/>
      <c r="E78" s="46" t="s">
        <v>4</v>
      </c>
      <c r="F78" s="337">
        <f>'0664'!F78</f>
        <v>0</v>
      </c>
      <c r="G78" s="39" t="s">
        <v>6</v>
      </c>
      <c r="H78" s="131">
        <f>H66</f>
        <v>1.4899999999999999E-4</v>
      </c>
      <c r="I78" s="104">
        <f t="shared" si="14"/>
        <v>0</v>
      </c>
      <c r="N78" s="480" t="s">
        <v>392</v>
      </c>
      <c r="O78" s="481"/>
      <c r="P78" s="481"/>
      <c r="Q78" s="47"/>
      <c r="R78" s="134">
        <f t="shared" si="15"/>
        <v>0</v>
      </c>
      <c r="S78" s="40" t="s">
        <v>6</v>
      </c>
      <c r="T78" s="133">
        <f>T66</f>
        <v>1.4899999999999999E-4</v>
      </c>
      <c r="U78" s="99">
        <f t="shared" si="16"/>
        <v>0</v>
      </c>
    </row>
    <row r="79" spans="1:21" x14ac:dyDescent="0.25">
      <c r="A79" s="465" t="s">
        <v>437</v>
      </c>
      <c r="B79" s="455"/>
      <c r="C79" s="455"/>
      <c r="D79" s="72"/>
      <c r="E79" s="46" t="s">
        <v>4</v>
      </c>
      <c r="F79" s="337">
        <f>'0664'!F79</f>
        <v>11286897</v>
      </c>
      <c r="G79" s="39" t="s">
        <v>6</v>
      </c>
      <c r="H79" s="131">
        <f>H66</f>
        <v>1.4899999999999999E-4</v>
      </c>
      <c r="I79" s="104">
        <f t="shared" si="14"/>
        <v>1681.75</v>
      </c>
      <c r="N79" s="480" t="s">
        <v>393</v>
      </c>
      <c r="O79" s="481"/>
      <c r="P79" s="481"/>
      <c r="Q79" s="47"/>
      <c r="R79" s="134">
        <f t="shared" si="15"/>
        <v>11286897</v>
      </c>
      <c r="S79" s="40" t="s">
        <v>6</v>
      </c>
      <c r="T79" s="133">
        <f>T66</f>
        <v>1.4899999999999999E-4</v>
      </c>
      <c r="U79" s="99">
        <f t="shared" si="16"/>
        <v>1682</v>
      </c>
    </row>
    <row r="80" spans="1:21" x14ac:dyDescent="0.25">
      <c r="A80" s="465" t="s">
        <v>438</v>
      </c>
      <c r="B80" s="455"/>
      <c r="C80" s="455"/>
      <c r="D80" s="72"/>
      <c r="E80" s="46" t="s">
        <v>4</v>
      </c>
      <c r="F80" s="337">
        <f>'0664'!F80</f>
        <v>206284749</v>
      </c>
      <c r="G80" s="39" t="s">
        <v>6</v>
      </c>
      <c r="H80" s="131">
        <f>H66</f>
        <v>1.4899999999999999E-4</v>
      </c>
      <c r="I80" s="104">
        <f t="shared" si="14"/>
        <v>30736.43</v>
      </c>
      <c r="N80" s="480" t="s">
        <v>397</v>
      </c>
      <c r="O80" s="481"/>
      <c r="P80" s="481"/>
      <c r="Q80" s="47"/>
      <c r="R80" s="134">
        <f t="shared" si="15"/>
        <v>206284749</v>
      </c>
      <c r="S80" s="40" t="s">
        <v>6</v>
      </c>
      <c r="T80" s="133">
        <f>T66</f>
        <v>1.4899999999999999E-4</v>
      </c>
      <c r="U80" s="99">
        <f t="shared" si="16"/>
        <v>30736</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1.4899999999999999E-4</v>
      </c>
      <c r="I82" s="104">
        <v>7060.04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1.4899999999999999E-4</v>
      </c>
      <c r="I83" s="104">
        <f t="shared" si="14"/>
        <v>0</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7060.04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1.4899999999999999E-4</v>
      </c>
      <c r="I85" s="104">
        <f t="shared" si="14"/>
        <v>0</v>
      </c>
      <c r="N85" s="480" t="s">
        <v>398</v>
      </c>
      <c r="O85" s="481"/>
      <c r="P85" s="481"/>
      <c r="Q85" s="47"/>
      <c r="R85" s="132">
        <f t="shared" si="15"/>
        <v>0</v>
      </c>
      <c r="S85" s="40" t="s">
        <v>6</v>
      </c>
      <c r="T85" s="133">
        <f>T66</f>
        <v>1.4899999999999999E-4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2.5</v>
      </c>
      <c r="D91" s="469"/>
      <c r="E91" s="49">
        <f>H8</f>
        <v>1.0438000000000001</v>
      </c>
      <c r="F91" s="338">
        <f>'0664'!F91</f>
        <v>914.63</v>
      </c>
      <c r="G91" s="41" t="s">
        <v>13</v>
      </c>
      <c r="H91" s="104">
        <f>ROUND(C91*E91*F91,2)</f>
        <v>2386.73</v>
      </c>
      <c r="N91" s="53" t="s">
        <v>14</v>
      </c>
      <c r="O91" s="50">
        <f>T15+T16+T20+T23+T26</f>
        <v>2.5</v>
      </c>
      <c r="P91" s="492">
        <f>T8</f>
        <v>1.0438000000000001</v>
      </c>
      <c r="Q91" s="492"/>
      <c r="R91" s="51">
        <f>F91</f>
        <v>914.63</v>
      </c>
      <c r="S91" s="42" t="s">
        <v>13</v>
      </c>
      <c r="T91" s="134">
        <f>ROUND(O91*P91*R91,0)</f>
        <v>2387</v>
      </c>
      <c r="U91" s="54"/>
    </row>
    <row r="92" spans="1:21" ht="16.5" thickBot="1" x14ac:dyDescent="0.3">
      <c r="A92" s="55"/>
      <c r="B92" s="55" t="s">
        <v>146</v>
      </c>
      <c r="C92" s="469">
        <f>H17+H18+H21+H24+H27+H28</f>
        <v>29.93</v>
      </c>
      <c r="D92" s="469"/>
      <c r="E92" s="49">
        <f>H8</f>
        <v>1.0438000000000001</v>
      </c>
      <c r="F92" s="338">
        <f>'0664'!F92</f>
        <v>916.84</v>
      </c>
      <c r="G92" s="41" t="s">
        <v>13</v>
      </c>
      <c r="H92" s="97">
        <f>ROUND(C92*E92*F92,2)</f>
        <v>28642.94</v>
      </c>
      <c r="N92" s="56" t="s">
        <v>15</v>
      </c>
      <c r="O92" s="57">
        <f>T17+T18+T21+T24+T27+T28</f>
        <v>29.96</v>
      </c>
      <c r="P92" s="492">
        <f>T8</f>
        <v>1.0438000000000001</v>
      </c>
      <c r="Q92" s="492"/>
      <c r="R92" s="51">
        <f>F92</f>
        <v>916.84</v>
      </c>
      <c r="S92" s="42" t="s">
        <v>13</v>
      </c>
      <c r="T92" s="134">
        <f>ROUND(O92*P92*R92,0)</f>
        <v>28672</v>
      </c>
      <c r="U92" s="54"/>
    </row>
    <row r="93" spans="1:21" ht="16.5" thickBot="1" x14ac:dyDescent="0.3">
      <c r="A93" s="58"/>
      <c r="B93" s="142" t="s">
        <v>145</v>
      </c>
      <c r="C93" s="471">
        <f>SUM(C90:C92)</f>
        <v>32.43</v>
      </c>
      <c r="D93" s="471"/>
      <c r="E93" s="143"/>
      <c r="F93" s="143"/>
      <c r="G93" s="143"/>
      <c r="H93" s="144" t="s">
        <v>143</v>
      </c>
      <c r="I93" s="104">
        <f>IF(A1=75,0,H92+H91+H90)</f>
        <v>31029.67</v>
      </c>
      <c r="N93" s="59" t="s">
        <v>120</v>
      </c>
      <c r="O93" s="60">
        <f>SUM(O90:O92)</f>
        <v>32.46</v>
      </c>
      <c r="P93" s="493" t="s">
        <v>18</v>
      </c>
      <c r="Q93" s="494"/>
      <c r="R93" s="494"/>
      <c r="S93" s="494"/>
      <c r="T93" s="494"/>
      <c r="U93" s="99">
        <f>IF(N1=75,0,T92+T91+T90)</f>
        <v>31059</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31</v>
      </c>
      <c r="D99" s="165">
        <v>28</v>
      </c>
      <c r="E99" s="125">
        <f>(C99+D99)/2</f>
        <v>29.5</v>
      </c>
      <c r="F99" s="148" t="s">
        <v>39</v>
      </c>
      <c r="G99" s="339">
        <f>'0664'!G99</f>
        <v>544</v>
      </c>
      <c r="I99" s="104">
        <f>ROUND(G99*E99,2)</f>
        <v>16048</v>
      </c>
      <c r="N99" s="490" t="s">
        <v>65</v>
      </c>
      <c r="O99" s="490"/>
      <c r="P99" s="491">
        <f>IF(H120=1,E99,0)</f>
        <v>29.5</v>
      </c>
      <c r="Q99" s="491"/>
      <c r="R99" s="491"/>
      <c r="S99" s="86" t="s">
        <v>39</v>
      </c>
      <c r="T99" s="61">
        <f>G99</f>
        <v>544</v>
      </c>
      <c r="U99" s="99">
        <f>ROUND(T99*P99,0)</f>
        <v>16048</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248310</v>
      </c>
    </row>
    <row r="115" spans="1:21" ht="16.5" thickTop="1" x14ac:dyDescent="0.25">
      <c r="A115" s="463" t="s">
        <v>8</v>
      </c>
      <c r="B115" s="463"/>
      <c r="C115" s="463"/>
      <c r="D115" s="463"/>
      <c r="E115" s="463"/>
      <c r="F115" s="463"/>
      <c r="G115" s="463"/>
      <c r="H115" s="463"/>
      <c r="I115" s="97">
        <f>SUM(I113,I112,I110,I100,I99,I93,I85,I84,I80,I79,I78,I77,I76,I74,I73,I72,I71,I70,I68,I59,I45)</f>
        <v>464561.33000000007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457501.2900000001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248310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248310</v>
      </c>
      <c r="I122" s="97">
        <f>ROUND(IF(E29=0,0,IF(E29&gt;250,-(((250/E29)*H122)*IF(G122="H",0.02,0.05)),IF(G122="H",-0.02*H122,-0.05*H122))),2)</f>
        <v>-12415.5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452145.83000000007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-420384.25-31761.58</f>
        <v>-452145.83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0</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0</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U206"/>
  <sheetViews>
    <sheetView showGridLines="0" zoomScaleNormal="100" workbookViewId="0">
      <pane ySplit="1" topLeftCell="A112" activePane="bottomLeft" state="frozen"/>
      <selection activeCell="E100" sqref="E100"/>
      <selection pane="bottomLeft" activeCell="D52" sqref="D52"/>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36.99</v>
      </c>
      <c r="D13" s="163">
        <v>37.479999999999997</v>
      </c>
      <c r="E13" s="210">
        <f>IF(D$29=0,C13*2,C13+D13)</f>
        <v>74.47</v>
      </c>
      <c r="F13" s="539">
        <f>'0664'!F13:G13</f>
        <v>1.1259999999999999</v>
      </c>
      <c r="G13" s="539"/>
      <c r="H13" s="167">
        <f>ROUND(E13*F13,4)</f>
        <v>83.853200000000001</v>
      </c>
      <c r="I13" s="119">
        <f t="shared" ref="I13:I28" si="0">ROUND(ROUND(H13*$C$8,4)*($H$8),2)</f>
        <v>401516.64</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9.5299999999999994</v>
      </c>
      <c r="D14" s="165">
        <v>8</v>
      </c>
      <c r="E14" s="125">
        <f t="shared" ref="E14:E28" si="3">IF(D$29=0,C14*2,C14+D14)</f>
        <v>17.53</v>
      </c>
      <c r="F14" s="534">
        <f>'0664'!F14:G14</f>
        <v>1.1259999999999999</v>
      </c>
      <c r="G14" s="534"/>
      <c r="H14" s="83">
        <f t="shared" ref="H14:H28" si="4">ROUND(E14*F14,4)</f>
        <v>19.738800000000001</v>
      </c>
      <c r="I14" s="104">
        <f t="shared" si="0"/>
        <v>94515.85</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14.81</v>
      </c>
      <c r="D15" s="165">
        <v>15.85</v>
      </c>
      <c r="E15" s="125">
        <f t="shared" si="3"/>
        <v>30.66</v>
      </c>
      <c r="F15" s="534">
        <f>'0664'!F15:G15</f>
        <v>1</v>
      </c>
      <c r="G15" s="534"/>
      <c r="H15" s="83">
        <f t="shared" si="4"/>
        <v>30.66</v>
      </c>
      <c r="I15" s="104">
        <f t="shared" si="0"/>
        <v>146810.14000000001</v>
      </c>
      <c r="N15" s="481" t="s">
        <v>31</v>
      </c>
      <c r="O15" s="481"/>
      <c r="P15" s="515">
        <f t="shared" si="1"/>
        <v>0</v>
      </c>
      <c r="Q15" s="515"/>
      <c r="R15" s="519">
        <v>1</v>
      </c>
      <c r="S15" s="519"/>
      <c r="T15" s="98">
        <f t="shared" si="5"/>
        <v>0</v>
      </c>
      <c r="U15" s="99">
        <f t="shared" si="2"/>
        <v>0</v>
      </c>
    </row>
    <row r="16" spans="1:21" x14ac:dyDescent="0.25">
      <c r="A16" s="455" t="s">
        <v>32</v>
      </c>
      <c r="B16" s="455"/>
      <c r="C16" s="165">
        <v>5.0199999999999996</v>
      </c>
      <c r="D16" s="165">
        <v>5.44</v>
      </c>
      <c r="E16" s="125">
        <f t="shared" si="3"/>
        <v>10.46</v>
      </c>
      <c r="F16" s="534">
        <f>'0664'!F16:G16</f>
        <v>1</v>
      </c>
      <c r="G16" s="534"/>
      <c r="H16" s="83">
        <f t="shared" si="4"/>
        <v>10.46</v>
      </c>
      <c r="I16" s="104">
        <f t="shared" si="0"/>
        <v>50085.91</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25.51</v>
      </c>
      <c r="D25" s="165">
        <v>24.56</v>
      </c>
      <c r="E25" s="125">
        <f t="shared" si="3"/>
        <v>50.07</v>
      </c>
      <c r="F25" s="534">
        <f>'0664'!F25:G25</f>
        <v>1.206</v>
      </c>
      <c r="G25" s="534"/>
      <c r="H25" s="83">
        <f t="shared" si="4"/>
        <v>60.384399999999999</v>
      </c>
      <c r="I25" s="104">
        <f t="shared" si="0"/>
        <v>289140.32</v>
      </c>
      <c r="N25" s="481" t="s">
        <v>114</v>
      </c>
      <c r="O25" s="481"/>
      <c r="P25" s="515">
        <f t="shared" si="1"/>
        <v>0</v>
      </c>
      <c r="Q25" s="515"/>
      <c r="R25" s="519">
        <v>1</v>
      </c>
      <c r="S25" s="519"/>
      <c r="T25" s="98">
        <f t="shared" si="5"/>
        <v>0</v>
      </c>
      <c r="U25" s="99">
        <f t="shared" si="2"/>
        <v>0</v>
      </c>
    </row>
    <row r="26" spans="1:21" x14ac:dyDescent="0.25">
      <c r="A26" s="455" t="s">
        <v>115</v>
      </c>
      <c r="B26" s="455"/>
      <c r="C26" s="165">
        <v>8.1999999999999993</v>
      </c>
      <c r="D26" s="165">
        <v>8.59</v>
      </c>
      <c r="E26" s="125">
        <f t="shared" si="3"/>
        <v>16.79</v>
      </c>
      <c r="F26" s="534">
        <f>'0664'!F26:G26</f>
        <v>1.206</v>
      </c>
      <c r="G26" s="534"/>
      <c r="H26" s="83">
        <f t="shared" si="4"/>
        <v>20.248699999999999</v>
      </c>
      <c r="I26" s="104">
        <f t="shared" si="0"/>
        <v>96957.42</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100.06000000000002</v>
      </c>
      <c r="D29" s="97">
        <f>SUM(D13:D28)</f>
        <v>99.92</v>
      </c>
      <c r="E29" s="97">
        <f>SUM(E13:E28)</f>
        <v>199.98</v>
      </c>
      <c r="F29" s="459"/>
      <c r="G29" s="459"/>
      <c r="H29" s="102">
        <f>SUM(H13:H28)</f>
        <v>225.3451</v>
      </c>
      <c r="I29" s="97">
        <f>SUM(I13:I28)</f>
        <v>1079026.28</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225.3451</v>
      </c>
      <c r="F45" s="35"/>
      <c r="G45" s="109"/>
      <c r="H45" s="110" t="s">
        <v>129</v>
      </c>
      <c r="I45" s="97">
        <f>SUM(I43,I29)</f>
        <v>1079026.28</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9.0299999999999994</v>
      </c>
      <c r="D50" s="165">
        <v>7.5</v>
      </c>
      <c r="E50" s="125">
        <f>IF(D$59=0,C50*2,C50+D50)</f>
        <v>16.53</v>
      </c>
      <c r="F50" s="39" t="s">
        <v>21</v>
      </c>
      <c r="G50" s="39">
        <v>251</v>
      </c>
      <c r="H50" s="321">
        <f>'0664'!H50</f>
        <v>1047</v>
      </c>
      <c r="I50" s="104">
        <f>ROUND(E50*H50,2)</f>
        <v>17306.91</v>
      </c>
      <c r="N50" s="506" t="s">
        <v>28</v>
      </c>
      <c r="O50" s="506"/>
      <c r="P50" s="507"/>
      <c r="Q50" s="507"/>
      <c r="R50" s="40" t="s">
        <v>21</v>
      </c>
      <c r="S50" s="40">
        <v>251</v>
      </c>
      <c r="T50" s="117">
        <f>H50</f>
        <v>1047</v>
      </c>
      <c r="U50" s="118">
        <f>ROUND(P50*T50,0)</f>
        <v>0</v>
      </c>
    </row>
    <row r="51" spans="1:21" x14ac:dyDescent="0.25">
      <c r="A51" s="462"/>
      <c r="B51" s="462"/>
      <c r="C51" s="165">
        <v>0.5</v>
      </c>
      <c r="D51" s="165">
        <v>0.5</v>
      </c>
      <c r="E51" s="125">
        <f t="shared" ref="E51:E58" si="10">IF(D$59=0,C51*2,C51+D51)</f>
        <v>1</v>
      </c>
      <c r="F51" s="39" t="s">
        <v>21</v>
      </c>
      <c r="G51" s="39">
        <v>252</v>
      </c>
      <c r="H51" s="321">
        <f>'0664'!H51</f>
        <v>3380</v>
      </c>
      <c r="I51" s="104">
        <f t="shared" ref="I51:I58" si="11">ROUND(E51*H51,2)</f>
        <v>3380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4.5199999999999996</v>
      </c>
      <c r="D53" s="165">
        <v>4.5199999999999996</v>
      </c>
      <c r="E53" s="125">
        <f t="shared" si="10"/>
        <v>9.0399999999999991</v>
      </c>
      <c r="F53" s="41" t="s">
        <v>14</v>
      </c>
      <c r="G53" s="39">
        <v>251</v>
      </c>
      <c r="H53" s="321">
        <f>'0664'!H53</f>
        <v>1173</v>
      </c>
      <c r="I53" s="104">
        <f t="shared" si="11"/>
        <v>10603.92</v>
      </c>
      <c r="N53" s="506"/>
      <c r="O53" s="506"/>
      <c r="P53" s="508"/>
      <c r="Q53" s="508"/>
      <c r="R53" s="42" t="s">
        <v>14</v>
      </c>
      <c r="S53" s="40">
        <v>251</v>
      </c>
      <c r="T53" s="117">
        <f t="shared" si="12"/>
        <v>1173</v>
      </c>
      <c r="U53" s="118">
        <f t="shared" si="13"/>
        <v>0</v>
      </c>
    </row>
    <row r="54" spans="1:21" x14ac:dyDescent="0.25">
      <c r="A54" s="462"/>
      <c r="B54" s="462"/>
      <c r="C54" s="165">
        <v>0.5</v>
      </c>
      <c r="D54" s="165">
        <v>0.92</v>
      </c>
      <c r="E54" s="125">
        <f t="shared" si="10"/>
        <v>1.42</v>
      </c>
      <c r="F54" s="41" t="s">
        <v>14</v>
      </c>
      <c r="G54" s="39">
        <v>252</v>
      </c>
      <c r="H54" s="321">
        <f>'0664'!H54</f>
        <v>3506</v>
      </c>
      <c r="I54" s="104">
        <f t="shared" si="11"/>
        <v>4978.5200000000004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14.549999999999999</v>
      </c>
      <c r="D59" s="100">
        <f>SUM(D50:D58)</f>
        <v>13.44</v>
      </c>
      <c r="E59" s="100">
        <f>SUM(E50:E58)</f>
        <v>27.990000000000002</v>
      </c>
      <c r="F59" s="463" t="s">
        <v>77</v>
      </c>
      <c r="G59" s="463"/>
      <c r="H59" s="463"/>
      <c r="I59" s="100">
        <f>SUM(I50:I58)</f>
        <v>36269.350000000006</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199.98</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1.0319999999999999E-3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225.3451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1.0369999999999999E-3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1.0319999999999999E-3</v>
      </c>
      <c r="I68" s="104">
        <f>ROUND(F68*H68,2)</f>
        <v>43900.74</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1.0319999999999999E-3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1.0319999999999999E-3</v>
      </c>
      <c r="I71" s="104">
        <f>ROUND(F71*H71,2)</f>
        <v>13857.16</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1.0319999999999999E-3</v>
      </c>
      <c r="I72" s="104">
        <f>ROUND(F72*H72,2)</f>
        <v>15279.01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1.0319999999999999E-3</v>
      </c>
      <c r="I76" s="104">
        <f t="shared" ref="I76:I85" si="14">ROUND(F76*H76,2)</f>
        <v>9006.06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1.0319999999999999E-3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1.0369999999999999E-3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1.0369999999999999E-3</v>
      </c>
      <c r="I79" s="104">
        <f t="shared" si="14"/>
        <v>11704.51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1.0369999999999999E-3</v>
      </c>
      <c r="I80" s="104">
        <f t="shared" si="14"/>
        <v>213917.28</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1.0369999999999999E-3</v>
      </c>
      <c r="I82" s="104">
        <v>33811.870000000003</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1.0369999999999999E-3</v>
      </c>
      <c r="I83" s="104">
        <v>15369.03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49180.9</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1.0369999999999999E-3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163.97640000000001</v>
      </c>
      <c r="D90" s="469"/>
      <c r="E90" s="49">
        <f>H8</f>
        <v>1.0438000000000001</v>
      </c>
      <c r="F90" s="338">
        <f>'0664'!F90</f>
        <v>957.94</v>
      </c>
      <c r="G90" s="41" t="s">
        <v>13</v>
      </c>
      <c r="H90" s="104">
        <f>ROUND(C90*E90*F90,2)</f>
        <v>163959.64000000001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61.368700000000004</v>
      </c>
      <c r="D91" s="469"/>
      <c r="E91" s="49">
        <f>H8</f>
        <v>1.0438000000000001</v>
      </c>
      <c r="F91" s="338">
        <f>'0664'!F91</f>
        <v>914.63</v>
      </c>
      <c r="G91" s="41" t="s">
        <v>13</v>
      </c>
      <c r="H91" s="104">
        <f>ROUND(C91*E91*F91,2)</f>
        <v>58588.13</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225.3451</v>
      </c>
      <c r="D93" s="471"/>
      <c r="E93" s="143"/>
      <c r="F93" s="143"/>
      <c r="G93" s="143"/>
      <c r="H93" s="144" t="s">
        <v>143</v>
      </c>
      <c r="I93" s="104">
        <f>IF(A1=75,0,H92+H91+H90)</f>
        <v>222547.77000000002</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11</v>
      </c>
      <c r="D99" s="165">
        <v>14</v>
      </c>
      <c r="E99" s="125">
        <f>(C99+D99)/2</f>
        <v>12.5</v>
      </c>
      <c r="F99" s="148" t="s">
        <v>39</v>
      </c>
      <c r="G99" s="339">
        <f>'0664'!G99</f>
        <v>544</v>
      </c>
      <c r="I99" s="104">
        <f>ROUND(G99*E99,2)</f>
        <v>6800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1701489.06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1652308.1600000001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1652308.1600000001</v>
      </c>
      <c r="I122" s="97">
        <f>ROUND(IF(E29=0,0,IF(E29&gt;250,-(((250/E29)*H122)*IF(G122="H",0.02,0.05)),IF(G122="H",-0.02*H122,-0.05*H122))),2)</f>
        <v>-82615.41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1618873.6500000001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-1464947.13-153496.2</f>
        <v>-1618443.3299999998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430.32000000029802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430.32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U206"/>
  <sheetViews>
    <sheetView showGridLines="0" zoomScaleNormal="100" workbookViewId="0">
      <pane ySplit="1" topLeftCell="A95" activePane="bottomLeft" state="frozen"/>
      <selection activeCell="E100" sqref="E100"/>
      <selection pane="bottomLeft" activeCell="D30" sqref="D3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344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79.81</v>
      </c>
      <c r="D13" s="163">
        <v>77.489999999999995</v>
      </c>
      <c r="E13" s="210">
        <f>IF(D$29=0,C13*2,C13+D13)</f>
        <v>157.30000000000001</v>
      </c>
      <c r="F13" s="539">
        <f>'0664'!F13:G13</f>
        <v>1.1259999999999999</v>
      </c>
      <c r="G13" s="539"/>
      <c r="H13" s="167">
        <f>ROUND(E13*F13,4)</f>
        <v>177.1198</v>
      </c>
      <c r="I13" s="119">
        <f t="shared" ref="I13:I28" si="0">ROUND(ROUND(H13*$C$8,4)*($H$8),2)</f>
        <v>848107.72</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10.48</v>
      </c>
      <c r="D14" s="165">
        <v>10</v>
      </c>
      <c r="E14" s="125">
        <f t="shared" ref="E14:E28" si="3">IF(D$29=0,C14*2,C14+D14)</f>
        <v>20.48</v>
      </c>
      <c r="F14" s="534">
        <f>'0664'!F14:G14</f>
        <v>1.1259999999999999</v>
      </c>
      <c r="G14" s="534"/>
      <c r="H14" s="83">
        <f t="shared" ref="H14:H28" si="4">ROUND(E14*F14,4)</f>
        <v>23.060500000000001</v>
      </c>
      <c r="I14" s="104">
        <f t="shared" si="0"/>
        <v>110421.24</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101.66</v>
      </c>
      <c r="D15" s="165">
        <v>105.36</v>
      </c>
      <c r="E15" s="125">
        <f t="shared" si="3"/>
        <v>207.01999999999998</v>
      </c>
      <c r="F15" s="534">
        <f>'0664'!F15:G15</f>
        <v>1</v>
      </c>
      <c r="G15" s="534"/>
      <c r="H15" s="83">
        <f t="shared" si="4"/>
        <v>207.02</v>
      </c>
      <c r="I15" s="104">
        <f t="shared" si="0"/>
        <v>991279.69</v>
      </c>
      <c r="N15" s="481" t="s">
        <v>31</v>
      </c>
      <c r="O15" s="481"/>
      <c r="P15" s="515">
        <f t="shared" si="1"/>
        <v>0</v>
      </c>
      <c r="Q15" s="515"/>
      <c r="R15" s="519">
        <v>1</v>
      </c>
      <c r="S15" s="519"/>
      <c r="T15" s="98">
        <f t="shared" si="5"/>
        <v>0</v>
      </c>
      <c r="U15" s="99">
        <f t="shared" si="2"/>
        <v>0</v>
      </c>
    </row>
    <row r="16" spans="1:21" x14ac:dyDescent="0.25">
      <c r="A16" s="455" t="s">
        <v>32</v>
      </c>
      <c r="B16" s="455"/>
      <c r="C16" s="165">
        <v>19.5</v>
      </c>
      <c r="D16" s="165">
        <v>19.5</v>
      </c>
      <c r="E16" s="125">
        <f t="shared" si="3"/>
        <v>39</v>
      </c>
      <c r="F16" s="534">
        <f>'0664'!F16:G16</f>
        <v>1</v>
      </c>
      <c r="G16" s="534"/>
      <c r="H16" s="83">
        <f t="shared" si="4"/>
        <v>39</v>
      </c>
      <c r="I16" s="104">
        <f t="shared" si="0"/>
        <v>186744.8</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31.19</v>
      </c>
      <c r="D25" s="165">
        <v>31.98</v>
      </c>
      <c r="E25" s="125">
        <f t="shared" si="3"/>
        <v>63.17</v>
      </c>
      <c r="F25" s="534">
        <f>'0664'!F25:G25</f>
        <v>1.206</v>
      </c>
      <c r="G25" s="534"/>
      <c r="H25" s="83">
        <f t="shared" si="4"/>
        <v>76.183000000000007</v>
      </c>
      <c r="I25" s="104">
        <f t="shared" si="0"/>
        <v>364789.2</v>
      </c>
      <c r="N25" s="481" t="s">
        <v>114</v>
      </c>
      <c r="O25" s="481"/>
      <c r="P25" s="515">
        <f t="shared" si="1"/>
        <v>0</v>
      </c>
      <c r="Q25" s="515"/>
      <c r="R25" s="519">
        <v>1</v>
      </c>
      <c r="S25" s="519"/>
      <c r="T25" s="98">
        <f t="shared" si="5"/>
        <v>0</v>
      </c>
      <c r="U25" s="99">
        <f t="shared" si="2"/>
        <v>0</v>
      </c>
    </row>
    <row r="26" spans="1:21" x14ac:dyDescent="0.25">
      <c r="A26" s="455" t="s">
        <v>115</v>
      </c>
      <c r="B26" s="455"/>
      <c r="C26" s="165">
        <v>12.08</v>
      </c>
      <c r="D26" s="165">
        <v>11.08</v>
      </c>
      <c r="E26" s="125">
        <f t="shared" si="3"/>
        <v>23.16</v>
      </c>
      <c r="F26" s="534">
        <f>'0664'!F26:G26</f>
        <v>1.206</v>
      </c>
      <c r="G26" s="534"/>
      <c r="H26" s="83">
        <f t="shared" si="4"/>
        <v>27.931000000000001</v>
      </c>
      <c r="I26" s="104">
        <f t="shared" si="0"/>
        <v>133742.79</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254.72</v>
      </c>
      <c r="D29" s="97">
        <f>SUM(D13:D28)</f>
        <v>255.41</v>
      </c>
      <c r="E29" s="97">
        <f>SUM(E13:E28)</f>
        <v>510.13</v>
      </c>
      <c r="F29" s="459"/>
      <c r="G29" s="459"/>
      <c r="H29" s="102">
        <f>SUM(H13:H28)</f>
        <v>550.3143</v>
      </c>
      <c r="I29" s="97">
        <f>SUM(I13:I28)</f>
        <v>2635085.44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550.3143</v>
      </c>
      <c r="F45" s="35"/>
      <c r="G45" s="109"/>
      <c r="H45" s="110" t="s">
        <v>129</v>
      </c>
      <c r="I45" s="97">
        <f>SUM(I43,I29)</f>
        <v>2635085.44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10.48</v>
      </c>
      <c r="D50" s="165">
        <v>10</v>
      </c>
      <c r="E50" s="125">
        <f>IF(D$59=0,C50*2,C50+D50)</f>
        <v>20.48</v>
      </c>
      <c r="F50" s="39" t="s">
        <v>21</v>
      </c>
      <c r="G50" s="39">
        <v>251</v>
      </c>
      <c r="H50" s="321">
        <f>'0664'!H50</f>
        <v>1047</v>
      </c>
      <c r="I50" s="104">
        <f>ROUND(E50*H50,2)</f>
        <v>21442.560000000001</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19.5</v>
      </c>
      <c r="D53" s="165">
        <v>19</v>
      </c>
      <c r="E53" s="125">
        <f t="shared" si="10"/>
        <v>38.5</v>
      </c>
      <c r="F53" s="41" t="s">
        <v>14</v>
      </c>
      <c r="G53" s="39">
        <v>251</v>
      </c>
      <c r="H53" s="321">
        <f>'0664'!H53</f>
        <v>1173</v>
      </c>
      <c r="I53" s="104">
        <f t="shared" si="11"/>
        <v>45160.5</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0.5</v>
      </c>
      <c r="E55" s="125">
        <f t="shared" si="10"/>
        <v>0.5</v>
      </c>
      <c r="F55" s="41" t="s">
        <v>14</v>
      </c>
      <c r="G55" s="39">
        <v>253</v>
      </c>
      <c r="H55" s="321">
        <f>'0664'!H55</f>
        <v>7023</v>
      </c>
      <c r="I55" s="104">
        <f t="shared" si="11"/>
        <v>3511.5</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29.98</v>
      </c>
      <c r="D59" s="100">
        <f>SUM(D50:D58)</f>
        <v>29.5</v>
      </c>
      <c r="E59" s="100">
        <f>SUM(E50:E58)</f>
        <v>59.480000000000004</v>
      </c>
      <c r="F59" s="463" t="s">
        <v>77</v>
      </c>
      <c r="G59" s="463"/>
      <c r="H59" s="463"/>
      <c r="I59" s="100">
        <f>SUM(I50:I58)</f>
        <v>70114.559999999998</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510.13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2.6329999999999999E-3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550.3143</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2.5339999999999998E-3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2.6329999999999999E-3</v>
      </c>
      <c r="I68" s="104">
        <f>ROUND(F68*H68,2)</f>
        <v>112006.43</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2.6329999999999999E-3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2.6329999999999999E-3</v>
      </c>
      <c r="I71" s="104">
        <f>ROUND(F71*H71,2)</f>
        <v>35354.550000000003</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2.6329999999999999E-3</v>
      </c>
      <c r="I72" s="104">
        <f>ROUND(F72*H72,2)</f>
        <v>38982.19</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2.6329999999999999E-3</v>
      </c>
      <c r="I76" s="104">
        <f t="shared" ref="I76:I85" si="14">ROUND(F76*H76,2)</f>
        <v>22977.68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2.6329999999999999E-3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2.5339999999999998E-3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2.5339999999999998E-3</v>
      </c>
      <c r="I79" s="104">
        <f t="shared" si="14"/>
        <v>28601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2.5339999999999998E-3</v>
      </c>
      <c r="I80" s="104">
        <f t="shared" si="14"/>
        <v>522725.55</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2.5339999999999998E-3</v>
      </c>
      <c r="I82" s="104">
        <v>95126.75</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2.5339999999999998E-3</v>
      </c>
      <c r="I83" s="104">
        <v>43239.43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138366.18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2.5339999999999998E-3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276.36329999999998</v>
      </c>
      <c r="D90" s="469"/>
      <c r="E90" s="49">
        <f>H8</f>
        <v>1.0438000000000001</v>
      </c>
      <c r="F90" s="338">
        <f>'0664'!F90</f>
        <v>957.94</v>
      </c>
      <c r="G90" s="41" t="s">
        <v>13</v>
      </c>
      <c r="H90" s="104">
        <f>ROUND(C90*E90*F90,2)</f>
        <v>276335.05</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273.95100000000002</v>
      </c>
      <c r="D91" s="469"/>
      <c r="E91" s="49">
        <f>H8</f>
        <v>1.0438000000000001</v>
      </c>
      <c r="F91" s="338">
        <f>'0664'!F91</f>
        <v>914.63</v>
      </c>
      <c r="G91" s="41" t="s">
        <v>13</v>
      </c>
      <c r="H91" s="104">
        <f>ROUND(C91*E91*F91,2)</f>
        <v>261538.5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550.3143</v>
      </c>
      <c r="D93" s="471"/>
      <c r="E93" s="143"/>
      <c r="F93" s="143"/>
      <c r="G93" s="143"/>
      <c r="H93" s="144" t="s">
        <v>143</v>
      </c>
      <c r="I93" s="104">
        <f>IF(A1=75,0,H92+H91+H90)</f>
        <v>537873.55000000005</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27</v>
      </c>
      <c r="D99" s="165">
        <v>29</v>
      </c>
      <c r="E99" s="125">
        <f>(C99+D99)/2</f>
        <v>28</v>
      </c>
      <c r="F99" s="148" t="s">
        <v>39</v>
      </c>
      <c r="G99" s="339">
        <f>'0664'!G99</f>
        <v>544</v>
      </c>
      <c r="I99" s="104">
        <f>ROUND(G99*E99,2)</f>
        <v>15232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4157319.13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4018952.9499999997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4018952.9499999997</v>
      </c>
      <c r="I122" s="97">
        <f>ROUND(IF(E29=0,0,IF(E29&gt;250,-(((250/E29)*H122)*IF(G122="H",0.02,0.05)),IF(G122="H",-0.02*H122,-0.05*H122))),2)</f>
        <v>-98478.65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4058840.48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-3714467.76-344077.31</f>
        <v>-4058545.07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295.41000000014901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295.41000000000003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102469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U206"/>
  <sheetViews>
    <sheetView showGridLines="0" zoomScaleNormal="100" workbookViewId="0">
      <pane ySplit="1" topLeftCell="A102" activePane="bottomLeft" state="frozen"/>
      <selection activeCell="E100" sqref="E100"/>
      <selection pane="bottomLeft" activeCell="D18" sqref="D1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165</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297.06</v>
      </c>
      <c r="D17" s="165">
        <v>282.61</v>
      </c>
      <c r="E17" s="125">
        <f t="shared" si="3"/>
        <v>579.67000000000007</v>
      </c>
      <c r="F17" s="534">
        <f>'0664'!F17:G17</f>
        <v>0.999</v>
      </c>
      <c r="G17" s="534"/>
      <c r="H17" s="83">
        <f t="shared" si="4"/>
        <v>579.09029999999996</v>
      </c>
      <c r="I17" s="104">
        <f t="shared" si="0"/>
        <v>2772874.37</v>
      </c>
      <c r="N17" s="481" t="s">
        <v>33</v>
      </c>
      <c r="O17" s="481"/>
      <c r="P17" s="515">
        <f t="shared" si="1"/>
        <v>0</v>
      </c>
      <c r="Q17" s="515"/>
      <c r="R17" s="519">
        <v>1</v>
      </c>
      <c r="S17" s="519"/>
      <c r="T17" s="98">
        <f t="shared" si="5"/>
        <v>0</v>
      </c>
      <c r="U17" s="99">
        <f t="shared" si="2"/>
        <v>0</v>
      </c>
    </row>
    <row r="18" spans="1:21" x14ac:dyDescent="0.25">
      <c r="A18" s="455" t="s">
        <v>34</v>
      </c>
      <c r="B18" s="455"/>
      <c r="C18" s="165">
        <v>41.47</v>
      </c>
      <c r="D18" s="165">
        <v>42.3</v>
      </c>
      <c r="E18" s="125">
        <f t="shared" si="3"/>
        <v>83.77</v>
      </c>
      <c r="F18" s="534">
        <f>'0664'!F18:G18</f>
        <v>0.999</v>
      </c>
      <c r="G18" s="534"/>
      <c r="H18" s="83">
        <f t="shared" si="4"/>
        <v>83.686199999999999</v>
      </c>
      <c r="I18" s="104">
        <f t="shared" si="0"/>
        <v>400716.98</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4.91</v>
      </c>
      <c r="D27" s="165">
        <v>7.25</v>
      </c>
      <c r="E27" s="125">
        <f t="shared" si="3"/>
        <v>12.16</v>
      </c>
      <c r="F27" s="534">
        <f>'0664'!F27:G27</f>
        <v>1.206</v>
      </c>
      <c r="G27" s="534"/>
      <c r="H27" s="83">
        <f t="shared" si="4"/>
        <v>14.664999999999999</v>
      </c>
      <c r="I27" s="104">
        <f t="shared" si="0"/>
        <v>70220.83</v>
      </c>
      <c r="N27" s="481" t="s">
        <v>116</v>
      </c>
      <c r="O27" s="481"/>
      <c r="P27" s="515">
        <f t="shared" si="1"/>
        <v>0</v>
      </c>
      <c r="Q27" s="515"/>
      <c r="R27" s="519">
        <v>1</v>
      </c>
      <c r="S27" s="519"/>
      <c r="T27" s="98">
        <f t="shared" si="5"/>
        <v>0</v>
      </c>
      <c r="U27" s="99">
        <f t="shared" si="2"/>
        <v>0</v>
      </c>
    </row>
    <row r="28" spans="1:21" x14ac:dyDescent="0.25">
      <c r="A28" s="455" t="s">
        <v>117</v>
      </c>
      <c r="B28" s="455"/>
      <c r="C28" s="116">
        <v>32.880000000000003</v>
      </c>
      <c r="D28" s="116">
        <v>31.54</v>
      </c>
      <c r="E28" s="125">
        <f t="shared" si="3"/>
        <v>64.42</v>
      </c>
      <c r="F28" s="534">
        <f>'0664'!F28:G28</f>
        <v>0.999</v>
      </c>
      <c r="G28" s="534"/>
      <c r="H28" s="96">
        <f t="shared" si="4"/>
        <v>64.355599999999995</v>
      </c>
      <c r="I28" s="97">
        <f t="shared" si="0"/>
        <v>308155.73</v>
      </c>
      <c r="N28" s="484" t="s">
        <v>117</v>
      </c>
      <c r="O28" s="484"/>
      <c r="P28" s="515">
        <f t="shared" si="1"/>
        <v>0</v>
      </c>
      <c r="Q28" s="515"/>
      <c r="R28" s="516">
        <v>1</v>
      </c>
      <c r="S28" s="516"/>
      <c r="T28" s="98">
        <f t="shared" si="5"/>
        <v>0</v>
      </c>
      <c r="U28" s="99">
        <f t="shared" si="2"/>
        <v>0</v>
      </c>
    </row>
    <row r="29" spans="1:21" x14ac:dyDescent="0.25">
      <c r="A29" s="463" t="s">
        <v>5</v>
      </c>
      <c r="B29" s="463"/>
      <c r="C29" s="97">
        <f>SUM(C13:C28)</f>
        <v>376.32</v>
      </c>
      <c r="D29" s="97">
        <f>SUM(D13:D28)</f>
        <v>363.70000000000005</v>
      </c>
      <c r="E29" s="100">
        <f>SUM(E13:E28)</f>
        <v>740.02</v>
      </c>
      <c r="F29" s="459"/>
      <c r="G29" s="459"/>
      <c r="H29" s="102">
        <f>SUM(H13:H28)</f>
        <v>741.79709999999989</v>
      </c>
      <c r="I29" s="97">
        <f>SUM(I13:I28)</f>
        <v>3551967.91</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741.79709999999989</v>
      </c>
      <c r="F45" s="35"/>
      <c r="G45" s="109"/>
      <c r="H45" s="110" t="s">
        <v>129</v>
      </c>
      <c r="I45" s="97">
        <f>SUM(I43,I29)</f>
        <v>3551967.91</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39.47</v>
      </c>
      <c r="D56" s="165">
        <v>40.799999999999997</v>
      </c>
      <c r="E56" s="125">
        <f t="shared" si="10"/>
        <v>80.27</v>
      </c>
      <c r="F56" s="41" t="s">
        <v>15</v>
      </c>
      <c r="G56" s="39">
        <v>251</v>
      </c>
      <c r="H56" s="321">
        <f>'0664'!H56</f>
        <v>835</v>
      </c>
      <c r="I56" s="104">
        <f t="shared" si="11"/>
        <v>67025.45</v>
      </c>
      <c r="N56" s="506"/>
      <c r="O56" s="506"/>
      <c r="P56" s="508"/>
      <c r="Q56" s="508"/>
      <c r="R56" s="42" t="s">
        <v>15</v>
      </c>
      <c r="S56" s="40">
        <v>251</v>
      </c>
      <c r="T56" s="117">
        <f t="shared" si="12"/>
        <v>835</v>
      </c>
      <c r="U56" s="118">
        <f t="shared" si="13"/>
        <v>0</v>
      </c>
    </row>
    <row r="57" spans="1:21" x14ac:dyDescent="0.25">
      <c r="A57" s="462"/>
      <c r="B57" s="462"/>
      <c r="C57" s="165">
        <v>2</v>
      </c>
      <c r="D57" s="165">
        <v>1.5</v>
      </c>
      <c r="E57" s="125">
        <f t="shared" si="10"/>
        <v>3.5</v>
      </c>
      <c r="F57" s="41" t="s">
        <v>15</v>
      </c>
      <c r="G57" s="39">
        <v>252</v>
      </c>
      <c r="H57" s="321">
        <f>'0664'!H57</f>
        <v>3168</v>
      </c>
      <c r="I57" s="104">
        <f t="shared" si="11"/>
        <v>11088</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41.47</v>
      </c>
      <c r="D59" s="100">
        <f>SUM(D50:D58)</f>
        <v>42.3</v>
      </c>
      <c r="E59" s="100">
        <f>SUM(E50:E58)</f>
        <v>83.77</v>
      </c>
      <c r="F59" s="463" t="s">
        <v>77</v>
      </c>
      <c r="G59" s="463"/>
      <c r="H59" s="463"/>
      <c r="I59" s="100">
        <f>SUM(I50:I58)</f>
        <v>78113.45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740.02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3.82E-3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741.79709999999989</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3.4150000000000001E-3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3.82E-3</v>
      </c>
      <c r="I68" s="104">
        <f>ROUND(F68*H68,2)</f>
        <v>162500.78</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3.82E-3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3.82E-3</v>
      </c>
      <c r="I71" s="104">
        <f>ROUND(F71*H71,2)</f>
        <v>51292.97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3.82E-3</v>
      </c>
      <c r="I72" s="104">
        <f>ROUND(F72*H72,2)</f>
        <v>56556.01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3.82E-3</v>
      </c>
      <c r="I76" s="104">
        <f t="shared" ref="I76:I85" si="14">ROUND(F76*H76,2)</f>
        <v>33336.400000000001</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3.82E-3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3.4150000000000001E-3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3.4150000000000001E-3</v>
      </c>
      <c r="I79" s="104">
        <f t="shared" si="14"/>
        <v>38544.75</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3.4150000000000001E-3</v>
      </c>
      <c r="I80" s="104">
        <f t="shared" si="14"/>
        <v>704462.42</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3.4150000000000001E-3</v>
      </c>
      <c r="I82" s="104">
        <v>128201.45</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3.4150000000000001E-3</v>
      </c>
      <c r="I83" s="104">
        <f t="shared" si="14"/>
        <v>0</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128201.45</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3.4150000000000001E-3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741.79709999999989</v>
      </c>
      <c r="D92" s="469"/>
      <c r="E92" s="49">
        <f>H8</f>
        <v>1.0438000000000001</v>
      </c>
      <c r="F92" s="338">
        <f>'0664'!F92</f>
        <v>916.84</v>
      </c>
      <c r="G92" s="41" t="s">
        <v>13</v>
      </c>
      <c r="H92" s="97">
        <f>ROUND(C92*E92*F92,2)</f>
        <v>709898.04</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741.79709999999989</v>
      </c>
      <c r="D93" s="471"/>
      <c r="E93" s="143"/>
      <c r="F93" s="143"/>
      <c r="G93" s="143"/>
      <c r="H93" s="144" t="s">
        <v>143</v>
      </c>
      <c r="I93" s="104">
        <f>IF(A1=75,0,H92+H91+H90)</f>
        <v>709898.04</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274</v>
      </c>
      <c r="D99" s="165">
        <v>266</v>
      </c>
      <c r="E99" s="125">
        <f>(C99+D99)/2</f>
        <v>270</v>
      </c>
      <c r="F99" s="148" t="s">
        <v>39</v>
      </c>
      <c r="G99" s="339">
        <f>'0664'!G99</f>
        <v>544</v>
      </c>
      <c r="I99" s="104">
        <f>ROUND(G99*E99,2)</f>
        <v>146880</v>
      </c>
      <c r="N99" s="490" t="s">
        <v>65</v>
      </c>
      <c r="O99" s="490"/>
      <c r="P99" s="491">
        <f>IF(H120=1,E99,0)</f>
        <v>0</v>
      </c>
      <c r="Q99" s="491"/>
      <c r="R99" s="491"/>
      <c r="S99" s="86" t="s">
        <v>39</v>
      </c>
      <c r="T99" s="61">
        <f>G99</f>
        <v>544</v>
      </c>
      <c r="U99" s="99">
        <f>ROUND(T99*P99,0)</f>
        <v>0</v>
      </c>
    </row>
    <row r="100" spans="1:21" x14ac:dyDescent="0.25">
      <c r="A100" s="538" t="s">
        <v>467</v>
      </c>
      <c r="B100" s="463"/>
      <c r="C100" s="165">
        <v>1</v>
      </c>
      <c r="D100" s="165">
        <v>0</v>
      </c>
      <c r="E100" s="125">
        <f>(C100+D100)/2</f>
        <v>0.5</v>
      </c>
      <c r="F100" s="148" t="s">
        <v>39</v>
      </c>
      <c r="G100" s="339">
        <f>'0664'!G100</f>
        <v>1697</v>
      </c>
      <c r="I100" s="104">
        <f>ROUND(G100*E100,2)</f>
        <v>848.5</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5662602.6799999997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5534401.2299999995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5534401.2299999995</v>
      </c>
      <c r="I122" s="97">
        <f>ROUND(IF(E29=0,0,IF(E29&gt;250,-(((250/E29)*H122)*IF(G122="H",0.02,0.05)),IF(G122="H",-0.02*H122,-0.05*H122))),2)</f>
        <v>-93483.98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5569118.6999999993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-5096681.07-466014.15</f>
        <v>-5562695.2200000007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6423.4799999985844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6423.48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183236.08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U206"/>
  <sheetViews>
    <sheetView showGridLines="0" zoomScaleNormal="100" workbookViewId="0">
      <pane ySplit="1" topLeftCell="A98" activePane="bottomLeft" state="frozen"/>
      <selection activeCell="E100" sqref="E100"/>
      <selection pane="bottomLeft" activeCell="D56" sqref="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166</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5.52</v>
      </c>
      <c r="D15" s="165">
        <v>3.5</v>
      </c>
      <c r="E15" s="125">
        <f t="shared" si="3"/>
        <v>9.02</v>
      </c>
      <c r="F15" s="534">
        <f>'0664'!F15:G15</f>
        <v>1</v>
      </c>
      <c r="G15" s="534"/>
      <c r="H15" s="83">
        <f t="shared" si="4"/>
        <v>9.02</v>
      </c>
      <c r="I15" s="104">
        <f t="shared" si="0"/>
        <v>43190.720000000001</v>
      </c>
      <c r="N15" s="481" t="s">
        <v>31</v>
      </c>
      <c r="O15" s="481"/>
      <c r="P15" s="515">
        <f t="shared" si="1"/>
        <v>0</v>
      </c>
      <c r="Q15" s="515"/>
      <c r="R15" s="519">
        <v>1</v>
      </c>
      <c r="S15" s="519"/>
      <c r="T15" s="98">
        <f t="shared" si="5"/>
        <v>0</v>
      </c>
      <c r="U15" s="99">
        <f t="shared" si="2"/>
        <v>0</v>
      </c>
    </row>
    <row r="16" spans="1:21" x14ac:dyDescent="0.25">
      <c r="A16" s="455" t="s">
        <v>32</v>
      </c>
      <c r="B16" s="455"/>
      <c r="C16" s="165">
        <v>1.5</v>
      </c>
      <c r="D16" s="165">
        <v>2</v>
      </c>
      <c r="E16" s="125">
        <f t="shared" si="3"/>
        <v>3.5</v>
      </c>
      <c r="F16" s="534">
        <f>'0664'!F16:G16</f>
        <v>1</v>
      </c>
      <c r="G16" s="534"/>
      <c r="H16" s="83">
        <f t="shared" si="4"/>
        <v>3.5</v>
      </c>
      <c r="I16" s="104">
        <f t="shared" si="0"/>
        <v>16759.150000000001</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48.47</v>
      </c>
      <c r="D17" s="165">
        <v>48.13</v>
      </c>
      <c r="E17" s="125">
        <f t="shared" si="3"/>
        <v>96.6</v>
      </c>
      <c r="F17" s="534">
        <f>'0664'!F17:G17</f>
        <v>0.999</v>
      </c>
      <c r="G17" s="534"/>
      <c r="H17" s="83">
        <f t="shared" si="4"/>
        <v>96.503399999999999</v>
      </c>
      <c r="I17" s="104">
        <f t="shared" si="0"/>
        <v>462089.94</v>
      </c>
      <c r="N17" s="481" t="s">
        <v>33</v>
      </c>
      <c r="O17" s="481"/>
      <c r="P17" s="515">
        <f t="shared" si="1"/>
        <v>0</v>
      </c>
      <c r="Q17" s="515"/>
      <c r="R17" s="519">
        <v>1</v>
      </c>
      <c r="S17" s="519"/>
      <c r="T17" s="98">
        <f t="shared" si="5"/>
        <v>0</v>
      </c>
      <c r="U17" s="99">
        <f t="shared" si="2"/>
        <v>0</v>
      </c>
    </row>
    <row r="18" spans="1:21" x14ac:dyDescent="0.25">
      <c r="A18" s="455" t="s">
        <v>34</v>
      </c>
      <c r="B18" s="455"/>
      <c r="C18" s="165">
        <v>12.43</v>
      </c>
      <c r="D18" s="165">
        <v>13.9</v>
      </c>
      <c r="E18" s="125">
        <f t="shared" si="3"/>
        <v>26.33</v>
      </c>
      <c r="F18" s="534">
        <f>'0664'!F18:G18</f>
        <v>0.999</v>
      </c>
      <c r="G18" s="534"/>
      <c r="H18" s="83">
        <f t="shared" si="4"/>
        <v>26.303699999999999</v>
      </c>
      <c r="I18" s="104">
        <f t="shared" si="0"/>
        <v>125950.75</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25">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67.919999999999987</v>
      </c>
      <c r="D29" s="97">
        <f>SUM(D13:D28)</f>
        <v>67.53</v>
      </c>
      <c r="E29" s="100">
        <f>SUM(E13:E28)</f>
        <v>135.44999999999999</v>
      </c>
      <c r="F29" s="459"/>
      <c r="G29" s="459"/>
      <c r="H29" s="102">
        <f>SUM(H13:H28)</f>
        <v>135.3271</v>
      </c>
      <c r="I29" s="97">
        <f>SUM(I13:I28)</f>
        <v>647990.56000000006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135.3271</v>
      </c>
      <c r="F45" s="35"/>
      <c r="G45" s="109"/>
      <c r="H45" s="110" t="s">
        <v>129</v>
      </c>
      <c r="I45" s="97">
        <f>SUM(I43,I29)</f>
        <v>647990.56000000006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1.5</v>
      </c>
      <c r="D53" s="165">
        <v>2</v>
      </c>
      <c r="E53" s="125">
        <f t="shared" si="10"/>
        <v>3.5</v>
      </c>
      <c r="F53" s="41" t="s">
        <v>14</v>
      </c>
      <c r="G53" s="39">
        <v>251</v>
      </c>
      <c r="H53" s="321">
        <f>'0664'!H53</f>
        <v>1173</v>
      </c>
      <c r="I53" s="104">
        <f t="shared" si="11"/>
        <v>4105.5</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12.43</v>
      </c>
      <c r="D56" s="165">
        <v>13.9</v>
      </c>
      <c r="E56" s="125">
        <f t="shared" si="10"/>
        <v>26.33</v>
      </c>
      <c r="F56" s="41" t="s">
        <v>15</v>
      </c>
      <c r="G56" s="39">
        <v>251</v>
      </c>
      <c r="H56" s="321">
        <f>'0664'!H56</f>
        <v>835</v>
      </c>
      <c r="I56" s="104">
        <f t="shared" si="11"/>
        <v>21985.55</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13.93</v>
      </c>
      <c r="D59" s="100">
        <f>SUM(D50:D58)</f>
        <v>15.9</v>
      </c>
      <c r="E59" s="100">
        <f>SUM(E50:E58)</f>
        <v>29.83</v>
      </c>
      <c r="F59" s="463" t="s">
        <v>77</v>
      </c>
      <c r="G59" s="463"/>
      <c r="H59" s="463"/>
      <c r="I59" s="100">
        <f>SUM(I50:I58)</f>
        <v>26091.05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135.44999999999999</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6.9899999999999997E-4</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135.3271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6.2299999999999996E-4</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6.9899999999999997E-4</v>
      </c>
      <c r="I68" s="104">
        <f>ROUND(F68*H68,2)</f>
        <v>29735.09</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6.9899999999999997E-4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6.9899999999999997E-4</v>
      </c>
      <c r="I71" s="104">
        <f>ROUND(F71*H71,2)</f>
        <v>9385.81</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6.9899999999999997E-4</v>
      </c>
      <c r="I72" s="104">
        <f>ROUND(F72*H72,2)</f>
        <v>10348.86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6.9899999999999997E-4</v>
      </c>
      <c r="I76" s="104">
        <f t="shared" ref="I76:I85" si="14">ROUND(F76*H76,2)</f>
        <v>6100.04</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6.9899999999999997E-4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6.2299999999999996E-4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6.2299999999999996E-4</v>
      </c>
      <c r="I79" s="104">
        <f t="shared" si="14"/>
        <v>7031.74</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6.2299999999999996E-4</v>
      </c>
      <c r="I80" s="104">
        <f t="shared" si="14"/>
        <v>128515.4</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6.2299999999999996E-4</v>
      </c>
      <c r="I82" s="104">
        <v>21992.6</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6.2299999999999996E-4</v>
      </c>
      <c r="I83" s="104">
        <v>9996.64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31989.239999999998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6.2299999999999996E-4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12.52</v>
      </c>
      <c r="D91" s="469"/>
      <c r="E91" s="49">
        <f>H8</f>
        <v>1.0438000000000001</v>
      </c>
      <c r="F91" s="338">
        <f>'0664'!F91</f>
        <v>914.63</v>
      </c>
      <c r="G91" s="41" t="s">
        <v>13</v>
      </c>
      <c r="H91" s="104">
        <f>ROUND(C91*E91*F91,2)</f>
        <v>11952.73</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122.80709999999999</v>
      </c>
      <c r="D92" s="469"/>
      <c r="E92" s="49">
        <f>H8</f>
        <v>1.0438000000000001</v>
      </c>
      <c r="F92" s="338">
        <f>'0664'!F92</f>
        <v>916.84</v>
      </c>
      <c r="G92" s="41" t="s">
        <v>13</v>
      </c>
      <c r="H92" s="97">
        <f>ROUND(C92*E92*F92,2)</f>
        <v>117526.1</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135.3271</v>
      </c>
      <c r="D93" s="471"/>
      <c r="E93" s="143"/>
      <c r="F93" s="143"/>
      <c r="G93" s="143"/>
      <c r="H93" s="144" t="s">
        <v>143</v>
      </c>
      <c r="I93" s="104">
        <f>IF(A1=75,0,H92+H91+H90)</f>
        <v>129478.83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82</v>
      </c>
      <c r="D99" s="165">
        <v>103</v>
      </c>
      <c r="E99" s="125">
        <f>(C99+D99)/2</f>
        <v>92.5</v>
      </c>
      <c r="F99" s="148" t="s">
        <v>39</v>
      </c>
      <c r="G99" s="339">
        <f>'0664'!G99</f>
        <v>544</v>
      </c>
      <c r="I99" s="104">
        <f>ROUND(G99*E99,2)</f>
        <v>50320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1076986.6200000001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1044997.3800000001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1044997.3800000001</v>
      </c>
      <c r="I122" s="97">
        <f>ROUND(IF(E29=0,0,IF(E29&gt;250,-(((250/E29)*H122)*IF(G122="H",0.02,0.05)),IF(G122="H",-0.02*H122,-0.05*H122))),2)</f>
        <v>-52249.87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1024736.7500000001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-932966.54-92871</f>
        <v>-1025837.54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-1100.7899999999208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-1100.79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U206"/>
  <sheetViews>
    <sheetView showGridLines="0" zoomScaleNormal="100" workbookViewId="0">
      <pane ySplit="1" topLeftCell="A118" activePane="bottomLeft" state="frozen"/>
      <selection activeCell="E100" sqref="E100"/>
      <selection pane="bottomLeft" activeCell="D58" sqref="D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158</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47.1</v>
      </c>
      <c r="D18" s="165">
        <v>48.42</v>
      </c>
      <c r="E18" s="125">
        <f t="shared" si="3"/>
        <v>95.52000000000001</v>
      </c>
      <c r="F18" s="534">
        <f>'0664'!F18:G18</f>
        <v>0.999</v>
      </c>
      <c r="G18" s="534"/>
      <c r="H18" s="83">
        <f t="shared" si="4"/>
        <v>95.424499999999995</v>
      </c>
      <c r="I18" s="104">
        <f t="shared" si="0"/>
        <v>456923.82</v>
      </c>
      <c r="J18" s="68" t="str">
        <f>IF(ROUND(E18,2)=ROUND(SUM(E56:E58),2)," ","CHECK 4-8 LINES BELOW")</f>
        <v xml:space="preserve"> </v>
      </c>
      <c r="N18" s="481" t="s">
        <v>34</v>
      </c>
      <c r="O18" s="481"/>
      <c r="P18" s="515">
        <f t="shared" si="1"/>
        <v>95.52000000000001</v>
      </c>
      <c r="Q18" s="515"/>
      <c r="R18" s="519">
        <v>1</v>
      </c>
      <c r="S18" s="519"/>
      <c r="T18" s="98">
        <f t="shared" si="5"/>
        <v>95.52</v>
      </c>
      <c r="U18" s="101">
        <f t="shared" si="2"/>
        <v>457381</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47.1</v>
      </c>
      <c r="D29" s="97">
        <f>SUM(D13:D28)</f>
        <v>48.42</v>
      </c>
      <c r="E29" s="97">
        <f>SUM(E13:E28)</f>
        <v>95.52000000000001</v>
      </c>
      <c r="F29" s="459"/>
      <c r="G29" s="459"/>
      <c r="H29" s="102">
        <f>SUM(H13:H28)</f>
        <v>95.424499999999995</v>
      </c>
      <c r="I29" s="97">
        <f>SUM(I13:I28)</f>
        <v>456923.82</v>
      </c>
      <c r="N29" s="517" t="s">
        <v>5</v>
      </c>
      <c r="O29" s="517"/>
      <c r="P29" s="518">
        <f>SUM(P13:P28)</f>
        <v>95.52000000000001</v>
      </c>
      <c r="Q29" s="518"/>
      <c r="R29" s="510"/>
      <c r="S29" s="510"/>
      <c r="T29" s="103">
        <f>SUM(T13:T28)</f>
        <v>95.52</v>
      </c>
      <c r="U29" s="99">
        <f>SUM(U13:U28)</f>
        <v>457381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95.424499999999995</v>
      </c>
      <c r="F45" s="35"/>
      <c r="G45" s="109"/>
      <c r="H45" s="110" t="s">
        <v>129</v>
      </c>
      <c r="I45" s="97">
        <f>SUM(I43,I29)</f>
        <v>456923.82</v>
      </c>
      <c r="N45" s="482" t="s">
        <v>55</v>
      </c>
      <c r="O45" s="482"/>
      <c r="P45" s="482"/>
      <c r="Q45" s="482"/>
      <c r="R45" s="36">
        <f>R43+T29</f>
        <v>95.52</v>
      </c>
      <c r="S45" s="510" t="s">
        <v>53</v>
      </c>
      <c r="T45" s="510"/>
      <c r="U45" s="111">
        <f>SUM(U43,U29)</f>
        <v>457381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25.01</v>
      </c>
      <c r="D57" s="165">
        <v>26.67</v>
      </c>
      <c r="E57" s="125">
        <f t="shared" si="10"/>
        <v>51.680000000000007</v>
      </c>
      <c r="F57" s="41" t="s">
        <v>15</v>
      </c>
      <c r="G57" s="39">
        <v>252</v>
      </c>
      <c r="H57" s="321">
        <f>'0664'!H57</f>
        <v>3168</v>
      </c>
      <c r="I57" s="104">
        <f t="shared" si="11"/>
        <v>163722.23999999999</v>
      </c>
      <c r="N57" s="506"/>
      <c r="O57" s="506"/>
      <c r="P57" s="508"/>
      <c r="Q57" s="508"/>
      <c r="R57" s="42" t="s">
        <v>15</v>
      </c>
      <c r="S57" s="40">
        <v>252</v>
      </c>
      <c r="T57" s="117">
        <f t="shared" si="12"/>
        <v>3168</v>
      </c>
      <c r="U57" s="118">
        <f t="shared" si="13"/>
        <v>0</v>
      </c>
    </row>
    <row r="58" spans="1:21" ht="16.5" thickBot="1" x14ac:dyDescent="0.3">
      <c r="A58" s="462"/>
      <c r="B58" s="462"/>
      <c r="C58" s="165">
        <v>22.09</v>
      </c>
      <c r="D58" s="165">
        <v>21.75</v>
      </c>
      <c r="E58" s="125">
        <f t="shared" si="10"/>
        <v>43.84</v>
      </c>
      <c r="F58" s="41" t="s">
        <v>15</v>
      </c>
      <c r="G58" s="39">
        <v>253</v>
      </c>
      <c r="H58" s="321">
        <f>'0664'!H58</f>
        <v>6685</v>
      </c>
      <c r="I58" s="104">
        <f t="shared" si="11"/>
        <v>293070.40000000002</v>
      </c>
      <c r="N58" s="506"/>
      <c r="O58" s="506"/>
      <c r="P58" s="509"/>
      <c r="Q58" s="509"/>
      <c r="R58" s="42" t="s">
        <v>15</v>
      </c>
      <c r="S58" s="40">
        <v>253</v>
      </c>
      <c r="T58" s="117">
        <f t="shared" si="12"/>
        <v>6685</v>
      </c>
      <c r="U58" s="120">
        <f t="shared" si="13"/>
        <v>0</v>
      </c>
    </row>
    <row r="59" spans="1:21" ht="16.5" thickBot="1" x14ac:dyDescent="0.3">
      <c r="A59" s="463" t="s">
        <v>16</v>
      </c>
      <c r="B59" s="463"/>
      <c r="C59" s="100">
        <f>SUM(C50:C58)</f>
        <v>47.1</v>
      </c>
      <c r="D59" s="100">
        <f>SUM(D50:D58)</f>
        <v>48.42</v>
      </c>
      <c r="E59" s="100">
        <f>SUM(E50:E58)</f>
        <v>95.52000000000001</v>
      </c>
      <c r="F59" s="463" t="s">
        <v>77</v>
      </c>
      <c r="G59" s="463"/>
      <c r="H59" s="463"/>
      <c r="I59" s="100">
        <f>SUM(I50:I58)</f>
        <v>456792.64</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95.52000000000001</v>
      </c>
      <c r="D62" s="466" t="s">
        <v>135</v>
      </c>
      <c r="E62" s="466"/>
      <c r="F62" s="466"/>
      <c r="G62" s="466"/>
      <c r="H62" s="335">
        <f>'0664'!H62</f>
        <v>193726.47</v>
      </c>
      <c r="I62" s="122"/>
      <c r="N62" s="480" t="s">
        <v>312</v>
      </c>
      <c r="O62" s="481"/>
      <c r="P62" s="43">
        <f>P29</f>
        <v>95.52000000000001</v>
      </c>
      <c r="Q62" s="500" t="s">
        <v>78</v>
      </c>
      <c r="R62" s="500"/>
      <c r="S62" s="500"/>
      <c r="T62" s="499">
        <f>H62</f>
        <v>193726.47</v>
      </c>
      <c r="U62" s="499"/>
    </row>
    <row r="63" spans="1:21" x14ac:dyDescent="0.25">
      <c r="B63" s="72"/>
      <c r="G63" s="44" t="s">
        <v>13</v>
      </c>
      <c r="H63" s="123">
        <f>ROUND(C62/H62,6)</f>
        <v>4.9299999999999995E-4</v>
      </c>
      <c r="I63" s="124"/>
      <c r="N63" s="481" t="s">
        <v>19</v>
      </c>
      <c r="O63" s="481"/>
      <c r="P63" s="481"/>
      <c r="Q63" s="481"/>
      <c r="R63" s="481"/>
      <c r="S63" s="481"/>
      <c r="T63" s="503">
        <f>ROUND(P62/T62,6)</f>
        <v>4.9299999999999995E-4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95.424499999999995</v>
      </c>
      <c r="D65" s="466" t="s">
        <v>140</v>
      </c>
      <c r="E65" s="466"/>
      <c r="F65" s="466"/>
      <c r="G65" s="466"/>
      <c r="H65" s="336">
        <f>'0664'!H65</f>
        <v>217214.58</v>
      </c>
      <c r="I65" s="125"/>
      <c r="N65" s="481" t="s">
        <v>80</v>
      </c>
      <c r="O65" s="481"/>
      <c r="P65" s="43">
        <f>R45</f>
        <v>95.52</v>
      </c>
      <c r="Q65" s="500" t="s">
        <v>79</v>
      </c>
      <c r="R65" s="500"/>
      <c r="S65" s="500"/>
      <c r="T65" s="499">
        <f>H65</f>
        <v>217214.58</v>
      </c>
      <c r="U65" s="499"/>
    </row>
    <row r="66" spans="1:21" s="37" customFormat="1" x14ac:dyDescent="0.25">
      <c r="A66" s="126"/>
      <c r="G66" s="45" t="s">
        <v>13</v>
      </c>
      <c r="H66" s="127">
        <f>ROUND(C65/H65,6)</f>
        <v>4.3899999999999999E-4</v>
      </c>
      <c r="I66" s="127"/>
      <c r="N66" s="484" t="s">
        <v>20</v>
      </c>
      <c r="O66" s="484"/>
      <c r="P66" s="484"/>
      <c r="Q66" s="484"/>
      <c r="R66" s="484"/>
      <c r="S66" s="484"/>
      <c r="T66" s="502">
        <f>ROUND(P65/T65,6)</f>
        <v>4.4000000000000002E-4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4.9299999999999995E-4</v>
      </c>
      <c r="I68" s="104">
        <f>ROUND(F68*H68,2)</f>
        <v>20971.96</v>
      </c>
      <c r="N68" s="481" t="s">
        <v>85</v>
      </c>
      <c r="O68" s="481"/>
      <c r="P68" s="481"/>
      <c r="Q68" s="47"/>
      <c r="R68" s="132">
        <f>F68</f>
        <v>42539472</v>
      </c>
      <c r="S68" s="40" t="s">
        <v>6</v>
      </c>
      <c r="T68" s="133">
        <f>T63</f>
        <v>4.9299999999999995E-4</v>
      </c>
      <c r="U68" s="99">
        <f>ROUND(R68*T68,0)</f>
        <v>20972</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4.9299999999999995E-4</v>
      </c>
      <c r="I70" s="104">
        <f>ROUND(F70*H70,2)</f>
        <v>0</v>
      </c>
      <c r="N70" s="48"/>
      <c r="O70" s="48"/>
      <c r="P70" s="48"/>
      <c r="Q70" s="47"/>
      <c r="R70" s="132">
        <f>F70</f>
        <v>0</v>
      </c>
      <c r="S70" s="40" t="s">
        <v>6</v>
      </c>
      <c r="T70" s="133">
        <f>T63</f>
        <v>4.9299999999999995E-4</v>
      </c>
      <c r="U70" s="99">
        <f>ROUND(R70*T70,0)</f>
        <v>0</v>
      </c>
    </row>
    <row r="71" spans="1:21" x14ac:dyDescent="0.25">
      <c r="A71" s="465" t="s">
        <v>432</v>
      </c>
      <c r="B71" s="455"/>
      <c r="C71" s="455"/>
      <c r="D71" s="72"/>
      <c r="E71" s="46" t="s">
        <v>3</v>
      </c>
      <c r="F71" s="337">
        <f>'0664'!F71</f>
        <v>13427478</v>
      </c>
      <c r="G71" s="39" t="s">
        <v>6</v>
      </c>
      <c r="H71" s="131">
        <f>H63</f>
        <v>4.9299999999999995E-4</v>
      </c>
      <c r="I71" s="104">
        <f>ROUND(F71*H71,2)</f>
        <v>6619.75</v>
      </c>
      <c r="N71" s="481" t="s">
        <v>83</v>
      </c>
      <c r="O71" s="481"/>
      <c r="P71" s="481"/>
      <c r="Q71" s="47"/>
      <c r="R71" s="132">
        <f>F71</f>
        <v>13427478</v>
      </c>
      <c r="S71" s="40" t="s">
        <v>6</v>
      </c>
      <c r="T71" s="133">
        <f>T63</f>
        <v>4.9299999999999995E-4</v>
      </c>
      <c r="U71" s="99">
        <f>ROUND(R71*T71,0)</f>
        <v>6620</v>
      </c>
    </row>
    <row r="72" spans="1:21" x14ac:dyDescent="0.25">
      <c r="A72" s="465" t="s">
        <v>433</v>
      </c>
      <c r="B72" s="455"/>
      <c r="C72" s="455"/>
      <c r="D72" s="72"/>
      <c r="E72" s="46" t="s">
        <v>3</v>
      </c>
      <c r="F72" s="337">
        <f>'0664'!F72</f>
        <v>14805238</v>
      </c>
      <c r="G72" s="39" t="s">
        <v>6</v>
      </c>
      <c r="H72" s="131">
        <f>H63</f>
        <v>4.9299999999999995E-4</v>
      </c>
      <c r="I72" s="104">
        <f>ROUND(F72*H72,2)</f>
        <v>7298.98</v>
      </c>
      <c r="N72" s="481" t="s">
        <v>82</v>
      </c>
      <c r="O72" s="481"/>
      <c r="P72" s="481"/>
      <c r="Q72" s="47"/>
      <c r="R72" s="134">
        <f>F72</f>
        <v>14805238</v>
      </c>
      <c r="S72" s="40" t="s">
        <v>6</v>
      </c>
      <c r="T72" s="133">
        <f>T63</f>
        <v>4.9299999999999995E-4</v>
      </c>
      <c r="U72" s="99">
        <f>ROUND(R72*T72,0)</f>
        <v>7299</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4.9299999999999995E-4</v>
      </c>
      <c r="I76" s="104">
        <f t="shared" ref="I76:I85" si="14">ROUND(F76*H76,2)</f>
        <v>4302.32</v>
      </c>
      <c r="N76" s="480" t="s">
        <v>366</v>
      </c>
      <c r="O76" s="481"/>
      <c r="P76" s="481"/>
      <c r="Q76" s="47"/>
      <c r="R76" s="134">
        <f t="shared" ref="R76:R85" si="15">F76</f>
        <v>8726807</v>
      </c>
      <c r="S76" s="40" t="s">
        <v>6</v>
      </c>
      <c r="T76" s="133">
        <f>T63</f>
        <v>4.9299999999999995E-4</v>
      </c>
      <c r="U76" s="99">
        <f t="shared" ref="U76:U85" si="16">ROUND(R76*T76,0)</f>
        <v>4302</v>
      </c>
    </row>
    <row r="77" spans="1:21" x14ac:dyDescent="0.25">
      <c r="A77" s="465" t="s">
        <v>435</v>
      </c>
      <c r="B77" s="455"/>
      <c r="C77" s="455"/>
      <c r="D77" s="72"/>
      <c r="E77" s="46" t="s">
        <v>3</v>
      </c>
      <c r="F77" s="337">
        <f>'0664'!F77</f>
        <v>0</v>
      </c>
      <c r="G77" s="39" t="s">
        <v>6</v>
      </c>
      <c r="H77" s="131">
        <f>H63</f>
        <v>4.9299999999999995E-4</v>
      </c>
      <c r="I77" s="104">
        <f t="shared" si="14"/>
        <v>0</v>
      </c>
      <c r="N77" s="481" t="s">
        <v>367</v>
      </c>
      <c r="O77" s="481"/>
      <c r="P77" s="481"/>
      <c r="Q77" s="47"/>
      <c r="R77" s="134">
        <f t="shared" si="15"/>
        <v>0</v>
      </c>
      <c r="S77" s="40" t="s">
        <v>6</v>
      </c>
      <c r="T77" s="133">
        <f>T63</f>
        <v>4.9299999999999995E-4</v>
      </c>
      <c r="U77" s="99">
        <f t="shared" si="16"/>
        <v>0</v>
      </c>
    </row>
    <row r="78" spans="1:21" x14ac:dyDescent="0.25">
      <c r="A78" s="465" t="s">
        <v>436</v>
      </c>
      <c r="B78" s="455"/>
      <c r="C78" s="455"/>
      <c r="D78" s="72"/>
      <c r="E78" s="46" t="s">
        <v>4</v>
      </c>
      <c r="F78" s="337">
        <f>'0664'!F78</f>
        <v>0</v>
      </c>
      <c r="G78" s="39" t="s">
        <v>6</v>
      </c>
      <c r="H78" s="131">
        <f>H66</f>
        <v>4.3899999999999999E-4</v>
      </c>
      <c r="I78" s="104">
        <f t="shared" si="14"/>
        <v>0</v>
      </c>
      <c r="N78" s="480" t="s">
        <v>392</v>
      </c>
      <c r="O78" s="481"/>
      <c r="P78" s="481"/>
      <c r="Q78" s="47"/>
      <c r="R78" s="134">
        <f t="shared" si="15"/>
        <v>0</v>
      </c>
      <c r="S78" s="40" t="s">
        <v>6</v>
      </c>
      <c r="T78" s="133">
        <f>T66</f>
        <v>4.4000000000000002E-4</v>
      </c>
      <c r="U78" s="99">
        <f t="shared" si="16"/>
        <v>0</v>
      </c>
    </row>
    <row r="79" spans="1:21" x14ac:dyDescent="0.25">
      <c r="A79" s="465" t="s">
        <v>437</v>
      </c>
      <c r="B79" s="455"/>
      <c r="C79" s="455"/>
      <c r="D79" s="72"/>
      <c r="E79" s="46" t="s">
        <v>4</v>
      </c>
      <c r="F79" s="337">
        <f>'0664'!F79</f>
        <v>11286897</v>
      </c>
      <c r="G79" s="39" t="s">
        <v>6</v>
      </c>
      <c r="H79" s="131">
        <f>H66</f>
        <v>4.3899999999999999E-4</v>
      </c>
      <c r="I79" s="104">
        <f t="shared" si="14"/>
        <v>4954.95</v>
      </c>
      <c r="N79" s="480" t="s">
        <v>393</v>
      </c>
      <c r="O79" s="481"/>
      <c r="P79" s="481"/>
      <c r="Q79" s="47"/>
      <c r="R79" s="134">
        <f t="shared" si="15"/>
        <v>11286897</v>
      </c>
      <c r="S79" s="40" t="s">
        <v>6</v>
      </c>
      <c r="T79" s="133">
        <f>T66</f>
        <v>4.4000000000000002E-4</v>
      </c>
      <c r="U79" s="99">
        <f t="shared" si="16"/>
        <v>4966</v>
      </c>
    </row>
    <row r="80" spans="1:21" x14ac:dyDescent="0.25">
      <c r="A80" s="465" t="s">
        <v>438</v>
      </c>
      <c r="B80" s="455"/>
      <c r="C80" s="455"/>
      <c r="D80" s="72"/>
      <c r="E80" s="46" t="s">
        <v>4</v>
      </c>
      <c r="F80" s="337">
        <f>'0664'!F80</f>
        <v>206284749</v>
      </c>
      <c r="G80" s="39" t="s">
        <v>6</v>
      </c>
      <c r="H80" s="131">
        <f>H66</f>
        <v>4.3899999999999999E-4</v>
      </c>
      <c r="I80" s="104">
        <f t="shared" si="14"/>
        <v>90559</v>
      </c>
      <c r="N80" s="480" t="s">
        <v>397</v>
      </c>
      <c r="O80" s="481"/>
      <c r="P80" s="481"/>
      <c r="Q80" s="47"/>
      <c r="R80" s="134">
        <f t="shared" si="15"/>
        <v>206284749</v>
      </c>
      <c r="S80" s="40" t="s">
        <v>6</v>
      </c>
      <c r="T80" s="133">
        <f>T66</f>
        <v>4.4000000000000002E-4</v>
      </c>
      <c r="U80" s="99">
        <f t="shared" si="16"/>
        <v>90765</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4.3899999999999999E-4</v>
      </c>
      <c r="I82" s="104">
        <v>16054.95</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4.3899999999999999E-4</v>
      </c>
      <c r="I83" s="104">
        <v>7297.7</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23352.65</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4.3899999999999999E-4</v>
      </c>
      <c r="I85" s="104">
        <f t="shared" si="14"/>
        <v>0</v>
      </c>
      <c r="N85" s="480" t="s">
        <v>398</v>
      </c>
      <c r="O85" s="481"/>
      <c r="P85" s="481"/>
      <c r="Q85" s="47"/>
      <c r="R85" s="132">
        <f t="shared" si="15"/>
        <v>0</v>
      </c>
      <c r="S85" s="40" t="s">
        <v>6</v>
      </c>
      <c r="T85" s="133">
        <f>T66</f>
        <v>4.4000000000000002E-4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95.424499999999995</v>
      </c>
      <c r="D92" s="469"/>
      <c r="E92" s="49">
        <f>H8</f>
        <v>1.0438000000000001</v>
      </c>
      <c r="F92" s="338">
        <f>'0664'!F92</f>
        <v>916.84</v>
      </c>
      <c r="G92" s="41" t="s">
        <v>13</v>
      </c>
      <c r="H92" s="97">
        <f>ROUND(C92*E92*F92,2)</f>
        <v>91321.02</v>
      </c>
      <c r="N92" s="56" t="s">
        <v>15</v>
      </c>
      <c r="O92" s="57">
        <f>T17+T18+T21+T24+T27+T28</f>
        <v>95.52</v>
      </c>
      <c r="P92" s="492">
        <f>T8</f>
        <v>1.0438000000000001</v>
      </c>
      <c r="Q92" s="492"/>
      <c r="R92" s="51">
        <f>F92</f>
        <v>916.84</v>
      </c>
      <c r="S92" s="42" t="s">
        <v>13</v>
      </c>
      <c r="T92" s="134">
        <f>ROUND(O92*P92*R92,0)</f>
        <v>91412</v>
      </c>
      <c r="U92" s="54"/>
    </row>
    <row r="93" spans="1:21" ht="16.5" thickBot="1" x14ac:dyDescent="0.3">
      <c r="A93" s="58"/>
      <c r="B93" s="142" t="s">
        <v>145</v>
      </c>
      <c r="C93" s="471">
        <f>SUM(C90:C92)</f>
        <v>95.424499999999995</v>
      </c>
      <c r="D93" s="471"/>
      <c r="E93" s="143"/>
      <c r="F93" s="143"/>
      <c r="G93" s="143"/>
      <c r="H93" s="144" t="s">
        <v>143</v>
      </c>
      <c r="I93" s="104">
        <f>IF(A1=75,0,H92+H91+H90)</f>
        <v>91321.02</v>
      </c>
      <c r="N93" s="59" t="s">
        <v>120</v>
      </c>
      <c r="O93" s="60">
        <f>SUM(O90:O92)</f>
        <v>95.52</v>
      </c>
      <c r="P93" s="493" t="s">
        <v>18</v>
      </c>
      <c r="Q93" s="494"/>
      <c r="R93" s="494"/>
      <c r="S93" s="494"/>
      <c r="T93" s="494"/>
      <c r="U93" s="99">
        <f>IF(N1=75,0,T92+T91+T90)</f>
        <v>91412</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61</v>
      </c>
      <c r="D99" s="165">
        <v>63</v>
      </c>
      <c r="E99" s="125">
        <f>(C99+D99)/2</f>
        <v>62</v>
      </c>
      <c r="F99" s="148" t="s">
        <v>39</v>
      </c>
      <c r="G99" s="339">
        <f>'0664'!G99</f>
        <v>544</v>
      </c>
      <c r="I99" s="104">
        <f>ROUND(G99*E99,2)</f>
        <v>33728</v>
      </c>
      <c r="N99" s="490" t="s">
        <v>65</v>
      </c>
      <c r="O99" s="490"/>
      <c r="P99" s="491">
        <f>IF(H120=1,E99,0)</f>
        <v>62</v>
      </c>
      <c r="Q99" s="491"/>
      <c r="R99" s="491"/>
      <c r="S99" s="86" t="s">
        <v>39</v>
      </c>
      <c r="T99" s="61">
        <f>G99</f>
        <v>544</v>
      </c>
      <c r="U99" s="99">
        <f>ROUND(T99*P99,0)</f>
        <v>33728</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717445</v>
      </c>
    </row>
    <row r="115" spans="1:21" ht="16.5" thickTop="1" x14ac:dyDescent="0.25">
      <c r="A115" s="463" t="s">
        <v>8</v>
      </c>
      <c r="B115" s="463"/>
      <c r="C115" s="463"/>
      <c r="D115" s="463"/>
      <c r="E115" s="463"/>
      <c r="F115" s="463"/>
      <c r="G115" s="463"/>
      <c r="H115" s="463"/>
      <c r="I115" s="97">
        <f>SUM(I113,I112,I110,I100,I99,I93,I85,I84,I80,I79,I78,I77,I76,I74,I73,I72,I71,I70,I68,I59,I45)</f>
        <v>1196825.0900000001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1173472.4400000002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717445</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717445</v>
      </c>
      <c r="I122" s="97">
        <f>ROUND(IF(E29=0,0,IF(E29&gt;250,-(((250/E29)*H122)*IF(G122="H",0.02,0.05)),IF(G122="H",-0.02*H122,-0.05*H122))),2)</f>
        <v>-35872.25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1160952.8400000001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-1054738-104610.62</f>
        <v>-1159348.6200000001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1604.2199999999721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1604.22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U206"/>
  <sheetViews>
    <sheetView showGridLines="0" zoomScaleNormal="100" workbookViewId="0">
      <pane ySplit="1" topLeftCell="A115" activePane="bottomLeft" state="frozen"/>
      <selection activeCell="E100" sqref="E100"/>
      <selection pane="bottomLeft" activeCell="D56" sqref="D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167</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122.11</v>
      </c>
      <c r="D17" s="165">
        <v>154.24</v>
      </c>
      <c r="E17" s="125">
        <f t="shared" si="3"/>
        <v>276.35000000000002</v>
      </c>
      <c r="F17" s="534">
        <f>'0664'!F17:G17</f>
        <v>0.999</v>
      </c>
      <c r="G17" s="534"/>
      <c r="H17" s="83">
        <f t="shared" si="4"/>
        <v>276.07369999999997</v>
      </c>
      <c r="I17" s="104">
        <f t="shared" si="0"/>
        <v>1321931.46</v>
      </c>
      <c r="N17" s="481" t="s">
        <v>33</v>
      </c>
      <c r="O17" s="481"/>
      <c r="P17" s="515">
        <f t="shared" si="1"/>
        <v>0</v>
      </c>
      <c r="Q17" s="515"/>
      <c r="R17" s="519">
        <v>1</v>
      </c>
      <c r="S17" s="519"/>
      <c r="T17" s="98">
        <f t="shared" si="5"/>
        <v>0</v>
      </c>
      <c r="U17" s="99">
        <f t="shared" si="2"/>
        <v>0</v>
      </c>
    </row>
    <row r="18" spans="1:21" x14ac:dyDescent="0.25">
      <c r="A18" s="455" t="s">
        <v>34</v>
      </c>
      <c r="B18" s="455"/>
      <c r="C18" s="165">
        <v>24.46</v>
      </c>
      <c r="D18" s="165">
        <v>28.66</v>
      </c>
      <c r="E18" s="125">
        <f t="shared" si="3"/>
        <v>53.120000000000005</v>
      </c>
      <c r="F18" s="534">
        <f>'0664'!F18:G18</f>
        <v>0.999</v>
      </c>
      <c r="G18" s="534"/>
      <c r="H18" s="83">
        <f t="shared" si="4"/>
        <v>53.066899999999997</v>
      </c>
      <c r="I18" s="104">
        <f t="shared" si="0"/>
        <v>254101.73</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7.66</v>
      </c>
      <c r="D27" s="165">
        <v>9.49</v>
      </c>
      <c r="E27" s="125">
        <f t="shared" si="3"/>
        <v>17.149999999999999</v>
      </c>
      <c r="F27" s="534">
        <f>'0664'!F27:G27</f>
        <v>1.206</v>
      </c>
      <c r="G27" s="534"/>
      <c r="H27" s="83">
        <f t="shared" si="4"/>
        <v>20.6829</v>
      </c>
      <c r="I27" s="104">
        <f t="shared" si="0"/>
        <v>99036.51</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3.12</v>
      </c>
      <c r="E28" s="177">
        <f t="shared" si="3"/>
        <v>3.12</v>
      </c>
      <c r="F28" s="534">
        <f>'0664'!F28:G28</f>
        <v>0.999</v>
      </c>
      <c r="G28" s="534"/>
      <c r="H28" s="96">
        <f t="shared" si="4"/>
        <v>3.1168999999999998</v>
      </c>
      <c r="I28" s="97">
        <f t="shared" si="0"/>
        <v>14924.74</v>
      </c>
      <c r="N28" s="484" t="s">
        <v>117</v>
      </c>
      <c r="O28" s="484"/>
      <c r="P28" s="515">
        <f t="shared" si="1"/>
        <v>0</v>
      </c>
      <c r="Q28" s="515"/>
      <c r="R28" s="516">
        <v>1</v>
      </c>
      <c r="S28" s="516"/>
      <c r="T28" s="98">
        <f t="shared" si="5"/>
        <v>0</v>
      </c>
      <c r="U28" s="99">
        <f t="shared" si="2"/>
        <v>0</v>
      </c>
    </row>
    <row r="29" spans="1:21" x14ac:dyDescent="0.25">
      <c r="A29" s="463" t="s">
        <v>5</v>
      </c>
      <c r="B29" s="463"/>
      <c r="C29" s="97">
        <f>SUM(C13:C28)</f>
        <v>154.22999999999999</v>
      </c>
      <c r="D29" s="97">
        <f>SUM(D13:D28)</f>
        <v>195.51000000000002</v>
      </c>
      <c r="E29" s="97">
        <f>SUM(E13:E28)</f>
        <v>349.74</v>
      </c>
      <c r="F29" s="459"/>
      <c r="G29" s="459"/>
      <c r="H29" s="102">
        <f>SUM(H13:H28)</f>
        <v>352.94039999999995</v>
      </c>
      <c r="I29" s="97">
        <f>SUM(I13:I28)</f>
        <v>1689994.44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352.94039999999995</v>
      </c>
      <c r="F45" s="35"/>
      <c r="G45" s="109"/>
      <c r="H45" s="110" t="s">
        <v>129</v>
      </c>
      <c r="I45" s="97">
        <f>SUM(I43,I29)</f>
        <v>1689994.44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22.96</v>
      </c>
      <c r="D56" s="165">
        <v>26.75</v>
      </c>
      <c r="E56" s="125">
        <f t="shared" si="10"/>
        <v>49.71</v>
      </c>
      <c r="F56" s="41" t="s">
        <v>15</v>
      </c>
      <c r="G56" s="39">
        <v>251</v>
      </c>
      <c r="H56" s="321">
        <f>'0664'!H56</f>
        <v>835</v>
      </c>
      <c r="I56" s="104">
        <f t="shared" si="11"/>
        <v>41507.85</v>
      </c>
      <c r="N56" s="506"/>
      <c r="O56" s="506"/>
      <c r="P56" s="508"/>
      <c r="Q56" s="508"/>
      <c r="R56" s="42" t="s">
        <v>15</v>
      </c>
      <c r="S56" s="40">
        <v>251</v>
      </c>
      <c r="T56" s="117">
        <f t="shared" si="12"/>
        <v>835</v>
      </c>
      <c r="U56" s="118">
        <f t="shared" si="13"/>
        <v>0</v>
      </c>
    </row>
    <row r="57" spans="1:21" x14ac:dyDescent="0.25">
      <c r="A57" s="462"/>
      <c r="B57" s="462"/>
      <c r="C57" s="165">
        <v>1</v>
      </c>
      <c r="D57" s="165">
        <v>1.91</v>
      </c>
      <c r="E57" s="125">
        <f t="shared" si="10"/>
        <v>2.91</v>
      </c>
      <c r="F57" s="41" t="s">
        <v>15</v>
      </c>
      <c r="G57" s="39">
        <v>252</v>
      </c>
      <c r="H57" s="321">
        <f>'0664'!H57</f>
        <v>3168</v>
      </c>
      <c r="I57" s="104">
        <f t="shared" si="11"/>
        <v>9218.8799999999992</v>
      </c>
      <c r="N57" s="506"/>
      <c r="O57" s="506"/>
      <c r="P57" s="508"/>
      <c r="Q57" s="508"/>
      <c r="R57" s="42" t="s">
        <v>15</v>
      </c>
      <c r="S57" s="40">
        <v>252</v>
      </c>
      <c r="T57" s="117">
        <f t="shared" si="12"/>
        <v>3168</v>
      </c>
      <c r="U57" s="118">
        <f t="shared" si="13"/>
        <v>0</v>
      </c>
    </row>
    <row r="58" spans="1:21" ht="16.5" thickBot="1" x14ac:dyDescent="0.3">
      <c r="A58" s="462"/>
      <c r="B58" s="462"/>
      <c r="C58" s="165">
        <v>0.5</v>
      </c>
      <c r="D58" s="165">
        <v>0</v>
      </c>
      <c r="E58" s="125">
        <f t="shared" si="10"/>
        <v>0.5</v>
      </c>
      <c r="F58" s="41" t="s">
        <v>15</v>
      </c>
      <c r="G58" s="39">
        <v>253</v>
      </c>
      <c r="H58" s="321">
        <f>'0664'!H58</f>
        <v>6685</v>
      </c>
      <c r="I58" s="104">
        <f t="shared" si="11"/>
        <v>3342.5</v>
      </c>
      <c r="N58" s="506"/>
      <c r="O58" s="506"/>
      <c r="P58" s="509"/>
      <c r="Q58" s="509"/>
      <c r="R58" s="42" t="s">
        <v>15</v>
      </c>
      <c r="S58" s="40">
        <v>253</v>
      </c>
      <c r="T58" s="117">
        <f t="shared" si="12"/>
        <v>6685</v>
      </c>
      <c r="U58" s="120">
        <f t="shared" si="13"/>
        <v>0</v>
      </c>
    </row>
    <row r="59" spans="1:21" ht="16.5" thickBot="1" x14ac:dyDescent="0.3">
      <c r="A59" s="463" t="s">
        <v>16</v>
      </c>
      <c r="B59" s="463"/>
      <c r="C59" s="100">
        <f>SUM(C50:C58)</f>
        <v>24.46</v>
      </c>
      <c r="D59" s="100">
        <f>SUM(D50:D58)</f>
        <v>28.66</v>
      </c>
      <c r="E59" s="100">
        <f>SUM(E50:E58)</f>
        <v>53.120000000000005</v>
      </c>
      <c r="F59" s="463" t="s">
        <v>77</v>
      </c>
      <c r="G59" s="463"/>
      <c r="H59" s="463"/>
      <c r="I59" s="100">
        <f>SUM(I50:I58)</f>
        <v>54069.229999999996</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349.74</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1.805E-3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352.94039999999995</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1.6249999999999999E-3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1.805E-3</v>
      </c>
      <c r="I68" s="104">
        <f>ROUND(F68*H68,2)</f>
        <v>76783.75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1.805E-3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1.805E-3</v>
      </c>
      <c r="I71" s="104">
        <f>ROUND(F71*H71,2)</f>
        <v>24236.6</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1.805E-3</v>
      </c>
      <c r="I72" s="104">
        <f>ROUND(F72*H72,2)</f>
        <v>26723.45</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1.805E-3</v>
      </c>
      <c r="I76" s="104">
        <f t="shared" ref="I76:I85" si="14">ROUND(F76*H76,2)</f>
        <v>15751.89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1.805E-3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1.6249999999999999E-3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1.6249999999999999E-3</v>
      </c>
      <c r="I79" s="104">
        <f t="shared" si="14"/>
        <v>18341.21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1.6249999999999999E-3</v>
      </c>
      <c r="I80" s="104">
        <f t="shared" si="14"/>
        <v>335212.71999999997</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1.6249999999999999E-3</v>
      </c>
      <c r="I82" s="104">
        <v>57979.22</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1.6249999999999999E-3</v>
      </c>
      <c r="I83" s="104">
        <v>26354.19</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84333.41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1.6249999999999999E-3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352.94039999999995</v>
      </c>
      <c r="D92" s="469"/>
      <c r="E92" s="49">
        <f>H8</f>
        <v>1.0438000000000001</v>
      </c>
      <c r="F92" s="338">
        <f>'0664'!F92</f>
        <v>916.84</v>
      </c>
      <c r="G92" s="41" t="s">
        <v>13</v>
      </c>
      <c r="H92" s="97">
        <f>ROUND(C92*E92*F92,2)</f>
        <v>337763.11</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352.94039999999995</v>
      </c>
      <c r="D93" s="471"/>
      <c r="E93" s="143"/>
      <c r="F93" s="143"/>
      <c r="G93" s="143"/>
      <c r="H93" s="144" t="s">
        <v>143</v>
      </c>
      <c r="I93" s="104">
        <f>IF(A1=75,0,H92+H91+H90)</f>
        <v>337763.11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141</v>
      </c>
      <c r="D99" s="165">
        <v>11</v>
      </c>
      <c r="E99" s="125">
        <f>(C99+D99)/2</f>
        <v>76</v>
      </c>
      <c r="F99" s="148" t="s">
        <v>39</v>
      </c>
      <c r="G99" s="339">
        <f>'0664'!G99</f>
        <v>544</v>
      </c>
      <c r="I99" s="104">
        <f>ROUND(G99*E99,2)</f>
        <v>41344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2704553.8099999996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2620220.3999999994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2620220.3999999994</v>
      </c>
      <c r="I122" s="97">
        <f>ROUND(IF(E29=0,0,IF(E29&gt;250,-(((250/E29)*H122)*IF(G122="H",0.02,0.05)),IF(G122="H",-0.02*H122,-0.05*H122))),2)</f>
        <v>-93648.87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2610904.9399999995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-2342421.66-272121.09</f>
        <v>-2614542.75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-3637.8100000005215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-3637.81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37362.15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U206"/>
  <sheetViews>
    <sheetView showGridLines="0" zoomScaleNormal="100" workbookViewId="0">
      <pane ySplit="1" topLeftCell="A98" activePane="bottomLeft" state="frozen"/>
      <selection activeCell="E100" sqref="E100"/>
      <selection pane="bottomLeft" activeCell="D55" sqref="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168</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102.2</v>
      </c>
      <c r="D13" s="163">
        <v>101.72</v>
      </c>
      <c r="E13" s="210">
        <f>IF(D$29=0,C13*2,C13+D13)</f>
        <v>203.92000000000002</v>
      </c>
      <c r="F13" s="539">
        <f>'0664'!F13:G13</f>
        <v>1.1259999999999999</v>
      </c>
      <c r="G13" s="539"/>
      <c r="H13" s="167">
        <f>ROUND(E13*F13,4)</f>
        <v>229.6139</v>
      </c>
      <c r="I13" s="119">
        <f t="shared" ref="I13:I28" si="0">ROUND(ROUND(H13*$C$8,4)*($H$8),2)</f>
        <v>1099466.69</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17.010000000000002</v>
      </c>
      <c r="D14" s="165">
        <v>19.52</v>
      </c>
      <c r="E14" s="125">
        <f t="shared" ref="E14:E28" si="3">IF(D$29=0,C14*2,C14+D14)</f>
        <v>36.53</v>
      </c>
      <c r="F14" s="534">
        <f>'0664'!F14:G14</f>
        <v>1.1259999999999999</v>
      </c>
      <c r="G14" s="534"/>
      <c r="H14" s="83">
        <f t="shared" ref="H14:H28" si="4">ROUND(E14*F14,4)</f>
        <v>41.132800000000003</v>
      </c>
      <c r="I14" s="104">
        <f t="shared" si="0"/>
        <v>196957.34</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39</v>
      </c>
      <c r="D15" s="165">
        <v>38.979999999999997</v>
      </c>
      <c r="E15" s="125">
        <f t="shared" si="3"/>
        <v>77.97999999999999</v>
      </c>
      <c r="F15" s="534">
        <f>'0664'!F15:G15</f>
        <v>1</v>
      </c>
      <c r="G15" s="534"/>
      <c r="H15" s="83">
        <f t="shared" si="4"/>
        <v>77.98</v>
      </c>
      <c r="I15" s="104">
        <f t="shared" si="0"/>
        <v>373393.83</v>
      </c>
      <c r="N15" s="481" t="s">
        <v>31</v>
      </c>
      <c r="O15" s="481"/>
      <c r="P15" s="515">
        <f t="shared" si="1"/>
        <v>0</v>
      </c>
      <c r="Q15" s="515"/>
      <c r="R15" s="519">
        <v>1</v>
      </c>
      <c r="S15" s="519"/>
      <c r="T15" s="98">
        <f t="shared" si="5"/>
        <v>0</v>
      </c>
      <c r="U15" s="99">
        <f t="shared" si="2"/>
        <v>0</v>
      </c>
    </row>
    <row r="16" spans="1:21" x14ac:dyDescent="0.25">
      <c r="A16" s="455" t="s">
        <v>32</v>
      </c>
      <c r="B16" s="455"/>
      <c r="C16" s="165">
        <v>12.5</v>
      </c>
      <c r="D16" s="165">
        <v>11.99</v>
      </c>
      <c r="E16" s="125">
        <f t="shared" si="3"/>
        <v>24.490000000000002</v>
      </c>
      <c r="F16" s="534">
        <f>'0664'!F16:G16</f>
        <v>1</v>
      </c>
      <c r="G16" s="534"/>
      <c r="H16" s="83">
        <f t="shared" si="4"/>
        <v>24.49</v>
      </c>
      <c r="I16" s="104">
        <f t="shared" si="0"/>
        <v>117266.16</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3.28</v>
      </c>
      <c r="D25" s="165">
        <v>3.28</v>
      </c>
      <c r="E25" s="125">
        <f t="shared" si="3"/>
        <v>6.56</v>
      </c>
      <c r="F25" s="534">
        <f>'0664'!F25:G25</f>
        <v>1.206</v>
      </c>
      <c r="G25" s="534"/>
      <c r="H25" s="83">
        <f t="shared" si="4"/>
        <v>7.9114000000000004</v>
      </c>
      <c r="I25" s="104">
        <f t="shared" si="0"/>
        <v>37882.379999999997</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173.99</v>
      </c>
      <c r="D29" s="97">
        <f>SUM(D13:D28)</f>
        <v>175.49</v>
      </c>
      <c r="E29" s="97">
        <f>SUM(E13:E28)</f>
        <v>349.48</v>
      </c>
      <c r="F29" s="459"/>
      <c r="G29" s="459"/>
      <c r="H29" s="102">
        <f>SUM(H13:H28)</f>
        <v>381.12810000000007</v>
      </c>
      <c r="I29" s="97">
        <f>SUM(I13:I28)</f>
        <v>1824966.4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381.12810000000007</v>
      </c>
      <c r="F45" s="35"/>
      <c r="G45" s="109"/>
      <c r="H45" s="110" t="s">
        <v>129</v>
      </c>
      <c r="I45" s="97">
        <f>SUM(I43,I29)</f>
        <v>1824966.4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16.010000000000002</v>
      </c>
      <c r="D50" s="165">
        <v>18.61</v>
      </c>
      <c r="E50" s="125">
        <f>IF(D$59=0,C50*2,C50+D50)</f>
        <v>34.620000000000005</v>
      </c>
      <c r="F50" s="39" t="s">
        <v>21</v>
      </c>
      <c r="G50" s="39">
        <v>251</v>
      </c>
      <c r="H50" s="321">
        <f>'0664'!H50</f>
        <v>1047</v>
      </c>
      <c r="I50" s="104">
        <f>ROUND(E50*H50,2)</f>
        <v>36247.14</v>
      </c>
      <c r="N50" s="506" t="s">
        <v>28</v>
      </c>
      <c r="O50" s="506"/>
      <c r="P50" s="507"/>
      <c r="Q50" s="507"/>
      <c r="R50" s="40" t="s">
        <v>21</v>
      </c>
      <c r="S50" s="40">
        <v>251</v>
      </c>
      <c r="T50" s="117">
        <f>H50</f>
        <v>1047</v>
      </c>
      <c r="U50" s="118">
        <f>ROUND(P50*T50,0)</f>
        <v>0</v>
      </c>
    </row>
    <row r="51" spans="1:21" x14ac:dyDescent="0.25">
      <c r="A51" s="462"/>
      <c r="B51" s="462"/>
      <c r="C51" s="165">
        <v>1</v>
      </c>
      <c r="D51" s="165">
        <v>0.91</v>
      </c>
      <c r="E51" s="125">
        <f t="shared" ref="E51:E58" si="10">IF(D$59=0,C51*2,C51+D51)</f>
        <v>1.9100000000000001</v>
      </c>
      <c r="F51" s="39" t="s">
        <v>21</v>
      </c>
      <c r="G51" s="39">
        <v>252</v>
      </c>
      <c r="H51" s="321">
        <f>'0664'!H51</f>
        <v>3380</v>
      </c>
      <c r="I51" s="104">
        <f t="shared" ref="I51:I58" si="11">ROUND(E51*H51,2)</f>
        <v>6455.8</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12.5</v>
      </c>
      <c r="D53" s="165">
        <v>11.58</v>
      </c>
      <c r="E53" s="125">
        <f t="shared" si="10"/>
        <v>24.08</v>
      </c>
      <c r="F53" s="41" t="s">
        <v>14</v>
      </c>
      <c r="G53" s="39">
        <v>251</v>
      </c>
      <c r="H53" s="321">
        <f>'0664'!H53</f>
        <v>1173</v>
      </c>
      <c r="I53" s="104">
        <f t="shared" si="11"/>
        <v>28245.84</v>
      </c>
      <c r="N53" s="506"/>
      <c r="O53" s="506"/>
      <c r="P53" s="508"/>
      <c r="Q53" s="508"/>
      <c r="R53" s="42" t="s">
        <v>14</v>
      </c>
      <c r="S53" s="40">
        <v>251</v>
      </c>
      <c r="T53" s="117">
        <f t="shared" si="12"/>
        <v>1173</v>
      </c>
      <c r="U53" s="118">
        <f t="shared" si="13"/>
        <v>0</v>
      </c>
    </row>
    <row r="54" spans="1:21" x14ac:dyDescent="0.25">
      <c r="A54" s="462"/>
      <c r="B54" s="462"/>
      <c r="C54" s="165">
        <v>0</v>
      </c>
      <c r="D54" s="165">
        <v>0.41</v>
      </c>
      <c r="E54" s="125">
        <f t="shared" si="10"/>
        <v>0.41</v>
      </c>
      <c r="F54" s="41" t="s">
        <v>14</v>
      </c>
      <c r="G54" s="39">
        <v>252</v>
      </c>
      <c r="H54" s="321">
        <f>'0664'!H54</f>
        <v>3506</v>
      </c>
      <c r="I54" s="104">
        <f t="shared" si="11"/>
        <v>1437.46</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29.51</v>
      </c>
      <c r="D59" s="100">
        <f>SUM(D50:D58)</f>
        <v>31.51</v>
      </c>
      <c r="E59" s="100">
        <f>SUM(E50:E58)</f>
        <v>61.019999999999996</v>
      </c>
      <c r="F59" s="463" t="s">
        <v>77</v>
      </c>
      <c r="G59" s="463"/>
      <c r="H59" s="463"/>
      <c r="I59" s="100">
        <f>SUM(I50:I58)</f>
        <v>72386.240000000005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349.48</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1.804E-3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381.12810000000007</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1.755E-3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1.804E-3</v>
      </c>
      <c r="I68" s="104">
        <f>ROUND(F68*H68,2)</f>
        <v>76741.210000000006</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1.804E-3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1.804E-3</v>
      </c>
      <c r="I71" s="104">
        <f>ROUND(F71*H71,2)</f>
        <v>24223.17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1.804E-3</v>
      </c>
      <c r="I72" s="104">
        <f>ROUND(F72*H72,2)</f>
        <v>26708.65</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1.804E-3</v>
      </c>
      <c r="I76" s="104">
        <f t="shared" ref="I76:I85" si="14">ROUND(F76*H76,2)</f>
        <v>15743.16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1.804E-3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1.755E-3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1.755E-3</v>
      </c>
      <c r="I79" s="104">
        <f t="shared" si="14"/>
        <v>19808.5</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1.755E-3</v>
      </c>
      <c r="I80" s="104">
        <f t="shared" si="14"/>
        <v>362029.73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1.755E-3</v>
      </c>
      <c r="I82" s="104">
        <v>64396.639999999999</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1.755E-3</v>
      </c>
      <c r="I83" s="104">
        <v>29271.200000000001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93667.839999999997</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1.755E-3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278.65810000000005</v>
      </c>
      <c r="D90" s="469"/>
      <c r="E90" s="49">
        <f>H8</f>
        <v>1.0438000000000001</v>
      </c>
      <c r="F90" s="338">
        <f>'0664'!F90</f>
        <v>957.94</v>
      </c>
      <c r="G90" s="41" t="s">
        <v>13</v>
      </c>
      <c r="H90" s="104">
        <f>ROUND(C90*E90*F90,2)</f>
        <v>278629.61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102.47</v>
      </c>
      <c r="D91" s="469"/>
      <c r="E91" s="49">
        <f>H8</f>
        <v>1.0438000000000001</v>
      </c>
      <c r="F91" s="338">
        <f>'0664'!F91</f>
        <v>914.63</v>
      </c>
      <c r="G91" s="41" t="s">
        <v>13</v>
      </c>
      <c r="H91" s="104">
        <f>ROUND(C91*E91*F91,2)</f>
        <v>97827.17</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381.12810000000002</v>
      </c>
      <c r="D93" s="471"/>
      <c r="E93" s="143"/>
      <c r="F93" s="143"/>
      <c r="G93" s="143"/>
      <c r="H93" s="144" t="s">
        <v>143</v>
      </c>
      <c r="I93" s="104">
        <f>IF(A1=75,0,H92+H91+H90)</f>
        <v>376456.77999999997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v>
      </c>
      <c r="D99" s="165">
        <v>1</v>
      </c>
      <c r="E99" s="125">
        <f>(C99+D99)/2</f>
        <v>1</v>
      </c>
      <c r="F99" s="148" t="s">
        <v>39</v>
      </c>
      <c r="G99" s="339">
        <f>'0664'!G99</f>
        <v>544</v>
      </c>
      <c r="I99" s="104">
        <f>ROUND(G99*E99,2)</f>
        <v>544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2893275.6799999997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2799607.84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2799607.84</v>
      </c>
      <c r="I122" s="97">
        <f>ROUND(IF(E29=0,0,IF(E29&gt;250,-(((250/E29)*H122)*IF(G122="H",0.02,0.05)),IF(G122="H",-0.02*H122,-0.05*H122))),2)</f>
        <v>-40053.910000000003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2853221.7699999996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-2602284.03-251050.22</f>
        <v>-2853334.25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-112.48000000044703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-112.48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15938.25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U206"/>
  <sheetViews>
    <sheetView showGridLines="0" zoomScaleNormal="100" workbookViewId="0">
      <pane ySplit="1" topLeftCell="A118" activePane="bottomLeft" state="frozen"/>
      <selection activeCell="E100" sqref="E100"/>
      <selection pane="bottomLeft" activeCell="D57" sqref="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169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121.34</v>
      </c>
      <c r="D17" s="165">
        <v>142.16</v>
      </c>
      <c r="E17" s="125">
        <f t="shared" si="3"/>
        <v>263.5</v>
      </c>
      <c r="F17" s="534">
        <f>'0664'!F17:G17</f>
        <v>0.999</v>
      </c>
      <c r="G17" s="534"/>
      <c r="H17" s="83">
        <f t="shared" si="4"/>
        <v>263.23649999999998</v>
      </c>
      <c r="I17" s="104">
        <f t="shared" si="0"/>
        <v>1260462.74</v>
      </c>
      <c r="N17" s="481" t="s">
        <v>33</v>
      </c>
      <c r="O17" s="481"/>
      <c r="P17" s="515">
        <f t="shared" si="1"/>
        <v>0</v>
      </c>
      <c r="Q17" s="515"/>
      <c r="R17" s="519">
        <v>1</v>
      </c>
      <c r="S17" s="519"/>
      <c r="T17" s="98">
        <f t="shared" si="5"/>
        <v>0</v>
      </c>
      <c r="U17" s="99">
        <f t="shared" si="2"/>
        <v>0</v>
      </c>
    </row>
    <row r="18" spans="1:21" x14ac:dyDescent="0.25">
      <c r="A18" s="455" t="s">
        <v>34</v>
      </c>
      <c r="B18" s="455"/>
      <c r="C18" s="165">
        <v>19.41</v>
      </c>
      <c r="D18" s="165">
        <v>23.4</v>
      </c>
      <c r="E18" s="125">
        <f t="shared" si="3"/>
        <v>42.81</v>
      </c>
      <c r="F18" s="534">
        <f>'0664'!F18:G18</f>
        <v>0.999</v>
      </c>
      <c r="G18" s="534"/>
      <c r="H18" s="83">
        <f t="shared" si="4"/>
        <v>42.767200000000003</v>
      </c>
      <c r="I18" s="104">
        <f t="shared" si="0"/>
        <v>204783.39</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6.2</v>
      </c>
      <c r="D27" s="165">
        <v>9.08</v>
      </c>
      <c r="E27" s="125">
        <f t="shared" si="3"/>
        <v>15.280000000000001</v>
      </c>
      <c r="F27" s="534">
        <f>'0664'!F27:G27</f>
        <v>1.206</v>
      </c>
      <c r="G27" s="534"/>
      <c r="H27" s="83">
        <f t="shared" si="4"/>
        <v>18.427700000000002</v>
      </c>
      <c r="I27" s="104">
        <f t="shared" si="0"/>
        <v>88237.87</v>
      </c>
      <c r="N27" s="481" t="s">
        <v>116</v>
      </c>
      <c r="O27" s="481"/>
      <c r="P27" s="515">
        <f t="shared" si="1"/>
        <v>0</v>
      </c>
      <c r="Q27" s="515"/>
      <c r="R27" s="519">
        <v>1</v>
      </c>
      <c r="S27" s="519"/>
      <c r="T27" s="98">
        <f t="shared" si="5"/>
        <v>0</v>
      </c>
      <c r="U27" s="99">
        <f t="shared" si="2"/>
        <v>0</v>
      </c>
    </row>
    <row r="28" spans="1:21" x14ac:dyDescent="0.25">
      <c r="A28" s="455" t="s">
        <v>117</v>
      </c>
      <c r="B28" s="455"/>
      <c r="C28" s="116">
        <v>2.1</v>
      </c>
      <c r="D28" s="116">
        <v>1.4</v>
      </c>
      <c r="E28" s="177">
        <f t="shared" si="3"/>
        <v>3.5</v>
      </c>
      <c r="F28" s="534">
        <f>'0664'!F28:G28</f>
        <v>0.999</v>
      </c>
      <c r="G28" s="534"/>
      <c r="H28" s="96">
        <f t="shared" si="4"/>
        <v>3.4965000000000002</v>
      </c>
      <c r="I28" s="97">
        <f t="shared" si="0"/>
        <v>16742.39</v>
      </c>
      <c r="N28" s="484" t="s">
        <v>117</v>
      </c>
      <c r="O28" s="484"/>
      <c r="P28" s="515">
        <f t="shared" si="1"/>
        <v>0</v>
      </c>
      <c r="Q28" s="515"/>
      <c r="R28" s="516">
        <v>1</v>
      </c>
      <c r="S28" s="516"/>
      <c r="T28" s="98">
        <f t="shared" si="5"/>
        <v>0</v>
      </c>
      <c r="U28" s="99">
        <f t="shared" si="2"/>
        <v>0</v>
      </c>
    </row>
    <row r="29" spans="1:21" x14ac:dyDescent="0.25">
      <c r="A29" s="463" t="s">
        <v>5</v>
      </c>
      <c r="B29" s="463"/>
      <c r="C29" s="97">
        <f>SUM(C13:C28)</f>
        <v>149.04999999999998</v>
      </c>
      <c r="D29" s="97">
        <f>SUM(D13:D28)</f>
        <v>176.04000000000002</v>
      </c>
      <c r="E29" s="97">
        <f>SUM(E13:E28)</f>
        <v>325.09000000000003</v>
      </c>
      <c r="F29" s="459"/>
      <c r="G29" s="459"/>
      <c r="H29" s="102">
        <f>SUM(H13:H28)</f>
        <v>327.92790000000002</v>
      </c>
      <c r="I29" s="97">
        <f>SUM(I13:I28)</f>
        <v>1570226.39</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327.92790000000002</v>
      </c>
      <c r="F45" s="35"/>
      <c r="G45" s="109"/>
      <c r="H45" s="110" t="s">
        <v>129</v>
      </c>
      <c r="I45" s="97">
        <f>SUM(I43,I29)</f>
        <v>1570226.39</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17.420000000000002</v>
      </c>
      <c r="D56" s="165">
        <v>21.48</v>
      </c>
      <c r="E56" s="125">
        <f t="shared" si="10"/>
        <v>38.900000000000006</v>
      </c>
      <c r="F56" s="41" t="s">
        <v>15</v>
      </c>
      <c r="G56" s="39">
        <v>251</v>
      </c>
      <c r="H56" s="321">
        <f>'0664'!H56</f>
        <v>835</v>
      </c>
      <c r="I56" s="104">
        <f t="shared" si="11"/>
        <v>32481.5</v>
      </c>
      <c r="N56" s="506"/>
      <c r="O56" s="506"/>
      <c r="P56" s="508"/>
      <c r="Q56" s="508"/>
      <c r="R56" s="42" t="s">
        <v>15</v>
      </c>
      <c r="S56" s="40">
        <v>251</v>
      </c>
      <c r="T56" s="117">
        <f t="shared" si="12"/>
        <v>835</v>
      </c>
      <c r="U56" s="118">
        <f t="shared" si="13"/>
        <v>0</v>
      </c>
    </row>
    <row r="57" spans="1:21" x14ac:dyDescent="0.25">
      <c r="A57" s="462"/>
      <c r="B57" s="462"/>
      <c r="C57" s="165">
        <v>1.99</v>
      </c>
      <c r="D57" s="165">
        <v>1.92</v>
      </c>
      <c r="E57" s="125">
        <f t="shared" si="10"/>
        <v>3.91</v>
      </c>
      <c r="F57" s="41" t="s">
        <v>15</v>
      </c>
      <c r="G57" s="39">
        <v>252</v>
      </c>
      <c r="H57" s="321">
        <f>'0664'!H57</f>
        <v>3168</v>
      </c>
      <c r="I57" s="104">
        <f t="shared" si="11"/>
        <v>12386.88</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19.41</v>
      </c>
      <c r="D59" s="100">
        <f>SUM(D50:D58)</f>
        <v>23.4</v>
      </c>
      <c r="E59" s="100">
        <f>SUM(E50:E58)</f>
        <v>42.81</v>
      </c>
      <c r="F59" s="463" t="s">
        <v>77</v>
      </c>
      <c r="G59" s="463"/>
      <c r="H59" s="463"/>
      <c r="I59" s="100">
        <f>SUM(I50:I58)</f>
        <v>44868.38</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325.09000000000003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1.678E-3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327.92790000000002</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1.5100000000000001E-3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1.678E-3</v>
      </c>
      <c r="I68" s="104">
        <f>ROUND(F68*H68,2)</f>
        <v>71381.23</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1.678E-3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1.678E-3</v>
      </c>
      <c r="I71" s="104">
        <f>ROUND(F71*H71,2)</f>
        <v>22531.31</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1.678E-3</v>
      </c>
      <c r="I72" s="104">
        <f>ROUND(F72*H72,2)</f>
        <v>24843.19</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1.678E-3</v>
      </c>
      <c r="I76" s="104">
        <f t="shared" ref="I76:I85" si="14">ROUND(F76*H76,2)</f>
        <v>14643.58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1.678E-3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1.5100000000000001E-3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1.5100000000000001E-3</v>
      </c>
      <c r="I79" s="104">
        <f t="shared" si="14"/>
        <v>17043.21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1.5100000000000001E-3</v>
      </c>
      <c r="I80" s="104">
        <f t="shared" si="14"/>
        <v>311489.96999999997</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1.5100000000000001E-3</v>
      </c>
      <c r="I82" s="104">
        <v>58112.29</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1.5100000000000001E-3</v>
      </c>
      <c r="I83" s="104">
        <v>26414.68</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84526.97</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1.5100000000000001E-3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327.92790000000002</v>
      </c>
      <c r="D92" s="469"/>
      <c r="E92" s="49">
        <f>H8</f>
        <v>1.0438000000000001</v>
      </c>
      <c r="F92" s="338">
        <f>'0664'!F92</f>
        <v>916.84</v>
      </c>
      <c r="G92" s="41" t="s">
        <v>13</v>
      </c>
      <c r="H92" s="97">
        <f>ROUND(C92*E92*F92,2)</f>
        <v>313826.21000000002</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327.92790000000002</v>
      </c>
      <c r="D93" s="471"/>
      <c r="E93" s="143"/>
      <c r="F93" s="143"/>
      <c r="G93" s="143"/>
      <c r="H93" s="144" t="s">
        <v>143</v>
      </c>
      <c r="I93" s="104">
        <f>IF(A1=75,0,H92+H91+H90)</f>
        <v>313826.21000000002</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5</v>
      </c>
      <c r="D99" s="165">
        <v>50</v>
      </c>
      <c r="E99" s="125">
        <f>(C99+D99)/2</f>
        <v>27.5</v>
      </c>
      <c r="F99" s="148" t="s">
        <v>39</v>
      </c>
      <c r="G99" s="339">
        <f>'0664'!G99</f>
        <v>544</v>
      </c>
      <c r="I99" s="104">
        <f>ROUND(G99*E99,2)</f>
        <v>14960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2490340.44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2405813.4699999997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2405813.4699999997</v>
      </c>
      <c r="I122" s="97">
        <f>ROUND(IF(E29=0,0,IF(E29&gt;250,-(((250/E29)*H122)*IF(G122="H",0.02,0.05)),IF(G122="H",-0.02*H122,-0.05*H122))),2)</f>
        <v>-92505.67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2397834.77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-2167186.02-232838.53</f>
        <v>-2400024.5499999998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-2189.7799999997951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-2189.7800000000002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27785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U206"/>
  <sheetViews>
    <sheetView showGridLines="0" zoomScaleNormal="100" workbookViewId="0">
      <pane ySplit="1" topLeftCell="A101" activePane="bottomLeft" state="frozen"/>
      <selection activeCell="E100" sqref="E100"/>
      <selection pane="bottomLeft" activeCell="D53" sqref="D53"/>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170</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204.24</v>
      </c>
      <c r="D13" s="163">
        <v>197.35</v>
      </c>
      <c r="E13" s="210">
        <f>IF(D$29=0,C13*2,C13+D13)</f>
        <v>401.59000000000003</v>
      </c>
      <c r="F13" s="539">
        <f>'0664'!F13:G13</f>
        <v>1.1259999999999999</v>
      </c>
      <c r="G13" s="539"/>
      <c r="H13" s="167">
        <f>ROUND(E13*F13,4)</f>
        <v>452.19029999999998</v>
      </c>
      <c r="I13" s="119">
        <f t="shared" ref="I13:I28" si="0">ROUND(ROUND(H13*$C$8,4)*($H$8),2)</f>
        <v>2165235.5299999998</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23.02</v>
      </c>
      <c r="D14" s="165">
        <v>24.5</v>
      </c>
      <c r="E14" s="125">
        <f t="shared" ref="E14:E28" si="3">IF(D$29=0,C14*2,C14+D14)</f>
        <v>47.519999999999996</v>
      </c>
      <c r="F14" s="534">
        <f>'0664'!F14:G14</f>
        <v>1.1259999999999999</v>
      </c>
      <c r="G14" s="534"/>
      <c r="H14" s="83">
        <f t="shared" ref="H14:H28" si="4">ROUND(E14*F14,4)</f>
        <v>53.5075</v>
      </c>
      <c r="I14" s="104">
        <f t="shared" si="0"/>
        <v>256211.47</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233.38</v>
      </c>
      <c r="D15" s="165">
        <v>226.93</v>
      </c>
      <c r="E15" s="125">
        <f t="shared" si="3"/>
        <v>460.31</v>
      </c>
      <c r="F15" s="534">
        <f>'0664'!F15:G15</f>
        <v>1</v>
      </c>
      <c r="G15" s="534"/>
      <c r="H15" s="83">
        <f t="shared" si="4"/>
        <v>460.31</v>
      </c>
      <c r="I15" s="104">
        <f t="shared" si="0"/>
        <v>2204115.3199999998</v>
      </c>
      <c r="N15" s="481" t="s">
        <v>31</v>
      </c>
      <c r="O15" s="481"/>
      <c r="P15" s="515">
        <f t="shared" si="1"/>
        <v>0</v>
      </c>
      <c r="Q15" s="515"/>
      <c r="R15" s="519">
        <v>1</v>
      </c>
      <c r="S15" s="519"/>
      <c r="T15" s="98">
        <f t="shared" si="5"/>
        <v>0</v>
      </c>
      <c r="U15" s="99">
        <f t="shared" si="2"/>
        <v>0</v>
      </c>
    </row>
    <row r="16" spans="1:21" x14ac:dyDescent="0.25">
      <c r="A16" s="455" t="s">
        <v>32</v>
      </c>
      <c r="B16" s="455"/>
      <c r="C16" s="165">
        <v>30.77</v>
      </c>
      <c r="D16" s="165">
        <v>29.49</v>
      </c>
      <c r="E16" s="125">
        <f t="shared" si="3"/>
        <v>60.26</v>
      </c>
      <c r="F16" s="534">
        <f>'0664'!F16:G16</f>
        <v>1</v>
      </c>
      <c r="G16" s="534"/>
      <c r="H16" s="83">
        <f t="shared" si="4"/>
        <v>60.26</v>
      </c>
      <c r="I16" s="104">
        <f t="shared" si="0"/>
        <v>288544.65000000002</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11.74</v>
      </c>
      <c r="D25" s="165">
        <v>10.94</v>
      </c>
      <c r="E25" s="125">
        <f t="shared" si="3"/>
        <v>22.68</v>
      </c>
      <c r="F25" s="534">
        <f>'0664'!F25:G25</f>
        <v>1.206</v>
      </c>
      <c r="G25" s="534"/>
      <c r="H25" s="83">
        <f t="shared" si="4"/>
        <v>27.3521</v>
      </c>
      <c r="I25" s="104">
        <f t="shared" si="0"/>
        <v>130970.83</v>
      </c>
      <c r="N25" s="481" t="s">
        <v>114</v>
      </c>
      <c r="O25" s="481"/>
      <c r="P25" s="515">
        <f t="shared" si="1"/>
        <v>0</v>
      </c>
      <c r="Q25" s="515"/>
      <c r="R25" s="519">
        <v>1</v>
      </c>
      <c r="S25" s="519"/>
      <c r="T25" s="98">
        <f t="shared" si="5"/>
        <v>0</v>
      </c>
      <c r="U25" s="99">
        <f t="shared" si="2"/>
        <v>0</v>
      </c>
    </row>
    <row r="26" spans="1:21" x14ac:dyDescent="0.25">
      <c r="A26" s="455" t="s">
        <v>115</v>
      </c>
      <c r="B26" s="455"/>
      <c r="C26" s="165">
        <v>3.01</v>
      </c>
      <c r="D26" s="165">
        <v>2.57</v>
      </c>
      <c r="E26" s="125">
        <f t="shared" si="3"/>
        <v>5.58</v>
      </c>
      <c r="F26" s="534">
        <f>'0664'!F26:G26</f>
        <v>1.206</v>
      </c>
      <c r="G26" s="534"/>
      <c r="H26" s="83">
        <f t="shared" si="4"/>
        <v>6.7294999999999998</v>
      </c>
      <c r="I26" s="104">
        <f t="shared" si="0"/>
        <v>32223.05</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506.15999999999997</v>
      </c>
      <c r="D29" s="97">
        <f>SUM(D13:D28)</f>
        <v>491.78</v>
      </c>
      <c r="E29" s="97">
        <f>SUM(E13:E28)</f>
        <v>997.94</v>
      </c>
      <c r="F29" s="459"/>
      <c r="G29" s="459"/>
      <c r="H29" s="102">
        <f>SUM(H13:H28)</f>
        <v>1060.3494000000001</v>
      </c>
      <c r="I29" s="97">
        <f>SUM(I13:I28)</f>
        <v>5077300.8500000006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1060.3494000000001</v>
      </c>
      <c r="F45" s="35"/>
      <c r="G45" s="109"/>
      <c r="H45" s="110" t="s">
        <v>129</v>
      </c>
      <c r="I45" s="97">
        <f>SUM(I43,I29)</f>
        <v>5077300.8500000006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19.02</v>
      </c>
      <c r="D50" s="165">
        <v>21.59</v>
      </c>
      <c r="E50" s="125">
        <f>IF(D$59=0,C50*2,C50+D50)</f>
        <v>40.61</v>
      </c>
      <c r="F50" s="39" t="s">
        <v>21</v>
      </c>
      <c r="G50" s="39">
        <v>251</v>
      </c>
      <c r="H50" s="321">
        <f>'0664'!H50</f>
        <v>1047</v>
      </c>
      <c r="I50" s="104">
        <f>ROUND(E50*H50,2)</f>
        <v>42518.67</v>
      </c>
      <c r="N50" s="506" t="s">
        <v>28</v>
      </c>
      <c r="O50" s="506"/>
      <c r="P50" s="507"/>
      <c r="Q50" s="507"/>
      <c r="R50" s="40" t="s">
        <v>21</v>
      </c>
      <c r="S50" s="40">
        <v>251</v>
      </c>
      <c r="T50" s="117">
        <f>H50</f>
        <v>1047</v>
      </c>
      <c r="U50" s="118">
        <f>ROUND(P50*T50,0)</f>
        <v>0</v>
      </c>
    </row>
    <row r="51" spans="1:21" x14ac:dyDescent="0.25">
      <c r="A51" s="462"/>
      <c r="B51" s="462"/>
      <c r="C51" s="165">
        <v>4</v>
      </c>
      <c r="D51" s="165">
        <v>2.91</v>
      </c>
      <c r="E51" s="125">
        <f t="shared" ref="E51:E58" si="10">IF(D$59=0,C51*2,C51+D51)</f>
        <v>6.91</v>
      </c>
      <c r="F51" s="39" t="s">
        <v>21</v>
      </c>
      <c r="G51" s="39">
        <v>252</v>
      </c>
      <c r="H51" s="321">
        <f>'0664'!H51</f>
        <v>3380</v>
      </c>
      <c r="I51" s="104">
        <f t="shared" ref="I51:I58" si="11">ROUND(E51*H51,2)</f>
        <v>23355.8</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26.73</v>
      </c>
      <c r="D53" s="165">
        <v>25.48</v>
      </c>
      <c r="E53" s="125">
        <f t="shared" si="10"/>
        <v>52.21</v>
      </c>
      <c r="F53" s="41" t="s">
        <v>14</v>
      </c>
      <c r="G53" s="39">
        <v>251</v>
      </c>
      <c r="H53" s="321">
        <f>'0664'!H53</f>
        <v>1173</v>
      </c>
      <c r="I53" s="104">
        <f t="shared" si="11"/>
        <v>61242.33</v>
      </c>
      <c r="N53" s="506"/>
      <c r="O53" s="506"/>
      <c r="P53" s="508"/>
      <c r="Q53" s="508"/>
      <c r="R53" s="42" t="s">
        <v>14</v>
      </c>
      <c r="S53" s="40">
        <v>251</v>
      </c>
      <c r="T53" s="117">
        <f t="shared" si="12"/>
        <v>1173</v>
      </c>
      <c r="U53" s="118">
        <f t="shared" si="13"/>
        <v>0</v>
      </c>
    </row>
    <row r="54" spans="1:21" x14ac:dyDescent="0.25">
      <c r="A54" s="462"/>
      <c r="B54" s="462"/>
      <c r="C54" s="165">
        <v>4.04</v>
      </c>
      <c r="D54" s="165">
        <v>4.01</v>
      </c>
      <c r="E54" s="125">
        <f t="shared" si="10"/>
        <v>8.0500000000000007</v>
      </c>
      <c r="F54" s="41" t="s">
        <v>14</v>
      </c>
      <c r="G54" s="39">
        <v>252</v>
      </c>
      <c r="H54" s="321">
        <f>'0664'!H54</f>
        <v>3506</v>
      </c>
      <c r="I54" s="104">
        <f t="shared" si="11"/>
        <v>28223.3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53.79</v>
      </c>
      <c r="D59" s="100">
        <f>SUM(D50:D58)</f>
        <v>53.99</v>
      </c>
      <c r="E59" s="100">
        <f>SUM(E50:E58)</f>
        <v>107.77999999999999</v>
      </c>
      <c r="F59" s="463" t="s">
        <v>77</v>
      </c>
      <c r="G59" s="463"/>
      <c r="H59" s="463"/>
      <c r="I59" s="100">
        <f>SUM(I50:I58)</f>
        <v>155340.1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997.94</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5.1510000000000002E-3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1060.3494000000001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4.8820000000000001E-3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5.1510000000000002E-3</v>
      </c>
      <c r="I68" s="104">
        <f>ROUND(F68*H68,2)</f>
        <v>219120.82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5.1510000000000002E-3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5.1510000000000002E-3</v>
      </c>
      <c r="I71" s="104">
        <f>ROUND(F71*H71,2)</f>
        <v>69164.94</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5.1510000000000002E-3</v>
      </c>
      <c r="I72" s="104">
        <f>ROUND(F72*H72,2)</f>
        <v>76261.78</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5.1510000000000002E-3</v>
      </c>
      <c r="I76" s="104">
        <f t="shared" ref="I76:I85" si="14">ROUND(F76*H76,2)</f>
        <v>44951.78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5.1510000000000002E-3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4.8820000000000001E-3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4.8820000000000001E-3</v>
      </c>
      <c r="I79" s="104">
        <f t="shared" si="14"/>
        <v>55102.63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4.8820000000000001E-3</v>
      </c>
      <c r="I80" s="104">
        <f t="shared" si="14"/>
        <v>1007082.14</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4.8820000000000001E-3</v>
      </c>
      <c r="I82" s="104">
        <v>180777.07</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4.8820000000000001E-3</v>
      </c>
      <c r="I83" s="104">
        <v>82171.39</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262948.46000000002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4.8820000000000001E-3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533.04989999999998</v>
      </c>
      <c r="D90" s="469"/>
      <c r="E90" s="49">
        <f>H8</f>
        <v>1.0438000000000001</v>
      </c>
      <c r="F90" s="338">
        <f>'0664'!F90</f>
        <v>957.94</v>
      </c>
      <c r="G90" s="41" t="s">
        <v>13</v>
      </c>
      <c r="H90" s="104">
        <f>ROUND(C90*E90*F90,2)</f>
        <v>532995.41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527.29950000000008</v>
      </c>
      <c r="D91" s="469"/>
      <c r="E91" s="49">
        <f>H8</f>
        <v>1.0438000000000001</v>
      </c>
      <c r="F91" s="338">
        <f>'0664'!F91</f>
        <v>914.63</v>
      </c>
      <c r="G91" s="41" t="s">
        <v>13</v>
      </c>
      <c r="H91" s="104">
        <f>ROUND(C91*E91*F91,2)</f>
        <v>503407.98</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1060.3494000000001</v>
      </c>
      <c r="D93" s="471"/>
      <c r="E93" s="143"/>
      <c r="F93" s="143"/>
      <c r="G93" s="143"/>
      <c r="H93" s="144" t="s">
        <v>143</v>
      </c>
      <c r="I93" s="104">
        <f>IF(A1=75,0,H92+H91+H90)</f>
        <v>1036403.39</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46</v>
      </c>
      <c r="D99" s="165">
        <v>0</v>
      </c>
      <c r="E99" s="125">
        <f>(C99+D99)/2</f>
        <v>23</v>
      </c>
      <c r="F99" s="148" t="s">
        <v>39</v>
      </c>
      <c r="G99" s="339">
        <f>'0664'!G99</f>
        <v>544</v>
      </c>
      <c r="I99" s="104">
        <f>ROUND(G99*E99,2)</f>
        <v>12512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8016188.8900000006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7753240.4300000006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7753240.4300000006</v>
      </c>
      <c r="I122" s="97">
        <f>ROUND(IF(E29=0,0,IF(E29&gt;250,-(((250/E29)*H122)*IF(G122="H",0.02,0.05)),IF(G122="H",-0.02*H122,-0.05*H122))),2)</f>
        <v>-38846.230000000003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7977342.6600000001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-7312229.62-662506.68</f>
        <v>-7974736.2999999998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2606.3600000003353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2606.36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116218.58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N120:U120"/>
    <mergeCell ref="A120:G120"/>
    <mergeCell ref="R106:S106"/>
    <mergeCell ref="A112:C112"/>
    <mergeCell ref="F112:H112"/>
    <mergeCell ref="N112:P112"/>
    <mergeCell ref="A109:B109"/>
    <mergeCell ref="F109:G109"/>
    <mergeCell ref="N109:O109"/>
    <mergeCell ref="P109:Q109"/>
    <mergeCell ref="P108:Q108"/>
    <mergeCell ref="R109:S109"/>
    <mergeCell ref="A110:B110"/>
    <mergeCell ref="N110:O110"/>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U206"/>
  <sheetViews>
    <sheetView showGridLines="0" zoomScaleNormal="100" workbookViewId="0">
      <pane ySplit="1" topLeftCell="A112" activePane="bottomLeft" state="frozen"/>
      <selection activeCell="E100" sqref="E100"/>
      <selection pane="bottomLeft" activeCell="D54" sqref="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319" t="s">
        <v>171</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J10" s="285"/>
      <c r="K10" s="284"/>
      <c r="L10" s="284"/>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J11" s="283"/>
      <c r="K11" s="284"/>
      <c r="L11" s="284"/>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K12" s="284"/>
      <c r="L12" s="284"/>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224.14</v>
      </c>
      <c r="D15" s="165">
        <v>220.61</v>
      </c>
      <c r="E15" s="125">
        <f t="shared" si="3"/>
        <v>444.75</v>
      </c>
      <c r="F15" s="534">
        <f>'0664'!F15:G15</f>
        <v>1</v>
      </c>
      <c r="G15" s="534"/>
      <c r="H15" s="83">
        <f t="shared" si="4"/>
        <v>444.75</v>
      </c>
      <c r="I15" s="104">
        <f t="shared" si="0"/>
        <v>2129608.9300000002</v>
      </c>
      <c r="N15" s="481" t="s">
        <v>31</v>
      </c>
      <c r="O15" s="481"/>
      <c r="P15" s="515">
        <f t="shared" si="1"/>
        <v>0</v>
      </c>
      <c r="Q15" s="515"/>
      <c r="R15" s="519">
        <v>1</v>
      </c>
      <c r="S15" s="519"/>
      <c r="T15" s="98">
        <f t="shared" si="5"/>
        <v>0</v>
      </c>
      <c r="U15" s="99">
        <f t="shared" si="2"/>
        <v>0</v>
      </c>
    </row>
    <row r="16" spans="1:21" x14ac:dyDescent="0.25">
      <c r="A16" s="455" t="s">
        <v>32</v>
      </c>
      <c r="B16" s="455"/>
      <c r="C16" s="165">
        <v>42.5</v>
      </c>
      <c r="D16" s="165">
        <v>41.51</v>
      </c>
      <c r="E16" s="125">
        <f t="shared" si="3"/>
        <v>84.009999999999991</v>
      </c>
      <c r="F16" s="534">
        <f>'0664'!F16:G16</f>
        <v>1</v>
      </c>
      <c r="G16" s="534"/>
      <c r="H16" s="83">
        <f t="shared" si="4"/>
        <v>84.01</v>
      </c>
      <c r="I16" s="104">
        <f t="shared" si="0"/>
        <v>402267.45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2.94</v>
      </c>
      <c r="D26" s="165">
        <v>2.96</v>
      </c>
      <c r="E26" s="125">
        <f t="shared" si="3"/>
        <v>5.9</v>
      </c>
      <c r="F26" s="534">
        <f>'0664'!F26:G26</f>
        <v>1.206</v>
      </c>
      <c r="G26" s="534"/>
      <c r="H26" s="83">
        <f t="shared" si="4"/>
        <v>7.1154000000000002</v>
      </c>
      <c r="I26" s="104">
        <f t="shared" si="0"/>
        <v>34070.870000000003</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269.58</v>
      </c>
      <c r="D29" s="97">
        <f>SUM(D13:D28)</f>
        <v>265.08</v>
      </c>
      <c r="E29" s="97">
        <f>SUM(E13:E28)</f>
        <v>534.66</v>
      </c>
      <c r="F29" s="459"/>
      <c r="G29" s="459"/>
      <c r="H29" s="102">
        <f>SUM(H13:H28)</f>
        <v>535.87540000000001</v>
      </c>
      <c r="I29" s="97">
        <f>SUM(I13:I28)</f>
        <v>2565947.2500000005</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535.87540000000001</v>
      </c>
      <c r="F45" s="35"/>
      <c r="G45" s="109"/>
      <c r="H45" s="110" t="s">
        <v>129</v>
      </c>
      <c r="I45" s="97">
        <f>SUM(I43,I29)</f>
        <v>2565947.2500000005</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42</v>
      </c>
      <c r="D53" s="165">
        <v>41.01</v>
      </c>
      <c r="E53" s="125">
        <f t="shared" si="10"/>
        <v>83.009999999999991</v>
      </c>
      <c r="F53" s="41" t="s">
        <v>14</v>
      </c>
      <c r="G53" s="39">
        <v>251</v>
      </c>
      <c r="H53" s="321">
        <f>'0664'!H53</f>
        <v>1173</v>
      </c>
      <c r="I53" s="104">
        <f t="shared" si="11"/>
        <v>97370.73</v>
      </c>
      <c r="N53" s="506"/>
      <c r="O53" s="506"/>
      <c r="P53" s="508"/>
      <c r="Q53" s="508"/>
      <c r="R53" s="42" t="s">
        <v>14</v>
      </c>
      <c r="S53" s="40">
        <v>251</v>
      </c>
      <c r="T53" s="117">
        <f t="shared" si="12"/>
        <v>1173</v>
      </c>
      <c r="U53" s="118">
        <f t="shared" si="13"/>
        <v>0</v>
      </c>
    </row>
    <row r="54" spans="1:21" x14ac:dyDescent="0.25">
      <c r="A54" s="462"/>
      <c r="B54" s="462"/>
      <c r="C54" s="165">
        <v>0.5</v>
      </c>
      <c r="D54" s="165">
        <v>0.5</v>
      </c>
      <c r="E54" s="125">
        <f t="shared" si="10"/>
        <v>1</v>
      </c>
      <c r="F54" s="41" t="s">
        <v>14</v>
      </c>
      <c r="G54" s="39">
        <v>252</v>
      </c>
      <c r="H54" s="321">
        <f>'0664'!H54</f>
        <v>3506</v>
      </c>
      <c r="I54" s="104">
        <f t="shared" si="11"/>
        <v>3506</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42.5</v>
      </c>
      <c r="D59" s="100">
        <f>SUM(D50:D58)</f>
        <v>41.51</v>
      </c>
      <c r="E59" s="100">
        <f>SUM(E50:E58)</f>
        <v>84.009999999999991</v>
      </c>
      <c r="F59" s="463" t="s">
        <v>77</v>
      </c>
      <c r="G59" s="463"/>
      <c r="H59" s="463"/>
      <c r="I59" s="100">
        <f>SUM(I50:I58)</f>
        <v>100876.73</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534.66</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2.7599999999999999E-3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535.87540000000001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2.467E-3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2.7599999999999999E-3</v>
      </c>
      <c r="I68" s="104">
        <f>ROUND(F68*H68,2)</f>
        <v>117408.94</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2.7599999999999999E-3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2.7599999999999999E-3</v>
      </c>
      <c r="I71" s="104">
        <f>ROUND(F71*H71,2)</f>
        <v>37059.839999999997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2.7599999999999999E-3</v>
      </c>
      <c r="I72" s="104">
        <f>ROUND(F72*H72,2)</f>
        <v>40862.46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2.7599999999999999E-3</v>
      </c>
      <c r="I76" s="104">
        <f t="shared" ref="I76:I85" si="14">ROUND(F76*H76,2)</f>
        <v>24085.99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2.7599999999999999E-3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2.467E-3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2.467E-3</v>
      </c>
      <c r="I79" s="104">
        <f t="shared" si="14"/>
        <v>27844.77</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2.467E-3</v>
      </c>
      <c r="I80" s="104">
        <f t="shared" si="14"/>
        <v>508904.48</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2.467E-3</v>
      </c>
      <c r="I82" s="104">
        <v>92579.04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2.467E-3</v>
      </c>
      <c r="I83" s="104">
        <v>42081.38</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134660.41999999998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2.467E-3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535.87540000000001</v>
      </c>
      <c r="D91" s="469"/>
      <c r="E91" s="49">
        <f>H8</f>
        <v>1.0438000000000001</v>
      </c>
      <c r="F91" s="338">
        <f>'0664'!F91</f>
        <v>914.63</v>
      </c>
      <c r="G91" s="41" t="s">
        <v>13</v>
      </c>
      <c r="H91" s="104">
        <f>ROUND(C91*E91*F91,2)</f>
        <v>511595.31</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535.87540000000001</v>
      </c>
      <c r="D93" s="471"/>
      <c r="E93" s="143"/>
      <c r="F93" s="143"/>
      <c r="G93" s="143"/>
      <c r="H93" s="144" t="s">
        <v>143</v>
      </c>
      <c r="I93" s="104">
        <f>IF(A1=75,0,H92+H91+H90)</f>
        <v>511595.31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336</v>
      </c>
      <c r="D99" s="165">
        <v>333</v>
      </c>
      <c r="E99" s="125">
        <f>(C99+D99)/2</f>
        <v>334.5</v>
      </c>
      <c r="F99" s="148" t="s">
        <v>39</v>
      </c>
      <c r="G99" s="339">
        <f>'0664'!G99</f>
        <v>544</v>
      </c>
      <c r="I99" s="104">
        <f>ROUND(G99*E99,2)</f>
        <v>181968</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4251214.1900000004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4116553.7700000005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4116553.7700000005</v>
      </c>
      <c r="I122" s="97">
        <f>ROUND(IF(E29=0,0,IF(E29&gt;250,-(((250/E29)*H122)*IF(G122="H",0.02,0.05)),IF(G122="H",-0.02*H122,-0.05*H122))),2)</f>
        <v>-96242.33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4154971.8600000003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f>-3793237.46-357507.15</f>
        <v>-4150744.61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4227.2500000004657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84" t="s">
        <v>291</v>
      </c>
      <c r="B132" s="72"/>
      <c r="C132" s="72"/>
      <c r="D132" s="72"/>
      <c r="E132" s="72"/>
      <c r="F132" s="72"/>
      <c r="G132" s="72"/>
      <c r="H132" s="68"/>
      <c r="I132" s="178">
        <f>ROUND(I128/I130,2)</f>
        <v>4227.25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109585.36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U206"/>
  <sheetViews>
    <sheetView showGridLines="0" zoomScaleNormal="100" workbookViewId="0">
      <pane ySplit="1" topLeftCell="A98" activePane="bottomLeft" state="frozen"/>
      <selection activeCell="E100" sqref="E100"/>
      <selection pane="bottomLeft" activeCell="D57" sqref="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469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115.73</v>
      </c>
      <c r="D15" s="165">
        <v>110.08</v>
      </c>
      <c r="E15" s="125">
        <f t="shared" si="3"/>
        <v>225.81</v>
      </c>
      <c r="F15" s="534">
        <f>'0664'!F15:G15</f>
        <v>1</v>
      </c>
      <c r="G15" s="534"/>
      <c r="H15" s="83">
        <f t="shared" si="4"/>
        <v>225.81</v>
      </c>
      <c r="I15" s="104">
        <f t="shared" si="0"/>
        <v>1081252.3700000001</v>
      </c>
      <c r="N15" s="481" t="s">
        <v>31</v>
      </c>
      <c r="O15" s="481"/>
      <c r="P15" s="515">
        <f t="shared" si="1"/>
        <v>0</v>
      </c>
      <c r="Q15" s="515"/>
      <c r="R15" s="519">
        <v>1</v>
      </c>
      <c r="S15" s="519"/>
      <c r="T15" s="98">
        <f t="shared" si="5"/>
        <v>0</v>
      </c>
      <c r="U15" s="99">
        <f t="shared" si="2"/>
        <v>0</v>
      </c>
    </row>
    <row r="16" spans="1:21" x14ac:dyDescent="0.25">
      <c r="A16" s="455" t="s">
        <v>32</v>
      </c>
      <c r="B16" s="455"/>
      <c r="C16" s="165">
        <v>24.37</v>
      </c>
      <c r="D16" s="165">
        <v>21</v>
      </c>
      <c r="E16" s="125">
        <f t="shared" si="3"/>
        <v>45.370000000000005</v>
      </c>
      <c r="F16" s="534">
        <f>'0664'!F16:G16</f>
        <v>1</v>
      </c>
      <c r="G16" s="534"/>
      <c r="H16" s="83">
        <f t="shared" si="4"/>
        <v>45.37</v>
      </c>
      <c r="I16" s="104">
        <f t="shared" si="0"/>
        <v>217246.45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77.8</v>
      </c>
      <c r="D17" s="165">
        <v>73.08</v>
      </c>
      <c r="E17" s="125">
        <f t="shared" si="3"/>
        <v>150.88</v>
      </c>
      <c r="F17" s="534">
        <f>'0664'!F17:G17</f>
        <v>0.999</v>
      </c>
      <c r="G17" s="534"/>
      <c r="H17" s="83">
        <f t="shared" si="4"/>
        <v>150.72909999999999</v>
      </c>
      <c r="I17" s="104">
        <f t="shared" si="0"/>
        <v>721740.39</v>
      </c>
      <c r="N17" s="481" t="s">
        <v>33</v>
      </c>
      <c r="O17" s="481"/>
      <c r="P17" s="515">
        <f t="shared" si="1"/>
        <v>0</v>
      </c>
      <c r="Q17" s="515"/>
      <c r="R17" s="519">
        <v>1</v>
      </c>
      <c r="S17" s="519"/>
      <c r="T17" s="98">
        <f t="shared" si="5"/>
        <v>0</v>
      </c>
      <c r="U17" s="99">
        <f t="shared" si="2"/>
        <v>0</v>
      </c>
    </row>
    <row r="18" spans="1:21" x14ac:dyDescent="0.25">
      <c r="A18" s="455" t="s">
        <v>34</v>
      </c>
      <c r="B18" s="455"/>
      <c r="C18" s="165">
        <v>17.37</v>
      </c>
      <c r="D18" s="165">
        <v>16.350000000000001</v>
      </c>
      <c r="E18" s="125">
        <f t="shared" si="3"/>
        <v>33.72</v>
      </c>
      <c r="F18" s="534">
        <f>'0664'!F18:G18</f>
        <v>0.999</v>
      </c>
      <c r="G18" s="534"/>
      <c r="H18" s="83">
        <f t="shared" si="4"/>
        <v>33.686300000000003</v>
      </c>
      <c r="I18" s="104">
        <f t="shared" si="0"/>
        <v>161301.06</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19.329999999999998</v>
      </c>
      <c r="D26" s="165">
        <v>17.920000000000002</v>
      </c>
      <c r="E26" s="125">
        <f t="shared" si="3"/>
        <v>37.25</v>
      </c>
      <c r="F26" s="534">
        <f>'0664'!F26:G26</f>
        <v>1.206</v>
      </c>
      <c r="G26" s="534"/>
      <c r="H26" s="83">
        <f t="shared" si="4"/>
        <v>44.923499999999997</v>
      </c>
      <c r="I26" s="104">
        <f t="shared" si="0"/>
        <v>215108.46</v>
      </c>
      <c r="N26" s="481" t="s">
        <v>115</v>
      </c>
      <c r="O26" s="481"/>
      <c r="P26" s="515">
        <f t="shared" si="1"/>
        <v>0</v>
      </c>
      <c r="Q26" s="515"/>
      <c r="R26" s="519">
        <v>1</v>
      </c>
      <c r="S26" s="519"/>
      <c r="T26" s="98">
        <f t="shared" si="5"/>
        <v>0</v>
      </c>
      <c r="U26" s="99">
        <f t="shared" si="2"/>
        <v>0</v>
      </c>
    </row>
    <row r="27" spans="1:21" x14ac:dyDescent="0.25">
      <c r="A27" s="455" t="s">
        <v>116</v>
      </c>
      <c r="B27" s="455"/>
      <c r="C27" s="165">
        <v>4.66</v>
      </c>
      <c r="D27" s="165">
        <v>3.42</v>
      </c>
      <c r="E27" s="125">
        <f t="shared" si="3"/>
        <v>8.08</v>
      </c>
      <c r="F27" s="534">
        <f>'0664'!F27:G27</f>
        <v>1.206</v>
      </c>
      <c r="G27" s="534"/>
      <c r="H27" s="83">
        <f t="shared" si="4"/>
        <v>9.7445000000000004</v>
      </c>
      <c r="I27" s="104">
        <f t="shared" si="0"/>
        <v>46659.86</v>
      </c>
      <c r="N27" s="481" t="s">
        <v>116</v>
      </c>
      <c r="O27" s="481"/>
      <c r="P27" s="515">
        <f t="shared" si="1"/>
        <v>0</v>
      </c>
      <c r="Q27" s="515"/>
      <c r="R27" s="519">
        <v>1</v>
      </c>
      <c r="S27" s="519"/>
      <c r="T27" s="98">
        <f t="shared" si="5"/>
        <v>0</v>
      </c>
      <c r="U27" s="99">
        <f t="shared" si="2"/>
        <v>0</v>
      </c>
    </row>
    <row r="28" spans="1:21" x14ac:dyDescent="0.25">
      <c r="A28" s="455" t="s">
        <v>117</v>
      </c>
      <c r="B28" s="455"/>
      <c r="C28" s="116">
        <v>3.46</v>
      </c>
      <c r="D28" s="116">
        <v>2.74</v>
      </c>
      <c r="E28" s="177">
        <f t="shared" si="3"/>
        <v>6.2</v>
      </c>
      <c r="F28" s="534">
        <f>'0664'!F28:G28</f>
        <v>0.999</v>
      </c>
      <c r="G28" s="534"/>
      <c r="H28" s="96">
        <f t="shared" si="4"/>
        <v>6.1938000000000004</v>
      </c>
      <c r="I28" s="97">
        <f t="shared" si="0"/>
        <v>29657.95</v>
      </c>
      <c r="N28" s="484" t="s">
        <v>117</v>
      </c>
      <c r="O28" s="484"/>
      <c r="P28" s="515">
        <f t="shared" si="1"/>
        <v>0</v>
      </c>
      <c r="Q28" s="515"/>
      <c r="R28" s="516">
        <v>1</v>
      </c>
      <c r="S28" s="516"/>
      <c r="T28" s="98">
        <f t="shared" si="5"/>
        <v>0</v>
      </c>
      <c r="U28" s="99">
        <f t="shared" si="2"/>
        <v>0</v>
      </c>
    </row>
    <row r="29" spans="1:21" x14ac:dyDescent="0.25">
      <c r="A29" s="463" t="s">
        <v>5</v>
      </c>
      <c r="B29" s="463"/>
      <c r="C29" s="97">
        <f>SUM(C13:C28)</f>
        <v>262.71999999999997</v>
      </c>
      <c r="D29" s="97">
        <f>SUM(D13:D28)</f>
        <v>244.58999999999995</v>
      </c>
      <c r="E29" s="97">
        <f>SUM(E13:E28)</f>
        <v>507.30999999999995</v>
      </c>
      <c r="F29" s="459"/>
      <c r="G29" s="459"/>
      <c r="H29" s="102">
        <f>SUM(H13:H28)</f>
        <v>516.45719999999994</v>
      </c>
      <c r="I29" s="97">
        <f>SUM(I13:I28)</f>
        <v>2472966.54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516.45719999999994</v>
      </c>
      <c r="F45" s="35"/>
      <c r="G45" s="109"/>
      <c r="H45" s="110" t="s">
        <v>129</v>
      </c>
      <c r="I45" s="97">
        <f>SUM(I43,I29)</f>
        <v>2472966.54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22.38</v>
      </c>
      <c r="D53" s="165">
        <v>19.5</v>
      </c>
      <c r="E53" s="125">
        <f t="shared" si="10"/>
        <v>41.879999999999995</v>
      </c>
      <c r="F53" s="41" t="s">
        <v>14</v>
      </c>
      <c r="G53" s="39">
        <v>251</v>
      </c>
      <c r="H53" s="321">
        <f>'0664'!H53</f>
        <v>1173</v>
      </c>
      <c r="I53" s="104">
        <f t="shared" si="11"/>
        <v>49125.24</v>
      </c>
      <c r="N53" s="506"/>
      <c r="O53" s="506"/>
      <c r="P53" s="508"/>
      <c r="Q53" s="508"/>
      <c r="R53" s="42" t="s">
        <v>14</v>
      </c>
      <c r="S53" s="40">
        <v>251</v>
      </c>
      <c r="T53" s="117">
        <f t="shared" si="12"/>
        <v>1173</v>
      </c>
      <c r="U53" s="118">
        <f t="shared" si="13"/>
        <v>0</v>
      </c>
    </row>
    <row r="54" spans="1:21" x14ac:dyDescent="0.25">
      <c r="A54" s="462"/>
      <c r="B54" s="462"/>
      <c r="C54" s="165">
        <v>1.49</v>
      </c>
      <c r="D54" s="165">
        <v>1.5</v>
      </c>
      <c r="E54" s="125">
        <f t="shared" si="10"/>
        <v>2.99</v>
      </c>
      <c r="F54" s="41" t="s">
        <v>14</v>
      </c>
      <c r="G54" s="39">
        <v>252</v>
      </c>
      <c r="H54" s="321">
        <f>'0664'!H54</f>
        <v>3506</v>
      </c>
      <c r="I54" s="104">
        <f t="shared" si="11"/>
        <v>10482.94</v>
      </c>
      <c r="N54" s="506"/>
      <c r="O54" s="506"/>
      <c r="P54" s="508"/>
      <c r="Q54" s="508"/>
      <c r="R54" s="42" t="s">
        <v>14</v>
      </c>
      <c r="S54" s="40">
        <v>252</v>
      </c>
      <c r="T54" s="117">
        <f t="shared" si="12"/>
        <v>3506</v>
      </c>
      <c r="U54" s="118">
        <f t="shared" si="13"/>
        <v>0</v>
      </c>
    </row>
    <row r="55" spans="1:21" x14ac:dyDescent="0.25">
      <c r="A55" s="462"/>
      <c r="B55" s="462"/>
      <c r="C55" s="165">
        <v>0.5</v>
      </c>
      <c r="D55" s="165">
        <v>0</v>
      </c>
      <c r="E55" s="125">
        <f t="shared" si="10"/>
        <v>0.5</v>
      </c>
      <c r="F55" s="41" t="s">
        <v>14</v>
      </c>
      <c r="G55" s="39">
        <v>253</v>
      </c>
      <c r="H55" s="321">
        <f>'0664'!H55</f>
        <v>7023</v>
      </c>
      <c r="I55" s="104">
        <f t="shared" si="11"/>
        <v>3511.5</v>
      </c>
      <c r="N55" s="506"/>
      <c r="O55" s="506"/>
      <c r="P55" s="508"/>
      <c r="Q55" s="508"/>
      <c r="R55" s="42" t="s">
        <v>14</v>
      </c>
      <c r="S55" s="40">
        <v>253</v>
      </c>
      <c r="T55" s="117">
        <f t="shared" si="12"/>
        <v>7023</v>
      </c>
      <c r="U55" s="118">
        <f t="shared" si="13"/>
        <v>0</v>
      </c>
    </row>
    <row r="56" spans="1:21" x14ac:dyDescent="0.25">
      <c r="A56" s="462"/>
      <c r="B56" s="462"/>
      <c r="C56" s="165">
        <v>16.38</v>
      </c>
      <c r="D56" s="165">
        <v>15.35</v>
      </c>
      <c r="E56" s="125">
        <f t="shared" si="10"/>
        <v>31.729999999999997</v>
      </c>
      <c r="F56" s="41" t="s">
        <v>15</v>
      </c>
      <c r="G56" s="39">
        <v>251</v>
      </c>
      <c r="H56" s="321">
        <f>'0664'!H56</f>
        <v>835</v>
      </c>
      <c r="I56" s="104">
        <f t="shared" si="11"/>
        <v>26494.55</v>
      </c>
      <c r="N56" s="506"/>
      <c r="O56" s="506"/>
      <c r="P56" s="508"/>
      <c r="Q56" s="508"/>
      <c r="R56" s="42" t="s">
        <v>15</v>
      </c>
      <c r="S56" s="40">
        <v>251</v>
      </c>
      <c r="T56" s="117">
        <f t="shared" si="12"/>
        <v>835</v>
      </c>
      <c r="U56" s="118">
        <f t="shared" si="13"/>
        <v>0</v>
      </c>
    </row>
    <row r="57" spans="1:21" x14ac:dyDescent="0.25">
      <c r="A57" s="462"/>
      <c r="B57" s="462"/>
      <c r="C57" s="165">
        <v>0.99</v>
      </c>
      <c r="D57" s="165">
        <v>1</v>
      </c>
      <c r="E57" s="125">
        <f t="shared" si="10"/>
        <v>1.99</v>
      </c>
      <c r="F57" s="41" t="s">
        <v>15</v>
      </c>
      <c r="G57" s="39">
        <v>252</v>
      </c>
      <c r="H57" s="321">
        <f>'0664'!H57</f>
        <v>3168</v>
      </c>
      <c r="I57" s="104">
        <f t="shared" si="11"/>
        <v>6304.32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41.74</v>
      </c>
      <c r="D59" s="100">
        <f>SUM(D50:D58)</f>
        <v>37.35</v>
      </c>
      <c r="E59" s="100">
        <f>SUM(E50:E58)</f>
        <v>79.089999999999989</v>
      </c>
      <c r="F59" s="463" t="s">
        <v>77</v>
      </c>
      <c r="G59" s="463"/>
      <c r="H59" s="463"/>
      <c r="I59" s="100">
        <f>SUM(I50:I58)</f>
        <v>95918.549999999988</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507.30999999999995</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2.6189999999999998E-3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516.45719999999994</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2.3779999999999999E-3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2.6189999999999998E-3</v>
      </c>
      <c r="I68" s="104">
        <f>ROUND(F68*H68,2)</f>
        <v>111410.88</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2.6189999999999998E-3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2.6189999999999998E-3</v>
      </c>
      <c r="I71" s="104">
        <f>ROUND(F71*H71,2)</f>
        <v>35166.559999999998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2.6189999999999998E-3</v>
      </c>
      <c r="I72" s="104">
        <f>ROUND(F72*H72,2)</f>
        <v>38774.92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2.6189999999999998E-3</v>
      </c>
      <c r="I76" s="104">
        <f t="shared" ref="I76:I85" si="14">ROUND(F76*H76,2)</f>
        <v>22855.51</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2.6189999999999998E-3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2.3779999999999999E-3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2.3779999999999999E-3</v>
      </c>
      <c r="I79" s="104">
        <f t="shared" si="14"/>
        <v>26840.240000000002</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2.3779999999999999E-3</v>
      </c>
      <c r="I80" s="104">
        <f t="shared" si="14"/>
        <v>490545.13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2.3779999999999999E-3</v>
      </c>
      <c r="I82" s="104">
        <v>93202.4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2.3779999999999999E-3</v>
      </c>
      <c r="I83" s="104">
        <v>42364.72</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135567.12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2.3779999999999999E-3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316.1035</v>
      </c>
      <c r="D91" s="469"/>
      <c r="E91" s="49">
        <f>H8</f>
        <v>1.0438000000000001</v>
      </c>
      <c r="F91" s="338">
        <f>'0664'!F91</f>
        <v>914.63</v>
      </c>
      <c r="G91" s="41" t="s">
        <v>13</v>
      </c>
      <c r="H91" s="104">
        <f>ROUND(C91*E91*F91,2)</f>
        <v>301781.09999999998</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200.35369999999998</v>
      </c>
      <c r="D92" s="469"/>
      <c r="E92" s="49">
        <f>H8</f>
        <v>1.0438000000000001</v>
      </c>
      <c r="F92" s="338">
        <f>'0664'!F92</f>
        <v>916.84</v>
      </c>
      <c r="G92" s="41" t="s">
        <v>13</v>
      </c>
      <c r="H92" s="97">
        <f>ROUND(C92*E92*F92,2)</f>
        <v>191738.01</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516.45719999999994</v>
      </c>
      <c r="D93" s="471"/>
      <c r="E93" s="143"/>
      <c r="F93" s="143"/>
      <c r="G93" s="143"/>
      <c r="H93" s="144" t="s">
        <v>143</v>
      </c>
      <c r="I93" s="104">
        <f>IF(A1=75,0,H92+H91+H90)</f>
        <v>493519.11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289</v>
      </c>
      <c r="D99" s="165">
        <v>261</v>
      </c>
      <c r="E99" s="125">
        <f>(C99+D99)/2</f>
        <v>275</v>
      </c>
      <c r="F99" s="148" t="s">
        <v>39</v>
      </c>
      <c r="G99" s="339">
        <f>'0664'!G99</f>
        <v>544</v>
      </c>
      <c r="I99" s="104">
        <f>ROUND(G99*E99,2)</f>
        <v>149600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4073164.5599999996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3937597.4399999995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3937597.4399999995</v>
      </c>
      <c r="I122" s="97">
        <f>ROUND(IF(E29=0,0,IF(E29&gt;250,-(((250/E29)*H122)*IF(G122="H",0.02,0.05)),IF(G122="H",-0.02*H122,-0.05*H122))),2)</f>
        <v>-97021.48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3976143.0799999996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-3669913.31-308988.55</f>
        <v>-3978901.86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-2758.7800000002608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-2758.78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99858.39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v>637300</v>
      </c>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U206"/>
  <sheetViews>
    <sheetView showGridLines="0" zoomScaleNormal="100" workbookViewId="0">
      <pane ySplit="1" topLeftCell="A118" activePane="bottomLeft" state="frozen"/>
      <selection activeCell="E100" sqref="E100"/>
      <selection pane="bottomLeft" activeCell="A19" sqref="A19:XFD1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172</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61.01</v>
      </c>
      <c r="D13" s="163">
        <v>60.43</v>
      </c>
      <c r="E13" s="210">
        <f>IF(D$29=0,C13*2,C13+D13)</f>
        <v>121.44</v>
      </c>
      <c r="F13" s="539">
        <f>'0664'!F13:G13</f>
        <v>1.1259999999999999</v>
      </c>
      <c r="G13" s="539"/>
      <c r="H13" s="167">
        <f>ROUND(E13*F13,4)</f>
        <v>136.7414</v>
      </c>
      <c r="I13" s="119">
        <f t="shared" ref="I13:I28" si="0">ROUND(ROUND(H13*$C$8,4)*($H$8),2)</f>
        <v>654762.68999999994</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19</v>
      </c>
      <c r="D14" s="165">
        <v>18</v>
      </c>
      <c r="E14" s="125">
        <f t="shared" ref="E14:E28" si="3">IF(D$29=0,C14*2,C14+D14)</f>
        <v>37</v>
      </c>
      <c r="F14" s="534">
        <f>'0664'!F14:G14</f>
        <v>1.1259999999999999</v>
      </c>
      <c r="G14" s="534"/>
      <c r="H14" s="83">
        <f t="shared" ref="H14:H28" si="4">ROUND(E14*F14,4)</f>
        <v>41.661999999999999</v>
      </c>
      <c r="I14" s="104">
        <f t="shared" si="0"/>
        <v>199491.33</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28.82</v>
      </c>
      <c r="D15" s="165">
        <v>28.35</v>
      </c>
      <c r="E15" s="125">
        <f t="shared" si="3"/>
        <v>57.17</v>
      </c>
      <c r="F15" s="534">
        <f>'0664'!F15:G15</f>
        <v>1</v>
      </c>
      <c r="G15" s="534"/>
      <c r="H15" s="83">
        <f t="shared" si="4"/>
        <v>57.17</v>
      </c>
      <c r="I15" s="104">
        <f t="shared" si="0"/>
        <v>273748.71999999997</v>
      </c>
      <c r="N15" s="481" t="s">
        <v>31</v>
      </c>
      <c r="O15" s="481"/>
      <c r="P15" s="515">
        <f t="shared" si="1"/>
        <v>0</v>
      </c>
      <c r="Q15" s="515"/>
      <c r="R15" s="519">
        <v>1</v>
      </c>
      <c r="S15" s="519"/>
      <c r="T15" s="98">
        <f t="shared" si="5"/>
        <v>0</v>
      </c>
      <c r="U15" s="99">
        <f t="shared" si="2"/>
        <v>0</v>
      </c>
    </row>
    <row r="16" spans="1:21" x14ac:dyDescent="0.25">
      <c r="A16" s="455" t="s">
        <v>32</v>
      </c>
      <c r="B16" s="455"/>
      <c r="C16" s="165">
        <v>8.5</v>
      </c>
      <c r="D16" s="165">
        <v>9</v>
      </c>
      <c r="E16" s="125">
        <f t="shared" si="3"/>
        <v>17.5</v>
      </c>
      <c r="F16" s="534">
        <f>'0664'!F16:G16</f>
        <v>1</v>
      </c>
      <c r="G16" s="534"/>
      <c r="H16" s="83">
        <f t="shared" si="4"/>
        <v>17.5</v>
      </c>
      <c r="I16" s="104">
        <f t="shared" si="0"/>
        <v>83795.740000000005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3.84</v>
      </c>
      <c r="D25" s="165">
        <v>4.57</v>
      </c>
      <c r="E25" s="125">
        <f t="shared" si="3"/>
        <v>8.41</v>
      </c>
      <c r="F25" s="534">
        <f>'0664'!F25:G25</f>
        <v>1.206</v>
      </c>
      <c r="G25" s="534"/>
      <c r="H25" s="83">
        <f t="shared" si="4"/>
        <v>10.1425</v>
      </c>
      <c r="I25" s="104">
        <f t="shared" si="0"/>
        <v>48565.62</v>
      </c>
      <c r="N25" s="481" t="s">
        <v>114</v>
      </c>
      <c r="O25" s="481"/>
      <c r="P25" s="515">
        <f t="shared" si="1"/>
        <v>0</v>
      </c>
      <c r="Q25" s="515"/>
      <c r="R25" s="519">
        <v>1</v>
      </c>
      <c r="S25" s="519"/>
      <c r="T25" s="98">
        <f t="shared" si="5"/>
        <v>0</v>
      </c>
      <c r="U25" s="99">
        <f t="shared" si="2"/>
        <v>0</v>
      </c>
    </row>
    <row r="26" spans="1:21" x14ac:dyDescent="0.25">
      <c r="A26" s="455" t="s">
        <v>115</v>
      </c>
      <c r="B26" s="455"/>
      <c r="C26" s="165">
        <v>1.1499999999999999</v>
      </c>
      <c r="D26" s="165">
        <v>1.1499999999999999</v>
      </c>
      <c r="E26" s="125">
        <f t="shared" si="3"/>
        <v>2.2999999999999998</v>
      </c>
      <c r="F26" s="534">
        <f>'0664'!F26:G26</f>
        <v>1.206</v>
      </c>
      <c r="G26" s="534"/>
      <c r="H26" s="83">
        <f t="shared" si="4"/>
        <v>2.7738</v>
      </c>
      <c r="I26" s="104">
        <f t="shared" si="0"/>
        <v>13281.86</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122.32</v>
      </c>
      <c r="D29" s="97">
        <f>SUM(D13:D28)</f>
        <v>121.5</v>
      </c>
      <c r="E29" s="97">
        <f>SUM(E13:E28)</f>
        <v>243.82000000000002</v>
      </c>
      <c r="F29" s="459"/>
      <c r="G29" s="459"/>
      <c r="H29" s="102">
        <f>SUM(H13:H28)</f>
        <v>265.98969999999997</v>
      </c>
      <c r="I29" s="97">
        <f>SUM(I13:I28)</f>
        <v>1273645.96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265.98969999999997</v>
      </c>
      <c r="F45" s="35"/>
      <c r="G45" s="109"/>
      <c r="H45" s="110" t="s">
        <v>129</v>
      </c>
      <c r="I45" s="97">
        <f>SUM(I43,I29)</f>
        <v>1273645.96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15.5</v>
      </c>
      <c r="D50" s="165">
        <v>15.49</v>
      </c>
      <c r="E50" s="125">
        <f>IF(D$59=0,C50*2,C50+D50)</f>
        <v>30.990000000000002</v>
      </c>
      <c r="F50" s="39" t="s">
        <v>21</v>
      </c>
      <c r="G50" s="39">
        <v>251</v>
      </c>
      <c r="H50" s="321">
        <f>'0664'!H50</f>
        <v>1047</v>
      </c>
      <c r="I50" s="104">
        <f>ROUND(E50*H50,2)</f>
        <v>32446.53</v>
      </c>
      <c r="N50" s="506" t="s">
        <v>28</v>
      </c>
      <c r="O50" s="506"/>
      <c r="P50" s="507"/>
      <c r="Q50" s="507"/>
      <c r="R50" s="40" t="s">
        <v>21</v>
      </c>
      <c r="S50" s="40">
        <v>251</v>
      </c>
      <c r="T50" s="117">
        <f>H50</f>
        <v>1047</v>
      </c>
      <c r="U50" s="118">
        <f>ROUND(P50*T50,0)</f>
        <v>0</v>
      </c>
    </row>
    <row r="51" spans="1:21" x14ac:dyDescent="0.25">
      <c r="A51" s="462"/>
      <c r="B51" s="462"/>
      <c r="C51" s="165">
        <v>3.5</v>
      </c>
      <c r="D51" s="165">
        <v>2.5099999999999998</v>
      </c>
      <c r="E51" s="125">
        <f t="shared" ref="E51:E58" si="10">IF(D$59=0,C51*2,C51+D51)</f>
        <v>6.01</v>
      </c>
      <c r="F51" s="39" t="s">
        <v>21</v>
      </c>
      <c r="G51" s="39">
        <v>252</v>
      </c>
      <c r="H51" s="321">
        <f>'0664'!H51</f>
        <v>3380</v>
      </c>
      <c r="I51" s="104">
        <f t="shared" ref="I51:I58" si="11">ROUND(E51*H51,2)</f>
        <v>20313.8</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7.5</v>
      </c>
      <c r="D53" s="165">
        <v>8</v>
      </c>
      <c r="E53" s="125">
        <f t="shared" si="10"/>
        <v>15.5</v>
      </c>
      <c r="F53" s="41" t="s">
        <v>14</v>
      </c>
      <c r="G53" s="39">
        <v>251</v>
      </c>
      <c r="H53" s="321">
        <f>'0664'!H53</f>
        <v>1173</v>
      </c>
      <c r="I53" s="104">
        <f t="shared" si="11"/>
        <v>18181.5</v>
      </c>
      <c r="N53" s="506"/>
      <c r="O53" s="506"/>
      <c r="P53" s="508"/>
      <c r="Q53" s="508"/>
      <c r="R53" s="42" t="s">
        <v>14</v>
      </c>
      <c r="S53" s="40">
        <v>251</v>
      </c>
      <c r="T53" s="117">
        <f t="shared" si="12"/>
        <v>1173</v>
      </c>
      <c r="U53" s="118">
        <f t="shared" si="13"/>
        <v>0</v>
      </c>
    </row>
    <row r="54" spans="1:21" x14ac:dyDescent="0.25">
      <c r="A54" s="462"/>
      <c r="B54" s="462"/>
      <c r="C54" s="165">
        <v>0.5</v>
      </c>
      <c r="D54" s="165">
        <v>0.5</v>
      </c>
      <c r="E54" s="125">
        <f t="shared" si="10"/>
        <v>1</v>
      </c>
      <c r="F54" s="41" t="s">
        <v>14</v>
      </c>
      <c r="G54" s="39">
        <v>252</v>
      </c>
      <c r="H54" s="321">
        <f>'0664'!H54</f>
        <v>3506</v>
      </c>
      <c r="I54" s="104">
        <f t="shared" si="11"/>
        <v>3506</v>
      </c>
      <c r="N54" s="506"/>
      <c r="O54" s="506"/>
      <c r="P54" s="508"/>
      <c r="Q54" s="508"/>
      <c r="R54" s="42" t="s">
        <v>14</v>
      </c>
      <c r="S54" s="40">
        <v>252</v>
      </c>
      <c r="T54" s="117">
        <f t="shared" si="12"/>
        <v>3506</v>
      </c>
      <c r="U54" s="118">
        <f t="shared" si="13"/>
        <v>0</v>
      </c>
    </row>
    <row r="55" spans="1:21" x14ac:dyDescent="0.25">
      <c r="A55" s="462"/>
      <c r="B55" s="462"/>
      <c r="C55" s="165">
        <v>0.5</v>
      </c>
      <c r="D55" s="165">
        <v>0.5</v>
      </c>
      <c r="E55" s="125">
        <f t="shared" si="10"/>
        <v>1</v>
      </c>
      <c r="F55" s="41" t="s">
        <v>14</v>
      </c>
      <c r="G55" s="39">
        <v>253</v>
      </c>
      <c r="H55" s="321">
        <f>'0664'!H55</f>
        <v>7023</v>
      </c>
      <c r="I55" s="104">
        <f t="shared" si="11"/>
        <v>7023</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27.5</v>
      </c>
      <c r="D59" s="100">
        <f>SUM(D50:D58)</f>
        <v>27</v>
      </c>
      <c r="E59" s="100">
        <f>SUM(E50:E58)</f>
        <v>54.5</v>
      </c>
      <c r="F59" s="463" t="s">
        <v>77</v>
      </c>
      <c r="G59" s="463"/>
      <c r="H59" s="463"/>
      <c r="I59" s="100">
        <f>SUM(I50:I58)</f>
        <v>81470.83</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243.82000000000002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1.2589999999999999E-3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265.98969999999997</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1.225E-3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1.2589999999999999E-3</v>
      </c>
      <c r="I68" s="104">
        <f>ROUND(F68*H68,2)</f>
        <v>53557.2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1.2589999999999999E-3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1.2589999999999999E-3</v>
      </c>
      <c r="I71" s="104">
        <f>ROUND(F71*H71,2)</f>
        <v>16905.189999999999</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1.2589999999999999E-3</v>
      </c>
      <c r="I72" s="104">
        <f>ROUND(F72*H72,2)</f>
        <v>18639.79</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1.2589999999999999E-3</v>
      </c>
      <c r="I76" s="104">
        <f t="shared" ref="I76:I85" si="14">ROUND(F76*H76,2)</f>
        <v>10987.05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1.2589999999999999E-3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1.225E-3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1.225E-3</v>
      </c>
      <c r="I79" s="104">
        <f t="shared" si="14"/>
        <v>13826.45</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1.225E-3</v>
      </c>
      <c r="I80" s="104">
        <f t="shared" si="14"/>
        <v>252698.82</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1.225E-3</v>
      </c>
      <c r="I82" s="104">
        <v>49185.68</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1.225E-3</v>
      </c>
      <c r="I83" s="104">
        <v>22357.13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71542.81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1.225E-3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188.54590000000002</v>
      </c>
      <c r="D90" s="469"/>
      <c r="E90" s="49">
        <f>H8</f>
        <v>1.0438000000000001</v>
      </c>
      <c r="F90" s="338">
        <f>'0664'!F90</f>
        <v>957.94</v>
      </c>
      <c r="G90" s="41" t="s">
        <v>13</v>
      </c>
      <c r="H90" s="104">
        <f>ROUND(C90*E90*F90,2)</f>
        <v>188526.63</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77.443799999999996</v>
      </c>
      <c r="D91" s="469"/>
      <c r="E91" s="49">
        <f>H8</f>
        <v>1.0438000000000001</v>
      </c>
      <c r="F91" s="338">
        <f>'0664'!F91</f>
        <v>914.63</v>
      </c>
      <c r="G91" s="41" t="s">
        <v>13</v>
      </c>
      <c r="H91" s="104">
        <f>ROUND(C91*E91*F91,2)</f>
        <v>73934.880000000005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265.98970000000003</v>
      </c>
      <c r="D93" s="471"/>
      <c r="E93" s="143"/>
      <c r="F93" s="143"/>
      <c r="G93" s="143"/>
      <c r="H93" s="144" t="s">
        <v>143</v>
      </c>
      <c r="I93" s="104">
        <f>IF(A1=75,0,H92+H91+H90)</f>
        <v>262461.51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2055735.6099999999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1984192.7999999998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3" t="s">
        <v>290</v>
      </c>
      <c r="H122" s="161">
        <f>IF(H120=1,I120,I117)</f>
        <v>1984192.7999999998</v>
      </c>
      <c r="I122" s="97">
        <f>ROUND(IF(E29=0,0,IF(E29&gt;250,-(((250/E29)*H122)*IF(G122="H",0.02,0.05)),IF(G122="H",-0.02*H122,-0.05*H122))),2)</f>
        <v>-39683.86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2016051.7499999998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-1855910.51-161346.08</f>
        <v>-2017256.59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-1204.8400000003166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-1204.8399999999999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U206"/>
  <sheetViews>
    <sheetView showGridLines="0" zoomScaleNormal="100" workbookViewId="0">
      <pane ySplit="1" topLeftCell="A118" activePane="bottomLeft" state="frozen"/>
      <selection activeCell="E100" sqref="E100"/>
      <selection pane="bottomLeft" activeCell="D55" sqref="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173</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57.42</v>
      </c>
      <c r="D13" s="163">
        <v>57.84</v>
      </c>
      <c r="E13" s="210">
        <f>IF(D$29=0,C13*2,C13+D13)</f>
        <v>115.26</v>
      </c>
      <c r="F13" s="539">
        <f>'0664'!F13:G13</f>
        <v>1.1259999999999999</v>
      </c>
      <c r="G13" s="539"/>
      <c r="H13" s="167">
        <f>ROUND(E13*F13,4)</f>
        <v>129.78280000000001</v>
      </c>
      <c r="I13" s="119">
        <f t="shared" ref="I13:I28" si="0">ROUND(ROUND(H13*$C$8,4)*($H$8),2)</f>
        <v>621442.63</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4.5</v>
      </c>
      <c r="D14" s="165">
        <v>4.5</v>
      </c>
      <c r="E14" s="125">
        <f t="shared" ref="E14:E28" si="3">IF(D$29=0,C14*2,C14+D14)</f>
        <v>9</v>
      </c>
      <c r="F14" s="534">
        <f>'0664'!F14:G14</f>
        <v>1.1259999999999999</v>
      </c>
      <c r="G14" s="534"/>
      <c r="H14" s="83">
        <f t="shared" ref="H14:H28" si="4">ROUND(E14*F14,4)</f>
        <v>10.134</v>
      </c>
      <c r="I14" s="104">
        <f t="shared" si="0"/>
        <v>48524.92</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84.82</v>
      </c>
      <c r="D15" s="165">
        <v>86.98</v>
      </c>
      <c r="E15" s="125">
        <f t="shared" si="3"/>
        <v>171.8</v>
      </c>
      <c r="F15" s="534">
        <f>'0664'!F15:G15</f>
        <v>1</v>
      </c>
      <c r="G15" s="534"/>
      <c r="H15" s="83">
        <f t="shared" si="4"/>
        <v>171.8</v>
      </c>
      <c r="I15" s="104">
        <f t="shared" si="0"/>
        <v>822634.77</v>
      </c>
      <c r="N15" s="481" t="s">
        <v>31</v>
      </c>
      <c r="O15" s="481"/>
      <c r="P15" s="515">
        <f t="shared" si="1"/>
        <v>0</v>
      </c>
      <c r="Q15" s="515"/>
      <c r="R15" s="519">
        <v>1</v>
      </c>
      <c r="S15" s="519"/>
      <c r="T15" s="98">
        <f t="shared" si="5"/>
        <v>0</v>
      </c>
      <c r="U15" s="99">
        <f t="shared" si="2"/>
        <v>0</v>
      </c>
    </row>
    <row r="16" spans="1:21" x14ac:dyDescent="0.25">
      <c r="A16" s="455" t="s">
        <v>32</v>
      </c>
      <c r="B16" s="455"/>
      <c r="C16" s="165">
        <v>13.25</v>
      </c>
      <c r="D16" s="165">
        <v>13.68</v>
      </c>
      <c r="E16" s="125">
        <f t="shared" si="3"/>
        <v>26.93</v>
      </c>
      <c r="F16" s="534">
        <f>'0664'!F16:G16</f>
        <v>1</v>
      </c>
      <c r="G16" s="534"/>
      <c r="H16" s="83">
        <f t="shared" si="4"/>
        <v>26.93</v>
      </c>
      <c r="I16" s="104">
        <f t="shared" si="0"/>
        <v>128949.68</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6.7</v>
      </c>
      <c r="D25" s="165">
        <v>6.7</v>
      </c>
      <c r="E25" s="125">
        <f t="shared" si="3"/>
        <v>13.4</v>
      </c>
      <c r="F25" s="534">
        <f>'0664'!F25:G25</f>
        <v>1.206</v>
      </c>
      <c r="G25" s="534"/>
      <c r="H25" s="83">
        <f t="shared" si="4"/>
        <v>16.160399999999999</v>
      </c>
      <c r="I25" s="104">
        <f t="shared" si="0"/>
        <v>77381.3</v>
      </c>
      <c r="N25" s="481" t="s">
        <v>114</v>
      </c>
      <c r="O25" s="481"/>
      <c r="P25" s="515">
        <f t="shared" si="1"/>
        <v>0</v>
      </c>
      <c r="Q25" s="515"/>
      <c r="R25" s="519">
        <v>1</v>
      </c>
      <c r="S25" s="519"/>
      <c r="T25" s="98">
        <f t="shared" si="5"/>
        <v>0</v>
      </c>
      <c r="U25" s="99">
        <f t="shared" si="2"/>
        <v>0</v>
      </c>
    </row>
    <row r="26" spans="1:21" x14ac:dyDescent="0.25">
      <c r="A26" s="455" t="s">
        <v>115</v>
      </c>
      <c r="B26" s="455"/>
      <c r="C26" s="165">
        <v>3.21</v>
      </c>
      <c r="D26" s="165">
        <v>3.21</v>
      </c>
      <c r="E26" s="125">
        <f t="shared" si="3"/>
        <v>6.42</v>
      </c>
      <c r="F26" s="534">
        <f>'0664'!F26:G26</f>
        <v>1.206</v>
      </c>
      <c r="G26" s="534"/>
      <c r="H26" s="83">
        <f t="shared" si="4"/>
        <v>7.7424999999999997</v>
      </c>
      <c r="I26" s="104">
        <f t="shared" si="0"/>
        <v>37073.629999999997</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169.9</v>
      </c>
      <c r="D29" s="97">
        <f>SUM(D13:D28)</f>
        <v>172.91</v>
      </c>
      <c r="E29" s="97">
        <f>SUM(E13:E28)</f>
        <v>342.81</v>
      </c>
      <c r="F29" s="459"/>
      <c r="G29" s="459"/>
      <c r="H29" s="102">
        <f>SUM(H13:H28)</f>
        <v>362.54970000000003</v>
      </c>
      <c r="I29" s="97">
        <f>SUM(I13:I28)</f>
        <v>1736006.93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362.54970000000003</v>
      </c>
      <c r="F45" s="35"/>
      <c r="G45" s="109"/>
      <c r="H45" s="110" t="s">
        <v>129</v>
      </c>
      <c r="I45" s="97">
        <f>SUM(I43,I29)</f>
        <v>1736006.93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3</v>
      </c>
      <c r="D50" s="165">
        <v>3.58</v>
      </c>
      <c r="E50" s="125">
        <f>IF(D$59=0,C50*2,C50+D50)</f>
        <v>6.58</v>
      </c>
      <c r="F50" s="39" t="s">
        <v>21</v>
      </c>
      <c r="G50" s="39">
        <v>251</v>
      </c>
      <c r="H50" s="321">
        <f>'0664'!H50</f>
        <v>1047</v>
      </c>
      <c r="I50" s="104">
        <f>ROUND(E50*H50,2)</f>
        <v>6889.26</v>
      </c>
      <c r="N50" s="506" t="s">
        <v>28</v>
      </c>
      <c r="O50" s="506"/>
      <c r="P50" s="507"/>
      <c r="Q50" s="507"/>
      <c r="R50" s="40" t="s">
        <v>21</v>
      </c>
      <c r="S50" s="40">
        <v>251</v>
      </c>
      <c r="T50" s="117">
        <f>H50</f>
        <v>1047</v>
      </c>
      <c r="U50" s="118">
        <f>ROUND(P50*T50,0)</f>
        <v>0</v>
      </c>
    </row>
    <row r="51" spans="1:21" x14ac:dyDescent="0.25">
      <c r="A51" s="462"/>
      <c r="B51" s="462"/>
      <c r="C51" s="165">
        <v>1.5</v>
      </c>
      <c r="D51" s="165">
        <v>0.92</v>
      </c>
      <c r="E51" s="125">
        <f t="shared" ref="E51:E58" si="10">IF(D$59=0,C51*2,C51+D51)</f>
        <v>2.42</v>
      </c>
      <c r="F51" s="39" t="s">
        <v>21</v>
      </c>
      <c r="G51" s="39">
        <v>252</v>
      </c>
      <c r="H51" s="321">
        <f>'0664'!H51</f>
        <v>3380</v>
      </c>
      <c r="I51" s="104">
        <f t="shared" ref="I51:I58" si="11">ROUND(E51*H51,2)</f>
        <v>8179.6</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12.93</v>
      </c>
      <c r="D53" s="165">
        <v>13.27</v>
      </c>
      <c r="E53" s="125">
        <f t="shared" si="10"/>
        <v>26.2</v>
      </c>
      <c r="F53" s="41" t="s">
        <v>14</v>
      </c>
      <c r="G53" s="39">
        <v>251</v>
      </c>
      <c r="H53" s="321">
        <f>'0664'!H53</f>
        <v>1173</v>
      </c>
      <c r="I53" s="104">
        <f t="shared" si="11"/>
        <v>30732.6</v>
      </c>
      <c r="N53" s="506"/>
      <c r="O53" s="506"/>
      <c r="P53" s="508"/>
      <c r="Q53" s="508"/>
      <c r="R53" s="42" t="s">
        <v>14</v>
      </c>
      <c r="S53" s="40">
        <v>251</v>
      </c>
      <c r="T53" s="117">
        <f t="shared" si="12"/>
        <v>1173</v>
      </c>
      <c r="U53" s="118">
        <f t="shared" si="13"/>
        <v>0</v>
      </c>
    </row>
    <row r="54" spans="1:21" x14ac:dyDescent="0.25">
      <c r="A54" s="462"/>
      <c r="B54" s="462"/>
      <c r="C54" s="165">
        <v>0.32</v>
      </c>
      <c r="D54" s="165">
        <v>0.41</v>
      </c>
      <c r="E54" s="125">
        <f t="shared" si="10"/>
        <v>0.73</v>
      </c>
      <c r="F54" s="41" t="s">
        <v>14</v>
      </c>
      <c r="G54" s="39">
        <v>252</v>
      </c>
      <c r="H54" s="321">
        <f>'0664'!H54</f>
        <v>3506</v>
      </c>
      <c r="I54" s="104">
        <f t="shared" si="11"/>
        <v>2559.38</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17.75</v>
      </c>
      <c r="D59" s="100">
        <f>SUM(D50:D58)</f>
        <v>18.18</v>
      </c>
      <c r="E59" s="100">
        <f>SUM(E50:E58)</f>
        <v>35.93</v>
      </c>
      <c r="F59" s="463" t="s">
        <v>77</v>
      </c>
      <c r="G59" s="463"/>
      <c r="H59" s="463"/>
      <c r="I59" s="100">
        <f>SUM(I50:I58)</f>
        <v>48360.84</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342.81</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1.7700000000000001E-3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362.54970000000003</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1.6689999999999999E-3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1.7700000000000001E-3</v>
      </c>
      <c r="I68" s="104">
        <f>ROUND(F68*H68,2)</f>
        <v>75294.87</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1.7700000000000001E-3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1.7700000000000001E-3</v>
      </c>
      <c r="I71" s="104">
        <f>ROUND(F71*H71,2)</f>
        <v>23766.639999999999</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1.7700000000000001E-3</v>
      </c>
      <c r="I72" s="104">
        <f>ROUND(F72*H72,2)</f>
        <v>26205.27</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1.7700000000000001E-3</v>
      </c>
      <c r="I76" s="104">
        <f t="shared" ref="I76:I85" si="14">ROUND(F76*H76,2)</f>
        <v>15446.45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1.7700000000000001E-3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1.6689999999999999E-3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1.6689999999999999E-3</v>
      </c>
      <c r="I79" s="104">
        <f t="shared" si="14"/>
        <v>18837.830000000002</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1.6689999999999999E-3</v>
      </c>
      <c r="I80" s="104">
        <f t="shared" si="14"/>
        <v>344289.25</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1.6689999999999999E-3</v>
      </c>
      <c r="I82" s="104">
        <v>58551.79</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1.6689999999999999E-3</v>
      </c>
      <c r="I83" s="104">
        <v>26614.45</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85166.24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1.6689999999999999E-3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156.07720000000003</v>
      </c>
      <c r="D90" s="469"/>
      <c r="E90" s="49">
        <f>H8</f>
        <v>1.0438000000000001</v>
      </c>
      <c r="F90" s="338">
        <f>'0664'!F90</f>
        <v>957.94</v>
      </c>
      <c r="G90" s="41" t="s">
        <v>13</v>
      </c>
      <c r="H90" s="104">
        <f>ROUND(C90*E90*F90,2)</f>
        <v>156061.24</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206.47250000000003</v>
      </c>
      <c r="D91" s="469"/>
      <c r="E91" s="49">
        <f>H8</f>
        <v>1.0438000000000001</v>
      </c>
      <c r="F91" s="338">
        <f>'0664'!F91</f>
        <v>914.63</v>
      </c>
      <c r="G91" s="41" t="s">
        <v>13</v>
      </c>
      <c r="H91" s="104">
        <f>ROUND(C91*E91*F91,2)</f>
        <v>197117.39</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362.54970000000003</v>
      </c>
      <c r="D93" s="471"/>
      <c r="E93" s="143"/>
      <c r="F93" s="143"/>
      <c r="G93" s="143"/>
      <c r="H93" s="144" t="s">
        <v>143</v>
      </c>
      <c r="I93" s="104">
        <f>IF(A1=75,0,H92+H91+H90)</f>
        <v>353178.63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2</v>
      </c>
      <c r="D99" s="165">
        <v>0</v>
      </c>
      <c r="E99" s="125">
        <f>(C99+D99)/2</f>
        <v>1</v>
      </c>
      <c r="F99" s="148" t="s">
        <v>39</v>
      </c>
      <c r="G99" s="339">
        <f>'0664'!G99</f>
        <v>544</v>
      </c>
      <c r="I99" s="104">
        <f>ROUND(G99*E99,2)</f>
        <v>544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2727096.9499999997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2641930.7099999995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2641930.7099999995</v>
      </c>
      <c r="I122" s="97">
        <f>ROUND(IF(E29=0,0,IF(E29&gt;250,-(((250/E29)*H122)*IF(G122="H",0.02,0.05)),IF(G122="H",-0.02*H122,-0.05*H122))),2)</f>
        <v>-38533.449999999997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2688563.4999999995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-2455361.29-245171.3</f>
        <v>-2700532.59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-11969.090000000317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-11969.09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14305.16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U206"/>
  <sheetViews>
    <sheetView showGridLines="0" zoomScaleNormal="100" workbookViewId="0">
      <pane ySplit="1" topLeftCell="A10" activePane="bottomLeft" state="frozen"/>
      <selection activeCell="E100" sqref="E100"/>
      <selection pane="bottomLeft" activeCell="G56" sqref="G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384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207.67</v>
      </c>
      <c r="D17" s="165">
        <v>228.39</v>
      </c>
      <c r="E17" s="125">
        <f t="shared" si="3"/>
        <v>436.05999999999995</v>
      </c>
      <c r="F17" s="534">
        <f>'0664'!F17:G17</f>
        <v>0.999</v>
      </c>
      <c r="G17" s="534"/>
      <c r="H17" s="83">
        <f t="shared" si="4"/>
        <v>435.62389999999999</v>
      </c>
      <c r="I17" s="104">
        <f t="shared" si="0"/>
        <v>2085910.17</v>
      </c>
      <c r="N17" s="481" t="s">
        <v>33</v>
      </c>
      <c r="O17" s="481"/>
      <c r="P17" s="515">
        <f t="shared" si="1"/>
        <v>0</v>
      </c>
      <c r="Q17" s="515"/>
      <c r="R17" s="519">
        <v>1</v>
      </c>
      <c r="S17" s="519"/>
      <c r="T17" s="98">
        <f t="shared" si="5"/>
        <v>0</v>
      </c>
      <c r="U17" s="99">
        <f t="shared" si="2"/>
        <v>0</v>
      </c>
    </row>
    <row r="18" spans="1:21" x14ac:dyDescent="0.25">
      <c r="A18" s="455" t="s">
        <v>34</v>
      </c>
      <c r="B18" s="455"/>
      <c r="C18" s="165">
        <v>50.92</v>
      </c>
      <c r="D18" s="165">
        <v>60.07</v>
      </c>
      <c r="E18" s="125">
        <f t="shared" si="3"/>
        <v>110.99000000000001</v>
      </c>
      <c r="F18" s="534">
        <f>'0664'!F18:G18</f>
        <v>0.999</v>
      </c>
      <c r="G18" s="534"/>
      <c r="H18" s="83">
        <f t="shared" si="4"/>
        <v>110.879</v>
      </c>
      <c r="I18" s="104">
        <f t="shared" si="0"/>
        <v>530925.03</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16</v>
      </c>
      <c r="D27" s="165">
        <v>20.21</v>
      </c>
      <c r="E27" s="125">
        <f t="shared" si="3"/>
        <v>36.21</v>
      </c>
      <c r="F27" s="534">
        <f>'0664'!F27:G27</f>
        <v>1.206</v>
      </c>
      <c r="G27" s="534"/>
      <c r="H27" s="83">
        <f t="shared" si="4"/>
        <v>43.6693</v>
      </c>
      <c r="I27" s="104">
        <f t="shared" si="0"/>
        <v>209102.94</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274.58999999999997</v>
      </c>
      <c r="D29" s="97">
        <f>SUM(D13:D28)</f>
        <v>308.66999999999996</v>
      </c>
      <c r="E29" s="97">
        <f>SUM(E13:E28)</f>
        <v>583.26</v>
      </c>
      <c r="F29" s="459"/>
      <c r="G29" s="459"/>
      <c r="H29" s="102">
        <f>SUM(H13:H28)</f>
        <v>590.17219999999998</v>
      </c>
      <c r="I29" s="97">
        <f>SUM(I13:I28)</f>
        <v>2825938.14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590.17219999999998</v>
      </c>
      <c r="F45" s="35"/>
      <c r="G45" s="109"/>
      <c r="H45" s="110" t="s">
        <v>129</v>
      </c>
      <c r="I45" s="97">
        <f>SUM(I43,I29)</f>
        <v>2825938.14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50.92</v>
      </c>
      <c r="D56" s="165">
        <v>58.77</v>
      </c>
      <c r="E56" s="125">
        <f t="shared" si="10"/>
        <v>109.69</v>
      </c>
      <c r="F56" s="41" t="s">
        <v>15</v>
      </c>
      <c r="G56" s="39">
        <v>251</v>
      </c>
      <c r="H56" s="321">
        <f>'0664'!H56</f>
        <v>835</v>
      </c>
      <c r="I56" s="104">
        <f t="shared" si="11"/>
        <v>91591.15</v>
      </c>
      <c r="N56" s="506"/>
      <c r="O56" s="506"/>
      <c r="P56" s="508"/>
      <c r="Q56" s="508"/>
      <c r="R56" s="42" t="s">
        <v>15</v>
      </c>
      <c r="S56" s="40">
        <v>251</v>
      </c>
      <c r="T56" s="117">
        <f t="shared" si="12"/>
        <v>835</v>
      </c>
      <c r="U56" s="118">
        <f t="shared" si="13"/>
        <v>0</v>
      </c>
    </row>
    <row r="57" spans="1:21" x14ac:dyDescent="0.25">
      <c r="A57" s="462"/>
      <c r="B57" s="462"/>
      <c r="C57" s="165">
        <v>0</v>
      </c>
      <c r="D57" s="165">
        <v>1.3</v>
      </c>
      <c r="E57" s="125">
        <f t="shared" si="10"/>
        <v>1.3</v>
      </c>
      <c r="F57" s="41" t="s">
        <v>15</v>
      </c>
      <c r="G57" s="39">
        <v>252</v>
      </c>
      <c r="H57" s="321">
        <f>'0664'!H57</f>
        <v>3168</v>
      </c>
      <c r="I57" s="104">
        <f t="shared" si="11"/>
        <v>4118.3999999999996</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50.92</v>
      </c>
      <c r="D59" s="100">
        <f>SUM(D50:D58)</f>
        <v>60.07</v>
      </c>
      <c r="E59" s="100">
        <f>SUM(E50:E58)</f>
        <v>110.99</v>
      </c>
      <c r="F59" s="463" t="s">
        <v>77</v>
      </c>
      <c r="G59" s="463"/>
      <c r="H59" s="463"/>
      <c r="I59" s="100">
        <f>SUM(I50:I58)</f>
        <v>95709.549999999988</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583.26</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3.0109999999999998E-3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590.17219999999998</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2.7169999999999998E-3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3.0109999999999998E-3</v>
      </c>
      <c r="I68" s="104">
        <f>ROUND(F68*H68,2)</f>
        <v>128086.35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3.0109999999999998E-3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3.0109999999999998E-3</v>
      </c>
      <c r="I71" s="104">
        <f>ROUND(F71*H71,2)</f>
        <v>40430.14</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3.0109999999999998E-3</v>
      </c>
      <c r="I72" s="104">
        <f>ROUND(F72*H72,2)</f>
        <v>44578.57</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3.0109999999999998E-3</v>
      </c>
      <c r="I76" s="104">
        <f t="shared" ref="I76:I85" si="14">ROUND(F76*H76,2)</f>
        <v>26276.42</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3.0109999999999998E-3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2.7169999999999998E-3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2.7169999999999998E-3</v>
      </c>
      <c r="I79" s="104">
        <f t="shared" si="14"/>
        <v>30666.5</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2.7169999999999998E-3</v>
      </c>
      <c r="I80" s="104">
        <f t="shared" si="14"/>
        <v>560475.66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2.7169999999999998E-3</v>
      </c>
      <c r="I82" s="104">
        <v>83971.11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2.7169999999999998E-3</v>
      </c>
      <c r="I83" s="104">
        <v>38168.68</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122139.79000000001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2.7169999999999998E-3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590.17219999999998</v>
      </c>
      <c r="D92" s="469"/>
      <c r="E92" s="49">
        <f>H8</f>
        <v>1.0438000000000001</v>
      </c>
      <c r="F92" s="338">
        <f>'0664'!F92</f>
        <v>916.84</v>
      </c>
      <c r="G92" s="41" t="s">
        <v>13</v>
      </c>
      <c r="H92" s="97">
        <f>ROUND(C92*E92*F92,2)</f>
        <v>564793.37</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590.17219999999998</v>
      </c>
      <c r="D93" s="471"/>
      <c r="E93" s="143"/>
      <c r="F93" s="143"/>
      <c r="G93" s="143"/>
      <c r="H93" s="144" t="s">
        <v>143</v>
      </c>
      <c r="I93" s="104">
        <f>IF(A1=75,0,H92+H91+H90)</f>
        <v>564793.37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83</v>
      </c>
      <c r="D99" s="165">
        <v>76</v>
      </c>
      <c r="E99" s="125">
        <f>(C99+D99)/2</f>
        <v>79.5</v>
      </c>
      <c r="F99" s="148" t="s">
        <v>39</v>
      </c>
      <c r="G99" s="339">
        <f>'0664'!G99</f>
        <v>544</v>
      </c>
      <c r="I99" s="104">
        <f>ROUND(G99*E99,2)</f>
        <v>43248</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4482342.49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4360202.7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4360202.7</v>
      </c>
      <c r="I122" s="97">
        <f>ROUND(IF(E29=0,0,IF(E29&gt;250,-(((250/E29)*H122)*IF(G122="H",0.02,0.05)),IF(G122="H",-0.02*H122,-0.05*H122))),2)</f>
        <v>-93444.66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4388897.83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-3904249.01-482670.46</f>
        <v>-4386919.47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1978.3600000003353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1978.36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124565.48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U206"/>
  <sheetViews>
    <sheetView showGridLines="0" zoomScaleNormal="100" workbookViewId="0">
      <pane ySplit="1" topLeftCell="A11" activePane="bottomLeft" state="frozen"/>
      <selection activeCell="E100" sqref="E100"/>
      <selection pane="bottomLeft" activeCell="D55" sqref="D55"/>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112.24</v>
      </c>
      <c r="D13" s="163">
        <v>107.46</v>
      </c>
      <c r="E13" s="210">
        <f>IF(D$29=0,C13*2,C13+D13)</f>
        <v>219.7</v>
      </c>
      <c r="F13" s="539">
        <f>'0664'!F13:G13</f>
        <v>1.1259999999999999</v>
      </c>
      <c r="G13" s="539"/>
      <c r="H13" s="167">
        <f>ROUND(E13*F13,4)</f>
        <v>247.38220000000001</v>
      </c>
      <c r="I13" s="119">
        <f t="shared" ref="I13:I28" si="0">ROUND(ROUND(H13*$C$8,4)*($H$8),2)</f>
        <v>1184547.1399999999</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9.5</v>
      </c>
      <c r="D14" s="165">
        <v>10.54</v>
      </c>
      <c r="E14" s="125">
        <f t="shared" ref="E14:E28" si="3">IF(D$29=0,C14*2,C14+D14)</f>
        <v>20.04</v>
      </c>
      <c r="F14" s="534">
        <f>'0664'!F14:G14</f>
        <v>1.1259999999999999</v>
      </c>
      <c r="G14" s="534"/>
      <c r="H14" s="83">
        <f t="shared" ref="H14:H28" si="4">ROUND(E14*F14,4)</f>
        <v>22.565000000000001</v>
      </c>
      <c r="I14" s="104">
        <f t="shared" si="0"/>
        <v>108048.62</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171.49</v>
      </c>
      <c r="D15" s="165">
        <v>175.53</v>
      </c>
      <c r="E15" s="125">
        <f t="shared" si="3"/>
        <v>347.02</v>
      </c>
      <c r="F15" s="534">
        <f>'0664'!F15:G15</f>
        <v>1</v>
      </c>
      <c r="G15" s="534"/>
      <c r="H15" s="83">
        <f t="shared" si="4"/>
        <v>347.02</v>
      </c>
      <c r="I15" s="104">
        <f t="shared" si="0"/>
        <v>1661645.62</v>
      </c>
      <c r="N15" s="481" t="s">
        <v>31</v>
      </c>
      <c r="O15" s="481"/>
      <c r="P15" s="515">
        <f t="shared" si="1"/>
        <v>0</v>
      </c>
      <c r="Q15" s="515"/>
      <c r="R15" s="519">
        <v>1</v>
      </c>
      <c r="S15" s="519"/>
      <c r="T15" s="98">
        <f t="shared" si="5"/>
        <v>0</v>
      </c>
      <c r="U15" s="99">
        <f t="shared" si="2"/>
        <v>0</v>
      </c>
    </row>
    <row r="16" spans="1:21" x14ac:dyDescent="0.25">
      <c r="A16" s="455" t="s">
        <v>32</v>
      </c>
      <c r="B16" s="455"/>
      <c r="C16" s="165">
        <v>23.11</v>
      </c>
      <c r="D16" s="165">
        <v>19</v>
      </c>
      <c r="E16" s="125">
        <f t="shared" si="3"/>
        <v>42.11</v>
      </c>
      <c r="F16" s="534">
        <f>'0664'!F16:G16</f>
        <v>1</v>
      </c>
      <c r="G16" s="534"/>
      <c r="H16" s="83">
        <f t="shared" si="4"/>
        <v>42.11</v>
      </c>
      <c r="I16" s="104">
        <f t="shared" si="0"/>
        <v>201636.5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22.25</v>
      </c>
      <c r="D25" s="165">
        <v>23.45</v>
      </c>
      <c r="E25" s="125">
        <f t="shared" si="3"/>
        <v>45.7</v>
      </c>
      <c r="F25" s="534">
        <f>'0664'!F25:G25</f>
        <v>1.206</v>
      </c>
      <c r="G25" s="534"/>
      <c r="H25" s="83">
        <f t="shared" si="4"/>
        <v>55.114199999999997</v>
      </c>
      <c r="I25" s="104">
        <f t="shared" si="0"/>
        <v>263904.87</v>
      </c>
      <c r="N25" s="481" t="s">
        <v>114</v>
      </c>
      <c r="O25" s="481"/>
      <c r="P25" s="515">
        <f t="shared" si="1"/>
        <v>0</v>
      </c>
      <c r="Q25" s="515"/>
      <c r="R25" s="519">
        <v>1</v>
      </c>
      <c r="S25" s="519"/>
      <c r="T25" s="98">
        <f t="shared" si="5"/>
        <v>0</v>
      </c>
      <c r="U25" s="99">
        <f t="shared" si="2"/>
        <v>0</v>
      </c>
    </row>
    <row r="26" spans="1:21" x14ac:dyDescent="0.25">
      <c r="A26" s="455" t="s">
        <v>115</v>
      </c>
      <c r="B26" s="455"/>
      <c r="C26" s="165">
        <v>18.32</v>
      </c>
      <c r="D26" s="165">
        <v>19.48</v>
      </c>
      <c r="E26" s="125">
        <f t="shared" si="3"/>
        <v>37.799999999999997</v>
      </c>
      <c r="F26" s="534">
        <f>'0664'!F26:G26</f>
        <v>1.206</v>
      </c>
      <c r="G26" s="534"/>
      <c r="H26" s="83">
        <f t="shared" si="4"/>
        <v>45.586799999999997</v>
      </c>
      <c r="I26" s="104">
        <f t="shared" si="0"/>
        <v>218284.56</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356.91</v>
      </c>
      <c r="D29" s="97">
        <f>SUM(D13:D28)</f>
        <v>355.46</v>
      </c>
      <c r="E29" s="97">
        <f>SUM(E13:E28)</f>
        <v>712.37</v>
      </c>
      <c r="F29" s="459"/>
      <c r="G29" s="459"/>
      <c r="H29" s="102">
        <f>SUM(H13:H28)</f>
        <v>759.77820000000008</v>
      </c>
      <c r="I29" s="97">
        <f>SUM(I13:I28)</f>
        <v>3638067.31</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759.77820000000008</v>
      </c>
      <c r="F45" s="35"/>
      <c r="G45" s="109"/>
      <c r="H45" s="110" t="s">
        <v>129</v>
      </c>
      <c r="I45" s="97">
        <f>SUM(I43,I29)</f>
        <v>3638067.31</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9</v>
      </c>
      <c r="D50" s="165">
        <v>10.039999999999999</v>
      </c>
      <c r="E50" s="125">
        <f>IF(D$59=0,C50*2,C50+D50)</f>
        <v>19.04</v>
      </c>
      <c r="F50" s="39" t="s">
        <v>21</v>
      </c>
      <c r="G50" s="39">
        <v>251</v>
      </c>
      <c r="H50" s="321">
        <f>'0664'!H50</f>
        <v>1047</v>
      </c>
      <c r="I50" s="104">
        <f>ROUND(E50*H50,2)</f>
        <v>19934.88</v>
      </c>
      <c r="N50" s="506" t="s">
        <v>28</v>
      </c>
      <c r="O50" s="506"/>
      <c r="P50" s="507"/>
      <c r="Q50" s="507"/>
      <c r="R50" s="40" t="s">
        <v>21</v>
      </c>
      <c r="S50" s="40">
        <v>251</v>
      </c>
      <c r="T50" s="117">
        <f>H50</f>
        <v>1047</v>
      </c>
      <c r="U50" s="118">
        <f>ROUND(P50*T50,0)</f>
        <v>0</v>
      </c>
    </row>
    <row r="51" spans="1:21" x14ac:dyDescent="0.25">
      <c r="A51" s="462"/>
      <c r="B51" s="462"/>
      <c r="C51" s="165">
        <v>0.5</v>
      </c>
      <c r="D51" s="165">
        <v>0</v>
      </c>
      <c r="E51" s="125">
        <f t="shared" ref="E51:E58" si="10">IF(D$59=0,C51*2,C51+D51)</f>
        <v>0.5</v>
      </c>
      <c r="F51" s="39" t="s">
        <v>21</v>
      </c>
      <c r="G51" s="39">
        <v>252</v>
      </c>
      <c r="H51" s="321">
        <f>'0664'!H51</f>
        <v>3380</v>
      </c>
      <c r="I51" s="104">
        <f t="shared" ref="I51:I58" si="11">ROUND(E51*H51,2)</f>
        <v>1690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0.5</v>
      </c>
      <c r="E52" s="125">
        <f t="shared" si="10"/>
        <v>0.5</v>
      </c>
      <c r="F52" s="39" t="s">
        <v>21</v>
      </c>
      <c r="G52" s="39">
        <v>253</v>
      </c>
      <c r="H52" s="321">
        <f>'0664'!H52</f>
        <v>6896</v>
      </c>
      <c r="I52" s="104">
        <f t="shared" si="11"/>
        <v>3448</v>
      </c>
      <c r="N52" s="506"/>
      <c r="O52" s="506"/>
      <c r="P52" s="508"/>
      <c r="Q52" s="508"/>
      <c r="R52" s="40" t="s">
        <v>21</v>
      </c>
      <c r="S52" s="40">
        <v>253</v>
      </c>
      <c r="T52" s="117">
        <f t="shared" si="12"/>
        <v>6896</v>
      </c>
      <c r="U52" s="118">
        <f t="shared" si="13"/>
        <v>0</v>
      </c>
    </row>
    <row r="53" spans="1:21" x14ac:dyDescent="0.25">
      <c r="A53" s="462"/>
      <c r="B53" s="462"/>
      <c r="C53" s="165">
        <v>23.11</v>
      </c>
      <c r="D53" s="165">
        <v>18.5</v>
      </c>
      <c r="E53" s="125">
        <f t="shared" si="10"/>
        <v>41.61</v>
      </c>
      <c r="F53" s="41" t="s">
        <v>14</v>
      </c>
      <c r="G53" s="39">
        <v>251</v>
      </c>
      <c r="H53" s="321">
        <f>'0664'!H53</f>
        <v>1173</v>
      </c>
      <c r="I53" s="104">
        <f t="shared" si="11"/>
        <v>48808.53</v>
      </c>
      <c r="N53" s="506"/>
      <c r="O53" s="506"/>
      <c r="P53" s="508"/>
      <c r="Q53" s="508"/>
      <c r="R53" s="42" t="s">
        <v>14</v>
      </c>
      <c r="S53" s="40">
        <v>251</v>
      </c>
      <c r="T53" s="117">
        <f t="shared" si="12"/>
        <v>1173</v>
      </c>
      <c r="U53" s="118">
        <f t="shared" si="13"/>
        <v>0</v>
      </c>
    </row>
    <row r="54" spans="1:21" x14ac:dyDescent="0.25">
      <c r="A54" s="462"/>
      <c r="B54" s="462"/>
      <c r="C54" s="165">
        <v>0</v>
      </c>
      <c r="D54" s="165">
        <v>0.5</v>
      </c>
      <c r="E54" s="125">
        <f t="shared" si="10"/>
        <v>0.5</v>
      </c>
      <c r="F54" s="41" t="s">
        <v>14</v>
      </c>
      <c r="G54" s="39">
        <v>252</v>
      </c>
      <c r="H54" s="321">
        <f>'0664'!H54</f>
        <v>3506</v>
      </c>
      <c r="I54" s="104">
        <f t="shared" si="11"/>
        <v>1753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32.61</v>
      </c>
      <c r="D59" s="100">
        <f>SUM(D50:D58)</f>
        <v>29.54</v>
      </c>
      <c r="E59" s="100">
        <f>SUM(E50:E58)</f>
        <v>62.15</v>
      </c>
      <c r="F59" s="463" t="s">
        <v>77</v>
      </c>
      <c r="G59" s="463"/>
      <c r="H59" s="463"/>
      <c r="I59" s="100">
        <f>SUM(I50:I58)</f>
        <v>75634.41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712.37</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3.6770000000000001E-3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759.77820000000008</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3.4979999999999998E-3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3.6770000000000001E-3</v>
      </c>
      <c r="I68" s="104">
        <f>ROUND(F68*H68,2)</f>
        <v>156417.64000000001</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3.6770000000000001E-3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3.6770000000000001E-3</v>
      </c>
      <c r="I71" s="104">
        <f>ROUND(F71*H71,2)</f>
        <v>49372.84</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3.6770000000000001E-3</v>
      </c>
      <c r="I72" s="104">
        <f>ROUND(F72*H72,2)</f>
        <v>54438.86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3.6770000000000001E-3</v>
      </c>
      <c r="I76" s="104">
        <f t="shared" ref="I76:I85" si="14">ROUND(F76*H76,2)</f>
        <v>32088.47</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3.6770000000000001E-3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3.4979999999999998E-3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3.4979999999999998E-3</v>
      </c>
      <c r="I79" s="104">
        <f t="shared" si="14"/>
        <v>39481.57</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3.4979999999999998E-3</v>
      </c>
      <c r="I80" s="104">
        <f t="shared" si="14"/>
        <v>721584.05</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3.4979999999999998E-3</v>
      </c>
      <c r="I82" s="104">
        <v>154797.44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3.4979999999999998E-3</v>
      </c>
      <c r="I83" s="104">
        <v>70362.47</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225159.91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3.4979999999999998E-3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325.06139999999999</v>
      </c>
      <c r="D90" s="469"/>
      <c r="E90" s="49">
        <f>H8</f>
        <v>1.0438000000000001</v>
      </c>
      <c r="F90" s="338">
        <f>'0664'!F90</f>
        <v>957.94</v>
      </c>
      <c r="G90" s="41" t="s">
        <v>13</v>
      </c>
      <c r="H90" s="104">
        <f>ROUND(C90*E90*F90,2)</f>
        <v>325028.17</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434.71679999999998</v>
      </c>
      <c r="D91" s="469"/>
      <c r="E91" s="49">
        <f>H8</f>
        <v>1.0438000000000001</v>
      </c>
      <c r="F91" s="338">
        <f>'0664'!F91</f>
        <v>914.63</v>
      </c>
      <c r="G91" s="41" t="s">
        <v>13</v>
      </c>
      <c r="H91" s="104">
        <f>ROUND(C91*E91*F91,2)</f>
        <v>415020.13</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759.77819999999997</v>
      </c>
      <c r="D93" s="471"/>
      <c r="E93" s="143"/>
      <c r="F93" s="143"/>
      <c r="G93" s="143"/>
      <c r="H93" s="144" t="s">
        <v>143</v>
      </c>
      <c r="I93" s="104">
        <f>IF(A1=75,0,H92+H91+H90)</f>
        <v>740048.3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54</v>
      </c>
      <c r="D99" s="165">
        <v>54</v>
      </c>
      <c r="E99" s="125">
        <f>(C99+D99)/2</f>
        <v>54</v>
      </c>
      <c r="F99" s="148" t="s">
        <v>39</v>
      </c>
      <c r="G99" s="339">
        <f>'0664'!G99</f>
        <v>544</v>
      </c>
      <c r="I99" s="104">
        <f>ROUND(G99*E99,2)</f>
        <v>29376</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5761669.3600000013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5536509.4500000011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5536509.4500000011</v>
      </c>
      <c r="I122" s="97">
        <f>ROUND(IF(E29=0,0,IF(E29&gt;250,-(((250/E29)*H122)*IF(G122="H",0.02,0.05)),IF(G122="H",-0.02*H122,-0.05*H122))),2)</f>
        <v>-97149.47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5664519.8900000015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-5261586.94-401822.37</f>
        <v>-5663409.3100000005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1110.5800000010058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1110.58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179676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U206"/>
  <sheetViews>
    <sheetView showGridLines="0" zoomScaleNormal="100" workbookViewId="0">
      <pane ySplit="1" topLeftCell="A11" activePane="bottomLeft" state="frozen"/>
      <selection activeCell="E100" sqref="E100"/>
      <selection pane="bottomLeft" activeCell="C131" sqref="C131"/>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175</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174.83</v>
      </c>
      <c r="D13" s="163">
        <v>171.49</v>
      </c>
      <c r="E13" s="210">
        <f>IF(D$29=0,C13*2,C13+D13)</f>
        <v>346.32000000000005</v>
      </c>
      <c r="F13" s="539">
        <f>'0664'!F13:G13</f>
        <v>1.1259999999999999</v>
      </c>
      <c r="G13" s="539"/>
      <c r="H13" s="167">
        <f>ROUND(E13*F13,4)</f>
        <v>389.9563</v>
      </c>
      <c r="I13" s="119">
        <f t="shared" ref="I13:I28" si="0">ROUND(ROUND(H13*$C$8,4)*($H$8),2)</f>
        <v>1867238.72</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20.89</v>
      </c>
      <c r="D14" s="165">
        <v>21.54</v>
      </c>
      <c r="E14" s="125">
        <f t="shared" ref="E14:E28" si="3">IF(D$29=0,C14*2,C14+D14)</f>
        <v>42.43</v>
      </c>
      <c r="F14" s="534">
        <f>'0664'!F14:G14</f>
        <v>1.1259999999999999</v>
      </c>
      <c r="G14" s="534"/>
      <c r="H14" s="83">
        <f t="shared" ref="H14:H28" si="4">ROUND(E14*F14,4)</f>
        <v>47.776200000000003</v>
      </c>
      <c r="I14" s="104">
        <f t="shared" si="0"/>
        <v>228768.12</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229.77</v>
      </c>
      <c r="D15" s="165">
        <v>236.43</v>
      </c>
      <c r="E15" s="125">
        <f t="shared" si="3"/>
        <v>466.20000000000005</v>
      </c>
      <c r="F15" s="534">
        <f>'0664'!F15:G15</f>
        <v>1</v>
      </c>
      <c r="G15" s="534"/>
      <c r="H15" s="83">
        <f t="shared" si="4"/>
        <v>466.2</v>
      </c>
      <c r="I15" s="104">
        <f t="shared" si="0"/>
        <v>2232318.5699999998</v>
      </c>
      <c r="N15" s="481" t="s">
        <v>31</v>
      </c>
      <c r="O15" s="481"/>
      <c r="P15" s="515">
        <f t="shared" si="1"/>
        <v>0</v>
      </c>
      <c r="Q15" s="515"/>
      <c r="R15" s="519">
        <v>1</v>
      </c>
      <c r="S15" s="519"/>
      <c r="T15" s="98">
        <f t="shared" si="5"/>
        <v>0</v>
      </c>
      <c r="U15" s="99">
        <f t="shared" si="2"/>
        <v>0</v>
      </c>
    </row>
    <row r="16" spans="1:21" x14ac:dyDescent="0.25">
      <c r="A16" s="455" t="s">
        <v>32</v>
      </c>
      <c r="B16" s="455"/>
      <c r="C16" s="165">
        <v>31.98</v>
      </c>
      <c r="D16" s="165">
        <v>32.29</v>
      </c>
      <c r="E16" s="125">
        <f t="shared" si="3"/>
        <v>64.27</v>
      </c>
      <c r="F16" s="534">
        <f>'0664'!F16:G16</f>
        <v>1</v>
      </c>
      <c r="G16" s="534"/>
      <c r="H16" s="83">
        <f t="shared" si="4"/>
        <v>64.27</v>
      </c>
      <c r="I16" s="104">
        <f t="shared" si="0"/>
        <v>307745.84999999998</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68.319999999999993</v>
      </c>
      <c r="D25" s="165">
        <v>70.02</v>
      </c>
      <c r="E25" s="125">
        <f t="shared" si="3"/>
        <v>138.33999999999997</v>
      </c>
      <c r="F25" s="534">
        <f>'0664'!F25:G25</f>
        <v>1.206</v>
      </c>
      <c r="G25" s="534"/>
      <c r="H25" s="83">
        <f t="shared" si="4"/>
        <v>166.83799999999999</v>
      </c>
      <c r="I25" s="104">
        <f t="shared" si="0"/>
        <v>798875.09</v>
      </c>
      <c r="N25" s="481" t="s">
        <v>114</v>
      </c>
      <c r="O25" s="481"/>
      <c r="P25" s="515">
        <f t="shared" si="1"/>
        <v>0</v>
      </c>
      <c r="Q25" s="515"/>
      <c r="R25" s="519">
        <v>1</v>
      </c>
      <c r="S25" s="519"/>
      <c r="T25" s="98">
        <f t="shared" si="5"/>
        <v>0</v>
      </c>
      <c r="U25" s="99">
        <f t="shared" si="2"/>
        <v>0</v>
      </c>
    </row>
    <row r="26" spans="1:21" x14ac:dyDescent="0.25">
      <c r="A26" s="455" t="s">
        <v>115</v>
      </c>
      <c r="B26" s="455"/>
      <c r="C26" s="165">
        <v>44.24</v>
      </c>
      <c r="D26" s="165">
        <v>42.67</v>
      </c>
      <c r="E26" s="125">
        <f t="shared" si="3"/>
        <v>86.91</v>
      </c>
      <c r="F26" s="534">
        <f>'0664'!F26:G26</f>
        <v>1.206</v>
      </c>
      <c r="G26" s="534"/>
      <c r="H26" s="83">
        <f t="shared" si="4"/>
        <v>104.8135</v>
      </c>
      <c r="I26" s="104">
        <f t="shared" si="0"/>
        <v>501881.43</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570.03</v>
      </c>
      <c r="D29" s="97">
        <f>SUM(D13:D28)</f>
        <v>574.44000000000005</v>
      </c>
      <c r="E29" s="97">
        <f>SUM(E13:E28)</f>
        <v>1144.47</v>
      </c>
      <c r="F29" s="459"/>
      <c r="G29" s="459"/>
      <c r="H29" s="102">
        <f>SUM(H13:H28)</f>
        <v>1239.854</v>
      </c>
      <c r="I29" s="97">
        <f>SUM(I13:I28)</f>
        <v>5936827.7799999993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1239.854</v>
      </c>
      <c r="F45" s="35"/>
      <c r="G45" s="109"/>
      <c r="H45" s="110" t="s">
        <v>129</v>
      </c>
      <c r="I45" s="97">
        <f>SUM(I43,I29)</f>
        <v>5936827.7799999993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16.41</v>
      </c>
      <c r="D50" s="165">
        <v>16.53</v>
      </c>
      <c r="E50" s="125">
        <f>IF(D$59=0,C50*2,C50+D50)</f>
        <v>32.94</v>
      </c>
      <c r="F50" s="39" t="s">
        <v>21</v>
      </c>
      <c r="G50" s="39">
        <v>251</v>
      </c>
      <c r="H50" s="321">
        <f>'0664'!H50</f>
        <v>1047</v>
      </c>
      <c r="I50" s="104">
        <f>ROUND(E50*H50,2)</f>
        <v>34488.18</v>
      </c>
      <c r="N50" s="506" t="s">
        <v>28</v>
      </c>
      <c r="O50" s="506"/>
      <c r="P50" s="507"/>
      <c r="Q50" s="507"/>
      <c r="R50" s="40" t="s">
        <v>21</v>
      </c>
      <c r="S50" s="40">
        <v>251</v>
      </c>
      <c r="T50" s="117">
        <f>H50</f>
        <v>1047</v>
      </c>
      <c r="U50" s="118">
        <f>ROUND(P50*T50,0)</f>
        <v>0</v>
      </c>
    </row>
    <row r="51" spans="1:21" x14ac:dyDescent="0.25">
      <c r="A51" s="462"/>
      <c r="B51" s="462"/>
      <c r="C51" s="165">
        <v>4.4800000000000004</v>
      </c>
      <c r="D51" s="165">
        <v>4.51</v>
      </c>
      <c r="E51" s="125">
        <f t="shared" ref="E51:E58" si="10">IF(D$59=0,C51*2,C51+D51)</f>
        <v>8.99</v>
      </c>
      <c r="F51" s="39" t="s">
        <v>21</v>
      </c>
      <c r="G51" s="39">
        <v>252</v>
      </c>
      <c r="H51" s="321">
        <f>'0664'!H51</f>
        <v>3380</v>
      </c>
      <c r="I51" s="104">
        <f t="shared" ref="I51:I58" si="11">ROUND(E51*H51,2)</f>
        <v>30386.2</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0.5</v>
      </c>
      <c r="E52" s="125">
        <f t="shared" si="10"/>
        <v>0.5</v>
      </c>
      <c r="F52" s="39" t="s">
        <v>21</v>
      </c>
      <c r="G52" s="39">
        <v>253</v>
      </c>
      <c r="H52" s="321">
        <f>'0664'!H52</f>
        <v>6896</v>
      </c>
      <c r="I52" s="104">
        <f t="shared" si="11"/>
        <v>3448</v>
      </c>
      <c r="N52" s="506"/>
      <c r="O52" s="506"/>
      <c r="P52" s="508"/>
      <c r="Q52" s="508"/>
      <c r="R52" s="40" t="s">
        <v>21</v>
      </c>
      <c r="S52" s="40">
        <v>253</v>
      </c>
      <c r="T52" s="117">
        <f t="shared" si="12"/>
        <v>6896</v>
      </c>
      <c r="U52" s="118">
        <f t="shared" si="13"/>
        <v>0</v>
      </c>
    </row>
    <row r="53" spans="1:21" x14ac:dyDescent="0.25">
      <c r="A53" s="462"/>
      <c r="B53" s="462"/>
      <c r="C53" s="165">
        <v>27.95</v>
      </c>
      <c r="D53" s="165">
        <v>27.76</v>
      </c>
      <c r="E53" s="125">
        <f t="shared" si="10"/>
        <v>55.71</v>
      </c>
      <c r="F53" s="41" t="s">
        <v>14</v>
      </c>
      <c r="G53" s="39">
        <v>251</v>
      </c>
      <c r="H53" s="321">
        <f>'0664'!H53</f>
        <v>1173</v>
      </c>
      <c r="I53" s="104">
        <f t="shared" si="11"/>
        <v>65347.83</v>
      </c>
      <c r="N53" s="506"/>
      <c r="O53" s="506"/>
      <c r="P53" s="508"/>
      <c r="Q53" s="508"/>
      <c r="R53" s="42" t="s">
        <v>14</v>
      </c>
      <c r="S53" s="40">
        <v>251</v>
      </c>
      <c r="T53" s="117">
        <f t="shared" si="12"/>
        <v>1173</v>
      </c>
      <c r="U53" s="118">
        <f t="shared" si="13"/>
        <v>0</v>
      </c>
    </row>
    <row r="54" spans="1:21" x14ac:dyDescent="0.25">
      <c r="A54" s="462"/>
      <c r="B54" s="462"/>
      <c r="C54" s="165">
        <v>4.03</v>
      </c>
      <c r="D54" s="165">
        <v>4.53</v>
      </c>
      <c r="E54" s="125">
        <f t="shared" si="10"/>
        <v>8.56</v>
      </c>
      <c r="F54" s="41" t="s">
        <v>14</v>
      </c>
      <c r="G54" s="39">
        <v>252</v>
      </c>
      <c r="H54" s="321">
        <f>'0664'!H54</f>
        <v>3506</v>
      </c>
      <c r="I54" s="104">
        <f t="shared" si="11"/>
        <v>30011.360000000001</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52.870000000000005</v>
      </c>
      <c r="D59" s="100">
        <f>SUM(D50:D58)</f>
        <v>53.83</v>
      </c>
      <c r="E59" s="100">
        <f>SUM(E50:E58)</f>
        <v>106.7</v>
      </c>
      <c r="F59" s="463" t="s">
        <v>77</v>
      </c>
      <c r="G59" s="463"/>
      <c r="H59" s="463"/>
      <c r="I59" s="100">
        <f>SUM(I50:I58)</f>
        <v>163681.57</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1144.47</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5.9080000000000001E-3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1239.854</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5.7080000000000004E-3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5.9080000000000001E-3</v>
      </c>
      <c r="I68" s="104">
        <f>ROUND(F68*H68,2)</f>
        <v>251323.2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5.9080000000000001E-3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5.9080000000000001E-3</v>
      </c>
      <c r="I71" s="104">
        <f>ROUND(F71*H71,2)</f>
        <v>79329.539999999994</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5.9080000000000001E-3</v>
      </c>
      <c r="I72" s="104">
        <f>ROUND(F72*H72,2)</f>
        <v>87469.35</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5.9080000000000001E-3</v>
      </c>
      <c r="I76" s="104">
        <f t="shared" ref="I76:I85" si="14">ROUND(F76*H76,2)</f>
        <v>51557.98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5.9080000000000001E-3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5.7080000000000004E-3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5.7080000000000004E-3</v>
      </c>
      <c r="I79" s="104">
        <f t="shared" si="14"/>
        <v>64425.61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5.7080000000000004E-3</v>
      </c>
      <c r="I80" s="104">
        <f t="shared" si="14"/>
        <v>1177473.3500000001</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5.7080000000000004E-3</v>
      </c>
      <c r="I82" s="104">
        <v>214466.37</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5.7080000000000004E-3</v>
      </c>
      <c r="I83" s="104">
        <v>97484.71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311951.08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5.7080000000000004E-3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604.57050000000004</v>
      </c>
      <c r="D90" s="469"/>
      <c r="E90" s="49">
        <f>H8</f>
        <v>1.0438000000000001</v>
      </c>
      <c r="F90" s="338">
        <f>'0664'!F90</f>
        <v>957.94</v>
      </c>
      <c r="G90" s="41" t="s">
        <v>13</v>
      </c>
      <c r="H90" s="104">
        <f>ROUND(C90*E90*F90,2)</f>
        <v>604508.69999999995</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635.2835</v>
      </c>
      <c r="D91" s="469"/>
      <c r="E91" s="49">
        <f>H8</f>
        <v>1.0438000000000001</v>
      </c>
      <c r="F91" s="338">
        <f>'0664'!F91</f>
        <v>914.63</v>
      </c>
      <c r="G91" s="41" t="s">
        <v>13</v>
      </c>
      <c r="H91" s="104">
        <f>ROUND(C91*E91*F91,2)</f>
        <v>606499.31000000006</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1239.854</v>
      </c>
      <c r="D93" s="471"/>
      <c r="E93" s="143"/>
      <c r="F93" s="143"/>
      <c r="G93" s="143"/>
      <c r="H93" s="144" t="s">
        <v>143</v>
      </c>
      <c r="I93" s="104">
        <f>IF(A1=75,0,H92+H91+H90)</f>
        <v>1211008.01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5</v>
      </c>
      <c r="D99" s="165">
        <v>2</v>
      </c>
      <c r="E99" s="125">
        <f>(C99+D99)/2</f>
        <v>3.5</v>
      </c>
      <c r="F99" s="148" t="s">
        <v>39</v>
      </c>
      <c r="G99" s="339">
        <f>'0664'!G99</f>
        <v>544</v>
      </c>
      <c r="I99" s="104">
        <f>ROUND(G99*E99,2)</f>
        <v>1904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9336951.4699999988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9025000.3899999987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9025000.3899999987</v>
      </c>
      <c r="I122" s="97">
        <f>ROUND(IF(E29=0,0,IF(E29&gt;250,-(((250/E29)*H122)*IF(G122="H",0.02,0.05)),IF(G122="H",-0.02*H122,-0.05*H122))),2)</f>
        <v>-98571.83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9238379.6399999987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-8441319.32-790304.19</f>
        <v>-9231623.5099999998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6756.1299999989569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6756.13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352678.19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U206"/>
  <sheetViews>
    <sheetView showGridLines="0" zoomScaleNormal="100" workbookViewId="0">
      <pane ySplit="1" topLeftCell="A11" activePane="bottomLeft" state="frozen"/>
      <selection activeCell="E100" sqref="E100"/>
      <selection pane="bottomLeft" activeCell="D99" sqref="D9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176</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273.91000000000003</v>
      </c>
      <c r="D15" s="165">
        <v>270.72000000000003</v>
      </c>
      <c r="E15" s="125">
        <f t="shared" si="3"/>
        <v>544.63000000000011</v>
      </c>
      <c r="F15" s="534">
        <f>'0664'!F15:G15</f>
        <v>1</v>
      </c>
      <c r="G15" s="534"/>
      <c r="H15" s="83">
        <f t="shared" si="4"/>
        <v>544.63</v>
      </c>
      <c r="I15" s="104">
        <f t="shared" si="0"/>
        <v>2607867.14</v>
      </c>
      <c r="N15" s="481" t="s">
        <v>31</v>
      </c>
      <c r="O15" s="481"/>
      <c r="P15" s="515">
        <f t="shared" si="1"/>
        <v>0</v>
      </c>
      <c r="Q15" s="515"/>
      <c r="R15" s="519">
        <v>1</v>
      </c>
      <c r="S15" s="519"/>
      <c r="T15" s="98">
        <f t="shared" si="5"/>
        <v>0</v>
      </c>
      <c r="U15" s="99">
        <f t="shared" si="2"/>
        <v>0</v>
      </c>
    </row>
    <row r="16" spans="1:21" x14ac:dyDescent="0.25">
      <c r="A16" s="455" t="s">
        <v>32</v>
      </c>
      <c r="B16" s="455"/>
      <c r="C16" s="165">
        <v>65.13</v>
      </c>
      <c r="D16" s="165">
        <v>61.51</v>
      </c>
      <c r="E16" s="125">
        <f t="shared" si="3"/>
        <v>126.63999999999999</v>
      </c>
      <c r="F16" s="534">
        <f>'0664'!F16:G16</f>
        <v>1</v>
      </c>
      <c r="G16" s="534"/>
      <c r="H16" s="83">
        <f t="shared" si="4"/>
        <v>126.64</v>
      </c>
      <c r="I16" s="104">
        <f t="shared" si="0"/>
        <v>606393.87</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6.49</v>
      </c>
      <c r="D26" s="165">
        <v>7.15</v>
      </c>
      <c r="E26" s="125">
        <f t="shared" si="3"/>
        <v>13.64</v>
      </c>
      <c r="F26" s="534">
        <f>'0664'!F26:G26</f>
        <v>1.206</v>
      </c>
      <c r="G26" s="534"/>
      <c r="H26" s="83">
        <f t="shared" si="4"/>
        <v>16.4498</v>
      </c>
      <c r="I26" s="104">
        <f t="shared" si="0"/>
        <v>78767.039999999994</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345.53000000000003</v>
      </c>
      <c r="D29" s="97">
        <f>SUM(D13:D28)</f>
        <v>339.38</v>
      </c>
      <c r="E29" s="97">
        <f>SUM(E13:E28)</f>
        <v>684.91000000000008</v>
      </c>
      <c r="F29" s="459"/>
      <c r="G29" s="459"/>
      <c r="H29" s="102">
        <f>SUM(H13:H28)</f>
        <v>687.71979999999996</v>
      </c>
      <c r="I29" s="97">
        <f>SUM(I13:I28)</f>
        <v>3293028.0500000003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687.71979999999996</v>
      </c>
      <c r="F45" s="35"/>
      <c r="G45" s="109"/>
      <c r="H45" s="110" t="s">
        <v>129</v>
      </c>
      <c r="I45" s="97">
        <f>SUM(I43,I29)</f>
        <v>3293028.0500000003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63.13</v>
      </c>
      <c r="D53" s="165">
        <v>59.51</v>
      </c>
      <c r="E53" s="125">
        <f t="shared" si="10"/>
        <v>122.64</v>
      </c>
      <c r="F53" s="41" t="s">
        <v>14</v>
      </c>
      <c r="G53" s="39">
        <v>251</v>
      </c>
      <c r="H53" s="321">
        <f>'0664'!H53</f>
        <v>1173</v>
      </c>
      <c r="I53" s="104">
        <f t="shared" si="11"/>
        <v>143856.72</v>
      </c>
      <c r="N53" s="506"/>
      <c r="O53" s="506"/>
      <c r="P53" s="508"/>
      <c r="Q53" s="508"/>
      <c r="R53" s="42" t="s">
        <v>14</v>
      </c>
      <c r="S53" s="40">
        <v>251</v>
      </c>
      <c r="T53" s="117">
        <f t="shared" si="12"/>
        <v>1173</v>
      </c>
      <c r="U53" s="118">
        <f t="shared" si="13"/>
        <v>0</v>
      </c>
    </row>
    <row r="54" spans="1:21" x14ac:dyDescent="0.25">
      <c r="A54" s="462"/>
      <c r="B54" s="462"/>
      <c r="C54" s="165">
        <v>2</v>
      </c>
      <c r="D54" s="165">
        <v>2</v>
      </c>
      <c r="E54" s="125">
        <f t="shared" si="10"/>
        <v>4</v>
      </c>
      <c r="F54" s="41" t="s">
        <v>14</v>
      </c>
      <c r="G54" s="39">
        <v>252</v>
      </c>
      <c r="H54" s="321">
        <f>'0664'!H54</f>
        <v>3506</v>
      </c>
      <c r="I54" s="104">
        <f t="shared" si="11"/>
        <v>14024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65.13</v>
      </c>
      <c r="D59" s="100">
        <f>SUM(D50:D58)</f>
        <v>61.51</v>
      </c>
      <c r="E59" s="100">
        <f>SUM(E50:E58)</f>
        <v>126.64</v>
      </c>
      <c r="F59" s="463" t="s">
        <v>77</v>
      </c>
      <c r="G59" s="463"/>
      <c r="H59" s="463"/>
      <c r="I59" s="100">
        <f>SUM(I50:I58)</f>
        <v>157880.72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684.91000000000008</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3.5349999999999999E-3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687.71979999999996</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3.166E-3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3.5349999999999999E-3</v>
      </c>
      <c r="I68" s="104">
        <f>ROUND(F68*H68,2)</f>
        <v>150377.03</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3.5349999999999999E-3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3.5349999999999999E-3</v>
      </c>
      <c r="I71" s="104">
        <f>ROUND(F71*H71,2)</f>
        <v>47466.13</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3.5349999999999999E-3</v>
      </c>
      <c r="I72" s="104">
        <f>ROUND(F72*H72,2)</f>
        <v>52336.52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3.5349999999999999E-3</v>
      </c>
      <c r="I76" s="104">
        <f t="shared" ref="I76:I85" si="14">ROUND(F76*H76,2)</f>
        <v>30849.26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3.5349999999999999E-3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3.166E-3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3.166E-3</v>
      </c>
      <c r="I79" s="104">
        <f t="shared" si="14"/>
        <v>35734.32</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3.166E-3</v>
      </c>
      <c r="I80" s="104">
        <f t="shared" si="14"/>
        <v>653097.52</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3.166E-3</v>
      </c>
      <c r="I82" s="104">
        <v>120558.32</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3.166E-3</v>
      </c>
      <c r="I83" s="104">
        <v>54799.23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175357.55000000002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3.166E-3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687.71979999999996</v>
      </c>
      <c r="D91" s="469"/>
      <c r="E91" s="49">
        <f>H8</f>
        <v>1.0438000000000001</v>
      </c>
      <c r="F91" s="338">
        <f>'0664'!F91</f>
        <v>914.63</v>
      </c>
      <c r="G91" s="41" t="s">
        <v>13</v>
      </c>
      <c r="H91" s="104">
        <f>ROUND(C91*E91*F91,2)</f>
        <v>656559.76</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687.71979999999996</v>
      </c>
      <c r="D93" s="471"/>
      <c r="E93" s="143"/>
      <c r="F93" s="143"/>
      <c r="G93" s="143"/>
      <c r="H93" s="144" t="s">
        <v>143</v>
      </c>
      <c r="I93" s="104">
        <f>IF(A1=75,0,H92+H91+H90)</f>
        <v>656559.76</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5252686.8600000003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5077329.3100000005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5077329.3100000005</v>
      </c>
      <c r="I122" s="97">
        <f>ROUND(IF(E29=0,0,IF(E29&gt;250,-(((250/E29)*H122)*IF(G122="H",0.02,0.05)),IF(G122="H",-0.02*H122,-0.05*H122))),2)</f>
        <v>-37065.67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5215621.1900000004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-4781901.73-431949.49</f>
        <v>-5213851.2200000007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1769.9699999997392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1769.97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64480.92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U206"/>
  <sheetViews>
    <sheetView showGridLines="0" zoomScaleNormal="100" workbookViewId="0">
      <pane ySplit="1" topLeftCell="A11" activePane="bottomLeft" state="frozen"/>
      <selection activeCell="E100" sqref="E100"/>
      <selection pane="bottomLeft" activeCell="C28" sqref="C2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177</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452.01</v>
      </c>
      <c r="D17" s="165">
        <v>446.86</v>
      </c>
      <c r="E17" s="125">
        <f t="shared" si="3"/>
        <v>898.87</v>
      </c>
      <c r="F17" s="534">
        <f>'0664'!F17:G17</f>
        <v>0.999</v>
      </c>
      <c r="G17" s="534"/>
      <c r="H17" s="83">
        <f t="shared" si="4"/>
        <v>897.97109999999998</v>
      </c>
      <c r="I17" s="104">
        <f t="shared" si="0"/>
        <v>4299780.2699999996</v>
      </c>
      <c r="N17" s="481" t="s">
        <v>33</v>
      </c>
      <c r="O17" s="481"/>
      <c r="P17" s="515">
        <f t="shared" si="1"/>
        <v>0</v>
      </c>
      <c r="Q17" s="515"/>
      <c r="R17" s="519">
        <v>1</v>
      </c>
      <c r="S17" s="519"/>
      <c r="T17" s="98">
        <f t="shared" si="5"/>
        <v>0</v>
      </c>
      <c r="U17" s="99">
        <f t="shared" si="2"/>
        <v>0</v>
      </c>
    </row>
    <row r="18" spans="1:21" x14ac:dyDescent="0.25">
      <c r="A18" s="455" t="s">
        <v>34</v>
      </c>
      <c r="B18" s="455"/>
      <c r="C18" s="165">
        <v>41.85</v>
      </c>
      <c r="D18" s="165">
        <v>38.9</v>
      </c>
      <c r="E18" s="125">
        <f t="shared" si="3"/>
        <v>80.75</v>
      </c>
      <c r="F18" s="534">
        <f>'0664'!F18:G18</f>
        <v>0.999</v>
      </c>
      <c r="G18" s="534"/>
      <c r="H18" s="83">
        <f t="shared" si="4"/>
        <v>80.669300000000007</v>
      </c>
      <c r="I18" s="104">
        <f t="shared" si="0"/>
        <v>386271.08</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12.23</v>
      </c>
      <c r="D27" s="165">
        <v>11.07</v>
      </c>
      <c r="E27" s="125">
        <f t="shared" si="3"/>
        <v>23.3</v>
      </c>
      <c r="F27" s="534">
        <f>'0664'!F27:G27</f>
        <v>1.206</v>
      </c>
      <c r="G27" s="534"/>
      <c r="H27" s="83">
        <f t="shared" si="4"/>
        <v>28.099799999999998</v>
      </c>
      <c r="I27" s="104">
        <f t="shared" si="0"/>
        <v>134551.06</v>
      </c>
      <c r="N27" s="481" t="s">
        <v>116</v>
      </c>
      <c r="O27" s="481"/>
      <c r="P27" s="515">
        <f t="shared" si="1"/>
        <v>0</v>
      </c>
      <c r="Q27" s="515"/>
      <c r="R27" s="519">
        <v>1</v>
      </c>
      <c r="S27" s="519"/>
      <c r="T27" s="98">
        <f t="shared" si="5"/>
        <v>0</v>
      </c>
      <c r="U27" s="99">
        <f t="shared" si="2"/>
        <v>0</v>
      </c>
    </row>
    <row r="28" spans="1:21" x14ac:dyDescent="0.25">
      <c r="A28" s="455" t="s">
        <v>117</v>
      </c>
      <c r="B28" s="455"/>
      <c r="C28" s="116">
        <v>28.32</v>
      </c>
      <c r="D28" s="116">
        <v>28.69</v>
      </c>
      <c r="E28" s="177">
        <f t="shared" si="3"/>
        <v>57.010000000000005</v>
      </c>
      <c r="F28" s="534">
        <f>'0664'!F28:G28</f>
        <v>0.999</v>
      </c>
      <c r="G28" s="534"/>
      <c r="H28" s="96">
        <f t="shared" si="4"/>
        <v>56.953000000000003</v>
      </c>
      <c r="I28" s="97">
        <f t="shared" si="0"/>
        <v>272709.65000000002</v>
      </c>
      <c r="N28" s="484" t="s">
        <v>117</v>
      </c>
      <c r="O28" s="484"/>
      <c r="P28" s="515">
        <f t="shared" si="1"/>
        <v>0</v>
      </c>
      <c r="Q28" s="515"/>
      <c r="R28" s="516">
        <v>1</v>
      </c>
      <c r="S28" s="516"/>
      <c r="T28" s="98">
        <f t="shared" si="5"/>
        <v>0</v>
      </c>
      <c r="U28" s="99">
        <f t="shared" si="2"/>
        <v>0</v>
      </c>
    </row>
    <row r="29" spans="1:21" x14ac:dyDescent="0.25">
      <c r="A29" s="463" t="s">
        <v>5</v>
      </c>
      <c r="B29" s="463"/>
      <c r="C29" s="97">
        <f>SUM(C13:C28)</f>
        <v>534.41000000000008</v>
      </c>
      <c r="D29" s="97">
        <f>SUM(D13:D28)</f>
        <v>525.52</v>
      </c>
      <c r="E29" s="97">
        <f>SUM(E13:E28)</f>
        <v>1059.93</v>
      </c>
      <c r="F29" s="459"/>
      <c r="G29" s="459"/>
      <c r="H29" s="102">
        <f>SUM(H13:H28)</f>
        <v>1063.6931999999999</v>
      </c>
      <c r="I29" s="97">
        <f>SUM(I13:I28)</f>
        <v>5093312.0599999996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1063.6931999999999</v>
      </c>
      <c r="F45" s="35"/>
      <c r="G45" s="109"/>
      <c r="H45" s="110" t="s">
        <v>129</v>
      </c>
      <c r="I45" s="97">
        <f>SUM(I43,I29)</f>
        <v>5093312.0599999996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41.36</v>
      </c>
      <c r="D56" s="165">
        <v>38.5</v>
      </c>
      <c r="E56" s="125">
        <f t="shared" si="10"/>
        <v>79.86</v>
      </c>
      <c r="F56" s="41" t="s">
        <v>15</v>
      </c>
      <c r="G56" s="39">
        <v>251</v>
      </c>
      <c r="H56" s="321">
        <f>'0664'!H56</f>
        <v>835</v>
      </c>
      <c r="I56" s="104">
        <f t="shared" si="11"/>
        <v>66683.100000000006</v>
      </c>
      <c r="N56" s="506"/>
      <c r="O56" s="506"/>
      <c r="P56" s="508"/>
      <c r="Q56" s="508"/>
      <c r="R56" s="42" t="s">
        <v>15</v>
      </c>
      <c r="S56" s="40">
        <v>251</v>
      </c>
      <c r="T56" s="117">
        <f t="shared" si="12"/>
        <v>835</v>
      </c>
      <c r="U56" s="118">
        <f t="shared" si="13"/>
        <v>0</v>
      </c>
    </row>
    <row r="57" spans="1:21" x14ac:dyDescent="0.25">
      <c r="A57" s="462"/>
      <c r="B57" s="462"/>
      <c r="C57" s="165">
        <v>0.49</v>
      </c>
      <c r="D57" s="165">
        <v>0.4</v>
      </c>
      <c r="E57" s="125">
        <f t="shared" si="10"/>
        <v>0.89</v>
      </c>
      <c r="F57" s="41" t="s">
        <v>15</v>
      </c>
      <c r="G57" s="39">
        <v>252</v>
      </c>
      <c r="H57" s="321">
        <f>'0664'!H57</f>
        <v>3168</v>
      </c>
      <c r="I57" s="104">
        <f t="shared" si="11"/>
        <v>2819.52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41.85</v>
      </c>
      <c r="D59" s="100">
        <f>SUM(D50:D58)</f>
        <v>38.9</v>
      </c>
      <c r="E59" s="100">
        <f>SUM(E50:E58)</f>
        <v>80.75</v>
      </c>
      <c r="F59" s="463" t="s">
        <v>77</v>
      </c>
      <c r="G59" s="463"/>
      <c r="H59" s="463"/>
      <c r="I59" s="100">
        <f>SUM(I50:I58)</f>
        <v>69502.62000000001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1059.93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5.4710000000000002E-3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1063.6931999999999</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4.8970000000000003E-3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5.4710000000000002E-3</v>
      </c>
      <c r="I68" s="104">
        <f>ROUND(F68*H68,2)</f>
        <v>232733.45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5.4710000000000002E-3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5.4710000000000002E-3</v>
      </c>
      <c r="I71" s="104">
        <f>ROUND(F71*H71,2)</f>
        <v>73461.73</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5.4710000000000002E-3</v>
      </c>
      <c r="I72" s="104">
        <f>ROUND(F72*H72,2)</f>
        <v>80999.460000000006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5.4710000000000002E-3</v>
      </c>
      <c r="I76" s="104">
        <f t="shared" ref="I76:I85" si="14">ROUND(F76*H76,2)</f>
        <v>47744.36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5.4710000000000002E-3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4.8970000000000003E-3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4.8970000000000003E-3</v>
      </c>
      <c r="I79" s="104">
        <f t="shared" si="14"/>
        <v>55271.93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4.8970000000000003E-3</v>
      </c>
      <c r="I80" s="104">
        <f t="shared" si="14"/>
        <v>1010176.42</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4.8970000000000003E-3</v>
      </c>
      <c r="I82" s="104">
        <v>183732.76</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4.8970000000000003E-3</v>
      </c>
      <c r="I83" s="104">
        <v>83514.89</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267247.65000000002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4.8970000000000003E-3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1063.6931999999999</v>
      </c>
      <c r="D92" s="469"/>
      <c r="E92" s="49">
        <f>H8</f>
        <v>1.0438000000000001</v>
      </c>
      <c r="F92" s="338">
        <f>'0664'!F92</f>
        <v>916.84</v>
      </c>
      <c r="G92" s="41" t="s">
        <v>13</v>
      </c>
      <c r="H92" s="97">
        <f>ROUND(C92*E92*F92,2)</f>
        <v>1017951.83</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1063.6931999999999</v>
      </c>
      <c r="D93" s="471"/>
      <c r="E93" s="143"/>
      <c r="F93" s="143"/>
      <c r="G93" s="143"/>
      <c r="H93" s="144" t="s">
        <v>143</v>
      </c>
      <c r="I93" s="104">
        <f>IF(A1=75,0,H92+H91+H90)</f>
        <v>1017951.83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v>
      </c>
      <c r="D99" s="165">
        <v>0</v>
      </c>
      <c r="E99" s="125">
        <f>(C99+D99)/2</f>
        <v>0.5</v>
      </c>
      <c r="F99" s="148" t="s">
        <v>39</v>
      </c>
      <c r="G99" s="339">
        <f>'0664'!G99</f>
        <v>544</v>
      </c>
      <c r="I99" s="104">
        <f>ROUND(G99*E99,2)</f>
        <v>272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7948673.5099999998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7681425.8599999994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3" t="s">
        <v>290</v>
      </c>
      <c r="H122" s="161">
        <f>IF(H120=1,I120,I117)</f>
        <v>7681425.8599999994</v>
      </c>
      <c r="I122" s="97">
        <f>ROUND(IF(E29=0,0,IF(E29&gt;250,-(((250/E29)*H122)*IF(G122="H",0.02,0.05)),IF(G122="H",-0.02*H122,-0.05*H122))),2)</f>
        <v>-36235.53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7912437.9799999995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-7251021.46-664127.65</f>
        <v>-7915149.1100000003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-2711.1300000008196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-2711.13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117392.99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U206"/>
  <sheetViews>
    <sheetView showGridLines="0" zoomScaleNormal="100" workbookViewId="0">
      <pane ySplit="1" topLeftCell="A10" activePane="bottomLeft" state="frozen"/>
      <selection activeCell="E100" sqref="E100"/>
      <selection pane="bottomLeft" activeCell="F135" sqref="F135"/>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389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250.06</v>
      </c>
      <c r="D13" s="163">
        <v>249.2</v>
      </c>
      <c r="E13" s="210">
        <f>IF(D$29=0,C13*2,C13+D13)</f>
        <v>499.26</v>
      </c>
      <c r="F13" s="539">
        <f>'0664'!F13:G13</f>
        <v>1.1259999999999999</v>
      </c>
      <c r="G13" s="539"/>
      <c r="H13" s="167">
        <f>ROUND(E13*F13,4)</f>
        <v>562.16679999999997</v>
      </c>
      <c r="I13" s="119">
        <f t="shared" ref="I13:I28" si="0">ROUND(ROUND(H13*$C$8,4)*($H$8),2)</f>
        <v>2691839.1</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21.45</v>
      </c>
      <c r="D14" s="165">
        <v>23.54</v>
      </c>
      <c r="E14" s="125">
        <f t="shared" ref="E14:E28" si="3">IF(D$29=0,C14*2,C14+D14)</f>
        <v>44.989999999999995</v>
      </c>
      <c r="F14" s="534">
        <f>'0664'!F14:G14</f>
        <v>1.1259999999999999</v>
      </c>
      <c r="G14" s="534"/>
      <c r="H14" s="83">
        <f t="shared" ref="H14:H28" si="4">ROUND(E14*F14,4)</f>
        <v>50.658700000000003</v>
      </c>
      <c r="I14" s="104">
        <f t="shared" si="0"/>
        <v>242570.48</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304.06</v>
      </c>
      <c r="D15" s="165">
        <v>295.2</v>
      </c>
      <c r="E15" s="125">
        <f t="shared" si="3"/>
        <v>599.26</v>
      </c>
      <c r="F15" s="534">
        <f>'0664'!F15:G15</f>
        <v>1</v>
      </c>
      <c r="G15" s="534"/>
      <c r="H15" s="83">
        <f t="shared" si="4"/>
        <v>599.26</v>
      </c>
      <c r="I15" s="104">
        <f t="shared" si="0"/>
        <v>2869453.51</v>
      </c>
      <c r="N15" s="481" t="s">
        <v>31</v>
      </c>
      <c r="O15" s="481"/>
      <c r="P15" s="515">
        <f t="shared" si="1"/>
        <v>0</v>
      </c>
      <c r="Q15" s="515"/>
      <c r="R15" s="519">
        <v>1</v>
      </c>
      <c r="S15" s="519"/>
      <c r="T15" s="98">
        <f t="shared" si="5"/>
        <v>0</v>
      </c>
      <c r="U15" s="99">
        <f t="shared" si="2"/>
        <v>0</v>
      </c>
    </row>
    <row r="16" spans="1:21" x14ac:dyDescent="0.25">
      <c r="A16" s="455" t="s">
        <v>32</v>
      </c>
      <c r="B16" s="455"/>
      <c r="C16" s="165">
        <v>39.130000000000003</v>
      </c>
      <c r="D16" s="165">
        <v>35.409999999999997</v>
      </c>
      <c r="E16" s="125">
        <f t="shared" si="3"/>
        <v>74.539999999999992</v>
      </c>
      <c r="F16" s="534">
        <f>'0664'!F16:G16</f>
        <v>1</v>
      </c>
      <c r="G16" s="534"/>
      <c r="H16" s="83">
        <f t="shared" si="4"/>
        <v>74.540000000000006</v>
      </c>
      <c r="I16" s="104">
        <f t="shared" si="0"/>
        <v>356921.98</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c r="D17" s="165"/>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c r="D18" s="165"/>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21.6</v>
      </c>
      <c r="D25" s="165">
        <v>22.53</v>
      </c>
      <c r="E25" s="125">
        <f t="shared" si="3"/>
        <v>44.13</v>
      </c>
      <c r="F25" s="534">
        <f>'0664'!F25:G25</f>
        <v>1.206</v>
      </c>
      <c r="G25" s="534"/>
      <c r="H25" s="83">
        <f t="shared" si="4"/>
        <v>53.220799999999997</v>
      </c>
      <c r="I25" s="104">
        <f t="shared" si="0"/>
        <v>254838.65</v>
      </c>
      <c r="N25" s="481" t="s">
        <v>114</v>
      </c>
      <c r="O25" s="481"/>
      <c r="P25" s="515">
        <f t="shared" si="1"/>
        <v>0</v>
      </c>
      <c r="Q25" s="515"/>
      <c r="R25" s="519">
        <v>1</v>
      </c>
      <c r="S25" s="519"/>
      <c r="T25" s="98">
        <f t="shared" si="5"/>
        <v>0</v>
      </c>
      <c r="U25" s="99">
        <f t="shared" si="2"/>
        <v>0</v>
      </c>
    </row>
    <row r="26" spans="1:21" x14ac:dyDescent="0.25">
      <c r="A26" s="455" t="s">
        <v>115</v>
      </c>
      <c r="B26" s="455"/>
      <c r="C26" s="165">
        <v>17.87</v>
      </c>
      <c r="D26" s="165">
        <v>17.600000000000001</v>
      </c>
      <c r="E26" s="125">
        <f t="shared" si="3"/>
        <v>35.47</v>
      </c>
      <c r="F26" s="534">
        <f>'0664'!F26:G26</f>
        <v>1.206</v>
      </c>
      <c r="G26" s="534"/>
      <c r="H26" s="83">
        <f t="shared" si="4"/>
        <v>42.776800000000001</v>
      </c>
      <c r="I26" s="104">
        <f t="shared" si="0"/>
        <v>204829.35</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654.16999999999996</v>
      </c>
      <c r="D29" s="97">
        <f>SUM(D13:D28)</f>
        <v>643.48</v>
      </c>
      <c r="E29" s="97">
        <f>SUM(E13:E28)</f>
        <v>1297.6500000000001</v>
      </c>
      <c r="F29" s="459"/>
      <c r="G29" s="459"/>
      <c r="H29" s="102">
        <f>SUM(H13:H28)</f>
        <v>1382.6231</v>
      </c>
      <c r="I29" s="97">
        <f>SUM(I13:I28)</f>
        <v>6620453.0700000003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1382.6231</v>
      </c>
      <c r="F45" s="35"/>
      <c r="G45" s="109"/>
      <c r="H45" s="110" t="s">
        <v>129</v>
      </c>
      <c r="I45" s="97">
        <f>SUM(I43,I29)</f>
        <v>6620453.0700000003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19.95</v>
      </c>
      <c r="D50" s="165">
        <v>21.04</v>
      </c>
      <c r="E50" s="125">
        <f>IF(D$59=0,C50*2,C50+D50)</f>
        <v>40.989999999999995</v>
      </c>
      <c r="F50" s="39" t="s">
        <v>21</v>
      </c>
      <c r="G50" s="39">
        <v>251</v>
      </c>
      <c r="H50" s="321">
        <f>'0664'!H50</f>
        <v>1047</v>
      </c>
      <c r="I50" s="104">
        <f>ROUND(E50*H50,2)</f>
        <v>42916.53</v>
      </c>
      <c r="N50" s="506" t="s">
        <v>28</v>
      </c>
      <c r="O50" s="506"/>
      <c r="P50" s="507"/>
      <c r="Q50" s="507"/>
      <c r="R50" s="40" t="s">
        <v>21</v>
      </c>
      <c r="S50" s="40">
        <v>251</v>
      </c>
      <c r="T50" s="117">
        <f>H50</f>
        <v>1047</v>
      </c>
      <c r="U50" s="118">
        <f>ROUND(P50*T50,0)</f>
        <v>0</v>
      </c>
    </row>
    <row r="51" spans="1:21" x14ac:dyDescent="0.25">
      <c r="A51" s="462"/>
      <c r="B51" s="462"/>
      <c r="C51" s="165">
        <v>1.5</v>
      </c>
      <c r="D51" s="165">
        <v>2.5</v>
      </c>
      <c r="E51" s="125">
        <f t="shared" ref="E51:E58" si="10">IF(D$59=0,C51*2,C51+D51)</f>
        <v>4</v>
      </c>
      <c r="F51" s="39" t="s">
        <v>21</v>
      </c>
      <c r="G51" s="39">
        <v>252</v>
      </c>
      <c r="H51" s="321">
        <f>'0664'!H51</f>
        <v>3380</v>
      </c>
      <c r="I51" s="104">
        <f t="shared" ref="I51:I58" si="11">ROUND(E51*H51,2)</f>
        <v>13520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34.61</v>
      </c>
      <c r="D53" s="165">
        <v>30.41</v>
      </c>
      <c r="E53" s="125">
        <f t="shared" si="10"/>
        <v>65.02</v>
      </c>
      <c r="F53" s="41" t="s">
        <v>14</v>
      </c>
      <c r="G53" s="39">
        <v>251</v>
      </c>
      <c r="H53" s="321">
        <f>'0664'!H53</f>
        <v>1173</v>
      </c>
      <c r="I53" s="104">
        <f t="shared" si="11"/>
        <v>76268.460000000006</v>
      </c>
      <c r="N53" s="506"/>
      <c r="O53" s="506"/>
      <c r="P53" s="508"/>
      <c r="Q53" s="508"/>
      <c r="R53" s="42" t="s">
        <v>14</v>
      </c>
      <c r="S53" s="40">
        <v>251</v>
      </c>
      <c r="T53" s="117">
        <f t="shared" si="12"/>
        <v>1173</v>
      </c>
      <c r="U53" s="118">
        <f t="shared" si="13"/>
        <v>0</v>
      </c>
    </row>
    <row r="54" spans="1:21" x14ac:dyDescent="0.25">
      <c r="A54" s="462"/>
      <c r="B54" s="462"/>
      <c r="C54" s="165">
        <v>4.5199999999999996</v>
      </c>
      <c r="D54" s="165">
        <v>5</v>
      </c>
      <c r="E54" s="125">
        <f t="shared" si="10"/>
        <v>9.52</v>
      </c>
      <c r="F54" s="41" t="s">
        <v>14</v>
      </c>
      <c r="G54" s="39">
        <v>252</v>
      </c>
      <c r="H54" s="321">
        <f>'0664'!H54</f>
        <v>3506</v>
      </c>
      <c r="I54" s="104">
        <f t="shared" si="11"/>
        <v>33377.120000000003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60.58</v>
      </c>
      <c r="D59" s="100">
        <f>SUM(D50:D58)</f>
        <v>58.95</v>
      </c>
      <c r="E59" s="100">
        <f>SUM(E50:E58)</f>
        <v>119.52999999999999</v>
      </c>
      <c r="F59" s="463" t="s">
        <v>77</v>
      </c>
      <c r="G59" s="463"/>
      <c r="H59" s="463"/>
      <c r="I59" s="100">
        <f>SUM(I50:I58)</f>
        <v>166082.10999999999</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1297.6500000000001</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6.698E-3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1382.6231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6.365E-3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6.698E-3</v>
      </c>
      <c r="I68" s="104">
        <f>ROUND(F68*H68,2)</f>
        <v>284929.38</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6.698E-3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6.698E-3</v>
      </c>
      <c r="I71" s="104">
        <f>ROUND(F71*H71,2)</f>
        <v>89937.25</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6.698E-3</v>
      </c>
      <c r="I72" s="104">
        <f>ROUND(F72*H72,2)</f>
        <v>99165.48</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6.698E-3</v>
      </c>
      <c r="I76" s="104">
        <f t="shared" ref="I76:I85" si="14">ROUND(F76*H76,2)</f>
        <v>58452.15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6.698E-3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6.365E-3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6.365E-3</v>
      </c>
      <c r="I79" s="104">
        <f t="shared" si="14"/>
        <v>71841.100000000006</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6.365E-3</v>
      </c>
      <c r="I80" s="104">
        <f t="shared" si="14"/>
        <v>1313002.43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6.365E-3</v>
      </c>
      <c r="I82" s="104">
        <v>243930.5</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6.365E-3</v>
      </c>
      <c r="I83" s="104">
        <v>110877.5</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354808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6.365E-3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666.04629999999997</v>
      </c>
      <c r="D90" s="469"/>
      <c r="E90" s="49">
        <f>H8</f>
        <v>1.0438000000000001</v>
      </c>
      <c r="F90" s="338">
        <f>'0664'!F90</f>
        <v>957.94</v>
      </c>
      <c r="G90" s="41" t="s">
        <v>13</v>
      </c>
      <c r="H90" s="104">
        <f>ROUND(C90*E90*F90,2)</f>
        <v>665978.21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716.57679999999993</v>
      </c>
      <c r="D91" s="469"/>
      <c r="E91" s="49">
        <f>H8</f>
        <v>1.0438000000000001</v>
      </c>
      <c r="F91" s="338">
        <f>'0664'!F91</f>
        <v>914.63</v>
      </c>
      <c r="G91" s="41" t="s">
        <v>13</v>
      </c>
      <c r="H91" s="104">
        <f>ROUND(C91*E91*F91,2)</f>
        <v>684109.27</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1382.6230999999998</v>
      </c>
      <c r="D93" s="471"/>
      <c r="E93" s="143"/>
      <c r="F93" s="143"/>
      <c r="G93" s="143"/>
      <c r="H93" s="144" t="s">
        <v>143</v>
      </c>
      <c r="I93" s="104">
        <f>IF(A1=75,0,H92+H91+H90)</f>
        <v>1350087.48</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196</v>
      </c>
      <c r="D99" s="165">
        <v>200</v>
      </c>
      <c r="E99" s="125">
        <f>(C99+D99)/2</f>
        <v>198</v>
      </c>
      <c r="F99" s="148" t="s">
        <v>39</v>
      </c>
      <c r="G99" s="339">
        <f>'0664'!G99</f>
        <v>544</v>
      </c>
      <c r="I99" s="104">
        <f>ROUND(G99*E99,2)</f>
        <v>107712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10516470.449999999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10161662.449999999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10161662.449999999</v>
      </c>
      <c r="I122" s="97">
        <f>ROUND(IF(E29=0,0,IF(E29&gt;250,-(((250/E29)*H122)*IF(G122="H",0.02,0.05)),IF(G122="H",-0.02*H122,-0.05*H122))),2)</f>
        <v>-97885.24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10418585.209999999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-9548950.66-862950.81</f>
        <v>-10411901.470000001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6683.7399999983609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6683.74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410197.88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U206"/>
  <sheetViews>
    <sheetView showGridLines="0" zoomScaleNormal="100" workbookViewId="0">
      <pane ySplit="1" topLeftCell="A14" activePane="bottomLeft" state="frozen"/>
      <selection activeCell="E100" sqref="E100"/>
      <selection pane="bottomLeft" activeCell="I127" sqref="I12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374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J10" s="285"/>
      <c r="K10" s="284"/>
      <c r="L10" s="284"/>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J11" s="283"/>
      <c r="K11" s="284"/>
      <c r="L11" s="284"/>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K12" s="284"/>
      <c r="L12" s="284"/>
      <c r="N12" s="525" t="s">
        <v>47</v>
      </c>
      <c r="O12" s="525"/>
      <c r="P12" s="526" t="s">
        <v>48</v>
      </c>
      <c r="Q12" s="526"/>
      <c r="R12" s="527" t="s">
        <v>49</v>
      </c>
      <c r="S12" s="527"/>
      <c r="T12" s="23" t="s">
        <v>50</v>
      </c>
      <c r="U12" s="24" t="s">
        <v>51</v>
      </c>
    </row>
    <row r="13" spans="1:21" x14ac:dyDescent="0.25">
      <c r="A13" s="453" t="s">
        <v>29</v>
      </c>
      <c r="B13" s="453"/>
      <c r="C13" s="165">
        <v>47.19</v>
      </c>
      <c r="D13" s="163">
        <v>46.52</v>
      </c>
      <c r="E13" s="210">
        <f>IF(D$29=0,C13*2,C13+D13)</f>
        <v>93.710000000000008</v>
      </c>
      <c r="F13" s="539">
        <f>'0664'!F13:G13</f>
        <v>1.1259999999999999</v>
      </c>
      <c r="G13" s="539"/>
      <c r="H13" s="167">
        <f>ROUND(E13*F13,4)</f>
        <v>105.5175</v>
      </c>
      <c r="I13" s="119">
        <f t="shared" ref="I13:I28" si="0">ROUND(ROUND(H13*$C$8,4)*($H$8),2)</f>
        <v>505252.41</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3.59</v>
      </c>
      <c r="D14" s="165">
        <v>3.41</v>
      </c>
      <c r="E14" s="125">
        <f t="shared" ref="E14:E28" si="3">IF(D$29=0,C14*2,C14+D14)</f>
        <v>7</v>
      </c>
      <c r="F14" s="534">
        <f>'0664'!F14:G14</f>
        <v>1.1259999999999999</v>
      </c>
      <c r="G14" s="534"/>
      <c r="H14" s="83">
        <f t="shared" ref="H14:H28" si="4">ROUND(E14*F14,4)</f>
        <v>7.8819999999999997</v>
      </c>
      <c r="I14" s="104">
        <f t="shared" si="0"/>
        <v>37741.599999999999</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26.57</v>
      </c>
      <c r="D15" s="165">
        <v>26.72</v>
      </c>
      <c r="E15" s="125">
        <f t="shared" si="3"/>
        <v>53.29</v>
      </c>
      <c r="F15" s="534">
        <f>'0664'!F15:G15</f>
        <v>1</v>
      </c>
      <c r="G15" s="534"/>
      <c r="H15" s="83">
        <f t="shared" si="4"/>
        <v>53.29</v>
      </c>
      <c r="I15" s="104">
        <f t="shared" si="0"/>
        <v>255170.01</v>
      </c>
      <c r="N15" s="481" t="s">
        <v>31</v>
      </c>
      <c r="O15" s="481"/>
      <c r="P15" s="515">
        <f t="shared" si="1"/>
        <v>0</v>
      </c>
      <c r="Q15" s="515"/>
      <c r="R15" s="519">
        <v>1</v>
      </c>
      <c r="S15" s="519"/>
      <c r="T15" s="98">
        <f t="shared" si="5"/>
        <v>0</v>
      </c>
      <c r="U15" s="99">
        <f t="shared" si="2"/>
        <v>0</v>
      </c>
    </row>
    <row r="16" spans="1:21" x14ac:dyDescent="0.25">
      <c r="A16" s="455" t="s">
        <v>32</v>
      </c>
      <c r="B16" s="455"/>
      <c r="C16" s="165">
        <v>1.53</v>
      </c>
      <c r="D16" s="165">
        <v>1.5</v>
      </c>
      <c r="E16" s="125">
        <f t="shared" si="3"/>
        <v>3.0300000000000002</v>
      </c>
      <c r="F16" s="534">
        <f>'0664'!F16:G16</f>
        <v>1</v>
      </c>
      <c r="G16" s="534"/>
      <c r="H16" s="83">
        <f t="shared" si="4"/>
        <v>3.03</v>
      </c>
      <c r="I16" s="104">
        <f t="shared" si="0"/>
        <v>14508.63</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67.319999999999993</v>
      </c>
      <c r="D25" s="165">
        <v>62.35</v>
      </c>
      <c r="E25" s="125">
        <f t="shared" si="3"/>
        <v>129.66999999999999</v>
      </c>
      <c r="F25" s="534">
        <f>'0664'!F25:G25</f>
        <v>1.206</v>
      </c>
      <c r="G25" s="534"/>
      <c r="H25" s="83">
        <f t="shared" si="4"/>
        <v>156.38200000000001</v>
      </c>
      <c r="I25" s="104">
        <f t="shared" si="0"/>
        <v>748808.33</v>
      </c>
      <c r="N25" s="481" t="s">
        <v>114</v>
      </c>
      <c r="O25" s="481"/>
      <c r="P25" s="515">
        <f t="shared" si="1"/>
        <v>0</v>
      </c>
      <c r="Q25" s="515"/>
      <c r="R25" s="519">
        <v>1</v>
      </c>
      <c r="S25" s="519"/>
      <c r="T25" s="98">
        <f t="shared" si="5"/>
        <v>0</v>
      </c>
      <c r="U25" s="99">
        <f t="shared" si="2"/>
        <v>0</v>
      </c>
    </row>
    <row r="26" spans="1:21" x14ac:dyDescent="0.25">
      <c r="A26" s="455" t="s">
        <v>115</v>
      </c>
      <c r="B26" s="455"/>
      <c r="C26" s="165">
        <v>30.04</v>
      </c>
      <c r="D26" s="165">
        <v>25.83</v>
      </c>
      <c r="E26" s="125">
        <f t="shared" si="3"/>
        <v>55.87</v>
      </c>
      <c r="F26" s="534">
        <f>'0664'!F26:G26</f>
        <v>1.206</v>
      </c>
      <c r="G26" s="534"/>
      <c r="H26" s="83">
        <f t="shared" si="4"/>
        <v>67.379199999999997</v>
      </c>
      <c r="I26" s="104">
        <f t="shared" si="0"/>
        <v>322633.71999999997</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176.23999999999998</v>
      </c>
      <c r="D29" s="97">
        <f>SUM(D13:D28)+0</f>
        <v>166.32999999999998</v>
      </c>
      <c r="E29" s="97">
        <f>SUM(E13:E28)</f>
        <v>342.57</v>
      </c>
      <c r="F29" s="459"/>
      <c r="G29" s="459"/>
      <c r="H29" s="102">
        <f>SUM(H13:H28)</f>
        <v>393.48069999999996</v>
      </c>
      <c r="I29" s="97">
        <f>SUM(I13:I28)</f>
        <v>1884114.7</v>
      </c>
      <c r="J29" s="3">
        <v>1589376.34</v>
      </c>
      <c r="K29" s="266">
        <f>I29-J29</f>
        <v>294738.35999999987</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393.48069999999996</v>
      </c>
      <c r="F45" s="35"/>
      <c r="G45" s="109"/>
      <c r="H45" s="110" t="s">
        <v>129</v>
      </c>
      <c r="I45" s="97">
        <f>SUM(I43,I29)</f>
        <v>1884114.7</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3.08</v>
      </c>
      <c r="D50" s="165">
        <v>2.91</v>
      </c>
      <c r="E50" s="125">
        <f>IF(D$59=0,C50*2,C50+D50)</f>
        <v>5.99</v>
      </c>
      <c r="F50" s="39" t="s">
        <v>21</v>
      </c>
      <c r="G50" s="39">
        <v>251</v>
      </c>
      <c r="H50" s="321">
        <f>'0664'!H50</f>
        <v>1047</v>
      </c>
      <c r="I50" s="104">
        <f>ROUND(E50*H50,2)</f>
        <v>6271.53</v>
      </c>
      <c r="N50" s="506" t="s">
        <v>28</v>
      </c>
      <c r="O50" s="506"/>
      <c r="P50" s="507"/>
      <c r="Q50" s="507"/>
      <c r="R50" s="40" t="s">
        <v>21</v>
      </c>
      <c r="S50" s="40">
        <v>251</v>
      </c>
      <c r="T50" s="117">
        <f>H50</f>
        <v>1047</v>
      </c>
      <c r="U50" s="118">
        <f>ROUND(P50*T50,0)</f>
        <v>0</v>
      </c>
    </row>
    <row r="51" spans="1:21" x14ac:dyDescent="0.25">
      <c r="A51" s="462"/>
      <c r="B51" s="462"/>
      <c r="C51" s="165">
        <v>0.51</v>
      </c>
      <c r="D51" s="165">
        <v>0.5</v>
      </c>
      <c r="E51" s="125">
        <f t="shared" ref="E51:E58" si="10">IF(D$59=0,C51*2,C51+D51)</f>
        <v>1.01</v>
      </c>
      <c r="F51" s="39" t="s">
        <v>21</v>
      </c>
      <c r="G51" s="39">
        <v>252</v>
      </c>
      <c r="H51" s="321">
        <f>'0664'!H51</f>
        <v>3380</v>
      </c>
      <c r="I51" s="104">
        <f t="shared" ref="I51:I58" si="11">ROUND(E51*H51,2)</f>
        <v>3413.8</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1.53</v>
      </c>
      <c r="D53" s="165">
        <v>1.5</v>
      </c>
      <c r="E53" s="125">
        <f t="shared" si="10"/>
        <v>3.0300000000000002</v>
      </c>
      <c r="F53" s="41" t="s">
        <v>14</v>
      </c>
      <c r="G53" s="39">
        <v>251</v>
      </c>
      <c r="H53" s="321">
        <f>'0664'!H53</f>
        <v>1173</v>
      </c>
      <c r="I53" s="104">
        <f t="shared" si="11"/>
        <v>3554.19</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5.12</v>
      </c>
      <c r="D59" s="100">
        <f>SUM(D50:D58)</f>
        <v>4.91</v>
      </c>
      <c r="E59" s="100">
        <f>SUM(E50:E58)</f>
        <v>10.030000000000001</v>
      </c>
      <c r="F59" s="463" t="s">
        <v>77</v>
      </c>
      <c r="G59" s="463"/>
      <c r="H59" s="463"/>
      <c r="I59" s="100">
        <f>SUM(I50:I58)</f>
        <v>13239.52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342.57</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1.768E-3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393.48069999999996</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1.8109999999999999E-3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1.768E-3</v>
      </c>
      <c r="I68" s="104">
        <f>ROUND(F68*H68,2)</f>
        <v>75209.789999999994</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1.768E-3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1.768E-3</v>
      </c>
      <c r="I71" s="104">
        <f>ROUND(F71*H71,2)</f>
        <v>23739.78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1.768E-3</v>
      </c>
      <c r="I72" s="104">
        <f>ROUND(F72*H72,2)</f>
        <v>26175.66</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1.768E-3</v>
      </c>
      <c r="I76" s="104">
        <f t="shared" ref="I76:I85" si="14">ROUND(F76*H76,2)</f>
        <v>15428.99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1.768E-3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1.8109999999999999E-3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1.8109999999999999E-3</v>
      </c>
      <c r="I79" s="104">
        <f t="shared" si="14"/>
        <v>20440.57</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1.8109999999999999E-3</v>
      </c>
      <c r="I80" s="104">
        <f t="shared" si="14"/>
        <v>373581.68</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1.8109999999999999E-3</v>
      </c>
      <c r="I82" s="104">
        <v>64237.3</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1.8109999999999999E-3</v>
      </c>
      <c r="I83" s="104">
        <v>29198.77</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93436.07</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1.8109999999999999E-3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269.78149999999999</v>
      </c>
      <c r="D90" s="469"/>
      <c r="E90" s="49">
        <f>H8</f>
        <v>1.0438000000000001</v>
      </c>
      <c r="F90" s="338">
        <f>'0664'!F90</f>
        <v>957.94</v>
      </c>
      <c r="G90" s="41" t="s">
        <v>13</v>
      </c>
      <c r="H90" s="104">
        <f>ROUND(C90*E90*F90,2)</f>
        <v>269753.92</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123.69919999999999</v>
      </c>
      <c r="D91" s="469"/>
      <c r="E91" s="49">
        <f>H8</f>
        <v>1.0438000000000001</v>
      </c>
      <c r="F91" s="338">
        <f>'0664'!F91</f>
        <v>914.63</v>
      </c>
      <c r="G91" s="41" t="s">
        <v>13</v>
      </c>
      <c r="H91" s="104">
        <f>ROUND(C91*E91*F91,2)</f>
        <v>118094.49</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393.48069999999996</v>
      </c>
      <c r="D93" s="471"/>
      <c r="E93" s="143"/>
      <c r="F93" s="143"/>
      <c r="G93" s="143"/>
      <c r="H93" s="144" t="s">
        <v>143</v>
      </c>
      <c r="I93" s="104">
        <f>IF(A1=75,0,H92+H91+H90)</f>
        <v>387848.41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1</v>
      </c>
      <c r="D99" s="165">
        <v>0</v>
      </c>
      <c r="E99" s="125">
        <f>(C99+D99)/2</f>
        <v>0.5</v>
      </c>
      <c r="F99" s="148" t="s">
        <v>39</v>
      </c>
      <c r="G99" s="339">
        <f>'0664'!G99</f>
        <v>544</v>
      </c>
      <c r="I99" s="104">
        <f>ROUND(G99*E99,2)</f>
        <v>272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2913487.17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2820051.1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2820051.1</v>
      </c>
      <c r="I122" s="97">
        <f>ROUND(IF(E29=0,0,IF(E29&gt;250,-(((250/E29)*H122)*IF(G122="H",0.02,0.05)),IF(G122="H",-0.02*H122,-0.05*H122))),2)</f>
        <v>-102900.54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2810586.63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f>-2540391.07-239033.14</f>
        <v>-2779424.21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31162.419999999925</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31162.42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38102.019999999997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c r="K191" s="280"/>
    </row>
    <row r="192" spans="1:14" x14ac:dyDescent="0.25">
      <c r="A192" s="77"/>
      <c r="K192" s="280"/>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U206"/>
  <sheetViews>
    <sheetView showGridLines="0" zoomScaleNormal="100" workbookViewId="0">
      <pane ySplit="1" topLeftCell="A8" activePane="bottomLeft" state="frozen"/>
      <selection activeCell="E100" sqref="E100"/>
      <selection pane="bottomLeft" activeCell="J119" sqref="J119:J120"/>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396</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J10" s="285"/>
      <c r="K10" s="284"/>
      <c r="L10" s="284"/>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J11" s="283"/>
      <c r="K11" s="284"/>
      <c r="L11" s="284"/>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K12" s="284"/>
      <c r="L12" s="284"/>
      <c r="N12" s="525" t="s">
        <v>47</v>
      </c>
      <c r="O12" s="525"/>
      <c r="P12" s="526" t="s">
        <v>48</v>
      </c>
      <c r="Q12" s="526"/>
      <c r="R12" s="527" t="s">
        <v>49</v>
      </c>
      <c r="S12" s="527"/>
      <c r="T12" s="23" t="s">
        <v>50</v>
      </c>
      <c r="U12" s="24" t="s">
        <v>51</v>
      </c>
    </row>
    <row r="13" spans="1:21" x14ac:dyDescent="0.25">
      <c r="A13" s="453" t="s">
        <v>29</v>
      </c>
      <c r="B13" s="453"/>
      <c r="C13" s="165">
        <v>81.569999999999993</v>
      </c>
      <c r="D13" s="163">
        <v>81.73</v>
      </c>
      <c r="E13" s="210">
        <f>IF(D$29=0,C13*2,C13+D13)</f>
        <v>163.30000000000001</v>
      </c>
      <c r="F13" s="539">
        <f>'0664'!F13:G13</f>
        <v>1.1259999999999999</v>
      </c>
      <c r="G13" s="539"/>
      <c r="H13" s="167">
        <f>ROUND(E13*F13,4)</f>
        <v>183.8758</v>
      </c>
      <c r="I13" s="119">
        <f t="shared" ref="I13:I28" si="0">ROUND(ROUND(H13*$C$8,4)*($H$8),2)</f>
        <v>880457.66</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5.5</v>
      </c>
      <c r="D14" s="165">
        <v>5.5</v>
      </c>
      <c r="E14" s="125">
        <f t="shared" ref="E14:E28" si="3">IF(D$29=0,C14*2,C14+D14)</f>
        <v>11</v>
      </c>
      <c r="F14" s="534">
        <f>'0664'!F14:G14</f>
        <v>1.1259999999999999</v>
      </c>
      <c r="G14" s="534"/>
      <c r="H14" s="83">
        <f t="shared" ref="H14:H28" si="4">ROUND(E14*F14,4)</f>
        <v>12.385999999999999</v>
      </c>
      <c r="I14" s="104">
        <f t="shared" si="0"/>
        <v>59308.23</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96.24</v>
      </c>
      <c r="D15" s="165">
        <v>101.19</v>
      </c>
      <c r="E15" s="125">
        <f t="shared" si="3"/>
        <v>197.43</v>
      </c>
      <c r="F15" s="534">
        <f>'0664'!F15:G15</f>
        <v>1</v>
      </c>
      <c r="G15" s="534"/>
      <c r="H15" s="83">
        <f t="shared" si="4"/>
        <v>197.43</v>
      </c>
      <c r="I15" s="104">
        <f t="shared" si="0"/>
        <v>945359.62</v>
      </c>
      <c r="N15" s="481" t="s">
        <v>31</v>
      </c>
      <c r="O15" s="481"/>
      <c r="P15" s="515">
        <f t="shared" si="1"/>
        <v>0</v>
      </c>
      <c r="Q15" s="515"/>
      <c r="R15" s="519">
        <v>1</v>
      </c>
      <c r="S15" s="519"/>
      <c r="T15" s="98">
        <f t="shared" si="5"/>
        <v>0</v>
      </c>
      <c r="U15" s="99">
        <f t="shared" si="2"/>
        <v>0</v>
      </c>
    </row>
    <row r="16" spans="1:21" x14ac:dyDescent="0.25">
      <c r="A16" s="455" t="s">
        <v>32</v>
      </c>
      <c r="B16" s="455"/>
      <c r="C16" s="165">
        <v>19.8</v>
      </c>
      <c r="D16" s="165">
        <v>18.059999999999999</v>
      </c>
      <c r="E16" s="125">
        <f t="shared" si="3"/>
        <v>37.86</v>
      </c>
      <c r="F16" s="534">
        <f>'0664'!F16:G16</f>
        <v>1</v>
      </c>
      <c r="G16" s="534"/>
      <c r="H16" s="83">
        <f t="shared" si="4"/>
        <v>37.86</v>
      </c>
      <c r="I16" s="104">
        <f t="shared" si="0"/>
        <v>181286.1</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14.91</v>
      </c>
      <c r="D25" s="165">
        <v>17.09</v>
      </c>
      <c r="E25" s="125">
        <f t="shared" si="3"/>
        <v>32</v>
      </c>
      <c r="F25" s="534">
        <f>'0664'!F25:G25</f>
        <v>1.206</v>
      </c>
      <c r="G25" s="534"/>
      <c r="H25" s="83">
        <f t="shared" si="4"/>
        <v>38.591999999999999</v>
      </c>
      <c r="I25" s="104">
        <f t="shared" si="0"/>
        <v>184791.16</v>
      </c>
      <c r="N25" s="481" t="s">
        <v>114</v>
      </c>
      <c r="O25" s="481"/>
      <c r="P25" s="515">
        <f t="shared" si="1"/>
        <v>0</v>
      </c>
      <c r="Q25" s="515"/>
      <c r="R25" s="519">
        <v>1</v>
      </c>
      <c r="S25" s="519"/>
      <c r="T25" s="98">
        <f t="shared" si="5"/>
        <v>0</v>
      </c>
      <c r="U25" s="99">
        <f t="shared" si="2"/>
        <v>0</v>
      </c>
    </row>
    <row r="26" spans="1:21" x14ac:dyDescent="0.25">
      <c r="A26" s="455" t="s">
        <v>115</v>
      </c>
      <c r="B26" s="455"/>
      <c r="C26" s="165">
        <v>12.66</v>
      </c>
      <c r="D26" s="165">
        <v>12.98</v>
      </c>
      <c r="E26" s="125">
        <f t="shared" si="3"/>
        <v>25.64</v>
      </c>
      <c r="F26" s="534">
        <f>'0664'!F26:G26</f>
        <v>1.206</v>
      </c>
      <c r="G26" s="534"/>
      <c r="H26" s="83">
        <f t="shared" si="4"/>
        <v>30.921800000000001</v>
      </c>
      <c r="I26" s="104">
        <f t="shared" si="0"/>
        <v>148063.72</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230.68</v>
      </c>
      <c r="D29" s="97">
        <f>SUM(D13:D28)</f>
        <v>236.55</v>
      </c>
      <c r="E29" s="97">
        <f>SUM(E13:E28)</f>
        <v>467.23</v>
      </c>
      <c r="F29" s="459"/>
      <c r="G29" s="459"/>
      <c r="H29" s="102">
        <f>SUM(H13:H28)</f>
        <v>501.06560000000002</v>
      </c>
      <c r="I29" s="97">
        <f>SUM(I13:I28)</f>
        <v>2399266.4900000002</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501.06560000000002</v>
      </c>
      <c r="F45" s="35"/>
      <c r="G45" s="109"/>
      <c r="H45" s="110" t="s">
        <v>129</v>
      </c>
      <c r="I45" s="97">
        <f>SUM(I43,I29)</f>
        <v>2399266.4900000002</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4</v>
      </c>
      <c r="D50" s="165">
        <v>4.4800000000000004</v>
      </c>
      <c r="E50" s="125">
        <f>IF(D$59=0,C50*2,C50+D50)</f>
        <v>8.48</v>
      </c>
      <c r="F50" s="39" t="s">
        <v>21</v>
      </c>
      <c r="G50" s="39">
        <v>251</v>
      </c>
      <c r="H50" s="321">
        <f>'0664'!H50</f>
        <v>1047</v>
      </c>
      <c r="I50" s="104">
        <f>ROUND(E50*H50,2)</f>
        <v>8878.56</v>
      </c>
      <c r="N50" s="506" t="s">
        <v>28</v>
      </c>
      <c r="O50" s="506"/>
      <c r="P50" s="507"/>
      <c r="Q50" s="507"/>
      <c r="R50" s="40" t="s">
        <v>21</v>
      </c>
      <c r="S50" s="40">
        <v>251</v>
      </c>
      <c r="T50" s="117">
        <f>H50</f>
        <v>1047</v>
      </c>
      <c r="U50" s="118">
        <f>ROUND(P50*T50,0)</f>
        <v>0</v>
      </c>
    </row>
    <row r="51" spans="1:21" x14ac:dyDescent="0.25">
      <c r="A51" s="462"/>
      <c r="B51" s="462"/>
      <c r="C51" s="165">
        <v>1</v>
      </c>
      <c r="D51" s="165">
        <v>0.51</v>
      </c>
      <c r="E51" s="125">
        <f t="shared" ref="E51:E58" si="10">IF(D$59=0,C51*2,C51+D51)</f>
        <v>1.51</v>
      </c>
      <c r="F51" s="39" t="s">
        <v>21</v>
      </c>
      <c r="G51" s="39">
        <v>252</v>
      </c>
      <c r="H51" s="321">
        <f>'0664'!H51</f>
        <v>3380</v>
      </c>
      <c r="I51" s="104">
        <f t="shared" ref="I51:I58" si="11">ROUND(E51*H51,2)</f>
        <v>5103.8</v>
      </c>
      <c r="N51" s="506"/>
      <c r="O51" s="506"/>
      <c r="P51" s="508"/>
      <c r="Q51" s="508"/>
      <c r="R51" s="40" t="s">
        <v>21</v>
      </c>
      <c r="S51" s="40">
        <v>252</v>
      </c>
      <c r="T51" s="117">
        <f t="shared" ref="T51:T58" si="12">H51</f>
        <v>3380</v>
      </c>
      <c r="U51" s="118">
        <f t="shared" ref="U51:U58" si="13">ROUND(P51*T51,0)</f>
        <v>0</v>
      </c>
    </row>
    <row r="52" spans="1:21" x14ac:dyDescent="0.25">
      <c r="A52" s="462"/>
      <c r="B52" s="462"/>
      <c r="C52" s="165">
        <v>0.5</v>
      </c>
      <c r="D52" s="165">
        <v>0.51</v>
      </c>
      <c r="E52" s="125">
        <f t="shared" si="10"/>
        <v>1.01</v>
      </c>
      <c r="F52" s="39" t="s">
        <v>21</v>
      </c>
      <c r="G52" s="39">
        <v>253</v>
      </c>
      <c r="H52" s="321">
        <f>'0664'!H52</f>
        <v>6896</v>
      </c>
      <c r="I52" s="104">
        <f t="shared" si="11"/>
        <v>6964.96</v>
      </c>
      <c r="N52" s="506"/>
      <c r="O52" s="506"/>
      <c r="P52" s="508"/>
      <c r="Q52" s="508"/>
      <c r="R52" s="40" t="s">
        <v>21</v>
      </c>
      <c r="S52" s="40">
        <v>253</v>
      </c>
      <c r="T52" s="117">
        <f t="shared" si="12"/>
        <v>6896</v>
      </c>
      <c r="U52" s="118">
        <f t="shared" si="13"/>
        <v>0</v>
      </c>
    </row>
    <row r="53" spans="1:21" x14ac:dyDescent="0.25">
      <c r="A53" s="462"/>
      <c r="B53" s="462"/>
      <c r="C53" s="165">
        <v>17.79</v>
      </c>
      <c r="D53" s="165">
        <v>16.14</v>
      </c>
      <c r="E53" s="125">
        <f t="shared" si="10"/>
        <v>33.93</v>
      </c>
      <c r="F53" s="41" t="s">
        <v>14</v>
      </c>
      <c r="G53" s="39">
        <v>251</v>
      </c>
      <c r="H53" s="321">
        <f>'0664'!H53</f>
        <v>1173</v>
      </c>
      <c r="I53" s="104">
        <f t="shared" si="11"/>
        <v>39799.89</v>
      </c>
      <c r="N53" s="506"/>
      <c r="O53" s="506"/>
      <c r="P53" s="508"/>
      <c r="Q53" s="508"/>
      <c r="R53" s="42" t="s">
        <v>14</v>
      </c>
      <c r="S53" s="40">
        <v>251</v>
      </c>
      <c r="T53" s="117">
        <f t="shared" si="12"/>
        <v>1173</v>
      </c>
      <c r="U53" s="118">
        <f t="shared" si="13"/>
        <v>0</v>
      </c>
    </row>
    <row r="54" spans="1:21" x14ac:dyDescent="0.25">
      <c r="A54" s="462"/>
      <c r="B54" s="462"/>
      <c r="C54" s="165">
        <v>2.0099999999999998</v>
      </c>
      <c r="D54" s="165">
        <v>1.92</v>
      </c>
      <c r="E54" s="125">
        <f t="shared" si="10"/>
        <v>3.9299999999999997</v>
      </c>
      <c r="F54" s="41" t="s">
        <v>14</v>
      </c>
      <c r="G54" s="39">
        <v>252</v>
      </c>
      <c r="H54" s="321">
        <f>'0664'!H54</f>
        <v>3506</v>
      </c>
      <c r="I54" s="104">
        <f t="shared" si="11"/>
        <v>13778.58</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25.299999999999997</v>
      </c>
      <c r="D59" s="100">
        <f>SUM(D50:D58)</f>
        <v>23.560000000000002</v>
      </c>
      <c r="E59" s="100">
        <f>SUM(E50:E58)</f>
        <v>48.86</v>
      </c>
      <c r="F59" s="463" t="s">
        <v>77</v>
      </c>
      <c r="G59" s="463"/>
      <c r="H59" s="463"/>
      <c r="I59" s="100">
        <f>SUM(I50:I58)</f>
        <v>74525.789999999994</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467.23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2.4120000000000001E-3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501.06560000000002</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2.307E-3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2.4120000000000001E-3</v>
      </c>
      <c r="I68" s="104">
        <f>ROUND(F68*H68,2)</f>
        <v>102605.21</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2.4120000000000001E-3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2.4120000000000001E-3</v>
      </c>
      <c r="I71" s="104">
        <f>ROUND(F71*H71,2)</f>
        <v>32387.08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2.4120000000000001E-3</v>
      </c>
      <c r="I72" s="104">
        <f>ROUND(F72*H72,2)</f>
        <v>35710.230000000003</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2.4120000000000001E-3</v>
      </c>
      <c r="I76" s="104">
        <f t="shared" ref="I76:I85" si="14">ROUND(F76*H76,2)</f>
        <v>21049.06</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2.4120000000000001E-3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2.307E-3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2.307E-3</v>
      </c>
      <c r="I79" s="104">
        <f t="shared" si="14"/>
        <v>26038.87</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2.307E-3</v>
      </c>
      <c r="I80" s="104">
        <f t="shared" si="14"/>
        <v>475898.92</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2.307E-3</v>
      </c>
      <c r="I82" s="104">
        <v>63008.1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2.307E-3</v>
      </c>
      <c r="I83" s="104">
        <v>28640.04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91648.14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2.307E-3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234.85379999999998</v>
      </c>
      <c r="D90" s="469"/>
      <c r="E90" s="49">
        <f>H8</f>
        <v>1.0438000000000001</v>
      </c>
      <c r="F90" s="338">
        <f>'0664'!F90</f>
        <v>957.94</v>
      </c>
      <c r="G90" s="41" t="s">
        <v>13</v>
      </c>
      <c r="H90" s="104">
        <f>ROUND(C90*E90*F90,2)</f>
        <v>234829.79</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266.21180000000004</v>
      </c>
      <c r="D91" s="469"/>
      <c r="E91" s="49">
        <f>H8</f>
        <v>1.0438000000000001</v>
      </c>
      <c r="F91" s="338">
        <f>'0664'!F91</f>
        <v>914.63</v>
      </c>
      <c r="G91" s="41" t="s">
        <v>13</v>
      </c>
      <c r="H91" s="104">
        <f>ROUND(C91*E91*F91,2)</f>
        <v>254149.95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501.06560000000002</v>
      </c>
      <c r="D93" s="471"/>
      <c r="E93" s="143"/>
      <c r="F93" s="143"/>
      <c r="G93" s="143"/>
      <c r="H93" s="144" t="s">
        <v>143</v>
      </c>
      <c r="I93" s="104">
        <f>IF(A1=75,0,H92+H91+H90)</f>
        <v>488979.74</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3748109.5300000003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3656461.39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3656461.39</v>
      </c>
      <c r="I122" s="97">
        <f>ROUND(IF(E29=0,0,IF(E29&gt;250,-(((250/E29)*H122)*IF(G122="H",0.02,0.05)),IF(G122="H",-0.02*H122,-0.05*H122))),2)</f>
        <v>-97822.84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3650286.6900000004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f>-3258258.3-398899.15</f>
        <v>-3657157.4499999997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-6870.7599999993108</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-6870.76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85000.23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U206"/>
  <sheetViews>
    <sheetView showGridLines="0" zoomScaleNormal="100" workbookViewId="0">
      <pane ySplit="1" topLeftCell="A13" activePane="bottomLeft" state="frozen"/>
      <selection activeCell="E100" sqref="E100"/>
      <selection pane="bottomLeft" activeCell="E121" sqref="E121"/>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178</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35.090000000000003</v>
      </c>
      <c r="D15" s="165">
        <v>32.43</v>
      </c>
      <c r="E15" s="125">
        <f t="shared" si="3"/>
        <v>67.52000000000001</v>
      </c>
      <c r="F15" s="534">
        <f>'0664'!F15:G15</f>
        <v>1</v>
      </c>
      <c r="G15" s="534"/>
      <c r="H15" s="83">
        <f t="shared" si="4"/>
        <v>67.52</v>
      </c>
      <c r="I15" s="104">
        <f t="shared" si="0"/>
        <v>323307.90999999997</v>
      </c>
      <c r="N15" s="481" t="s">
        <v>31</v>
      </c>
      <c r="O15" s="481"/>
      <c r="P15" s="515">
        <f t="shared" si="1"/>
        <v>0</v>
      </c>
      <c r="Q15" s="515"/>
      <c r="R15" s="519">
        <v>1</v>
      </c>
      <c r="S15" s="519"/>
      <c r="T15" s="98">
        <f t="shared" si="5"/>
        <v>0</v>
      </c>
      <c r="U15" s="99">
        <f t="shared" si="2"/>
        <v>0</v>
      </c>
    </row>
    <row r="16" spans="1:21" x14ac:dyDescent="0.25">
      <c r="A16" s="455" t="s">
        <v>32</v>
      </c>
      <c r="B16" s="455"/>
      <c r="C16" s="165">
        <v>7.14</v>
      </c>
      <c r="D16" s="165">
        <v>7.28</v>
      </c>
      <c r="E16" s="125">
        <f t="shared" si="3"/>
        <v>14.42</v>
      </c>
      <c r="F16" s="534">
        <f>'0664'!F16:G16</f>
        <v>1</v>
      </c>
      <c r="G16" s="534"/>
      <c r="H16" s="83">
        <f t="shared" si="4"/>
        <v>14.42</v>
      </c>
      <c r="I16" s="104">
        <f t="shared" si="0"/>
        <v>69047.69</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42.230000000000004</v>
      </c>
      <c r="D29" s="97">
        <f>SUM(D13:D28)</f>
        <v>39.71</v>
      </c>
      <c r="E29" s="97">
        <f>SUM(E13:E28)</f>
        <v>81.940000000000012</v>
      </c>
      <c r="F29" s="459"/>
      <c r="G29" s="459"/>
      <c r="H29" s="102">
        <f>SUM(H13:H28)</f>
        <v>81.94</v>
      </c>
      <c r="I29" s="97">
        <f>SUM(I13:I28)</f>
        <v>392355.6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81.94</v>
      </c>
      <c r="F45" s="35"/>
      <c r="G45" s="109"/>
      <c r="H45" s="110" t="s">
        <v>129</v>
      </c>
      <c r="I45" s="97">
        <f>SUM(I43,I29)</f>
        <v>392355.6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6.1</v>
      </c>
      <c r="D53" s="165">
        <v>6.27</v>
      </c>
      <c r="E53" s="125">
        <f t="shared" si="10"/>
        <v>12.37</v>
      </c>
      <c r="F53" s="41" t="s">
        <v>14</v>
      </c>
      <c r="G53" s="39">
        <v>251</v>
      </c>
      <c r="H53" s="321">
        <f>'0664'!H53</f>
        <v>1173</v>
      </c>
      <c r="I53" s="104">
        <f t="shared" si="11"/>
        <v>14510.01</v>
      </c>
      <c r="N53" s="506"/>
      <c r="O53" s="506"/>
      <c r="P53" s="508"/>
      <c r="Q53" s="508"/>
      <c r="R53" s="42" t="s">
        <v>14</v>
      </c>
      <c r="S53" s="40">
        <v>251</v>
      </c>
      <c r="T53" s="117">
        <f t="shared" si="12"/>
        <v>1173</v>
      </c>
      <c r="U53" s="118">
        <f t="shared" si="13"/>
        <v>0</v>
      </c>
    </row>
    <row r="54" spans="1:21" x14ac:dyDescent="0.25">
      <c r="A54" s="462"/>
      <c r="B54" s="462"/>
      <c r="C54" s="165">
        <v>1.04</v>
      </c>
      <c r="D54" s="165">
        <v>1.01</v>
      </c>
      <c r="E54" s="125">
        <f t="shared" si="10"/>
        <v>2.0499999999999998</v>
      </c>
      <c r="F54" s="41" t="s">
        <v>14</v>
      </c>
      <c r="G54" s="39">
        <v>252</v>
      </c>
      <c r="H54" s="321">
        <f>'0664'!H54</f>
        <v>3506</v>
      </c>
      <c r="I54" s="104">
        <f t="shared" si="11"/>
        <v>7187.3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7.14</v>
      </c>
      <c r="D59" s="100">
        <f>SUM(D50:D58)</f>
        <v>7.2799999999999994</v>
      </c>
      <c r="E59" s="100">
        <f>SUM(E50:E58)</f>
        <v>14.419999999999998</v>
      </c>
      <c r="F59" s="463" t="s">
        <v>77</v>
      </c>
      <c r="G59" s="463"/>
      <c r="H59" s="463"/>
      <c r="I59" s="100">
        <f>SUM(I50:I58)</f>
        <v>21697.31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81.940000000000012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4.2299999999999998E-4</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81.94</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3.77E-4</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4.2299999999999998E-4</v>
      </c>
      <c r="I68" s="104">
        <f>ROUND(F68*H68,2)</f>
        <v>17994.2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4.2299999999999998E-4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4.2299999999999998E-4</v>
      </c>
      <c r="I71" s="104">
        <f>ROUND(F71*H71,2)</f>
        <v>5679.82</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4.2299999999999998E-4</v>
      </c>
      <c r="I72" s="104">
        <f>ROUND(F72*H72,2)</f>
        <v>6262.62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4.2299999999999998E-4</v>
      </c>
      <c r="I76" s="104">
        <f t="shared" ref="I76:I85" si="14">ROUND(F76*H76,2)</f>
        <v>3691.44</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4.2299999999999998E-4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3.77E-4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3.77E-4</v>
      </c>
      <c r="I79" s="104">
        <f t="shared" si="14"/>
        <v>4255.16</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3.77E-4</v>
      </c>
      <c r="I80" s="104">
        <f t="shared" si="14"/>
        <v>77769.350000000006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3.77E-4</v>
      </c>
      <c r="I82" s="104">
        <v>15428.09</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3.77E-4</v>
      </c>
      <c r="I83" s="104">
        <v>7012.77</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22440.86</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3.77E-4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81.94</v>
      </c>
      <c r="D91" s="469"/>
      <c r="E91" s="49">
        <f>H8</f>
        <v>1.0438000000000001</v>
      </c>
      <c r="F91" s="338">
        <f>'0664'!F91</f>
        <v>914.63</v>
      </c>
      <c r="G91" s="41" t="s">
        <v>13</v>
      </c>
      <c r="H91" s="104">
        <f>ROUND(C91*E91*F91,2)</f>
        <v>78227.360000000001</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81.94</v>
      </c>
      <c r="D93" s="471"/>
      <c r="E93" s="143"/>
      <c r="F93" s="143"/>
      <c r="G93" s="143"/>
      <c r="H93" s="144" t="s">
        <v>143</v>
      </c>
      <c r="I93" s="104">
        <f>IF(A1=75,0,H92+H91+H90)</f>
        <v>78227.360000000001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25">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630373.72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607932.86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607932.86</v>
      </c>
      <c r="I122" s="97">
        <f>ROUND(IF(E29=0,0,IF(E29&gt;250,-(((250/E29)*H122)*IF(G122="H",0.02,0.05)),IF(G122="H",-0.02*H122,-0.05*H122))),2)</f>
        <v>-12158.66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618215.05999999994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-566805.89-45713.14</f>
        <v>-612519.03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5696.0299999999115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5696.03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U206"/>
  <sheetViews>
    <sheetView showGridLines="0" zoomScaleNormal="100" workbookViewId="0">
      <pane ySplit="1" topLeftCell="A14" activePane="bottomLeft" state="frozen"/>
      <selection activeCell="E100" sqref="E100"/>
      <selection pane="bottomLeft" activeCell="C52" sqref="C52"/>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179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149.96</v>
      </c>
      <c r="D13" s="163">
        <v>147.12</v>
      </c>
      <c r="E13" s="210">
        <f>IF(D$29=0,C13*2,C13+D13)</f>
        <v>297.08000000000004</v>
      </c>
      <c r="F13" s="539">
        <f>'0664'!F13:G13</f>
        <v>1.1259999999999999</v>
      </c>
      <c r="G13" s="539"/>
      <c r="H13" s="167">
        <f>ROUND(E13*F13,4)</f>
        <v>334.51209999999998</v>
      </c>
      <c r="I13" s="119">
        <f t="shared" ref="I13:I28" si="0">ROUND(ROUND(H13*$C$8,4)*($H$8),2)</f>
        <v>1601753.69</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7.97</v>
      </c>
      <c r="D14" s="165">
        <v>7.97</v>
      </c>
      <c r="E14" s="125">
        <f t="shared" ref="E14:E28" si="3">IF(D$29=0,C14*2,C14+D14)</f>
        <v>15.94</v>
      </c>
      <c r="F14" s="534">
        <f>'0664'!F14:G14</f>
        <v>1.1259999999999999</v>
      </c>
      <c r="G14" s="534"/>
      <c r="H14" s="83">
        <f t="shared" ref="H14:H28" si="4">ROUND(E14*F14,4)</f>
        <v>17.948399999999999</v>
      </c>
      <c r="I14" s="104">
        <f t="shared" si="0"/>
        <v>85942.83</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193.13</v>
      </c>
      <c r="D15" s="165">
        <v>188.98</v>
      </c>
      <c r="E15" s="125">
        <f t="shared" si="3"/>
        <v>382.11</v>
      </c>
      <c r="F15" s="534">
        <f>'0664'!F15:G15</f>
        <v>1</v>
      </c>
      <c r="G15" s="534"/>
      <c r="H15" s="83">
        <f t="shared" si="4"/>
        <v>382.11</v>
      </c>
      <c r="I15" s="104">
        <f t="shared" si="0"/>
        <v>1829668.06</v>
      </c>
      <c r="N15" s="481" t="s">
        <v>31</v>
      </c>
      <c r="O15" s="481"/>
      <c r="P15" s="515">
        <f t="shared" si="1"/>
        <v>0</v>
      </c>
      <c r="Q15" s="515"/>
      <c r="R15" s="519">
        <v>1</v>
      </c>
      <c r="S15" s="519"/>
      <c r="T15" s="98">
        <f t="shared" si="5"/>
        <v>0</v>
      </c>
      <c r="U15" s="99">
        <f t="shared" si="2"/>
        <v>0</v>
      </c>
    </row>
    <row r="16" spans="1:21" x14ac:dyDescent="0.25">
      <c r="A16" s="455" t="s">
        <v>32</v>
      </c>
      <c r="B16" s="455"/>
      <c r="C16" s="165">
        <v>23.34</v>
      </c>
      <c r="D16" s="165">
        <v>20.81</v>
      </c>
      <c r="E16" s="125">
        <f t="shared" si="3"/>
        <v>44.15</v>
      </c>
      <c r="F16" s="534">
        <f>'0664'!F16:G16</f>
        <v>1</v>
      </c>
      <c r="G16" s="534"/>
      <c r="H16" s="83">
        <f t="shared" si="4"/>
        <v>44.15</v>
      </c>
      <c r="I16" s="104">
        <f t="shared" si="0"/>
        <v>211404.69</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21.19</v>
      </c>
      <c r="D25" s="165">
        <v>19.68</v>
      </c>
      <c r="E25" s="125">
        <f t="shared" si="3"/>
        <v>40.870000000000005</v>
      </c>
      <c r="F25" s="534">
        <f>'0664'!F25:G25</f>
        <v>1.206</v>
      </c>
      <c r="G25" s="534"/>
      <c r="H25" s="83">
        <f t="shared" si="4"/>
        <v>49.289200000000001</v>
      </c>
      <c r="I25" s="104">
        <f t="shared" si="0"/>
        <v>236012.86</v>
      </c>
      <c r="N25" s="481" t="s">
        <v>114</v>
      </c>
      <c r="O25" s="481"/>
      <c r="P25" s="515">
        <f t="shared" si="1"/>
        <v>0</v>
      </c>
      <c r="Q25" s="515"/>
      <c r="R25" s="519">
        <v>1</v>
      </c>
      <c r="S25" s="519"/>
      <c r="T25" s="98">
        <f t="shared" si="5"/>
        <v>0</v>
      </c>
      <c r="U25" s="99">
        <f t="shared" si="2"/>
        <v>0</v>
      </c>
    </row>
    <row r="26" spans="1:21" x14ac:dyDescent="0.25">
      <c r="A26" s="455" t="s">
        <v>115</v>
      </c>
      <c r="B26" s="455"/>
      <c r="C26" s="165">
        <v>10.51</v>
      </c>
      <c r="D26" s="165">
        <v>13.52</v>
      </c>
      <c r="E26" s="125">
        <f t="shared" si="3"/>
        <v>24.03</v>
      </c>
      <c r="F26" s="534">
        <f>'0664'!F26:G26</f>
        <v>1.206</v>
      </c>
      <c r="G26" s="534"/>
      <c r="H26" s="83">
        <f t="shared" si="4"/>
        <v>28.9802</v>
      </c>
      <c r="I26" s="104">
        <f t="shared" si="0"/>
        <v>138766.71</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406.09999999999997</v>
      </c>
      <c r="D29" s="97">
        <f>SUM(D13:D28)</f>
        <v>398.08</v>
      </c>
      <c r="E29" s="97">
        <f>SUM(E13:E28)</f>
        <v>804.18000000000006</v>
      </c>
      <c r="F29" s="459"/>
      <c r="G29" s="459"/>
      <c r="H29" s="102">
        <f>SUM(H13:H28)</f>
        <v>856.98990000000003</v>
      </c>
      <c r="I29" s="97">
        <f>SUM(I13:I28)</f>
        <v>4103548.84</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856.98990000000003</v>
      </c>
      <c r="F45" s="35"/>
      <c r="G45" s="109"/>
      <c r="H45" s="110" t="s">
        <v>129</v>
      </c>
      <c r="I45" s="97">
        <f>SUM(I43,I29)</f>
        <v>4103548.84</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5.97</v>
      </c>
      <c r="D50" s="165">
        <v>7.56</v>
      </c>
      <c r="E50" s="125">
        <f>IF(D$59=0,C50*2,C50+D50)</f>
        <v>13.53</v>
      </c>
      <c r="F50" s="39" t="s">
        <v>21</v>
      </c>
      <c r="G50" s="39">
        <v>251</v>
      </c>
      <c r="H50" s="321">
        <f>'0664'!H50</f>
        <v>1047</v>
      </c>
      <c r="I50" s="104">
        <f>ROUND(E50*H50,2)</f>
        <v>14165.91</v>
      </c>
      <c r="N50" s="506" t="s">
        <v>28</v>
      </c>
      <c r="O50" s="506"/>
      <c r="P50" s="507"/>
      <c r="Q50" s="507"/>
      <c r="R50" s="40" t="s">
        <v>21</v>
      </c>
      <c r="S50" s="40">
        <v>251</v>
      </c>
      <c r="T50" s="117">
        <f>H50</f>
        <v>1047</v>
      </c>
      <c r="U50" s="118">
        <f>ROUND(P50*T50,0)</f>
        <v>0</v>
      </c>
    </row>
    <row r="51" spans="1:21" x14ac:dyDescent="0.25">
      <c r="A51" s="462"/>
      <c r="B51" s="462"/>
      <c r="C51" s="165">
        <v>1</v>
      </c>
      <c r="D51" s="165">
        <v>0</v>
      </c>
      <c r="E51" s="125">
        <f t="shared" ref="E51:E58" si="10">IF(D$59=0,C51*2,C51+D51)</f>
        <v>1</v>
      </c>
      <c r="F51" s="39" t="s">
        <v>21</v>
      </c>
      <c r="G51" s="39">
        <v>252</v>
      </c>
      <c r="H51" s="321">
        <f>'0664'!H51</f>
        <v>3380</v>
      </c>
      <c r="I51" s="104">
        <f t="shared" ref="I51:I58" si="11">ROUND(E51*H51,2)</f>
        <v>3380</v>
      </c>
      <c r="N51" s="506"/>
      <c r="O51" s="506"/>
      <c r="P51" s="508"/>
      <c r="Q51" s="508"/>
      <c r="R51" s="40" t="s">
        <v>21</v>
      </c>
      <c r="S51" s="40">
        <v>252</v>
      </c>
      <c r="T51" s="117">
        <f t="shared" ref="T51:T58" si="12">H51</f>
        <v>3380</v>
      </c>
      <c r="U51" s="118">
        <f t="shared" ref="U51:U58" si="13">ROUND(P51*T51,0)</f>
        <v>0</v>
      </c>
    </row>
    <row r="52" spans="1:21" x14ac:dyDescent="0.25">
      <c r="A52" s="462"/>
      <c r="B52" s="462"/>
      <c r="C52" s="165">
        <v>1</v>
      </c>
      <c r="D52" s="165">
        <v>0.41</v>
      </c>
      <c r="E52" s="125">
        <f t="shared" si="10"/>
        <v>1.41</v>
      </c>
      <c r="F52" s="39" t="s">
        <v>21</v>
      </c>
      <c r="G52" s="39">
        <v>253</v>
      </c>
      <c r="H52" s="321">
        <f>'0664'!H52</f>
        <v>6896</v>
      </c>
      <c r="I52" s="104">
        <f t="shared" si="11"/>
        <v>9723.36</v>
      </c>
      <c r="N52" s="506"/>
      <c r="O52" s="506"/>
      <c r="P52" s="508"/>
      <c r="Q52" s="508"/>
      <c r="R52" s="40" t="s">
        <v>21</v>
      </c>
      <c r="S52" s="40">
        <v>253</v>
      </c>
      <c r="T52" s="117">
        <f t="shared" si="12"/>
        <v>6896</v>
      </c>
      <c r="U52" s="118">
        <f t="shared" si="13"/>
        <v>0</v>
      </c>
    </row>
    <row r="53" spans="1:21" x14ac:dyDescent="0.25">
      <c r="A53" s="462"/>
      <c r="B53" s="462"/>
      <c r="C53" s="165">
        <v>23.34</v>
      </c>
      <c r="D53" s="165">
        <v>20.41</v>
      </c>
      <c r="E53" s="125">
        <f t="shared" si="10"/>
        <v>43.75</v>
      </c>
      <c r="F53" s="41" t="s">
        <v>14</v>
      </c>
      <c r="G53" s="39">
        <v>251</v>
      </c>
      <c r="H53" s="321">
        <f>'0664'!H53</f>
        <v>1173</v>
      </c>
      <c r="I53" s="104">
        <f t="shared" si="11"/>
        <v>51318.75</v>
      </c>
      <c r="N53" s="506"/>
      <c r="O53" s="506"/>
      <c r="P53" s="508"/>
      <c r="Q53" s="508"/>
      <c r="R53" s="42" t="s">
        <v>14</v>
      </c>
      <c r="S53" s="40">
        <v>251</v>
      </c>
      <c r="T53" s="117">
        <f t="shared" si="12"/>
        <v>1173</v>
      </c>
      <c r="U53" s="118">
        <f t="shared" si="13"/>
        <v>0</v>
      </c>
    </row>
    <row r="54" spans="1:21" x14ac:dyDescent="0.25">
      <c r="A54" s="462"/>
      <c r="B54" s="462"/>
      <c r="C54" s="165">
        <v>0</v>
      </c>
      <c r="D54" s="165">
        <v>0.4</v>
      </c>
      <c r="E54" s="125">
        <f t="shared" si="10"/>
        <v>0.4</v>
      </c>
      <c r="F54" s="41" t="s">
        <v>14</v>
      </c>
      <c r="G54" s="39">
        <v>252</v>
      </c>
      <c r="H54" s="321">
        <f>'0664'!H54</f>
        <v>3506</v>
      </c>
      <c r="I54" s="104">
        <f t="shared" si="11"/>
        <v>1402.4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31.31</v>
      </c>
      <c r="D59" s="100">
        <f>SUM(D50:D58)</f>
        <v>28.779999999999998</v>
      </c>
      <c r="E59" s="100">
        <f>SUM(E50:E58)</f>
        <v>60.089999999999996</v>
      </c>
      <c r="F59" s="463" t="s">
        <v>77</v>
      </c>
      <c r="G59" s="463"/>
      <c r="H59" s="463"/>
      <c r="I59" s="100">
        <f>SUM(I50:I58)</f>
        <v>79990.42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804.18000000000006</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4.1510000000000002E-3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856.98990000000003</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3.9449999999999997E-3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4.1510000000000002E-3</v>
      </c>
      <c r="I68" s="104">
        <f>ROUND(F68*H68,2)</f>
        <v>176581.35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4.1510000000000002E-3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4.1510000000000002E-3</v>
      </c>
      <c r="I71" s="104">
        <f>ROUND(F71*H71,2)</f>
        <v>55737.46</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4.1510000000000002E-3</v>
      </c>
      <c r="I72" s="104">
        <f>ROUND(F72*H72,2)</f>
        <v>61456.54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4.1510000000000002E-3</v>
      </c>
      <c r="I76" s="104">
        <f t="shared" ref="I76:I85" si="14">ROUND(F76*H76,2)</f>
        <v>36224.980000000003</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4.1510000000000002E-3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3.9449999999999997E-3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3.9449999999999997E-3</v>
      </c>
      <c r="I79" s="104">
        <f t="shared" si="14"/>
        <v>44526.81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3.9449999999999997E-3</v>
      </c>
      <c r="I80" s="104">
        <f t="shared" si="14"/>
        <v>813793.33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3.9449999999999997E-3</v>
      </c>
      <c r="I82" s="104">
        <v>139364.09</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3.9449999999999997E-3</v>
      </c>
      <c r="I83" s="104">
        <v>63347.31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202711.4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3.9449999999999997E-3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401.74969999999996</v>
      </c>
      <c r="D90" s="469"/>
      <c r="E90" s="49">
        <f>H8</f>
        <v>1.0438000000000001</v>
      </c>
      <c r="F90" s="338">
        <f>'0664'!F90</f>
        <v>957.94</v>
      </c>
      <c r="G90" s="41" t="s">
        <v>13</v>
      </c>
      <c r="H90" s="104">
        <f>ROUND(C90*E90*F90,2)</f>
        <v>401708.63</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455.24020000000002</v>
      </c>
      <c r="D91" s="469"/>
      <c r="E91" s="49">
        <f>H8</f>
        <v>1.0438000000000001</v>
      </c>
      <c r="F91" s="338">
        <f>'0664'!F91</f>
        <v>914.63</v>
      </c>
      <c r="G91" s="41" t="s">
        <v>13</v>
      </c>
      <c r="H91" s="104">
        <f>ROUND(C91*E91*F91,2)</f>
        <v>434613.63</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856.98990000000003</v>
      </c>
      <c r="D93" s="471"/>
      <c r="E93" s="143"/>
      <c r="F93" s="143"/>
      <c r="G93" s="143"/>
      <c r="H93" s="144" t="s">
        <v>143</v>
      </c>
      <c r="I93" s="104">
        <f>IF(A1=75,0,H92+H91+H90)</f>
        <v>836322.26</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5</v>
      </c>
      <c r="D99" s="165">
        <v>0</v>
      </c>
      <c r="E99" s="125">
        <f>(C99+D99)/2</f>
        <v>2.5</v>
      </c>
      <c r="F99" s="148" t="s">
        <v>39</v>
      </c>
      <c r="G99" s="339">
        <f>'0664'!G99</f>
        <v>544</v>
      </c>
      <c r="I99" s="104">
        <f>ROUND(G99*E99,2)</f>
        <v>1360</v>
      </c>
      <c r="N99" s="490" t="s">
        <v>65</v>
      </c>
      <c r="O99" s="490"/>
      <c r="P99" s="491">
        <f>IF(H120=1,E99,0)</f>
        <v>0</v>
      </c>
      <c r="Q99" s="491"/>
      <c r="R99" s="491"/>
      <c r="S99" s="86" t="s">
        <v>39</v>
      </c>
      <c r="T99" s="61">
        <f>G99</f>
        <v>544</v>
      </c>
      <c r="U99" s="99">
        <f>ROUND(T99*P99,0)</f>
        <v>0</v>
      </c>
    </row>
    <row r="100" spans="1:21" x14ac:dyDescent="0.25">
      <c r="A100" s="538" t="s">
        <v>467</v>
      </c>
      <c r="B100" s="463"/>
      <c r="C100" s="165">
        <v>1</v>
      </c>
      <c r="D100" s="165">
        <v>0</v>
      </c>
      <c r="E100" s="125">
        <f>(C100+D100)/2</f>
        <v>0.5</v>
      </c>
      <c r="F100" s="148" t="s">
        <v>39</v>
      </c>
      <c r="G100" s="339">
        <f>'0664'!G100</f>
        <v>1697</v>
      </c>
      <c r="I100" s="104">
        <f>ROUND(G100*E100,2)</f>
        <v>848.5</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6413101.8899999997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6210390.4899999993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6210390.4899999993</v>
      </c>
      <c r="I122" s="97">
        <f>ROUND(IF(E29=0,0,IF(E29&gt;250,-(((250/E29)*H122)*IF(G122="H",0.02,0.05)),IF(G122="H",-0.02*H122,-0.05*H122))),2)</f>
        <v>-96532.97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6316568.9199999999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-5772198.65-556520.17</f>
        <v>-6328718.8200000003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-12149.900000000373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-12149.9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213986.55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U206"/>
  <sheetViews>
    <sheetView showGridLines="0" zoomScaleNormal="100" workbookViewId="0">
      <pane ySplit="1" topLeftCell="A14" activePane="bottomLeft" state="frozen"/>
      <selection activeCell="E100" sqref="E100"/>
      <selection pane="bottomLeft" activeCell="I124" sqref="I12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180</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150.47999999999999</v>
      </c>
      <c r="D13" s="163">
        <v>143.27000000000001</v>
      </c>
      <c r="E13" s="210">
        <f>IF(D$29=0,C13*2,C13+D13)</f>
        <v>293.75</v>
      </c>
      <c r="F13" s="539">
        <f>'0664'!F13:G13</f>
        <v>1.1259999999999999</v>
      </c>
      <c r="G13" s="539"/>
      <c r="H13" s="167">
        <f>ROUND(E13*F13,4)</f>
        <v>330.76249999999999</v>
      </c>
      <c r="I13" s="119">
        <f t="shared" ref="I13:I28" si="0">ROUND(ROUND(H13*$C$8,4)*($H$8),2)</f>
        <v>1583799.38</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18.02</v>
      </c>
      <c r="D14" s="165">
        <v>19.149999999999999</v>
      </c>
      <c r="E14" s="125">
        <f t="shared" ref="E14:E28" si="3">IF(D$29=0,C14*2,C14+D14)</f>
        <v>37.17</v>
      </c>
      <c r="F14" s="534">
        <f>'0664'!F14:G14</f>
        <v>1.1259999999999999</v>
      </c>
      <c r="G14" s="534"/>
      <c r="H14" s="83">
        <f t="shared" ref="H14:H28" si="4">ROUND(E14*F14,4)</f>
        <v>41.853400000000001</v>
      </c>
      <c r="I14" s="104">
        <f t="shared" si="0"/>
        <v>200407.81</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175.12</v>
      </c>
      <c r="D15" s="165">
        <v>172.83</v>
      </c>
      <c r="E15" s="125">
        <f t="shared" si="3"/>
        <v>347.95000000000005</v>
      </c>
      <c r="F15" s="534">
        <f>'0664'!F15:G15</f>
        <v>1</v>
      </c>
      <c r="G15" s="534"/>
      <c r="H15" s="83">
        <f t="shared" si="4"/>
        <v>347.95</v>
      </c>
      <c r="I15" s="104">
        <f t="shared" si="0"/>
        <v>1666098.77</v>
      </c>
      <c r="N15" s="481" t="s">
        <v>31</v>
      </c>
      <c r="O15" s="481"/>
      <c r="P15" s="515">
        <f t="shared" si="1"/>
        <v>0</v>
      </c>
      <c r="Q15" s="515"/>
      <c r="R15" s="519">
        <v>1</v>
      </c>
      <c r="S15" s="519"/>
      <c r="T15" s="98">
        <f t="shared" si="5"/>
        <v>0</v>
      </c>
      <c r="U15" s="99">
        <f t="shared" si="2"/>
        <v>0</v>
      </c>
    </row>
    <row r="16" spans="1:21" x14ac:dyDescent="0.25">
      <c r="A16" s="455" t="s">
        <v>32</v>
      </c>
      <c r="B16" s="455"/>
      <c r="C16" s="165">
        <v>26.19</v>
      </c>
      <c r="D16" s="165">
        <v>26.76</v>
      </c>
      <c r="E16" s="125">
        <f t="shared" si="3"/>
        <v>52.95</v>
      </c>
      <c r="F16" s="534">
        <f>'0664'!F16:G16</f>
        <v>1</v>
      </c>
      <c r="G16" s="534"/>
      <c r="H16" s="83">
        <f t="shared" si="4"/>
        <v>52.95</v>
      </c>
      <c r="I16" s="104">
        <f t="shared" si="0"/>
        <v>253541.97</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22.8</v>
      </c>
      <c r="D25" s="165">
        <v>25.83</v>
      </c>
      <c r="E25" s="125">
        <f t="shared" si="3"/>
        <v>48.629999999999995</v>
      </c>
      <c r="F25" s="534">
        <f>'0664'!F25:G25</f>
        <v>1.206</v>
      </c>
      <c r="G25" s="534"/>
      <c r="H25" s="83">
        <f t="shared" si="4"/>
        <v>58.647799999999997</v>
      </c>
      <c r="I25" s="104">
        <f t="shared" si="0"/>
        <v>280824.90999999997</v>
      </c>
      <c r="N25" s="481" t="s">
        <v>114</v>
      </c>
      <c r="O25" s="481"/>
      <c r="P25" s="515">
        <f t="shared" si="1"/>
        <v>0</v>
      </c>
      <c r="Q25" s="515"/>
      <c r="R25" s="519">
        <v>1</v>
      </c>
      <c r="S25" s="519"/>
      <c r="T25" s="98">
        <f t="shared" si="5"/>
        <v>0</v>
      </c>
      <c r="U25" s="99">
        <f t="shared" si="2"/>
        <v>0</v>
      </c>
    </row>
    <row r="26" spans="1:21" x14ac:dyDescent="0.25">
      <c r="A26" s="455" t="s">
        <v>115</v>
      </c>
      <c r="B26" s="455"/>
      <c r="C26" s="165">
        <v>24.11</v>
      </c>
      <c r="D26" s="165">
        <v>29.18</v>
      </c>
      <c r="E26" s="125">
        <f t="shared" si="3"/>
        <v>53.29</v>
      </c>
      <c r="F26" s="534">
        <f>'0664'!F26:G26</f>
        <v>1.206</v>
      </c>
      <c r="G26" s="534"/>
      <c r="H26" s="83">
        <f t="shared" si="4"/>
        <v>64.267700000000005</v>
      </c>
      <c r="I26" s="104">
        <f t="shared" si="0"/>
        <v>307734.84000000003</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416.72</v>
      </c>
      <c r="D29" s="97">
        <f>SUM(D13:D28)</f>
        <v>417.02</v>
      </c>
      <c r="E29" s="97">
        <f>SUM(E13:E28)</f>
        <v>833.74000000000012</v>
      </c>
      <c r="F29" s="459"/>
      <c r="G29" s="459"/>
      <c r="H29" s="102">
        <f>SUM(H13:H28)</f>
        <v>896.43140000000005</v>
      </c>
      <c r="I29" s="97">
        <f>SUM(I13:I28)</f>
        <v>4292407.6800000006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896.43140000000005</v>
      </c>
      <c r="F45" s="35"/>
      <c r="G45" s="109"/>
      <c r="H45" s="110" t="s">
        <v>129</v>
      </c>
      <c r="I45" s="97">
        <f>SUM(I43,I29)</f>
        <v>4292407.6800000006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17.02</v>
      </c>
      <c r="D50" s="165">
        <v>19.149999999999999</v>
      </c>
      <c r="E50" s="125">
        <f>IF(D$59=0,C50*2,C50+D50)</f>
        <v>36.17</v>
      </c>
      <c r="F50" s="39" t="s">
        <v>21</v>
      </c>
      <c r="G50" s="39">
        <v>251</v>
      </c>
      <c r="H50" s="321">
        <f>'0664'!H50</f>
        <v>1047</v>
      </c>
      <c r="I50" s="104">
        <f>ROUND(E50*H50,2)</f>
        <v>37869.99</v>
      </c>
      <c r="N50" s="506" t="s">
        <v>28</v>
      </c>
      <c r="O50" s="506"/>
      <c r="P50" s="507"/>
      <c r="Q50" s="507"/>
      <c r="R50" s="40" t="s">
        <v>21</v>
      </c>
      <c r="S50" s="40">
        <v>251</v>
      </c>
      <c r="T50" s="117">
        <f>H50</f>
        <v>1047</v>
      </c>
      <c r="U50" s="118">
        <f>ROUND(P50*T50,0)</f>
        <v>0</v>
      </c>
    </row>
    <row r="51" spans="1:21" x14ac:dyDescent="0.25">
      <c r="A51" s="462"/>
      <c r="B51" s="462"/>
      <c r="C51" s="165">
        <v>1</v>
      </c>
      <c r="D51" s="165">
        <v>0</v>
      </c>
      <c r="E51" s="125">
        <f t="shared" ref="E51:E58" si="10">IF(D$59=0,C51*2,C51+D51)</f>
        <v>1</v>
      </c>
      <c r="F51" s="39" t="s">
        <v>21</v>
      </c>
      <c r="G51" s="39">
        <v>252</v>
      </c>
      <c r="H51" s="321">
        <f>'0664'!H51</f>
        <v>3380</v>
      </c>
      <c r="I51" s="104">
        <f t="shared" ref="I51:I58" si="11">ROUND(E51*H51,2)</f>
        <v>3380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24.68</v>
      </c>
      <c r="D53" s="165">
        <v>25.75</v>
      </c>
      <c r="E53" s="125">
        <f t="shared" si="10"/>
        <v>50.43</v>
      </c>
      <c r="F53" s="41" t="s">
        <v>14</v>
      </c>
      <c r="G53" s="39">
        <v>251</v>
      </c>
      <c r="H53" s="321">
        <f>'0664'!H53</f>
        <v>1173</v>
      </c>
      <c r="I53" s="104">
        <f t="shared" si="11"/>
        <v>59154.39</v>
      </c>
      <c r="N53" s="506"/>
      <c r="O53" s="506"/>
      <c r="P53" s="508"/>
      <c r="Q53" s="508"/>
      <c r="R53" s="42" t="s">
        <v>14</v>
      </c>
      <c r="S53" s="40">
        <v>251</v>
      </c>
      <c r="T53" s="117">
        <f t="shared" si="12"/>
        <v>1173</v>
      </c>
      <c r="U53" s="118">
        <f t="shared" si="13"/>
        <v>0</v>
      </c>
    </row>
    <row r="54" spans="1:21" x14ac:dyDescent="0.25">
      <c r="A54" s="462"/>
      <c r="B54" s="462"/>
      <c r="C54" s="165">
        <v>1.51</v>
      </c>
      <c r="D54" s="165">
        <v>1.01</v>
      </c>
      <c r="E54" s="125">
        <f t="shared" si="10"/>
        <v>2.52</v>
      </c>
      <c r="F54" s="41" t="s">
        <v>14</v>
      </c>
      <c r="G54" s="39">
        <v>252</v>
      </c>
      <c r="H54" s="321">
        <f>'0664'!H54</f>
        <v>3506</v>
      </c>
      <c r="I54" s="104">
        <f t="shared" si="11"/>
        <v>8835.1200000000008</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44.21</v>
      </c>
      <c r="D59" s="100">
        <f>SUM(D50:D58)</f>
        <v>45.91</v>
      </c>
      <c r="E59" s="100">
        <f>SUM(E50:E58)</f>
        <v>90.11999999999999</v>
      </c>
      <c r="F59" s="463" t="s">
        <v>77</v>
      </c>
      <c r="G59" s="463"/>
      <c r="H59" s="463"/>
      <c r="I59" s="100">
        <f>SUM(I50:I58)</f>
        <v>109239.5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833.74000000000012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4.3039999999999997E-3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896.43140000000005</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4.1269999999999996E-3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4.3039999999999997E-3</v>
      </c>
      <c r="I68" s="104">
        <f>ROUND(F68*H68,2)</f>
        <v>183089.89</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4.3039999999999997E-3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4.3039999999999997E-3</v>
      </c>
      <c r="I71" s="104">
        <f>ROUND(F71*H71,2)</f>
        <v>57791.87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4.3039999999999997E-3</v>
      </c>
      <c r="I72" s="104">
        <f>ROUND(F72*H72,2)</f>
        <v>63721.74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4.3039999999999997E-3</v>
      </c>
      <c r="I76" s="104">
        <f t="shared" ref="I76:I85" si="14">ROUND(F76*H76,2)</f>
        <v>37560.18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4.3039999999999997E-3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4.1269999999999996E-3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4.1269999999999996E-3</v>
      </c>
      <c r="I79" s="104">
        <f t="shared" si="14"/>
        <v>46581.02</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4.1269999999999996E-3</v>
      </c>
      <c r="I80" s="104">
        <f t="shared" si="14"/>
        <v>851337.16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4.1269999999999996E-3</v>
      </c>
      <c r="I82" s="104">
        <v>142267.26</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4.1269999999999996E-3</v>
      </c>
      <c r="I83" s="104">
        <v>64666.93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206934.19</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4.1269999999999996E-3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431.26370000000003</v>
      </c>
      <c r="D90" s="469"/>
      <c r="E90" s="49">
        <f>H8</f>
        <v>1.0438000000000001</v>
      </c>
      <c r="F90" s="338">
        <f>'0664'!F90</f>
        <v>957.94</v>
      </c>
      <c r="G90" s="41" t="s">
        <v>13</v>
      </c>
      <c r="H90" s="104">
        <f>ROUND(C90*E90*F90,2)</f>
        <v>431219.61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465.16769999999997</v>
      </c>
      <c r="D91" s="469"/>
      <c r="E91" s="49">
        <f>H8</f>
        <v>1.0438000000000001</v>
      </c>
      <c r="F91" s="338">
        <f>'0664'!F91</f>
        <v>914.63</v>
      </c>
      <c r="G91" s="41" t="s">
        <v>13</v>
      </c>
      <c r="H91" s="104">
        <f>ROUND(C91*E91*F91,2)</f>
        <v>444091.32</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896.43139999999994</v>
      </c>
      <c r="D93" s="471"/>
      <c r="E93" s="143"/>
      <c r="F93" s="143"/>
      <c r="G93" s="143"/>
      <c r="H93" s="144" t="s">
        <v>143</v>
      </c>
      <c r="I93" s="104">
        <f>IF(A1=75,0,H92+H91+H90)</f>
        <v>875310.92999999993</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7</v>
      </c>
      <c r="D99" s="165">
        <v>0</v>
      </c>
      <c r="E99" s="125">
        <f>(C99+D99)/2</f>
        <v>3.5</v>
      </c>
      <c r="F99" s="148" t="s">
        <v>39</v>
      </c>
      <c r="G99" s="339">
        <f>'0664'!G99</f>
        <v>544</v>
      </c>
      <c r="I99" s="104">
        <f>ROUND(G99*E99,2)</f>
        <v>1904</v>
      </c>
      <c r="N99" s="490" t="s">
        <v>65</v>
      </c>
      <c r="O99" s="490"/>
      <c r="P99" s="491">
        <f>IF(H120=1,E99,0)</f>
        <v>0</v>
      </c>
      <c r="Q99" s="491"/>
      <c r="R99" s="491"/>
      <c r="S99" s="86" t="s">
        <v>39</v>
      </c>
      <c r="T99" s="61">
        <f>G99</f>
        <v>544</v>
      </c>
      <c r="U99" s="99">
        <f>ROUND(T99*P99,0)</f>
        <v>0</v>
      </c>
    </row>
    <row r="100" spans="1:21" x14ac:dyDescent="0.25">
      <c r="A100" s="538" t="s">
        <v>467</v>
      </c>
      <c r="B100" s="463"/>
      <c r="C100" s="165">
        <v>2</v>
      </c>
      <c r="D100" s="165">
        <v>0</v>
      </c>
      <c r="E100" s="125">
        <f>(C100+D100)/2</f>
        <v>1</v>
      </c>
      <c r="F100" s="148" t="s">
        <v>39</v>
      </c>
      <c r="G100" s="339">
        <f>'0664'!G100</f>
        <v>1697</v>
      </c>
      <c r="I100" s="104">
        <f>ROUND(G100*E100,2)</f>
        <v>1697</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6727575.1600000001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6520640.9699999997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6520640.9699999997</v>
      </c>
      <c r="I122" s="97">
        <f>ROUND(IF(E29=0,0,IF(E29&gt;250,-(((250/E29)*H122)*IF(G122="H",0.02,0.05)),IF(G122="H",-0.02*H122,-0.05*H122))),2)</f>
        <v>-97761.91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6629813.25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-6008597.69-609889.26</f>
        <v>-6618486.9500000002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11326.299999999814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11326.3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228270.14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U206"/>
  <sheetViews>
    <sheetView showGridLines="0" zoomScaleNormal="100" workbookViewId="0">
      <pane ySplit="1" topLeftCell="A11" activePane="bottomLeft" state="frozen"/>
      <selection activeCell="E100" sqref="E100"/>
      <selection pane="bottomLeft" activeCell="I117" sqref="I11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391</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J9" s="283"/>
      <c r="K9" s="68"/>
      <c r="L9" s="68"/>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J10" s="285"/>
      <c r="K10" s="284"/>
      <c r="L10" s="284"/>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J11" s="283"/>
      <c r="K11" s="284"/>
      <c r="L11" s="284"/>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K12" s="284"/>
      <c r="L12" s="284"/>
      <c r="N12" s="525" t="s">
        <v>47</v>
      </c>
      <c r="O12" s="525"/>
      <c r="P12" s="526" t="s">
        <v>48</v>
      </c>
      <c r="Q12" s="526"/>
      <c r="R12" s="527" t="s">
        <v>49</v>
      </c>
      <c r="S12" s="527"/>
      <c r="T12" s="23" t="s">
        <v>50</v>
      </c>
      <c r="U12" s="24" t="s">
        <v>51</v>
      </c>
    </row>
    <row r="13" spans="1:21" x14ac:dyDescent="0.25">
      <c r="A13" s="453" t="s">
        <v>29</v>
      </c>
      <c r="B13" s="453"/>
      <c r="C13" s="165">
        <v>223.17</v>
      </c>
      <c r="D13" s="163">
        <v>211.41</v>
      </c>
      <c r="E13" s="210">
        <f>IF(D$29=0,C13*2,C13+D13)</f>
        <v>434.58</v>
      </c>
      <c r="F13" s="539">
        <f>'0664'!F13:G13</f>
        <v>1.1259999999999999</v>
      </c>
      <c r="G13" s="539"/>
      <c r="H13" s="167">
        <f>ROUND(E13*F13,4)</f>
        <v>489.33710000000002</v>
      </c>
      <c r="I13" s="119">
        <f t="shared" ref="I13:I28" si="0">ROUND(ROUND(H13*$C$8,4)*($H$8),2)</f>
        <v>2343106.6</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16.98</v>
      </c>
      <c r="D14" s="165">
        <v>17.489999999999998</v>
      </c>
      <c r="E14" s="125">
        <f t="shared" ref="E14:E28" si="3">IF(D$29=0,C14*2,C14+D14)</f>
        <v>34.47</v>
      </c>
      <c r="F14" s="534">
        <f>'0664'!F14:G14</f>
        <v>1.1259999999999999</v>
      </c>
      <c r="G14" s="534"/>
      <c r="H14" s="83">
        <f t="shared" ref="H14:H28" si="4">ROUND(E14*F14,4)</f>
        <v>38.813200000000002</v>
      </c>
      <c r="I14" s="104">
        <f t="shared" si="0"/>
        <v>185850.34</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234.03</v>
      </c>
      <c r="D15" s="165">
        <v>224.23</v>
      </c>
      <c r="E15" s="125">
        <f t="shared" si="3"/>
        <v>458.26</v>
      </c>
      <c r="F15" s="534">
        <f>'0664'!F15:G15</f>
        <v>1</v>
      </c>
      <c r="G15" s="534"/>
      <c r="H15" s="83">
        <f t="shared" si="4"/>
        <v>458.26</v>
      </c>
      <c r="I15" s="104">
        <f t="shared" si="0"/>
        <v>2194299.2400000002</v>
      </c>
      <c r="N15" s="481" t="s">
        <v>31</v>
      </c>
      <c r="O15" s="481"/>
      <c r="P15" s="515">
        <f t="shared" si="1"/>
        <v>0</v>
      </c>
      <c r="Q15" s="515"/>
      <c r="R15" s="519">
        <v>1</v>
      </c>
      <c r="S15" s="519"/>
      <c r="T15" s="98">
        <f t="shared" si="5"/>
        <v>0</v>
      </c>
      <c r="U15" s="99">
        <f t="shared" si="2"/>
        <v>0</v>
      </c>
    </row>
    <row r="16" spans="1:21" x14ac:dyDescent="0.25">
      <c r="A16" s="455" t="s">
        <v>32</v>
      </c>
      <c r="B16" s="455"/>
      <c r="C16" s="165">
        <v>36.1</v>
      </c>
      <c r="D16" s="165">
        <v>35.96</v>
      </c>
      <c r="E16" s="125">
        <f t="shared" si="3"/>
        <v>72.06</v>
      </c>
      <c r="F16" s="534">
        <f>'0664'!F16:G16</f>
        <v>1</v>
      </c>
      <c r="G16" s="534"/>
      <c r="H16" s="83">
        <f t="shared" si="4"/>
        <v>72.06</v>
      </c>
      <c r="I16" s="104">
        <f t="shared" si="0"/>
        <v>345046.92</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6.12</v>
      </c>
      <c r="D25" s="165">
        <v>6.45</v>
      </c>
      <c r="E25" s="125">
        <f t="shared" si="3"/>
        <v>12.57</v>
      </c>
      <c r="F25" s="534">
        <f>'0664'!F25:G25</f>
        <v>1.206</v>
      </c>
      <c r="G25" s="534"/>
      <c r="H25" s="83">
        <f t="shared" si="4"/>
        <v>15.1594</v>
      </c>
      <c r="I25" s="104">
        <f t="shared" si="0"/>
        <v>72588.179999999993</v>
      </c>
      <c r="N25" s="481" t="s">
        <v>114</v>
      </c>
      <c r="O25" s="481"/>
      <c r="P25" s="515">
        <f t="shared" si="1"/>
        <v>0</v>
      </c>
      <c r="Q25" s="515"/>
      <c r="R25" s="519">
        <v>1</v>
      </c>
      <c r="S25" s="519"/>
      <c r="T25" s="98">
        <f t="shared" si="5"/>
        <v>0</v>
      </c>
      <c r="U25" s="99">
        <f t="shared" si="2"/>
        <v>0</v>
      </c>
    </row>
    <row r="26" spans="1:21" x14ac:dyDescent="0.25">
      <c r="A26" s="455" t="s">
        <v>115</v>
      </c>
      <c r="B26" s="455"/>
      <c r="C26" s="165">
        <v>7.5</v>
      </c>
      <c r="D26" s="165">
        <v>6.45</v>
      </c>
      <c r="E26" s="125">
        <f t="shared" si="3"/>
        <v>13.95</v>
      </c>
      <c r="F26" s="534">
        <f>'0664'!F26:G26</f>
        <v>1.206</v>
      </c>
      <c r="G26" s="534"/>
      <c r="H26" s="83">
        <f t="shared" si="4"/>
        <v>16.823699999999999</v>
      </c>
      <c r="I26" s="104">
        <f t="shared" si="0"/>
        <v>80557.399999999994</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523.9</v>
      </c>
      <c r="D29" s="97">
        <f>SUM(D13:D28)</f>
        <v>501.98999999999995</v>
      </c>
      <c r="E29" s="97">
        <f>SUM(E13:E28)</f>
        <v>1025.8899999999999</v>
      </c>
      <c r="F29" s="459"/>
      <c r="G29" s="459"/>
      <c r="H29" s="102">
        <f>SUM(H13:H28)</f>
        <v>1090.4533999999999</v>
      </c>
      <c r="I29" s="97">
        <f>SUM(I13:I28)</f>
        <v>5221448.68</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1090.4533999999999</v>
      </c>
      <c r="F45" s="35"/>
      <c r="G45" s="109"/>
      <c r="H45" s="110" t="s">
        <v>129</v>
      </c>
      <c r="I45" s="97">
        <f>SUM(I43,I29)</f>
        <v>5221448.68</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11.99</v>
      </c>
      <c r="D50" s="165">
        <v>10.96</v>
      </c>
      <c r="E50" s="125">
        <f>IF(D$59=0,C50*2,C50+D50)</f>
        <v>22.950000000000003</v>
      </c>
      <c r="F50" s="39" t="s">
        <v>21</v>
      </c>
      <c r="G50" s="39">
        <v>251</v>
      </c>
      <c r="H50" s="321">
        <f>'0664'!H50</f>
        <v>1047</v>
      </c>
      <c r="I50" s="104">
        <f>ROUND(E50*H50,2)</f>
        <v>24028.65</v>
      </c>
      <c r="N50" s="506" t="s">
        <v>28</v>
      </c>
      <c r="O50" s="506"/>
      <c r="P50" s="507"/>
      <c r="Q50" s="507"/>
      <c r="R50" s="40" t="s">
        <v>21</v>
      </c>
      <c r="S50" s="40">
        <v>251</v>
      </c>
      <c r="T50" s="117">
        <f>H50</f>
        <v>1047</v>
      </c>
      <c r="U50" s="118">
        <f>ROUND(P50*T50,0)</f>
        <v>0</v>
      </c>
    </row>
    <row r="51" spans="1:21" x14ac:dyDescent="0.25">
      <c r="A51" s="462"/>
      <c r="B51" s="462"/>
      <c r="C51" s="165">
        <v>4.99</v>
      </c>
      <c r="D51" s="165">
        <v>6.53</v>
      </c>
      <c r="E51" s="125">
        <f t="shared" ref="E51:E58" si="10">IF(D$59=0,C51*2,C51+D51)</f>
        <v>11.52</v>
      </c>
      <c r="F51" s="39" t="s">
        <v>21</v>
      </c>
      <c r="G51" s="39">
        <v>252</v>
      </c>
      <c r="H51" s="321">
        <f>'0664'!H51</f>
        <v>3380</v>
      </c>
      <c r="I51" s="104">
        <f t="shared" ref="I51:I58" si="11">ROUND(E51*H51,2)</f>
        <v>38937.599999999999</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26.05</v>
      </c>
      <c r="D53" s="165">
        <v>25.99</v>
      </c>
      <c r="E53" s="125">
        <f t="shared" si="10"/>
        <v>52.04</v>
      </c>
      <c r="F53" s="41" t="s">
        <v>14</v>
      </c>
      <c r="G53" s="39">
        <v>251</v>
      </c>
      <c r="H53" s="321">
        <f>'0664'!H53</f>
        <v>1173</v>
      </c>
      <c r="I53" s="104">
        <f t="shared" si="11"/>
        <v>61042.92</v>
      </c>
      <c r="N53" s="506"/>
      <c r="O53" s="506"/>
      <c r="P53" s="508"/>
      <c r="Q53" s="508"/>
      <c r="R53" s="42" t="s">
        <v>14</v>
      </c>
      <c r="S53" s="40">
        <v>251</v>
      </c>
      <c r="T53" s="117">
        <f t="shared" si="12"/>
        <v>1173</v>
      </c>
      <c r="U53" s="118">
        <f t="shared" si="13"/>
        <v>0</v>
      </c>
    </row>
    <row r="54" spans="1:21" x14ac:dyDescent="0.25">
      <c r="A54" s="462"/>
      <c r="B54" s="462"/>
      <c r="C54" s="165">
        <v>10.050000000000001</v>
      </c>
      <c r="D54" s="165">
        <v>9.9700000000000006</v>
      </c>
      <c r="E54" s="125">
        <f t="shared" si="10"/>
        <v>20.020000000000003</v>
      </c>
      <c r="F54" s="41" t="s">
        <v>14</v>
      </c>
      <c r="G54" s="39">
        <v>252</v>
      </c>
      <c r="H54" s="321">
        <f>'0664'!H54</f>
        <v>3506</v>
      </c>
      <c r="I54" s="104">
        <f t="shared" si="11"/>
        <v>70190.12</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53.08</v>
      </c>
      <c r="D59" s="100">
        <f>SUM(D50:D58)</f>
        <v>53.45</v>
      </c>
      <c r="E59" s="100">
        <f>SUM(E50:E58)</f>
        <v>106.53</v>
      </c>
      <c r="F59" s="463" t="s">
        <v>77</v>
      </c>
      <c r="G59" s="463"/>
      <c r="H59" s="463"/>
      <c r="I59" s="100">
        <f>SUM(I50:I58)</f>
        <v>194199.28999999998</v>
      </c>
      <c r="N59" s="482" t="s">
        <v>16</v>
      </c>
      <c r="O59" s="482"/>
      <c r="P59" s="504">
        <f>SUM(P50:P58)</f>
        <v>0</v>
      </c>
      <c r="Q59" s="504"/>
      <c r="R59" s="482" t="s">
        <v>77</v>
      </c>
      <c r="S59" s="482"/>
      <c r="T59" s="482"/>
      <c r="U59" s="111">
        <f>SUM(U50:U58)</f>
        <v>0</v>
      </c>
    </row>
    <row r="60" spans="1:21" x14ac:dyDescent="0.25">
      <c r="A60" s="37"/>
      <c r="B60" s="37"/>
      <c r="C60" s="37"/>
      <c r="D60" s="37"/>
      <c r="E60" s="37"/>
      <c r="F60" s="37"/>
      <c r="G60" s="37"/>
      <c r="H60" s="37"/>
      <c r="I60" s="37"/>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1025.8899999999999</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5.2960000000000004E-3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1090.4533999999999</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5.0200000000000002E-3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5.2960000000000004E-3</v>
      </c>
      <c r="I68" s="104">
        <f>ROUND(F68*H68,2)</f>
        <v>225289.04</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5.2960000000000004E-3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5.2960000000000004E-3</v>
      </c>
      <c r="I71" s="104">
        <f>ROUND(F71*H71,2)</f>
        <v>71111.92</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5.2960000000000004E-3</v>
      </c>
      <c r="I72" s="104">
        <f>ROUND(F72*H72,2)</f>
        <v>78408.539999999994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5.2960000000000004E-3</v>
      </c>
      <c r="I76" s="104">
        <f t="shared" ref="I76:I85" si="14">ROUND(F76*H76,2)</f>
        <v>46217.17</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5.2960000000000004E-3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5.0200000000000002E-3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5.0200000000000002E-3</v>
      </c>
      <c r="I79" s="104">
        <f t="shared" si="14"/>
        <v>56660.22</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5.0200000000000002E-3</v>
      </c>
      <c r="I80" s="104">
        <f t="shared" si="14"/>
        <v>1035549.44</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5.0200000000000002E-3</v>
      </c>
      <c r="I82" s="104">
        <v>199677.4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5.0200000000000002E-3</v>
      </c>
      <c r="I83" s="104">
        <v>90762.45</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290439.84999999998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5.0200000000000002E-3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543.30970000000002</v>
      </c>
      <c r="D90" s="469"/>
      <c r="E90" s="49">
        <f>H8</f>
        <v>1.0438000000000001</v>
      </c>
      <c r="F90" s="338">
        <f>'0664'!F90</f>
        <v>957.94</v>
      </c>
      <c r="G90" s="41" t="s">
        <v>13</v>
      </c>
      <c r="H90" s="104">
        <f>ROUND(C90*E90*F90,2)</f>
        <v>543254.16</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547.14369999999997</v>
      </c>
      <c r="D91" s="469"/>
      <c r="E91" s="49">
        <f>H8</f>
        <v>1.0438000000000001</v>
      </c>
      <c r="F91" s="338">
        <f>'0664'!F91</f>
        <v>914.63</v>
      </c>
      <c r="G91" s="41" t="s">
        <v>13</v>
      </c>
      <c r="H91" s="104">
        <f>ROUND(C91*E91*F91,2)</f>
        <v>522353.05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1090.4533999999999</v>
      </c>
      <c r="D93" s="471"/>
      <c r="E93" s="143"/>
      <c r="F93" s="143"/>
      <c r="G93" s="143"/>
      <c r="H93" s="144" t="s">
        <v>143</v>
      </c>
      <c r="I93" s="104">
        <f>IF(A1=75,0,H92+H91+H90)</f>
        <v>1065607.21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140</v>
      </c>
      <c r="D99" s="165">
        <v>141</v>
      </c>
      <c r="E99" s="125">
        <f>(C99+D99)/2</f>
        <v>140.5</v>
      </c>
      <c r="F99" s="148" t="s">
        <v>39</v>
      </c>
      <c r="G99" s="339">
        <f>'0664'!G99</f>
        <v>544</v>
      </c>
      <c r="I99" s="104">
        <f>ROUND(G99*E99,2)</f>
        <v>76432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8361363.3599999994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8070923.5099999998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8070923.5099999998</v>
      </c>
      <c r="I122" s="97">
        <f>ROUND(IF(E29=0,0,IF(E29&gt;250,-(((250/E29)*H122)*IF(G122="H",0.02,0.05)),IF(G122="H",-0.02*H122,-0.05*H122))),2)</f>
        <v>-39336.199999999997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8322027.1599999992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f>-7610932.63-691773.07</f>
        <v>-8302705.7000000002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19321.459999999031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19321.46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122082.27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N63:S63"/>
    <mergeCell ref="T63:U63"/>
    <mergeCell ref="A64:I64"/>
    <mergeCell ref="N64:U64"/>
    <mergeCell ref="A65:B65"/>
    <mergeCell ref="D65:G65"/>
    <mergeCell ref="N65:O65"/>
    <mergeCell ref="Q65:S65"/>
    <mergeCell ref="T65:U65"/>
    <mergeCell ref="A59:B59"/>
    <mergeCell ref="F59:H59"/>
    <mergeCell ref="N59:O59"/>
    <mergeCell ref="P59:Q59"/>
    <mergeCell ref="R59:T59"/>
    <mergeCell ref="N60:U60"/>
    <mergeCell ref="A61:I61"/>
    <mergeCell ref="N61:U61"/>
    <mergeCell ref="A62:B62"/>
    <mergeCell ref="D62:G62"/>
    <mergeCell ref="N62:O62"/>
    <mergeCell ref="Q62:S62"/>
    <mergeCell ref="T62:U62"/>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U206"/>
  <sheetViews>
    <sheetView showGridLines="0" zoomScaleNormal="100" workbookViewId="0">
      <pane ySplit="1" topLeftCell="A14" activePane="bottomLeft" state="frozen"/>
      <selection activeCell="E100" sqref="E100"/>
      <selection pane="bottomLeft" activeCell="E24" sqref="E2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294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52.83</v>
      </c>
      <c r="D13" s="163">
        <v>49.75</v>
      </c>
      <c r="E13" s="210">
        <f>IF(D$29=0,C13*2,C13+D13)</f>
        <v>102.58</v>
      </c>
      <c r="F13" s="539">
        <f>'0664'!F13:G13</f>
        <v>1.1259999999999999</v>
      </c>
      <c r="G13" s="539"/>
      <c r="H13" s="167">
        <f>ROUND(E13*F13,4)</f>
        <v>115.5051</v>
      </c>
      <c r="I13" s="119">
        <f t="shared" ref="I13:I28" si="0">ROUND(ROUND(H13*$C$8,4)*($H$8),2)</f>
        <v>553076.31999999995</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5.49</v>
      </c>
      <c r="D14" s="165">
        <v>4.41</v>
      </c>
      <c r="E14" s="125">
        <f t="shared" ref="E14:E28" si="3">IF(D$29=0,C14*2,C14+D14)</f>
        <v>9.9</v>
      </c>
      <c r="F14" s="534">
        <f>'0664'!F14:G14</f>
        <v>1.1259999999999999</v>
      </c>
      <c r="G14" s="534"/>
      <c r="H14" s="83">
        <f t="shared" ref="H14:H28" si="4">ROUND(E14*F14,4)</f>
        <v>11.147399999999999</v>
      </c>
      <c r="I14" s="104">
        <f t="shared" si="0"/>
        <v>53377.41</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69.67</v>
      </c>
      <c r="D15" s="165">
        <v>68.790000000000006</v>
      </c>
      <c r="E15" s="125">
        <f t="shared" si="3"/>
        <v>138.46</v>
      </c>
      <c r="F15" s="534">
        <f>'0664'!F15:G15</f>
        <v>1</v>
      </c>
      <c r="G15" s="534"/>
      <c r="H15" s="83">
        <f t="shared" si="4"/>
        <v>138.46</v>
      </c>
      <c r="I15" s="104">
        <f t="shared" si="0"/>
        <v>662991.91</v>
      </c>
      <c r="N15" s="481" t="s">
        <v>31</v>
      </c>
      <c r="O15" s="481"/>
      <c r="P15" s="515">
        <f t="shared" si="1"/>
        <v>0</v>
      </c>
      <c r="Q15" s="515"/>
      <c r="R15" s="519">
        <v>1</v>
      </c>
      <c r="S15" s="519"/>
      <c r="T15" s="98">
        <f t="shared" si="5"/>
        <v>0</v>
      </c>
      <c r="U15" s="99">
        <f t="shared" si="2"/>
        <v>0</v>
      </c>
    </row>
    <row r="16" spans="1:21" x14ac:dyDescent="0.25">
      <c r="A16" s="455" t="s">
        <v>32</v>
      </c>
      <c r="B16" s="455"/>
      <c r="C16" s="165">
        <v>10.54</v>
      </c>
      <c r="D16" s="165">
        <v>11.43</v>
      </c>
      <c r="E16" s="125">
        <f t="shared" si="3"/>
        <v>21.97</v>
      </c>
      <c r="F16" s="534">
        <f>'0664'!F16:G16</f>
        <v>1</v>
      </c>
      <c r="G16" s="534"/>
      <c r="H16" s="83">
        <f t="shared" si="4"/>
        <v>21.97</v>
      </c>
      <c r="I16" s="104">
        <f t="shared" si="0"/>
        <v>105199.57</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2.16</v>
      </c>
      <c r="D25" s="165">
        <v>3.03</v>
      </c>
      <c r="E25" s="125">
        <f t="shared" si="3"/>
        <v>5.1899999999999995</v>
      </c>
      <c r="F25" s="534">
        <f>'0664'!F25:G25</f>
        <v>1.206</v>
      </c>
      <c r="G25" s="534"/>
      <c r="H25" s="83">
        <f t="shared" si="4"/>
        <v>6.2591000000000001</v>
      </c>
      <c r="I25" s="104">
        <f t="shared" si="0"/>
        <v>29970.62</v>
      </c>
      <c r="N25" s="481" t="s">
        <v>114</v>
      </c>
      <c r="O25" s="481"/>
      <c r="P25" s="515">
        <f t="shared" si="1"/>
        <v>0</v>
      </c>
      <c r="Q25" s="515"/>
      <c r="R25" s="519">
        <v>1</v>
      </c>
      <c r="S25" s="519"/>
      <c r="T25" s="98">
        <f t="shared" si="5"/>
        <v>0</v>
      </c>
      <c r="U25" s="99">
        <f t="shared" si="2"/>
        <v>0</v>
      </c>
    </row>
    <row r="26" spans="1:21" x14ac:dyDescent="0.25">
      <c r="A26" s="455" t="s">
        <v>115</v>
      </c>
      <c r="B26" s="455"/>
      <c r="C26" s="165">
        <v>2.19</v>
      </c>
      <c r="D26" s="165">
        <v>2.1800000000000002</v>
      </c>
      <c r="E26" s="125">
        <f t="shared" si="3"/>
        <v>4.37</v>
      </c>
      <c r="F26" s="534">
        <f>'0664'!F26:G26</f>
        <v>1.206</v>
      </c>
      <c r="G26" s="534"/>
      <c r="H26" s="83">
        <f t="shared" si="4"/>
        <v>5.2702</v>
      </c>
      <c r="I26" s="104">
        <f t="shared" si="0"/>
        <v>25235.45</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142.88</v>
      </c>
      <c r="D29" s="97">
        <f>SUM(D13:D28)</f>
        <v>139.59</v>
      </c>
      <c r="E29" s="97">
        <f>SUM(E13:E28)</f>
        <v>282.46999999999997</v>
      </c>
      <c r="F29" s="459"/>
      <c r="G29" s="459"/>
      <c r="H29" s="102">
        <f>SUM(H13:H28)</f>
        <v>298.61179999999996</v>
      </c>
      <c r="I29" s="97">
        <f>SUM(I13:I28)</f>
        <v>1429851.2800000003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298.61179999999996</v>
      </c>
      <c r="F45" s="35"/>
      <c r="G45" s="109"/>
      <c r="H45" s="110" t="s">
        <v>129</v>
      </c>
      <c r="I45" s="97">
        <f>SUM(I43,I29)</f>
        <v>1429851.2800000003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4.45</v>
      </c>
      <c r="D50" s="165">
        <v>3.38</v>
      </c>
      <c r="E50" s="125">
        <f>IF(D$59=0,C50*2,C50+D50)</f>
        <v>7.83</v>
      </c>
      <c r="F50" s="39" t="s">
        <v>21</v>
      </c>
      <c r="G50" s="39">
        <v>251</v>
      </c>
      <c r="H50" s="321">
        <f>'0664'!H50</f>
        <v>1047</v>
      </c>
      <c r="I50" s="104">
        <f>ROUND(E50*H50,2)</f>
        <v>8198.01</v>
      </c>
      <c r="N50" s="506" t="s">
        <v>28</v>
      </c>
      <c r="O50" s="506"/>
      <c r="P50" s="507"/>
      <c r="Q50" s="507"/>
      <c r="R50" s="40" t="s">
        <v>21</v>
      </c>
      <c r="S50" s="40">
        <v>251</v>
      </c>
      <c r="T50" s="117">
        <f>H50</f>
        <v>1047</v>
      </c>
      <c r="U50" s="118">
        <f>ROUND(P50*T50,0)</f>
        <v>0</v>
      </c>
    </row>
    <row r="51" spans="1:21" x14ac:dyDescent="0.25">
      <c r="A51" s="462"/>
      <c r="B51" s="462"/>
      <c r="C51" s="165">
        <v>1.04</v>
      </c>
      <c r="D51" s="165">
        <v>1.03</v>
      </c>
      <c r="E51" s="125">
        <f t="shared" ref="E51:E58" si="10">IF(D$59=0,C51*2,C51+D51)</f>
        <v>2.0700000000000003</v>
      </c>
      <c r="F51" s="39" t="s">
        <v>21</v>
      </c>
      <c r="G51" s="39">
        <v>252</v>
      </c>
      <c r="H51" s="321">
        <f>'0664'!H51</f>
        <v>3380</v>
      </c>
      <c r="I51" s="104">
        <f t="shared" ref="I51:I58" si="11">ROUND(E51*H51,2)</f>
        <v>6996.6</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9.5399999999999991</v>
      </c>
      <c r="D53" s="165">
        <v>10.43</v>
      </c>
      <c r="E53" s="125">
        <f t="shared" si="10"/>
        <v>19.97</v>
      </c>
      <c r="F53" s="41" t="s">
        <v>14</v>
      </c>
      <c r="G53" s="39">
        <v>251</v>
      </c>
      <c r="H53" s="321">
        <f>'0664'!H53</f>
        <v>1173</v>
      </c>
      <c r="I53" s="104">
        <f t="shared" si="11"/>
        <v>23424.81</v>
      </c>
      <c r="N53" s="506"/>
      <c r="O53" s="506"/>
      <c r="P53" s="508"/>
      <c r="Q53" s="508"/>
      <c r="R53" s="42" t="s">
        <v>14</v>
      </c>
      <c r="S53" s="40">
        <v>251</v>
      </c>
      <c r="T53" s="117">
        <f t="shared" si="12"/>
        <v>1173</v>
      </c>
      <c r="U53" s="118">
        <f t="shared" si="13"/>
        <v>0</v>
      </c>
    </row>
    <row r="54" spans="1:21" x14ac:dyDescent="0.25">
      <c r="A54" s="462"/>
      <c r="B54" s="462"/>
      <c r="C54" s="165">
        <v>1</v>
      </c>
      <c r="D54" s="165">
        <v>1</v>
      </c>
      <c r="E54" s="125">
        <f t="shared" si="10"/>
        <v>2</v>
      </c>
      <c r="F54" s="41" t="s">
        <v>14</v>
      </c>
      <c r="G54" s="39">
        <v>252</v>
      </c>
      <c r="H54" s="321">
        <f>'0664'!H54</f>
        <v>3506</v>
      </c>
      <c r="I54" s="104">
        <f t="shared" si="11"/>
        <v>7012</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16.03</v>
      </c>
      <c r="D59" s="100">
        <f>SUM(D50:D58)</f>
        <v>15.84</v>
      </c>
      <c r="E59" s="100">
        <f>SUM(E50:E58)</f>
        <v>31.869999999999997</v>
      </c>
      <c r="F59" s="463" t="s">
        <v>77</v>
      </c>
      <c r="G59" s="463"/>
      <c r="H59" s="463"/>
      <c r="I59" s="100">
        <f>SUM(I50:I58)</f>
        <v>45631.42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282.46999999999997</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1.4580000000000001E-3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298.61179999999996</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1.3749999999999999E-3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1.4580000000000001E-3</v>
      </c>
      <c r="I68" s="104">
        <f>ROUND(F68*H68,2)</f>
        <v>62022.55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1.4580000000000001E-3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1.4580000000000001E-3</v>
      </c>
      <c r="I71" s="104">
        <f>ROUND(F71*H71,2)</f>
        <v>19577.259999999998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1.4580000000000001E-3</v>
      </c>
      <c r="I72" s="104">
        <f>ROUND(F72*H72,2)</f>
        <v>21586.04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1.4580000000000001E-3</v>
      </c>
      <c r="I76" s="104">
        <f t="shared" ref="I76:I85" si="14">ROUND(F76*H76,2)</f>
        <v>12723.68</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1.4580000000000001E-3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1.3749999999999999E-3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1.3749999999999999E-3</v>
      </c>
      <c r="I79" s="104">
        <f t="shared" si="14"/>
        <v>15519.48</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1.3749999999999999E-3</v>
      </c>
      <c r="I80" s="104">
        <f t="shared" si="14"/>
        <v>283641.53000000003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1.3749999999999999E-3</v>
      </c>
      <c r="I82" s="104">
        <v>58954.53</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1.3749999999999999E-3</v>
      </c>
      <c r="I83" s="104">
        <v>26797.51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85752.04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1.3749999999999999E-3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132.91159999999999</v>
      </c>
      <c r="D90" s="469"/>
      <c r="E90" s="49">
        <f>H8</f>
        <v>1.0438000000000001</v>
      </c>
      <c r="F90" s="338">
        <f>'0664'!F90</f>
        <v>957.94</v>
      </c>
      <c r="G90" s="41" t="s">
        <v>13</v>
      </c>
      <c r="H90" s="104">
        <f>ROUND(C90*E90*F90,2)</f>
        <v>132898.01</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165.7002</v>
      </c>
      <c r="D91" s="469"/>
      <c r="E91" s="49">
        <f>H8</f>
        <v>1.0438000000000001</v>
      </c>
      <c r="F91" s="338">
        <f>'0664'!F91</f>
        <v>914.63</v>
      </c>
      <c r="G91" s="41" t="s">
        <v>13</v>
      </c>
      <c r="H91" s="104">
        <f>ROUND(C91*E91*F91,2)</f>
        <v>158192.46</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298.61180000000002</v>
      </c>
      <c r="D93" s="471"/>
      <c r="E93" s="143"/>
      <c r="F93" s="143"/>
      <c r="G93" s="143"/>
      <c r="H93" s="144" t="s">
        <v>143</v>
      </c>
      <c r="I93" s="104">
        <f>IF(A1=75,0,H92+H91+H90)</f>
        <v>291090.46999999997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26</v>
      </c>
      <c r="D99" s="165">
        <v>41</v>
      </c>
      <c r="E99" s="166">
        <f>(C99+D99)/2</f>
        <v>33.5</v>
      </c>
      <c r="F99" s="148" t="s">
        <v>39</v>
      </c>
      <c r="G99" s="339">
        <f>'0664'!G99</f>
        <v>544</v>
      </c>
      <c r="I99" s="104">
        <f>ROUND(G99*E99,2)</f>
        <v>18224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2285619.7500000005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2199867.7100000004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2199867.7100000004</v>
      </c>
      <c r="I122" s="97">
        <f>ROUND(IF(E29=0,0,IF(E29&gt;250,-(((250/E29)*H122)*IF(G122="H",0.02,0.05)),IF(G122="H",-0.02*H122,-0.05*H122))),2)</f>
        <v>-97349.62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2188270.1300000004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-2016715.02-167191.7</f>
        <v>-2183906.7200000002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4363.410000000149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4363.41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12643.77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R59:T59"/>
    <mergeCell ref="A50:B58"/>
    <mergeCell ref="N50:O58"/>
    <mergeCell ref="P50:Q50"/>
    <mergeCell ref="P51:Q51"/>
    <mergeCell ref="A60:I60"/>
    <mergeCell ref="N60:U60"/>
    <mergeCell ref="A61:I61"/>
    <mergeCell ref="N61:U61"/>
    <mergeCell ref="P52:Q52"/>
    <mergeCell ref="P53:Q53"/>
    <mergeCell ref="P54:Q54"/>
    <mergeCell ref="P55:Q55"/>
    <mergeCell ref="P56:Q56"/>
    <mergeCell ref="P57:Q57"/>
    <mergeCell ref="P58:Q58"/>
    <mergeCell ref="A59:B59"/>
    <mergeCell ref="F59:H59"/>
    <mergeCell ref="N59:O59"/>
    <mergeCell ref="P59:Q59"/>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U206"/>
  <sheetViews>
    <sheetView showGridLines="0" zoomScaleNormal="100" workbookViewId="0">
      <pane ySplit="1" topLeftCell="A17" activePane="bottomLeft" state="frozen"/>
      <selection activeCell="E100" sqref="E100"/>
      <selection pane="bottomLeft" activeCell="H122" sqref="H122"/>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285</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53.49</v>
      </c>
      <c r="D17" s="165">
        <v>52.92</v>
      </c>
      <c r="E17" s="125">
        <f t="shared" si="3"/>
        <v>106.41</v>
      </c>
      <c r="F17" s="534">
        <f>'0664'!F17:G17</f>
        <v>0.999</v>
      </c>
      <c r="G17" s="534"/>
      <c r="H17" s="83">
        <f t="shared" si="4"/>
        <v>106.3036</v>
      </c>
      <c r="I17" s="104">
        <f t="shared" si="0"/>
        <v>509016.52</v>
      </c>
      <c r="N17" s="481" t="s">
        <v>33</v>
      </c>
      <c r="O17" s="481"/>
      <c r="P17" s="515">
        <f t="shared" si="1"/>
        <v>0</v>
      </c>
      <c r="Q17" s="515"/>
      <c r="R17" s="519">
        <v>1</v>
      </c>
      <c r="S17" s="519"/>
      <c r="T17" s="98">
        <f t="shared" si="5"/>
        <v>0</v>
      </c>
      <c r="U17" s="99">
        <f t="shared" si="2"/>
        <v>0</v>
      </c>
    </row>
    <row r="18" spans="1:21" x14ac:dyDescent="0.25">
      <c r="A18" s="455" t="s">
        <v>34</v>
      </c>
      <c r="B18" s="455"/>
      <c r="C18" s="165">
        <v>13.43</v>
      </c>
      <c r="D18" s="165">
        <v>16.14</v>
      </c>
      <c r="E18" s="125">
        <f t="shared" si="3"/>
        <v>29.57</v>
      </c>
      <c r="F18" s="534">
        <f>'0664'!F18:G18</f>
        <v>0.999</v>
      </c>
      <c r="G18" s="534"/>
      <c r="H18" s="83">
        <f t="shared" si="4"/>
        <v>29.540400000000002</v>
      </c>
      <c r="I18" s="104">
        <f t="shared" si="0"/>
        <v>141449.13</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2.5499999999999998</v>
      </c>
      <c r="D27" s="165">
        <v>2.2799999999999998</v>
      </c>
      <c r="E27" s="125">
        <f t="shared" si="3"/>
        <v>4.83</v>
      </c>
      <c r="F27" s="534">
        <f>'0664'!F27:G27</f>
        <v>1.206</v>
      </c>
      <c r="G27" s="534"/>
      <c r="H27" s="83">
        <f t="shared" si="4"/>
        <v>5.8250000000000002</v>
      </c>
      <c r="I27" s="104">
        <f t="shared" si="0"/>
        <v>27892.01</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69.47</v>
      </c>
      <c r="D29" s="97">
        <f>SUM(D13:D28)</f>
        <v>71.34</v>
      </c>
      <c r="E29" s="97">
        <f>SUM(E13:E28)</f>
        <v>140.81</v>
      </c>
      <c r="F29" s="459"/>
      <c r="G29" s="459"/>
      <c r="H29" s="102">
        <f>SUM(H13:H28)</f>
        <v>141.66899999999998</v>
      </c>
      <c r="I29" s="97">
        <f>SUM(I13:I28)</f>
        <v>678357.66</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141.66899999999998</v>
      </c>
      <c r="F45" s="35"/>
      <c r="G45" s="109"/>
      <c r="H45" s="110" t="s">
        <v>129</v>
      </c>
      <c r="I45" s="97">
        <f>SUM(I43,I29)</f>
        <v>678357.66</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12.44</v>
      </c>
      <c r="D56" s="165">
        <v>15.14</v>
      </c>
      <c r="E56" s="125">
        <f t="shared" si="10"/>
        <v>27.58</v>
      </c>
      <c r="F56" s="41" t="s">
        <v>15</v>
      </c>
      <c r="G56" s="39">
        <v>251</v>
      </c>
      <c r="H56" s="321">
        <f>'0664'!H56</f>
        <v>835</v>
      </c>
      <c r="I56" s="104">
        <f t="shared" si="11"/>
        <v>23029.3</v>
      </c>
      <c r="N56" s="506"/>
      <c r="O56" s="506"/>
      <c r="P56" s="508"/>
      <c r="Q56" s="508"/>
      <c r="R56" s="42" t="s">
        <v>15</v>
      </c>
      <c r="S56" s="40">
        <v>251</v>
      </c>
      <c r="T56" s="117">
        <f t="shared" si="12"/>
        <v>835</v>
      </c>
      <c r="U56" s="118">
        <f t="shared" si="13"/>
        <v>0</v>
      </c>
    </row>
    <row r="57" spans="1:21" x14ac:dyDescent="0.25">
      <c r="A57" s="462"/>
      <c r="B57" s="462"/>
      <c r="C57" s="165">
        <v>0.99</v>
      </c>
      <c r="D57" s="165">
        <v>1</v>
      </c>
      <c r="E57" s="125">
        <f t="shared" si="10"/>
        <v>1.99</v>
      </c>
      <c r="F57" s="41" t="s">
        <v>15</v>
      </c>
      <c r="G57" s="39">
        <v>252</v>
      </c>
      <c r="H57" s="321">
        <f>'0664'!H57</f>
        <v>3168</v>
      </c>
      <c r="I57" s="104">
        <f t="shared" si="11"/>
        <v>6304.32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13.43</v>
      </c>
      <c r="D59" s="100">
        <f>SUM(D50:D58)</f>
        <v>16.14</v>
      </c>
      <c r="E59" s="100">
        <f>SUM(E50:E58)</f>
        <v>29.569999999999997</v>
      </c>
      <c r="F59" s="463" t="s">
        <v>77</v>
      </c>
      <c r="G59" s="463"/>
      <c r="H59" s="463"/>
      <c r="I59" s="100">
        <f>SUM(I50:I58)</f>
        <v>29333.62</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140.81</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7.27E-4</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141.66899999999998</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6.5200000000000002E-4</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7.27E-4</v>
      </c>
      <c r="I68" s="104">
        <f>ROUND(F68*H68,2)</f>
        <v>30926.2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7.27E-4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7.27E-4</v>
      </c>
      <c r="I71" s="104">
        <f>ROUND(F71*H71,2)</f>
        <v>9761.7800000000007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7.27E-4</v>
      </c>
      <c r="I72" s="104">
        <f>ROUND(F72*H72,2)</f>
        <v>10763.41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7.27E-4</v>
      </c>
      <c r="I76" s="104">
        <f t="shared" ref="I76:I85" si="14">ROUND(F76*H76,2)</f>
        <v>6344.39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7.27E-4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6.5200000000000002E-4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6.5200000000000002E-4</v>
      </c>
      <c r="I79" s="104">
        <f t="shared" si="14"/>
        <v>7359.06</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6.5200000000000002E-4</v>
      </c>
      <c r="I80" s="104">
        <f t="shared" si="14"/>
        <v>134497.66</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6.5200000000000002E-4</v>
      </c>
      <c r="I82" s="104">
        <v>24636.61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6.5200000000000002E-4</v>
      </c>
      <c r="I83" s="104">
        <v>11198.46</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35835.07</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6.5200000000000002E-4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141.66899999999998</v>
      </c>
      <c r="D92" s="469"/>
      <c r="E92" s="49">
        <f>H8</f>
        <v>1.0438000000000001</v>
      </c>
      <c r="F92" s="338">
        <f>'0664'!F92</f>
        <v>916.84</v>
      </c>
      <c r="G92" s="41" t="s">
        <v>13</v>
      </c>
      <c r="H92" s="97">
        <f>ROUND(C92*E92*F92,2)</f>
        <v>135576.89000000001</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141.66899999999998</v>
      </c>
      <c r="D93" s="471"/>
      <c r="E93" s="143"/>
      <c r="F93" s="143"/>
      <c r="G93" s="143"/>
      <c r="H93" s="144" t="s">
        <v>143</v>
      </c>
      <c r="I93" s="104">
        <f>IF(A1=75,0,H92+H91+H90)</f>
        <v>135576.89000000001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33</v>
      </c>
      <c r="D99" s="165">
        <v>35</v>
      </c>
      <c r="E99" s="166">
        <f>(C99+D99)/2</f>
        <v>34</v>
      </c>
      <c r="F99" s="148" t="s">
        <v>39</v>
      </c>
      <c r="G99" s="339">
        <f>'0664'!G99</f>
        <v>544</v>
      </c>
      <c r="I99" s="104">
        <f>ROUND(G99*E99,2)</f>
        <v>18496</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1097251.74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1061416.67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1061416.67</v>
      </c>
      <c r="I122" s="97">
        <f>ROUND(IF(E29=0,0,IF(E29&gt;250,-(((250/E29)*H122)*IF(G122="H",0.02,0.05)),IF(G122="H",-0.02*H122,-0.05*H122))),2)</f>
        <v>-53070.83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1044180.91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-953469.51-92006.54</f>
        <v>-1045476.05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-1295.140000000014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-1295.1400000000001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U206"/>
  <sheetViews>
    <sheetView showGridLines="0" zoomScaleNormal="100" workbookViewId="0">
      <pane ySplit="1" topLeftCell="A11" activePane="bottomLeft" state="frozen"/>
      <selection activeCell="E100" sqref="E100"/>
      <selection pane="bottomLeft" activeCell="D54" sqref="D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331</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140.19</v>
      </c>
      <c r="D15" s="165">
        <v>134.65</v>
      </c>
      <c r="E15" s="125">
        <f t="shared" si="3"/>
        <v>274.84000000000003</v>
      </c>
      <c r="F15" s="534">
        <f>'0664'!F15:G15</f>
        <v>1</v>
      </c>
      <c r="G15" s="534"/>
      <c r="H15" s="83">
        <f t="shared" si="4"/>
        <v>274.83999999999997</v>
      </c>
      <c r="I15" s="104">
        <f t="shared" si="0"/>
        <v>1316024.1000000001</v>
      </c>
      <c r="N15" s="481" t="s">
        <v>31</v>
      </c>
      <c r="O15" s="481"/>
      <c r="P15" s="515">
        <f t="shared" si="1"/>
        <v>0</v>
      </c>
      <c r="Q15" s="515"/>
      <c r="R15" s="519">
        <v>1</v>
      </c>
      <c r="S15" s="519"/>
      <c r="T15" s="98">
        <f t="shared" si="5"/>
        <v>0</v>
      </c>
      <c r="U15" s="99">
        <f t="shared" si="2"/>
        <v>0</v>
      </c>
    </row>
    <row r="16" spans="1:21" x14ac:dyDescent="0.25">
      <c r="A16" s="455" t="s">
        <v>32</v>
      </c>
      <c r="B16" s="455"/>
      <c r="C16" s="165">
        <v>24.95</v>
      </c>
      <c r="D16" s="165">
        <v>23.41</v>
      </c>
      <c r="E16" s="125">
        <f t="shared" si="3"/>
        <v>48.36</v>
      </c>
      <c r="F16" s="534">
        <f>'0664'!F16:G16</f>
        <v>1</v>
      </c>
      <c r="G16" s="534"/>
      <c r="H16" s="83">
        <f t="shared" si="4"/>
        <v>48.36</v>
      </c>
      <c r="I16" s="104">
        <f t="shared" si="0"/>
        <v>231563.55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12.3</v>
      </c>
      <c r="D26" s="165">
        <v>12.28</v>
      </c>
      <c r="E26" s="125">
        <f t="shared" si="3"/>
        <v>24.58</v>
      </c>
      <c r="F26" s="534">
        <f>'0664'!F26:G26</f>
        <v>1.206</v>
      </c>
      <c r="G26" s="534"/>
      <c r="H26" s="83">
        <f t="shared" si="4"/>
        <v>29.6435</v>
      </c>
      <c r="I26" s="104">
        <f t="shared" si="0"/>
        <v>141942.79999999999</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177.44</v>
      </c>
      <c r="D29" s="97">
        <f>SUM(D13:D28)</f>
        <v>170.34</v>
      </c>
      <c r="E29" s="97">
        <f>SUM(E13:E28)</f>
        <v>347.78000000000003</v>
      </c>
      <c r="F29" s="459"/>
      <c r="G29" s="459"/>
      <c r="H29" s="102">
        <f>SUM(H13:H28)</f>
        <v>352.84350000000001</v>
      </c>
      <c r="I29" s="97">
        <f>SUM(I13:I28)</f>
        <v>1689530.4500000002</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352.84350000000001</v>
      </c>
      <c r="F45" s="35"/>
      <c r="G45" s="109"/>
      <c r="H45" s="110" t="s">
        <v>129</v>
      </c>
      <c r="I45" s="97">
        <f>SUM(I43,I29)</f>
        <v>1689530.4500000002</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23.91</v>
      </c>
      <c r="D53" s="165">
        <v>22.51</v>
      </c>
      <c r="E53" s="125">
        <f t="shared" si="10"/>
        <v>46.42</v>
      </c>
      <c r="F53" s="41" t="s">
        <v>14</v>
      </c>
      <c r="G53" s="39">
        <v>251</v>
      </c>
      <c r="H53" s="321">
        <f>'0664'!H53</f>
        <v>1173</v>
      </c>
      <c r="I53" s="104">
        <f t="shared" si="11"/>
        <v>54450.66</v>
      </c>
      <c r="N53" s="506"/>
      <c r="O53" s="506"/>
      <c r="P53" s="508"/>
      <c r="Q53" s="508"/>
      <c r="R53" s="42" t="s">
        <v>14</v>
      </c>
      <c r="S53" s="40">
        <v>251</v>
      </c>
      <c r="T53" s="117">
        <f t="shared" si="12"/>
        <v>1173</v>
      </c>
      <c r="U53" s="118">
        <f t="shared" si="13"/>
        <v>0</v>
      </c>
    </row>
    <row r="54" spans="1:21" x14ac:dyDescent="0.25">
      <c r="A54" s="462"/>
      <c r="B54" s="462"/>
      <c r="C54" s="165">
        <v>1.04</v>
      </c>
      <c r="D54" s="165">
        <v>0.9</v>
      </c>
      <c r="E54" s="125">
        <f t="shared" si="10"/>
        <v>1.94</v>
      </c>
      <c r="F54" s="41" t="s">
        <v>14</v>
      </c>
      <c r="G54" s="39">
        <v>252</v>
      </c>
      <c r="H54" s="321">
        <f>'0664'!H54</f>
        <v>3506</v>
      </c>
      <c r="I54" s="104">
        <f t="shared" si="11"/>
        <v>6801.64</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24.95</v>
      </c>
      <c r="D59" s="100">
        <f>SUM(D50:D58)</f>
        <v>23.41</v>
      </c>
      <c r="E59" s="100">
        <f>SUM(E50:E58)</f>
        <v>48.36</v>
      </c>
      <c r="F59" s="463" t="s">
        <v>77</v>
      </c>
      <c r="G59" s="463"/>
      <c r="H59" s="463"/>
      <c r="I59" s="100">
        <f>SUM(I50:I58)</f>
        <v>61252.3</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347.78000000000003</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1.7949999999999999E-3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352.84350000000001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1.624E-3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1.7949999999999999E-3</v>
      </c>
      <c r="I68" s="104">
        <f>ROUND(F68*H68,2)</f>
        <v>76358.350000000006</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1.7949999999999999E-3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1.7949999999999999E-3</v>
      </c>
      <c r="I71" s="104">
        <f>ROUND(F71*H71,2)</f>
        <v>24102.32</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1.7949999999999999E-3</v>
      </c>
      <c r="I72" s="104">
        <f>ROUND(F72*H72,2)</f>
        <v>26575.4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1.7949999999999999E-3</v>
      </c>
      <c r="I76" s="104">
        <f t="shared" ref="I76:I85" si="14">ROUND(F76*H76,2)</f>
        <v>15664.62</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1.7949999999999999E-3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1.624E-3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1.624E-3</v>
      </c>
      <c r="I79" s="104">
        <f t="shared" si="14"/>
        <v>18329.919999999998</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1.624E-3</v>
      </c>
      <c r="I80" s="104">
        <f t="shared" si="14"/>
        <v>335006.43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1.624E-3</v>
      </c>
      <c r="I82" s="104">
        <v>63335.54</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1.624E-3</v>
      </c>
      <c r="I83" s="104">
        <v>28788.880000000001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92124.42</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1.624E-3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352.84350000000001</v>
      </c>
      <c r="D91" s="469"/>
      <c r="E91" s="49">
        <f>H8</f>
        <v>1.0438000000000001</v>
      </c>
      <c r="F91" s="338">
        <f>'0664'!F91</f>
        <v>914.63</v>
      </c>
      <c r="G91" s="41" t="s">
        <v>13</v>
      </c>
      <c r="H91" s="104">
        <f>ROUND(C91*E91*F91,2)</f>
        <v>336856.44</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352.84350000000001</v>
      </c>
      <c r="D93" s="471"/>
      <c r="E93" s="143"/>
      <c r="F93" s="143"/>
      <c r="G93" s="143"/>
      <c r="H93" s="144" t="s">
        <v>143</v>
      </c>
      <c r="I93" s="104">
        <f>IF(A1=75,0,H92+H91+H90)</f>
        <v>336856.44</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1</v>
      </c>
      <c r="D99" s="165">
        <v>1</v>
      </c>
      <c r="E99" s="166">
        <f>(C99+D99)/2</f>
        <v>1</v>
      </c>
      <c r="F99" s="148" t="s">
        <v>39</v>
      </c>
      <c r="G99" s="339">
        <f>'0664'!G99</f>
        <v>544</v>
      </c>
      <c r="I99" s="104">
        <f>ROUND(G99*E99,2)</f>
        <v>544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2676344.6500000004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2584220.2300000004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2584220.2300000004</v>
      </c>
      <c r="I122" s="97">
        <f>ROUND(IF(E29=0,0,IF(E29&gt;250,-(((250/E29)*H122)*IF(G122="H",0.02,0.05)),IF(G122="H",-0.02*H122,-0.05*H122))),2)</f>
        <v>-92882.72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2583461.9300000002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-2354398.96-202534.94</f>
        <v>-2556933.9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26528.030000000261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26528.03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36328.29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U206"/>
  <sheetViews>
    <sheetView showGridLines="0" zoomScaleNormal="100" workbookViewId="0">
      <pane ySplit="1" topLeftCell="A11" activePane="bottomLeft" state="frozen"/>
      <selection activeCell="E100" sqref="E100"/>
      <selection pane="bottomLeft" activeCell="C54" sqref="C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330</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1"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99.86</v>
      </c>
      <c r="D13" s="163">
        <v>102.03</v>
      </c>
      <c r="E13" s="210">
        <f>IF(D$29=0,C13*2,C13+D13)</f>
        <v>201.89</v>
      </c>
      <c r="F13" s="539">
        <f>'0664'!F13:G13</f>
        <v>1.1259999999999999</v>
      </c>
      <c r="G13" s="539"/>
      <c r="H13" s="167">
        <f>ROUND(E13*F13,4)</f>
        <v>227.32810000000001</v>
      </c>
      <c r="I13" s="119">
        <f t="shared" ref="I13:I28" si="0">ROUND(ROUND(H13*$C$8,4)*($H$8),2)</f>
        <v>1088521.53</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6.92</v>
      </c>
      <c r="D14" s="165">
        <v>7.08</v>
      </c>
      <c r="E14" s="125">
        <f t="shared" ref="E14:E28" si="3">IF(D$29=0,C14*2,C14+D14)</f>
        <v>14</v>
      </c>
      <c r="F14" s="534">
        <f>'0664'!F14:G14</f>
        <v>1.1259999999999999</v>
      </c>
      <c r="G14" s="534"/>
      <c r="H14" s="83">
        <f t="shared" ref="H14:H28" si="4">ROUND(E14*F14,4)</f>
        <v>15.763999999999999</v>
      </c>
      <c r="I14" s="104">
        <f t="shared" si="0"/>
        <v>75483.199999999997</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50.2</v>
      </c>
      <c r="D15" s="165">
        <v>48.61</v>
      </c>
      <c r="E15" s="125">
        <f t="shared" si="3"/>
        <v>98.81</v>
      </c>
      <c r="F15" s="534">
        <f>'0664'!F15:G15</f>
        <v>1</v>
      </c>
      <c r="G15" s="534"/>
      <c r="H15" s="83">
        <f t="shared" si="4"/>
        <v>98.81</v>
      </c>
      <c r="I15" s="104">
        <f t="shared" si="0"/>
        <v>473134.7</v>
      </c>
      <c r="N15" s="481" t="s">
        <v>31</v>
      </c>
      <c r="O15" s="481"/>
      <c r="P15" s="515">
        <f t="shared" si="1"/>
        <v>0</v>
      </c>
      <c r="Q15" s="515"/>
      <c r="R15" s="519">
        <v>1</v>
      </c>
      <c r="S15" s="519"/>
      <c r="T15" s="98">
        <f t="shared" si="5"/>
        <v>0</v>
      </c>
      <c r="U15" s="99">
        <f t="shared" si="2"/>
        <v>0</v>
      </c>
    </row>
    <row r="16" spans="1:21" x14ac:dyDescent="0.25">
      <c r="A16" s="455" t="s">
        <v>32</v>
      </c>
      <c r="B16" s="455"/>
      <c r="C16" s="165">
        <v>9.9600000000000009</v>
      </c>
      <c r="D16" s="165">
        <v>9.09</v>
      </c>
      <c r="E16" s="125">
        <f t="shared" si="3"/>
        <v>19.05</v>
      </c>
      <c r="F16" s="534">
        <f>'0664'!F16:G16</f>
        <v>1</v>
      </c>
      <c r="G16" s="534"/>
      <c r="H16" s="83">
        <f t="shared" si="4"/>
        <v>19.05</v>
      </c>
      <c r="I16" s="104">
        <f t="shared" si="0"/>
        <v>91217.65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32.36</v>
      </c>
      <c r="D25" s="165">
        <v>31.69</v>
      </c>
      <c r="E25" s="125">
        <f t="shared" si="3"/>
        <v>64.05</v>
      </c>
      <c r="F25" s="534">
        <f>'0664'!F25:G25</f>
        <v>1.206</v>
      </c>
      <c r="G25" s="534"/>
      <c r="H25" s="83">
        <f t="shared" si="4"/>
        <v>77.244299999999996</v>
      </c>
      <c r="I25" s="104">
        <f t="shared" si="0"/>
        <v>369871.05</v>
      </c>
      <c r="N25" s="481" t="s">
        <v>114</v>
      </c>
      <c r="O25" s="481"/>
      <c r="P25" s="515">
        <f t="shared" si="1"/>
        <v>0</v>
      </c>
      <c r="Q25" s="515"/>
      <c r="R25" s="519">
        <v>1</v>
      </c>
      <c r="S25" s="519"/>
      <c r="T25" s="98">
        <f t="shared" si="5"/>
        <v>0</v>
      </c>
      <c r="U25" s="99">
        <f t="shared" si="2"/>
        <v>0</v>
      </c>
    </row>
    <row r="26" spans="1:21" x14ac:dyDescent="0.25">
      <c r="A26" s="455" t="s">
        <v>115</v>
      </c>
      <c r="B26" s="455"/>
      <c r="C26" s="165">
        <v>6.75</v>
      </c>
      <c r="D26" s="165">
        <v>6.41</v>
      </c>
      <c r="E26" s="125">
        <f t="shared" si="3"/>
        <v>13.16</v>
      </c>
      <c r="F26" s="534">
        <f>'0664'!F26:G26</f>
        <v>1.206</v>
      </c>
      <c r="G26" s="534"/>
      <c r="H26" s="83">
        <f t="shared" si="4"/>
        <v>15.871</v>
      </c>
      <c r="I26" s="104">
        <f t="shared" si="0"/>
        <v>75995.56</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206.05</v>
      </c>
      <c r="D29" s="97">
        <f>SUM(D13:D28)</f>
        <v>204.91</v>
      </c>
      <c r="E29" s="97">
        <f>SUM(E13:E28)</f>
        <v>410.96000000000004</v>
      </c>
      <c r="F29" s="459"/>
      <c r="G29" s="459"/>
      <c r="H29" s="102">
        <f>SUM(H13:H28)</f>
        <v>454.06740000000002</v>
      </c>
      <c r="I29" s="97">
        <f>SUM(I13:I28)</f>
        <v>2174223.69</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454.06740000000002</v>
      </c>
      <c r="F45" s="35"/>
      <c r="G45" s="109"/>
      <c r="H45" s="110" t="s">
        <v>129</v>
      </c>
      <c r="I45" s="97">
        <f>SUM(I43,I29)</f>
        <v>2174223.69</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1"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6.43</v>
      </c>
      <c r="D50" s="165">
        <v>6.57</v>
      </c>
      <c r="E50" s="125">
        <f>IF(D$59=0,C50*2,C50+D50)</f>
        <v>13</v>
      </c>
      <c r="F50" s="39" t="s">
        <v>21</v>
      </c>
      <c r="G50" s="39">
        <v>251</v>
      </c>
      <c r="H50" s="321">
        <f>'0664'!H50</f>
        <v>1047</v>
      </c>
      <c r="I50" s="104">
        <f>ROUND(E50*H50,2)</f>
        <v>13611</v>
      </c>
      <c r="N50" s="506" t="s">
        <v>28</v>
      </c>
      <c r="O50" s="506"/>
      <c r="P50" s="507"/>
      <c r="Q50" s="507"/>
      <c r="R50" s="40" t="s">
        <v>21</v>
      </c>
      <c r="S50" s="40">
        <v>251</v>
      </c>
      <c r="T50" s="117">
        <f>H50</f>
        <v>1047</v>
      </c>
      <c r="U50" s="118">
        <f>ROUND(P50*T50,0)</f>
        <v>0</v>
      </c>
    </row>
    <row r="51" spans="1:21" x14ac:dyDescent="0.25">
      <c r="A51" s="462"/>
      <c r="B51" s="462"/>
      <c r="C51" s="165">
        <v>0.49</v>
      </c>
      <c r="D51" s="165">
        <v>0.51</v>
      </c>
      <c r="E51" s="125">
        <f t="shared" ref="E51:E58" si="10">IF(D$59=0,C51*2,C51+D51)</f>
        <v>1</v>
      </c>
      <c r="F51" s="39" t="s">
        <v>21</v>
      </c>
      <c r="G51" s="39">
        <v>252</v>
      </c>
      <c r="H51" s="321">
        <f>'0664'!H51</f>
        <v>3380</v>
      </c>
      <c r="I51" s="104">
        <f t="shared" ref="I51:I58" si="11">ROUND(E51*H51,2)</f>
        <v>3380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9.4600000000000009</v>
      </c>
      <c r="D53" s="165">
        <v>9.09</v>
      </c>
      <c r="E53" s="125">
        <f t="shared" si="10"/>
        <v>18.55</v>
      </c>
      <c r="F53" s="41" t="s">
        <v>14</v>
      </c>
      <c r="G53" s="39">
        <v>251</v>
      </c>
      <c r="H53" s="321">
        <f>'0664'!H53</f>
        <v>1173</v>
      </c>
      <c r="I53" s="104">
        <f t="shared" si="11"/>
        <v>21759.15</v>
      </c>
      <c r="N53" s="506"/>
      <c r="O53" s="506"/>
      <c r="P53" s="508"/>
      <c r="Q53" s="508"/>
      <c r="R53" s="42" t="s">
        <v>14</v>
      </c>
      <c r="S53" s="40">
        <v>251</v>
      </c>
      <c r="T53" s="117">
        <f t="shared" si="12"/>
        <v>1173</v>
      </c>
      <c r="U53" s="118">
        <f t="shared" si="13"/>
        <v>0</v>
      </c>
    </row>
    <row r="54" spans="1:21" x14ac:dyDescent="0.25">
      <c r="A54" s="462"/>
      <c r="B54" s="462"/>
      <c r="C54" s="165">
        <v>0.5</v>
      </c>
      <c r="D54" s="165">
        <v>0</v>
      </c>
      <c r="E54" s="125">
        <f t="shared" si="10"/>
        <v>0.5</v>
      </c>
      <c r="F54" s="41" t="s">
        <v>14</v>
      </c>
      <c r="G54" s="39">
        <v>252</v>
      </c>
      <c r="H54" s="321">
        <f>'0664'!H54</f>
        <v>3506</v>
      </c>
      <c r="I54" s="104">
        <f t="shared" si="11"/>
        <v>1753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16.880000000000003</v>
      </c>
      <c r="D59" s="100">
        <f>SUM(D50:D58)</f>
        <v>16.170000000000002</v>
      </c>
      <c r="E59" s="100">
        <f>SUM(E50:E58)</f>
        <v>33.049999999999997</v>
      </c>
      <c r="F59" s="463" t="s">
        <v>77</v>
      </c>
      <c r="G59" s="463"/>
      <c r="H59" s="463"/>
      <c r="I59" s="100">
        <f>SUM(I50:I58)</f>
        <v>40503.15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410.96000000000004</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2.1210000000000001E-3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454.06740000000002</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2.0899999999999998E-3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2.1210000000000001E-3</v>
      </c>
      <c r="I68" s="104">
        <f>ROUND(F68*H68,2)</f>
        <v>90226.22</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2.1210000000000001E-3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2.1210000000000001E-3</v>
      </c>
      <c r="I71" s="104">
        <f>ROUND(F71*H71,2)</f>
        <v>28479.68</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2.1210000000000001E-3</v>
      </c>
      <c r="I72" s="104">
        <f>ROUND(F72*H72,2)</f>
        <v>31401.91</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2.1210000000000001E-3</v>
      </c>
      <c r="I76" s="104">
        <f t="shared" ref="I76:I85" si="14">ROUND(F76*H76,2)</f>
        <v>18509.560000000001</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2.1210000000000001E-3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2.0899999999999998E-3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2.0899999999999998E-3</v>
      </c>
      <c r="I79" s="104">
        <f t="shared" si="14"/>
        <v>23589.61</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2.0899999999999998E-3</v>
      </c>
      <c r="I80" s="104">
        <f t="shared" si="14"/>
        <v>431135.13</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2.0899999999999998E-3</v>
      </c>
      <c r="I82" s="104">
        <v>79211.88</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2.0899999999999998E-3</v>
      </c>
      <c r="I83" s="104">
        <v>36005.4</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115217.28</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2.0899999999999998E-3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320.33640000000003</v>
      </c>
      <c r="D90" s="469"/>
      <c r="E90" s="49">
        <f>H8</f>
        <v>1.0438000000000001</v>
      </c>
      <c r="F90" s="338">
        <f>'0664'!F90</f>
        <v>957.94</v>
      </c>
      <c r="G90" s="41" t="s">
        <v>13</v>
      </c>
      <c r="H90" s="104">
        <f>ROUND(C90*E90*F90,2)</f>
        <v>320303.65000000002</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133.73099999999999</v>
      </c>
      <c r="D91" s="469"/>
      <c r="E91" s="49">
        <f>H8</f>
        <v>1.0438000000000001</v>
      </c>
      <c r="F91" s="338">
        <f>'0664'!F91</f>
        <v>914.63</v>
      </c>
      <c r="G91" s="41" t="s">
        <v>13</v>
      </c>
      <c r="H91" s="104">
        <f>ROUND(C91*E91*F91,2)</f>
        <v>127671.75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454.06740000000002</v>
      </c>
      <c r="D93" s="471"/>
      <c r="E93" s="143"/>
      <c r="F93" s="143"/>
      <c r="G93" s="143"/>
      <c r="H93" s="144" t="s">
        <v>143</v>
      </c>
      <c r="I93" s="104">
        <f>IF(A1=75,0,H92+H91+H90)</f>
        <v>447975.4</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1"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66">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3401261.63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3286044.35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3286044.35</v>
      </c>
      <c r="I122" s="97">
        <f>ROUND(IF(E29=0,0,IF(E29&gt;250,-(((250/E29)*H122)*IF(G122="H",0.02,0.05)),IF(G122="H",-0.02*H122,-0.05*H122))),2)</f>
        <v>-99950.25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3301311.38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-3042997.5-276320.12</f>
        <v>-3319317.62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-18006.240000000224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-18006.240000000002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64351.97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U206"/>
  <sheetViews>
    <sheetView showGridLines="0" zoomScaleNormal="100" workbookViewId="0">
      <pane ySplit="1" topLeftCell="A10" activePane="bottomLeft" state="frozen"/>
      <selection activeCell="E100" sqref="E100"/>
      <selection pane="bottomLeft" activeCell="D23" sqref="D23"/>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324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1</v>
      </c>
      <c r="D16" s="165">
        <v>1.5</v>
      </c>
      <c r="E16" s="125">
        <f t="shared" si="3"/>
        <v>2.5</v>
      </c>
      <c r="F16" s="534">
        <f>'0664'!F16:G16</f>
        <v>1</v>
      </c>
      <c r="G16" s="534"/>
      <c r="H16" s="83">
        <f t="shared" si="4"/>
        <v>2.5</v>
      </c>
      <c r="I16" s="104">
        <f t="shared" si="0"/>
        <v>11970.82</v>
      </c>
      <c r="J16" s="68" t="str">
        <f>IF(ROUND(E16,2)=ROUND(SUM(E53:E55),2)," ","CHECK 4-8 LINES BELOW")</f>
        <v xml:space="preserve"> </v>
      </c>
      <c r="N16" s="481" t="s">
        <v>32</v>
      </c>
      <c r="O16" s="481"/>
      <c r="P16" s="515">
        <f t="shared" si="1"/>
        <v>2.5</v>
      </c>
      <c r="Q16" s="515"/>
      <c r="R16" s="519">
        <v>1</v>
      </c>
      <c r="S16" s="519"/>
      <c r="T16" s="98">
        <f t="shared" si="5"/>
        <v>2.5</v>
      </c>
      <c r="U16" s="99">
        <f t="shared" si="2"/>
        <v>11971</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12.5</v>
      </c>
      <c r="D19" s="165">
        <v>10.5</v>
      </c>
      <c r="E19" s="125">
        <f t="shared" si="3"/>
        <v>23</v>
      </c>
      <c r="F19" s="534">
        <f>'0664'!F19:G19</f>
        <v>3.6739999999999999</v>
      </c>
      <c r="G19" s="534"/>
      <c r="H19" s="83">
        <f t="shared" si="4"/>
        <v>84.501999999999995</v>
      </c>
      <c r="I19" s="104">
        <f t="shared" si="0"/>
        <v>404623.3</v>
      </c>
      <c r="N19" s="481" t="s">
        <v>108</v>
      </c>
      <c r="O19" s="481"/>
      <c r="P19" s="515">
        <f t="shared" si="1"/>
        <v>23</v>
      </c>
      <c r="Q19" s="515"/>
      <c r="R19" s="519">
        <v>1</v>
      </c>
      <c r="S19" s="519"/>
      <c r="T19" s="98">
        <f t="shared" si="5"/>
        <v>23</v>
      </c>
      <c r="U19" s="99">
        <f t="shared" si="2"/>
        <v>110132</v>
      </c>
    </row>
    <row r="20" spans="1:21" x14ac:dyDescent="0.25">
      <c r="A20" s="455" t="s">
        <v>109</v>
      </c>
      <c r="B20" s="455"/>
      <c r="C20" s="165">
        <v>11.5</v>
      </c>
      <c r="D20" s="165">
        <v>11.5</v>
      </c>
      <c r="E20" s="125">
        <f t="shared" si="3"/>
        <v>23</v>
      </c>
      <c r="F20" s="534">
        <f>'0664'!F20:G20</f>
        <v>3.6739999999999999</v>
      </c>
      <c r="G20" s="534"/>
      <c r="H20" s="83">
        <f t="shared" si="4"/>
        <v>84.501999999999995</v>
      </c>
      <c r="I20" s="104">
        <f t="shared" si="0"/>
        <v>404623.3</v>
      </c>
      <c r="N20" s="481" t="s">
        <v>109</v>
      </c>
      <c r="O20" s="481"/>
      <c r="P20" s="515">
        <f t="shared" si="1"/>
        <v>23</v>
      </c>
      <c r="Q20" s="515"/>
      <c r="R20" s="519">
        <v>1</v>
      </c>
      <c r="S20" s="519"/>
      <c r="T20" s="98">
        <f t="shared" si="5"/>
        <v>23</v>
      </c>
      <c r="U20" s="99">
        <f t="shared" si="2"/>
        <v>110132</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11</v>
      </c>
      <c r="D22" s="165">
        <v>14</v>
      </c>
      <c r="E22" s="125">
        <f t="shared" si="3"/>
        <v>25</v>
      </c>
      <c r="F22" s="534">
        <f>'0664'!F22:G22</f>
        <v>5.4009999999999998</v>
      </c>
      <c r="G22" s="534"/>
      <c r="H22" s="83">
        <f t="shared" si="4"/>
        <v>135.02500000000001</v>
      </c>
      <c r="I22" s="104">
        <f t="shared" si="0"/>
        <v>646544</v>
      </c>
      <c r="N22" s="481" t="s">
        <v>111</v>
      </c>
      <c r="O22" s="481"/>
      <c r="P22" s="515">
        <f t="shared" si="1"/>
        <v>25</v>
      </c>
      <c r="Q22" s="515"/>
      <c r="R22" s="519">
        <v>1</v>
      </c>
      <c r="S22" s="519"/>
      <c r="T22" s="98">
        <f t="shared" si="5"/>
        <v>25</v>
      </c>
      <c r="U22" s="99">
        <f t="shared" si="2"/>
        <v>119708</v>
      </c>
    </row>
    <row r="23" spans="1:21" x14ac:dyDescent="0.25">
      <c r="A23" s="455" t="s">
        <v>112</v>
      </c>
      <c r="B23" s="455"/>
      <c r="C23" s="165">
        <v>7</v>
      </c>
      <c r="D23" s="165">
        <v>6.5</v>
      </c>
      <c r="E23" s="125">
        <f t="shared" si="3"/>
        <v>13.5</v>
      </c>
      <c r="F23" s="534">
        <f>'0664'!F23:G23</f>
        <v>5.4009999999999998</v>
      </c>
      <c r="G23" s="534"/>
      <c r="H23" s="83">
        <f t="shared" si="4"/>
        <v>72.913499999999999</v>
      </c>
      <c r="I23" s="104">
        <f t="shared" si="0"/>
        <v>349133.76</v>
      </c>
      <c r="N23" s="481" t="s">
        <v>112</v>
      </c>
      <c r="O23" s="481"/>
      <c r="P23" s="515">
        <f t="shared" si="1"/>
        <v>13.5</v>
      </c>
      <c r="Q23" s="515"/>
      <c r="R23" s="519">
        <v>1</v>
      </c>
      <c r="S23" s="519"/>
      <c r="T23" s="98">
        <f t="shared" si="5"/>
        <v>13.5</v>
      </c>
      <c r="U23" s="99">
        <f t="shared" si="2"/>
        <v>64642</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43</v>
      </c>
      <c r="D29" s="97">
        <f>SUM(D13:D28)</f>
        <v>44</v>
      </c>
      <c r="E29" s="97">
        <f>SUM(E13:E28)</f>
        <v>87</v>
      </c>
      <c r="F29" s="459"/>
      <c r="G29" s="459"/>
      <c r="H29" s="102">
        <f>SUM(H13:H28)</f>
        <v>379.4425</v>
      </c>
      <c r="I29" s="97">
        <f>SUM(I13:I28)</f>
        <v>1816895.18</v>
      </c>
      <c r="N29" s="517" t="s">
        <v>5</v>
      </c>
      <c r="O29" s="517"/>
      <c r="P29" s="518">
        <f>SUM(P13:P28)</f>
        <v>87</v>
      </c>
      <c r="Q29" s="518"/>
      <c r="R29" s="510"/>
      <c r="S29" s="510"/>
      <c r="T29" s="103">
        <f>SUM(T13:T28)</f>
        <v>87</v>
      </c>
      <c r="U29" s="99">
        <f>SUM(U13:U28)</f>
        <v>416585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379.4425</v>
      </c>
      <c r="F45" s="35"/>
      <c r="G45" s="109"/>
      <c r="H45" s="110" t="s">
        <v>129</v>
      </c>
      <c r="I45" s="97">
        <f>SUM(I43,I29)</f>
        <v>1816895.18</v>
      </c>
      <c r="N45" s="482" t="s">
        <v>55</v>
      </c>
      <c r="O45" s="482"/>
      <c r="P45" s="482"/>
      <c r="Q45" s="482"/>
      <c r="R45" s="36">
        <f>R43+T29</f>
        <v>87</v>
      </c>
      <c r="S45" s="510" t="s">
        <v>53</v>
      </c>
      <c r="T45" s="510"/>
      <c r="U45" s="111">
        <f>SUM(U43,U29)</f>
        <v>416585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1</v>
      </c>
      <c r="D55" s="165">
        <v>1.5</v>
      </c>
      <c r="E55" s="125">
        <f t="shared" si="10"/>
        <v>2.5</v>
      </c>
      <c r="F55" s="41" t="s">
        <v>14</v>
      </c>
      <c r="G55" s="39">
        <v>253</v>
      </c>
      <c r="H55" s="321">
        <f>'0664'!H55</f>
        <v>7023</v>
      </c>
      <c r="I55" s="104">
        <f t="shared" si="11"/>
        <v>17557.5</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v>
      </c>
      <c r="D59" s="100">
        <f>SUM(D50:D58)</f>
        <v>1.5</v>
      </c>
      <c r="E59" s="100">
        <f>SUM(E50:E58)</f>
        <v>2.5</v>
      </c>
      <c r="F59" s="463" t="s">
        <v>77</v>
      </c>
      <c r="G59" s="463"/>
      <c r="H59" s="463"/>
      <c r="I59" s="100">
        <f>SUM(I50:I58)</f>
        <v>17557.5</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87</v>
      </c>
      <c r="D62" s="466" t="s">
        <v>135</v>
      </c>
      <c r="E62" s="466"/>
      <c r="F62" s="466"/>
      <c r="G62" s="466"/>
      <c r="H62" s="335">
        <f>'0664'!H62</f>
        <v>193726.47</v>
      </c>
      <c r="I62" s="122"/>
      <c r="N62" s="480" t="s">
        <v>312</v>
      </c>
      <c r="O62" s="481"/>
      <c r="P62" s="43">
        <f>P29</f>
        <v>87</v>
      </c>
      <c r="Q62" s="500" t="s">
        <v>78</v>
      </c>
      <c r="R62" s="500"/>
      <c r="S62" s="500"/>
      <c r="T62" s="499">
        <f>H62</f>
        <v>193726.47</v>
      </c>
      <c r="U62" s="499"/>
    </row>
    <row r="63" spans="1:21" x14ac:dyDescent="0.25">
      <c r="B63" s="72"/>
      <c r="G63" s="44" t="s">
        <v>13</v>
      </c>
      <c r="H63" s="123">
        <f>ROUND(C62/H62,6)</f>
        <v>4.4900000000000002E-4</v>
      </c>
      <c r="I63" s="124"/>
      <c r="N63" s="481" t="s">
        <v>19</v>
      </c>
      <c r="O63" s="481"/>
      <c r="P63" s="481"/>
      <c r="Q63" s="481"/>
      <c r="R63" s="481"/>
      <c r="S63" s="481"/>
      <c r="T63" s="503">
        <f>ROUND(P62/T62,6)</f>
        <v>4.4900000000000002E-4</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379.4425</v>
      </c>
      <c r="D65" s="466" t="s">
        <v>140</v>
      </c>
      <c r="E65" s="466"/>
      <c r="F65" s="466"/>
      <c r="G65" s="466"/>
      <c r="H65" s="336">
        <f>'0664'!H65</f>
        <v>217214.58</v>
      </c>
      <c r="I65" s="125"/>
      <c r="N65" s="481" t="s">
        <v>80</v>
      </c>
      <c r="O65" s="481"/>
      <c r="P65" s="43">
        <f>R45</f>
        <v>87</v>
      </c>
      <c r="Q65" s="500" t="s">
        <v>79</v>
      </c>
      <c r="R65" s="500"/>
      <c r="S65" s="500"/>
      <c r="T65" s="499">
        <f>H65</f>
        <v>217214.58</v>
      </c>
      <c r="U65" s="499"/>
    </row>
    <row r="66" spans="1:21" s="37" customFormat="1" x14ac:dyDescent="0.25">
      <c r="A66" s="126"/>
      <c r="G66" s="45" t="s">
        <v>13</v>
      </c>
      <c r="H66" s="127">
        <f>ROUND(C65/H65,6)</f>
        <v>1.7470000000000001E-3</v>
      </c>
      <c r="I66" s="127"/>
      <c r="N66" s="484" t="s">
        <v>20</v>
      </c>
      <c r="O66" s="484"/>
      <c r="P66" s="484"/>
      <c r="Q66" s="484"/>
      <c r="R66" s="484"/>
      <c r="S66" s="484"/>
      <c r="T66" s="502">
        <f>ROUND(P65/T65,6)</f>
        <v>4.0099999999999999E-4</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4.4900000000000002E-4</v>
      </c>
      <c r="I68" s="104">
        <f>ROUND(F68*H68,2)</f>
        <v>19100.22</v>
      </c>
      <c r="N68" s="481" t="s">
        <v>85</v>
      </c>
      <c r="O68" s="481"/>
      <c r="P68" s="481"/>
      <c r="Q68" s="47"/>
      <c r="R68" s="132">
        <f>F68</f>
        <v>42539472</v>
      </c>
      <c r="S68" s="40" t="s">
        <v>6</v>
      </c>
      <c r="T68" s="133">
        <f>T63</f>
        <v>4.4900000000000002E-4</v>
      </c>
      <c r="U68" s="99">
        <f>ROUND(R68*T68,0)</f>
        <v>19100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4.4900000000000002E-4</v>
      </c>
      <c r="I70" s="104">
        <f>ROUND(F70*H70,2)</f>
        <v>0</v>
      </c>
      <c r="N70" s="48"/>
      <c r="O70" s="48"/>
      <c r="P70" s="48"/>
      <c r="Q70" s="47"/>
      <c r="R70" s="132">
        <f>F70</f>
        <v>0</v>
      </c>
      <c r="S70" s="40" t="s">
        <v>6</v>
      </c>
      <c r="T70" s="133">
        <f>T63</f>
        <v>4.4900000000000002E-4</v>
      </c>
      <c r="U70" s="99">
        <f>ROUND(R70*T70,0)</f>
        <v>0</v>
      </c>
    </row>
    <row r="71" spans="1:21" x14ac:dyDescent="0.25">
      <c r="A71" s="465" t="s">
        <v>432</v>
      </c>
      <c r="B71" s="455"/>
      <c r="C71" s="455"/>
      <c r="D71" s="72"/>
      <c r="E71" s="46" t="s">
        <v>3</v>
      </c>
      <c r="F71" s="337">
        <f>'0664'!F71</f>
        <v>13427478</v>
      </c>
      <c r="G71" s="39" t="s">
        <v>6</v>
      </c>
      <c r="H71" s="131">
        <f>H63</f>
        <v>4.4900000000000002E-4</v>
      </c>
      <c r="I71" s="104">
        <f>ROUND(F71*H71,2)</f>
        <v>6028.94</v>
      </c>
      <c r="N71" s="481" t="s">
        <v>83</v>
      </c>
      <c r="O71" s="481"/>
      <c r="P71" s="481"/>
      <c r="Q71" s="47"/>
      <c r="R71" s="132">
        <f>F71</f>
        <v>13427478</v>
      </c>
      <c r="S71" s="40" t="s">
        <v>6</v>
      </c>
      <c r="T71" s="133">
        <f>T63</f>
        <v>4.4900000000000002E-4</v>
      </c>
      <c r="U71" s="99">
        <f>ROUND(R71*T71,0)</f>
        <v>6029</v>
      </c>
    </row>
    <row r="72" spans="1:21" x14ac:dyDescent="0.25">
      <c r="A72" s="465" t="s">
        <v>433</v>
      </c>
      <c r="B72" s="455"/>
      <c r="C72" s="455"/>
      <c r="D72" s="72"/>
      <c r="E72" s="46" t="s">
        <v>3</v>
      </c>
      <c r="F72" s="337">
        <f>'0664'!F72</f>
        <v>14805238</v>
      </c>
      <c r="G72" s="39" t="s">
        <v>6</v>
      </c>
      <c r="H72" s="131">
        <f>H63</f>
        <v>4.4900000000000002E-4</v>
      </c>
      <c r="I72" s="104">
        <f>ROUND(F72*H72,2)</f>
        <v>6647.55</v>
      </c>
      <c r="N72" s="481" t="s">
        <v>82</v>
      </c>
      <c r="O72" s="481"/>
      <c r="P72" s="481"/>
      <c r="Q72" s="47"/>
      <c r="R72" s="134">
        <f>F72</f>
        <v>14805238</v>
      </c>
      <c r="S72" s="40" t="s">
        <v>6</v>
      </c>
      <c r="T72" s="133">
        <f>T63</f>
        <v>4.4900000000000002E-4</v>
      </c>
      <c r="U72" s="99">
        <f>ROUND(R72*T72,0)</f>
        <v>6648</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4.4900000000000002E-4</v>
      </c>
      <c r="I76" s="104">
        <f t="shared" ref="I76:I85" si="14">ROUND(F76*H76,2)</f>
        <v>3918.34</v>
      </c>
      <c r="N76" s="480" t="s">
        <v>366</v>
      </c>
      <c r="O76" s="481"/>
      <c r="P76" s="481"/>
      <c r="Q76" s="47"/>
      <c r="R76" s="134">
        <f t="shared" ref="R76:R85" si="15">F76</f>
        <v>8726807</v>
      </c>
      <c r="S76" s="40" t="s">
        <v>6</v>
      </c>
      <c r="T76" s="133">
        <f>T63</f>
        <v>4.4900000000000002E-4</v>
      </c>
      <c r="U76" s="99">
        <f t="shared" ref="U76:U85" si="16">ROUND(R76*T76,0)</f>
        <v>3918</v>
      </c>
    </row>
    <row r="77" spans="1:21" x14ac:dyDescent="0.25">
      <c r="A77" s="465" t="s">
        <v>435</v>
      </c>
      <c r="B77" s="455"/>
      <c r="C77" s="455"/>
      <c r="D77" s="72"/>
      <c r="E77" s="46" t="s">
        <v>3</v>
      </c>
      <c r="F77" s="337">
        <f>'0664'!F77</f>
        <v>0</v>
      </c>
      <c r="G77" s="39" t="s">
        <v>6</v>
      </c>
      <c r="H77" s="131">
        <f>H63</f>
        <v>4.4900000000000002E-4</v>
      </c>
      <c r="I77" s="104">
        <f t="shared" si="14"/>
        <v>0</v>
      </c>
      <c r="N77" s="481" t="s">
        <v>367</v>
      </c>
      <c r="O77" s="481"/>
      <c r="P77" s="481"/>
      <c r="Q77" s="47"/>
      <c r="R77" s="134">
        <f t="shared" si="15"/>
        <v>0</v>
      </c>
      <c r="S77" s="40" t="s">
        <v>6</v>
      </c>
      <c r="T77" s="133">
        <f>T63</f>
        <v>4.4900000000000002E-4</v>
      </c>
      <c r="U77" s="99">
        <f t="shared" si="16"/>
        <v>0</v>
      </c>
    </row>
    <row r="78" spans="1:21" x14ac:dyDescent="0.25">
      <c r="A78" s="465" t="s">
        <v>436</v>
      </c>
      <c r="B78" s="455"/>
      <c r="C78" s="455"/>
      <c r="D78" s="72"/>
      <c r="E78" s="46" t="s">
        <v>4</v>
      </c>
      <c r="F78" s="337">
        <f>'0664'!F78</f>
        <v>0</v>
      </c>
      <c r="G78" s="39" t="s">
        <v>6</v>
      </c>
      <c r="H78" s="131">
        <f>H66</f>
        <v>1.7470000000000001E-3</v>
      </c>
      <c r="I78" s="104">
        <f t="shared" si="14"/>
        <v>0</v>
      </c>
      <c r="N78" s="480" t="s">
        <v>392</v>
      </c>
      <c r="O78" s="481"/>
      <c r="P78" s="481"/>
      <c r="Q78" s="47"/>
      <c r="R78" s="134">
        <f t="shared" si="15"/>
        <v>0</v>
      </c>
      <c r="S78" s="40" t="s">
        <v>6</v>
      </c>
      <c r="T78" s="133">
        <f>T66</f>
        <v>4.0099999999999999E-4</v>
      </c>
      <c r="U78" s="99">
        <f t="shared" si="16"/>
        <v>0</v>
      </c>
    </row>
    <row r="79" spans="1:21" x14ac:dyDescent="0.25">
      <c r="A79" s="465" t="s">
        <v>437</v>
      </c>
      <c r="B79" s="455"/>
      <c r="C79" s="455"/>
      <c r="D79" s="72"/>
      <c r="E79" s="46" t="s">
        <v>4</v>
      </c>
      <c r="F79" s="337">
        <f>'0664'!F79</f>
        <v>11286897</v>
      </c>
      <c r="G79" s="39" t="s">
        <v>6</v>
      </c>
      <c r="H79" s="131">
        <f>H66</f>
        <v>1.7470000000000001E-3</v>
      </c>
      <c r="I79" s="104">
        <f t="shared" si="14"/>
        <v>19718.21</v>
      </c>
      <c r="N79" s="480" t="s">
        <v>393</v>
      </c>
      <c r="O79" s="481"/>
      <c r="P79" s="481"/>
      <c r="Q79" s="47"/>
      <c r="R79" s="134">
        <f t="shared" si="15"/>
        <v>11286897</v>
      </c>
      <c r="S79" s="40" t="s">
        <v>6</v>
      </c>
      <c r="T79" s="133">
        <f>T66</f>
        <v>4.0099999999999999E-4</v>
      </c>
      <c r="U79" s="99">
        <f t="shared" si="16"/>
        <v>4526</v>
      </c>
    </row>
    <row r="80" spans="1:21" x14ac:dyDescent="0.25">
      <c r="A80" s="465" t="s">
        <v>438</v>
      </c>
      <c r="B80" s="455"/>
      <c r="C80" s="455"/>
      <c r="D80" s="72"/>
      <c r="E80" s="46" t="s">
        <v>4</v>
      </c>
      <c r="F80" s="337">
        <f>'0664'!F80</f>
        <v>206284749</v>
      </c>
      <c r="G80" s="39" t="s">
        <v>6</v>
      </c>
      <c r="H80" s="131">
        <f>H66</f>
        <v>1.7470000000000001E-3</v>
      </c>
      <c r="I80" s="104">
        <f t="shared" si="14"/>
        <v>360379.46</v>
      </c>
      <c r="N80" s="480" t="s">
        <v>397</v>
      </c>
      <c r="O80" s="481"/>
      <c r="P80" s="481"/>
      <c r="Q80" s="47"/>
      <c r="R80" s="134">
        <f t="shared" si="15"/>
        <v>206284749</v>
      </c>
      <c r="S80" s="40" t="s">
        <v>6</v>
      </c>
      <c r="T80" s="133">
        <f>T66</f>
        <v>4.0099999999999999E-4</v>
      </c>
      <c r="U80" s="99">
        <f t="shared" si="16"/>
        <v>82720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1.7470000000000001E-3</v>
      </c>
      <c r="I82" s="104">
        <v>57671.040000000001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1.7470000000000001E-3</v>
      </c>
      <c r="I83" s="104">
        <v>26214.11</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83885.149999999994</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1.7470000000000001E-3</v>
      </c>
      <c r="I85" s="104">
        <f t="shared" si="14"/>
        <v>0</v>
      </c>
      <c r="N85" s="480" t="s">
        <v>398</v>
      </c>
      <c r="O85" s="481"/>
      <c r="P85" s="481"/>
      <c r="Q85" s="47"/>
      <c r="R85" s="132">
        <f t="shared" si="15"/>
        <v>0</v>
      </c>
      <c r="S85" s="40" t="s">
        <v>6</v>
      </c>
      <c r="T85" s="133">
        <f>T66</f>
        <v>4.0099999999999999E-4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219.52699999999999</v>
      </c>
      <c r="D90" s="469"/>
      <c r="E90" s="49">
        <f>H8</f>
        <v>1.0438000000000001</v>
      </c>
      <c r="F90" s="338">
        <f>'0664'!F90</f>
        <v>957.94</v>
      </c>
      <c r="G90" s="41" t="s">
        <v>13</v>
      </c>
      <c r="H90" s="104">
        <f>ROUND(C90*E90*F90,2)</f>
        <v>219504.56</v>
      </c>
      <c r="I90" s="107"/>
      <c r="N90" s="29" t="s">
        <v>22</v>
      </c>
      <c r="O90" s="50">
        <f>T13+T14+T19+T22+T25</f>
        <v>48</v>
      </c>
      <c r="P90" s="492">
        <f>T8</f>
        <v>1.0438000000000001</v>
      </c>
      <c r="Q90" s="492"/>
      <c r="R90" s="51">
        <f>F90</f>
        <v>957.94</v>
      </c>
      <c r="S90" s="42" t="s">
        <v>13</v>
      </c>
      <c r="T90" s="134">
        <f>ROUND(O90*P90*R90,0)</f>
        <v>47995</v>
      </c>
      <c r="U90" s="105"/>
    </row>
    <row r="91" spans="1:21" x14ac:dyDescent="0.25">
      <c r="A91" s="52"/>
      <c r="B91" s="52" t="s">
        <v>147</v>
      </c>
      <c r="C91" s="469">
        <f>H15+H16+H20+H23+H26</f>
        <v>159.91550000000001</v>
      </c>
      <c r="D91" s="469"/>
      <c r="E91" s="49">
        <f>H8</f>
        <v>1.0438000000000001</v>
      </c>
      <c r="F91" s="338">
        <f>'0664'!F91</f>
        <v>914.63</v>
      </c>
      <c r="G91" s="41" t="s">
        <v>13</v>
      </c>
      <c r="H91" s="104">
        <f>ROUND(C91*E91*F91,2)</f>
        <v>152669.85999999999</v>
      </c>
      <c r="N91" s="53" t="s">
        <v>14</v>
      </c>
      <c r="O91" s="50">
        <f>T15+T16+T20+T23+T26</f>
        <v>39</v>
      </c>
      <c r="P91" s="492">
        <f>T8</f>
        <v>1.0438000000000001</v>
      </c>
      <c r="Q91" s="492"/>
      <c r="R91" s="51">
        <f>F91</f>
        <v>914.63</v>
      </c>
      <c r="S91" s="42" t="s">
        <v>13</v>
      </c>
      <c r="T91" s="134">
        <f>ROUND(O91*P91*R91,0)</f>
        <v>37233</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379.4425</v>
      </c>
      <c r="D93" s="471"/>
      <c r="E93" s="143"/>
      <c r="F93" s="143"/>
      <c r="G93" s="143"/>
      <c r="H93" s="144" t="s">
        <v>143</v>
      </c>
      <c r="I93" s="104">
        <f>IF(A1=75,0,H92+H91+H90)</f>
        <v>372174.42</v>
      </c>
      <c r="N93" s="59" t="s">
        <v>120</v>
      </c>
      <c r="O93" s="60">
        <f>SUM(O90:O92)</f>
        <v>87</v>
      </c>
      <c r="P93" s="493" t="s">
        <v>18</v>
      </c>
      <c r="Q93" s="494"/>
      <c r="R93" s="494"/>
      <c r="S93" s="494"/>
      <c r="T93" s="494"/>
      <c r="U93" s="99">
        <f>IF(N1=75,0,T92+T91+T90)</f>
        <v>85228</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66">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624754</v>
      </c>
    </row>
    <row r="115" spans="1:21" ht="16.5" thickTop="1" x14ac:dyDescent="0.25">
      <c r="A115" s="463" t="s">
        <v>8</v>
      </c>
      <c r="B115" s="463"/>
      <c r="C115" s="463"/>
      <c r="D115" s="463"/>
      <c r="E115" s="463"/>
      <c r="F115" s="463"/>
      <c r="G115" s="463"/>
      <c r="H115" s="463"/>
      <c r="I115" s="97">
        <f>SUM(I113,I112,I110,I100,I99,I93,I85,I84,I80,I79,I78,I77,I76,I74,I73,I72,I71,I70,I68,I59,I45)</f>
        <v>2706304.9699999997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2622419.8199999998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f>IF(E29=0,"",IF((E14+E16+SUM(E18:E24))/E29&gt;0.75,1,""))</f>
        <v>1</v>
      </c>
      <c r="I120" s="125">
        <f>U114</f>
        <v>624754</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624754</v>
      </c>
      <c r="I122" s="97">
        <f>ROUND(IF(E29=0,0,IF(E29&gt;250,-(((250/E29)*H122)*IF(G122="H",0.02,0.05)),IF(G122="H",-0.02*H122,-0.05*H122))),2)</f>
        <v>-31237.7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2675067.2699999996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-2413400.24-261667.03</f>
        <v>-2675067.27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0</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0</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U206"/>
  <sheetViews>
    <sheetView showGridLines="0" zoomScaleNormal="100" workbookViewId="0">
      <pane ySplit="1" topLeftCell="A11" activePane="bottomLeft" state="frozen"/>
      <selection activeCell="E100" sqref="E100"/>
      <selection pane="bottomLeft" activeCell="F113" sqref="F113:H113"/>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342</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32.049999999999997</v>
      </c>
      <c r="D13" s="163">
        <v>34.450000000000003</v>
      </c>
      <c r="E13" s="210">
        <f>IF(D$29=0,C13*2,C13+D13)</f>
        <v>66.5</v>
      </c>
      <c r="F13" s="539">
        <f>'0664'!F13:G13</f>
        <v>1.1259999999999999</v>
      </c>
      <c r="G13" s="539"/>
      <c r="H13" s="167">
        <f>ROUND(E13*F13,4)</f>
        <v>74.879000000000005</v>
      </c>
      <c r="I13" s="119">
        <f t="shared" ref="I13:I28" si="0">ROUND(ROUND(H13*$C$8,4)*($H$8),2)</f>
        <v>358545.22</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3.89</v>
      </c>
      <c r="D14" s="165">
        <v>4.6500000000000004</v>
      </c>
      <c r="E14" s="125">
        <f t="shared" ref="E14:E28" si="3">IF(D$29=0,C14*2,C14+D14)</f>
        <v>8.5400000000000009</v>
      </c>
      <c r="F14" s="534">
        <f>'0664'!F14:G14</f>
        <v>1.1259999999999999</v>
      </c>
      <c r="G14" s="534"/>
      <c r="H14" s="83">
        <f t="shared" ref="H14:H28" si="4">ROUND(E14*F14,4)</f>
        <v>9.6159999999999997</v>
      </c>
      <c r="I14" s="104">
        <f t="shared" si="0"/>
        <v>46044.56</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34.36</v>
      </c>
      <c r="D15" s="165">
        <v>34</v>
      </c>
      <c r="E15" s="125">
        <f t="shared" si="3"/>
        <v>68.36</v>
      </c>
      <c r="F15" s="534">
        <f>'0664'!F15:G15</f>
        <v>1</v>
      </c>
      <c r="G15" s="534"/>
      <c r="H15" s="83">
        <f t="shared" si="4"/>
        <v>68.36</v>
      </c>
      <c r="I15" s="104">
        <f t="shared" si="0"/>
        <v>327330.11</v>
      </c>
      <c r="N15" s="481" t="s">
        <v>31</v>
      </c>
      <c r="O15" s="481"/>
      <c r="P15" s="515">
        <f t="shared" si="1"/>
        <v>0</v>
      </c>
      <c r="Q15" s="515"/>
      <c r="R15" s="519">
        <v>1</v>
      </c>
      <c r="S15" s="519"/>
      <c r="T15" s="98">
        <f t="shared" si="5"/>
        <v>0</v>
      </c>
      <c r="U15" s="99">
        <f t="shared" si="2"/>
        <v>0</v>
      </c>
    </row>
    <row r="16" spans="1:21" x14ac:dyDescent="0.25">
      <c r="A16" s="455" t="s">
        <v>32</v>
      </c>
      <c r="B16" s="455"/>
      <c r="C16" s="165">
        <v>6.66</v>
      </c>
      <c r="D16" s="165">
        <v>6</v>
      </c>
      <c r="E16" s="125">
        <f t="shared" si="3"/>
        <v>12.66</v>
      </c>
      <c r="F16" s="534">
        <f>'0664'!F16:G16</f>
        <v>1</v>
      </c>
      <c r="G16" s="534"/>
      <c r="H16" s="83">
        <f t="shared" si="4"/>
        <v>12.66</v>
      </c>
      <c r="I16" s="104">
        <f t="shared" si="0"/>
        <v>60620.23</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0</v>
      </c>
      <c r="D17" s="165">
        <v>0</v>
      </c>
      <c r="E17" s="125">
        <f t="shared" si="3"/>
        <v>0</v>
      </c>
      <c r="F17" s="534">
        <f>'0664'!F17:G17</f>
        <v>0.999</v>
      </c>
      <c r="G17" s="534"/>
      <c r="H17" s="83">
        <f t="shared" si="4"/>
        <v>0</v>
      </c>
      <c r="I17" s="104">
        <f t="shared" si="0"/>
        <v>0</v>
      </c>
      <c r="N17" s="481" t="s">
        <v>33</v>
      </c>
      <c r="O17" s="481"/>
      <c r="P17" s="515">
        <f t="shared" si="1"/>
        <v>0</v>
      </c>
      <c r="Q17" s="515"/>
      <c r="R17" s="519">
        <v>1</v>
      </c>
      <c r="S17" s="519"/>
      <c r="T17" s="98">
        <f t="shared" si="5"/>
        <v>0</v>
      </c>
      <c r="U17" s="99">
        <f t="shared" si="2"/>
        <v>0</v>
      </c>
    </row>
    <row r="18" spans="1:21" x14ac:dyDescent="0.25">
      <c r="A18" s="455" t="s">
        <v>34</v>
      </c>
      <c r="B18" s="455"/>
      <c r="C18" s="165">
        <v>0</v>
      </c>
      <c r="D18" s="165">
        <v>0</v>
      </c>
      <c r="E18" s="125">
        <f t="shared" si="3"/>
        <v>0</v>
      </c>
      <c r="F18" s="534">
        <f>'0664'!F18:G18</f>
        <v>0.999</v>
      </c>
      <c r="G18" s="534"/>
      <c r="H18" s="83">
        <f t="shared" si="4"/>
        <v>0</v>
      </c>
      <c r="I18" s="104">
        <f t="shared" si="0"/>
        <v>0</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4.72</v>
      </c>
      <c r="D25" s="165">
        <v>5.49</v>
      </c>
      <c r="E25" s="125">
        <f t="shared" si="3"/>
        <v>10.210000000000001</v>
      </c>
      <c r="F25" s="534">
        <f>'0664'!F25:G25</f>
        <v>1.206</v>
      </c>
      <c r="G25" s="534"/>
      <c r="H25" s="83">
        <f t="shared" si="4"/>
        <v>12.3133</v>
      </c>
      <c r="I25" s="104">
        <f t="shared" si="0"/>
        <v>58960.12</v>
      </c>
      <c r="N25" s="481" t="s">
        <v>114</v>
      </c>
      <c r="O25" s="481"/>
      <c r="P25" s="515">
        <f t="shared" si="1"/>
        <v>0</v>
      </c>
      <c r="Q25" s="515"/>
      <c r="R25" s="519">
        <v>1</v>
      </c>
      <c r="S25" s="519"/>
      <c r="T25" s="98">
        <f t="shared" si="5"/>
        <v>0</v>
      </c>
      <c r="U25" s="99">
        <f t="shared" si="2"/>
        <v>0</v>
      </c>
    </row>
    <row r="26" spans="1:21" x14ac:dyDescent="0.25">
      <c r="A26" s="455" t="s">
        <v>115</v>
      </c>
      <c r="B26" s="455"/>
      <c r="C26" s="165">
        <v>1.28</v>
      </c>
      <c r="D26" s="165">
        <v>1.55</v>
      </c>
      <c r="E26" s="125">
        <f t="shared" si="3"/>
        <v>2.83</v>
      </c>
      <c r="F26" s="534">
        <f>'0664'!F26:G26</f>
        <v>1.206</v>
      </c>
      <c r="G26" s="534"/>
      <c r="H26" s="83">
        <f t="shared" si="4"/>
        <v>3.4129999999999998</v>
      </c>
      <c r="I26" s="104">
        <f t="shared" si="0"/>
        <v>16342.56</v>
      </c>
      <c r="N26" s="481" t="s">
        <v>115</v>
      </c>
      <c r="O26" s="481"/>
      <c r="P26" s="515">
        <f t="shared" si="1"/>
        <v>0</v>
      </c>
      <c r="Q26" s="515"/>
      <c r="R26" s="519">
        <v>1</v>
      </c>
      <c r="S26" s="519"/>
      <c r="T26" s="98">
        <f t="shared" si="5"/>
        <v>0</v>
      </c>
      <c r="U26" s="99">
        <f t="shared" si="2"/>
        <v>0</v>
      </c>
    </row>
    <row r="27" spans="1:21" x14ac:dyDescent="0.25">
      <c r="A27" s="455" t="s">
        <v>116</v>
      </c>
      <c r="B27" s="455"/>
      <c r="C27" s="165">
        <v>0</v>
      </c>
      <c r="D27" s="165">
        <v>0</v>
      </c>
      <c r="E27" s="125">
        <f t="shared" si="3"/>
        <v>0</v>
      </c>
      <c r="F27" s="534">
        <f>'0664'!F27:G27</f>
        <v>1.206</v>
      </c>
      <c r="G27" s="534"/>
      <c r="H27" s="83">
        <f t="shared" si="4"/>
        <v>0</v>
      </c>
      <c r="I27" s="104">
        <f t="shared" si="0"/>
        <v>0</v>
      </c>
      <c r="N27" s="481" t="s">
        <v>116</v>
      </c>
      <c r="O27" s="481"/>
      <c r="P27" s="515">
        <f t="shared" si="1"/>
        <v>0</v>
      </c>
      <c r="Q27" s="515"/>
      <c r="R27" s="519">
        <v>1</v>
      </c>
      <c r="S27" s="519"/>
      <c r="T27" s="98">
        <f t="shared" si="5"/>
        <v>0</v>
      </c>
      <c r="U27" s="99">
        <f t="shared" si="2"/>
        <v>0</v>
      </c>
    </row>
    <row r="28" spans="1:21" x14ac:dyDescent="0.25">
      <c r="A28" s="455" t="s">
        <v>117</v>
      </c>
      <c r="B28" s="455"/>
      <c r="C28" s="116">
        <v>0</v>
      </c>
      <c r="D28" s="116">
        <v>0</v>
      </c>
      <c r="E28" s="177">
        <f t="shared" si="3"/>
        <v>0</v>
      </c>
      <c r="F28" s="534">
        <f>'0664'!F28:G28</f>
        <v>0.999</v>
      </c>
      <c r="G28" s="534"/>
      <c r="H28" s="96">
        <f t="shared" si="4"/>
        <v>0</v>
      </c>
      <c r="I28" s="97">
        <f t="shared" si="0"/>
        <v>0</v>
      </c>
      <c r="N28" s="484" t="s">
        <v>117</v>
      </c>
      <c r="O28" s="484"/>
      <c r="P28" s="515">
        <f t="shared" si="1"/>
        <v>0</v>
      </c>
      <c r="Q28" s="515"/>
      <c r="R28" s="516">
        <v>1</v>
      </c>
      <c r="S28" s="516"/>
      <c r="T28" s="98">
        <f t="shared" si="5"/>
        <v>0</v>
      </c>
      <c r="U28" s="99">
        <f t="shared" si="2"/>
        <v>0</v>
      </c>
    </row>
    <row r="29" spans="1:21" x14ac:dyDescent="0.25">
      <c r="A29" s="463" t="s">
        <v>5</v>
      </c>
      <c r="B29" s="463"/>
      <c r="C29" s="97">
        <f>SUM(C13:C28)</f>
        <v>82.96</v>
      </c>
      <c r="D29" s="97">
        <f>SUM(D13:D28)</f>
        <v>86.139999999999986</v>
      </c>
      <c r="E29" s="97">
        <f>SUM(E13:E28)</f>
        <v>169.10000000000002</v>
      </c>
      <c r="F29" s="459"/>
      <c r="G29" s="459"/>
      <c r="H29" s="102">
        <f>SUM(H13:H28)</f>
        <v>181.24130000000002</v>
      </c>
      <c r="I29" s="97">
        <f>SUM(I13:I28)</f>
        <v>867842.79999999993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181.24130000000002</v>
      </c>
      <c r="F45" s="35"/>
      <c r="G45" s="109"/>
      <c r="H45" s="110" t="s">
        <v>129</v>
      </c>
      <c r="I45" s="97">
        <f>SUM(I43,I29)</f>
        <v>867842.79999999993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3.4</v>
      </c>
      <c r="D50" s="165">
        <v>4.6500000000000004</v>
      </c>
      <c r="E50" s="125">
        <f>IF(D$59=0,C50*2,C50+D50)</f>
        <v>8.0500000000000007</v>
      </c>
      <c r="F50" s="39" t="s">
        <v>21</v>
      </c>
      <c r="G50" s="39">
        <v>251</v>
      </c>
      <c r="H50" s="321">
        <f>'0664'!H50</f>
        <v>1047</v>
      </c>
      <c r="I50" s="104">
        <f>ROUND(E50*H50,2)</f>
        <v>8428.35</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0.49</v>
      </c>
      <c r="D52" s="165">
        <v>0</v>
      </c>
      <c r="E52" s="125">
        <f t="shared" si="10"/>
        <v>0.49</v>
      </c>
      <c r="F52" s="39" t="s">
        <v>21</v>
      </c>
      <c r="G52" s="39">
        <v>253</v>
      </c>
      <c r="H52" s="321">
        <f>'0664'!H52</f>
        <v>6896</v>
      </c>
      <c r="I52" s="104">
        <f t="shared" si="11"/>
        <v>3379.04</v>
      </c>
      <c r="N52" s="506"/>
      <c r="O52" s="506"/>
      <c r="P52" s="508"/>
      <c r="Q52" s="508"/>
      <c r="R52" s="40" t="s">
        <v>21</v>
      </c>
      <c r="S52" s="40">
        <v>253</v>
      </c>
      <c r="T52" s="117">
        <f t="shared" si="12"/>
        <v>6896</v>
      </c>
      <c r="U52" s="118">
        <f t="shared" si="13"/>
        <v>0</v>
      </c>
    </row>
    <row r="53" spans="1:21" x14ac:dyDescent="0.25">
      <c r="A53" s="462"/>
      <c r="B53" s="462"/>
      <c r="C53" s="165">
        <v>4.6100000000000003</v>
      </c>
      <c r="D53" s="165">
        <v>3.5</v>
      </c>
      <c r="E53" s="125">
        <f t="shared" si="10"/>
        <v>8.11</v>
      </c>
      <c r="F53" s="41" t="s">
        <v>14</v>
      </c>
      <c r="G53" s="39">
        <v>251</v>
      </c>
      <c r="H53" s="321">
        <f>'0664'!H53</f>
        <v>1173</v>
      </c>
      <c r="I53" s="104">
        <f t="shared" si="11"/>
        <v>9513.0300000000007</v>
      </c>
      <c r="N53" s="506"/>
      <c r="O53" s="506"/>
      <c r="P53" s="508"/>
      <c r="Q53" s="508"/>
      <c r="R53" s="42" t="s">
        <v>14</v>
      </c>
      <c r="S53" s="40">
        <v>251</v>
      </c>
      <c r="T53" s="117">
        <f t="shared" si="12"/>
        <v>1173</v>
      </c>
      <c r="U53" s="118">
        <f t="shared" si="13"/>
        <v>0</v>
      </c>
    </row>
    <row r="54" spans="1:21" x14ac:dyDescent="0.25">
      <c r="A54" s="462"/>
      <c r="B54" s="462"/>
      <c r="C54" s="165">
        <v>2.0499999999999998</v>
      </c>
      <c r="D54" s="165">
        <v>2.5</v>
      </c>
      <c r="E54" s="125">
        <f t="shared" si="10"/>
        <v>4.55</v>
      </c>
      <c r="F54" s="41" t="s">
        <v>14</v>
      </c>
      <c r="G54" s="39">
        <v>252</v>
      </c>
      <c r="H54" s="321">
        <f>'0664'!H54</f>
        <v>3506</v>
      </c>
      <c r="I54" s="104">
        <f t="shared" si="11"/>
        <v>15952.3</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0</v>
      </c>
      <c r="D56" s="165">
        <v>0</v>
      </c>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0</v>
      </c>
      <c r="D57" s="165">
        <v>0</v>
      </c>
      <c r="E57" s="125">
        <f t="shared" si="10"/>
        <v>0</v>
      </c>
      <c r="F57" s="41" t="s">
        <v>15</v>
      </c>
      <c r="G57" s="39">
        <v>252</v>
      </c>
      <c r="H57" s="321">
        <f>'0664'!H57</f>
        <v>3168</v>
      </c>
      <c r="I57" s="104">
        <f t="shared" si="11"/>
        <v>0</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10.55</v>
      </c>
      <c r="D59" s="100">
        <f>SUM(D50:D58)</f>
        <v>10.65</v>
      </c>
      <c r="E59" s="100">
        <f>SUM(E50:E58)</f>
        <v>21.2</v>
      </c>
      <c r="F59" s="463" t="s">
        <v>77</v>
      </c>
      <c r="G59" s="463"/>
      <c r="H59" s="463"/>
      <c r="I59" s="100">
        <f>SUM(I50:I58)</f>
        <v>37272.720000000001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169.10000000000002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8.7299999999999997E-4</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181.24130000000002</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8.34E-4</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8.7299999999999997E-4</v>
      </c>
      <c r="I68" s="104">
        <f>ROUND(F68*H68,2)</f>
        <v>37136.959999999999</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8.7299999999999997E-4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8.7299999999999997E-4</v>
      </c>
      <c r="I71" s="104">
        <f>ROUND(F71*H71,2)</f>
        <v>11722.19</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8.7299999999999997E-4</v>
      </c>
      <c r="I72" s="104">
        <f>ROUND(F72*H72,2)</f>
        <v>12924.97</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8.7299999999999997E-4</v>
      </c>
      <c r="I76" s="104">
        <f t="shared" ref="I76:I85" si="14">ROUND(F76*H76,2)</f>
        <v>7618.5</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8.7299999999999997E-4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8.34E-4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8.34E-4</v>
      </c>
      <c r="I79" s="104">
        <f t="shared" si="14"/>
        <v>9413.27</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8.34E-4</v>
      </c>
      <c r="I80" s="104">
        <f t="shared" si="14"/>
        <v>172041.48</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8.34E-4</v>
      </c>
      <c r="I82" s="104">
        <v>47550.239999999998</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8.34E-4</v>
      </c>
      <c r="I83" s="104">
        <v>21613.75</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69163.989999999991</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8.34E-4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96.808300000000003</v>
      </c>
      <c r="D90" s="469"/>
      <c r="E90" s="49">
        <f>H8</f>
        <v>1.0438000000000001</v>
      </c>
      <c r="F90" s="338">
        <f>'0664'!F90</f>
        <v>957.94</v>
      </c>
      <c r="G90" s="41" t="s">
        <v>13</v>
      </c>
      <c r="H90" s="104">
        <f>ROUND(C90*E90*F90,2)</f>
        <v>96798.399999999994</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84.432999999999993</v>
      </c>
      <c r="D91" s="469"/>
      <c r="E91" s="49">
        <f>H8</f>
        <v>1.0438000000000001</v>
      </c>
      <c r="F91" s="338">
        <f>'0664'!F91</f>
        <v>914.63</v>
      </c>
      <c r="G91" s="41" t="s">
        <v>13</v>
      </c>
      <c r="H91" s="104">
        <f>ROUND(C91*E91*F91,2)</f>
        <v>80607.41</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0</v>
      </c>
      <c r="D92" s="469"/>
      <c r="E92" s="49">
        <f>H8</f>
        <v>1.0438000000000001</v>
      </c>
      <c r="F92" s="338">
        <f>'0664'!F92</f>
        <v>916.84</v>
      </c>
      <c r="G92" s="41" t="s">
        <v>13</v>
      </c>
      <c r="H92" s="97">
        <f>ROUND(C92*E92*F92,2)</f>
        <v>0</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181.2413</v>
      </c>
      <c r="D93" s="471"/>
      <c r="E93" s="143"/>
      <c r="F93" s="143"/>
      <c r="G93" s="143"/>
      <c r="H93" s="144" t="s">
        <v>143</v>
      </c>
      <c r="I93" s="104">
        <f>IF(A1=75,0,H92+H91+H90)</f>
        <v>177405.81</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1</v>
      </c>
      <c r="D99" s="165">
        <v>0</v>
      </c>
      <c r="E99" s="166">
        <f>(C99+D99)/2</f>
        <v>0.5</v>
      </c>
      <c r="F99" s="148" t="s">
        <v>39</v>
      </c>
      <c r="G99" s="339">
        <f>'0664'!G99</f>
        <v>544</v>
      </c>
      <c r="I99" s="104">
        <f>ROUND(G99*E99,2)</f>
        <v>272</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1402814.69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1333650.7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1333650.7</v>
      </c>
      <c r="I122" s="97">
        <f>ROUND(IF(E29=0,0,IF(E29&gt;250,-(((250/E29)*H122)*IF(G122="H",0.02,0.05)),IF(G122="H",-0.02*H122,-0.05*H122))),2)</f>
        <v>-66682.539999999994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1336132.1499999999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-1274580.19-65683.31</f>
        <v>-1340263.5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-4131.3500000000931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-4131.3500000000004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U206"/>
  <sheetViews>
    <sheetView showGridLines="0" zoomScaleNormal="100" workbookViewId="0">
      <pane ySplit="1" topLeftCell="A11" activePane="bottomLeft" state="frozen"/>
      <selection activeCell="E100" sqref="E100"/>
      <selection pane="bottomLeft" activeCell="D48" sqref="D4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364</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195.45</v>
      </c>
      <c r="D15" s="165">
        <v>199.32</v>
      </c>
      <c r="E15" s="125">
        <f t="shared" si="3"/>
        <v>394.77</v>
      </c>
      <c r="F15" s="534">
        <f>'0664'!F15:G15</f>
        <v>1</v>
      </c>
      <c r="G15" s="534"/>
      <c r="H15" s="83">
        <f t="shared" si="4"/>
        <v>394.77</v>
      </c>
      <c r="I15" s="104">
        <f t="shared" si="0"/>
        <v>1890288.29</v>
      </c>
      <c r="N15" s="481" t="s">
        <v>31</v>
      </c>
      <c r="O15" s="481"/>
      <c r="P15" s="515">
        <f t="shared" si="1"/>
        <v>0</v>
      </c>
      <c r="Q15" s="515"/>
      <c r="R15" s="519">
        <v>1</v>
      </c>
      <c r="S15" s="519"/>
      <c r="T15" s="98">
        <f t="shared" si="5"/>
        <v>0</v>
      </c>
      <c r="U15" s="99">
        <f t="shared" si="2"/>
        <v>0</v>
      </c>
    </row>
    <row r="16" spans="1:21" x14ac:dyDescent="0.25">
      <c r="A16" s="455" t="s">
        <v>32</v>
      </c>
      <c r="B16" s="455"/>
      <c r="C16" s="165">
        <v>29.82</v>
      </c>
      <c r="D16" s="165">
        <v>31.1</v>
      </c>
      <c r="E16" s="125">
        <f t="shared" si="3"/>
        <v>60.92</v>
      </c>
      <c r="F16" s="534">
        <f>'0664'!F16:G16</f>
        <v>1</v>
      </c>
      <c r="G16" s="534"/>
      <c r="H16" s="83">
        <f t="shared" si="4"/>
        <v>60.92</v>
      </c>
      <c r="I16" s="104">
        <f t="shared" si="0"/>
        <v>291704.95</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165.29</v>
      </c>
      <c r="D17" s="165">
        <v>160.24</v>
      </c>
      <c r="E17" s="125">
        <f t="shared" si="3"/>
        <v>325.52999999999997</v>
      </c>
      <c r="F17" s="534">
        <f>'0664'!F17:G17</f>
        <v>0.999</v>
      </c>
      <c r="G17" s="534"/>
      <c r="H17" s="83">
        <f t="shared" si="4"/>
        <v>325.2045</v>
      </c>
      <c r="I17" s="104">
        <f t="shared" si="0"/>
        <v>1557185.85</v>
      </c>
      <c r="N17" s="481" t="s">
        <v>33</v>
      </c>
      <c r="O17" s="481"/>
      <c r="P17" s="515">
        <f t="shared" si="1"/>
        <v>0</v>
      </c>
      <c r="Q17" s="515"/>
      <c r="R17" s="519">
        <v>1</v>
      </c>
      <c r="S17" s="519"/>
      <c r="T17" s="98">
        <f t="shared" si="5"/>
        <v>0</v>
      </c>
      <c r="U17" s="99">
        <f t="shared" si="2"/>
        <v>0</v>
      </c>
    </row>
    <row r="18" spans="1:21" x14ac:dyDescent="0.25">
      <c r="A18" s="455" t="s">
        <v>34</v>
      </c>
      <c r="B18" s="455"/>
      <c r="C18" s="165">
        <v>18.46</v>
      </c>
      <c r="D18" s="165">
        <v>18.04</v>
      </c>
      <c r="E18" s="125">
        <f t="shared" si="3"/>
        <v>36.5</v>
      </c>
      <c r="F18" s="534">
        <f>'0664'!F18:G18</f>
        <v>0.999</v>
      </c>
      <c r="G18" s="534"/>
      <c r="H18" s="83">
        <f t="shared" si="4"/>
        <v>36.463500000000003</v>
      </c>
      <c r="I18" s="104">
        <f t="shared" si="0"/>
        <v>174599.2</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39.369999999999997</v>
      </c>
      <c r="D26" s="165">
        <v>41.86</v>
      </c>
      <c r="E26" s="125">
        <f t="shared" si="3"/>
        <v>81.22999999999999</v>
      </c>
      <c r="F26" s="534">
        <f>'0664'!F26:G26</f>
        <v>1.206</v>
      </c>
      <c r="G26" s="534"/>
      <c r="H26" s="83">
        <f t="shared" si="4"/>
        <v>97.963399999999993</v>
      </c>
      <c r="I26" s="104">
        <f t="shared" si="0"/>
        <v>469080.9</v>
      </c>
      <c r="N26" s="481" t="s">
        <v>115</v>
      </c>
      <c r="O26" s="481"/>
      <c r="P26" s="515">
        <f t="shared" si="1"/>
        <v>0</v>
      </c>
      <c r="Q26" s="515"/>
      <c r="R26" s="519">
        <v>1</v>
      </c>
      <c r="S26" s="519"/>
      <c r="T26" s="98">
        <f t="shared" si="5"/>
        <v>0</v>
      </c>
      <c r="U26" s="99">
        <f t="shared" si="2"/>
        <v>0</v>
      </c>
    </row>
    <row r="27" spans="1:21" x14ac:dyDescent="0.25">
      <c r="A27" s="455" t="s">
        <v>116</v>
      </c>
      <c r="B27" s="455"/>
      <c r="C27" s="165">
        <v>34.74</v>
      </c>
      <c r="D27" s="165">
        <v>33.44</v>
      </c>
      <c r="E27" s="125">
        <f t="shared" si="3"/>
        <v>68.180000000000007</v>
      </c>
      <c r="F27" s="534">
        <f>'0664'!F27:G27</f>
        <v>1.206</v>
      </c>
      <c r="G27" s="534"/>
      <c r="H27" s="83">
        <f t="shared" si="4"/>
        <v>82.225099999999998</v>
      </c>
      <c r="I27" s="104">
        <f t="shared" si="0"/>
        <v>393720.76</v>
      </c>
      <c r="N27" s="481" t="s">
        <v>116</v>
      </c>
      <c r="O27" s="481"/>
      <c r="P27" s="515">
        <f t="shared" si="1"/>
        <v>0</v>
      </c>
      <c r="Q27" s="515"/>
      <c r="R27" s="519">
        <v>1</v>
      </c>
      <c r="S27" s="519"/>
      <c r="T27" s="98">
        <f t="shared" si="5"/>
        <v>0</v>
      </c>
      <c r="U27" s="99">
        <f t="shared" si="2"/>
        <v>0</v>
      </c>
    </row>
    <row r="28" spans="1:21" x14ac:dyDescent="0.25">
      <c r="A28" s="455" t="s">
        <v>117</v>
      </c>
      <c r="B28" s="455"/>
      <c r="C28" s="116">
        <v>19.22</v>
      </c>
      <c r="D28" s="116">
        <v>20.23</v>
      </c>
      <c r="E28" s="177">
        <f t="shared" si="3"/>
        <v>39.450000000000003</v>
      </c>
      <c r="F28" s="534">
        <f>'0664'!F28:G28</f>
        <v>0.999</v>
      </c>
      <c r="G28" s="534"/>
      <c r="H28" s="96">
        <f t="shared" si="4"/>
        <v>39.410600000000002</v>
      </c>
      <c r="I28" s="97">
        <f t="shared" si="0"/>
        <v>188710.88</v>
      </c>
      <c r="N28" s="484" t="s">
        <v>117</v>
      </c>
      <c r="O28" s="484"/>
      <c r="P28" s="515">
        <f t="shared" si="1"/>
        <v>0</v>
      </c>
      <c r="Q28" s="515"/>
      <c r="R28" s="516">
        <v>1</v>
      </c>
      <c r="S28" s="516"/>
      <c r="T28" s="98">
        <f t="shared" si="5"/>
        <v>0</v>
      </c>
      <c r="U28" s="99">
        <f t="shared" si="2"/>
        <v>0</v>
      </c>
    </row>
    <row r="29" spans="1:21" x14ac:dyDescent="0.25">
      <c r="A29" s="463" t="s">
        <v>5</v>
      </c>
      <c r="B29" s="463"/>
      <c r="C29" s="97">
        <f>SUM(C13:C28)</f>
        <v>502.34999999999991</v>
      </c>
      <c r="D29" s="97">
        <f>SUM(D13:D28)</f>
        <v>504.23</v>
      </c>
      <c r="E29" s="97">
        <f>SUM(E13:E28)</f>
        <v>1006.5800000000002</v>
      </c>
      <c r="F29" s="459"/>
      <c r="G29" s="459"/>
      <c r="H29" s="102">
        <f>SUM(H13:H28)</f>
        <v>1036.9570999999999</v>
      </c>
      <c r="I29" s="97">
        <f>SUM(I13:I28)</f>
        <v>4965290.83</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1036.9570999999999</v>
      </c>
      <c r="F45" s="35"/>
      <c r="G45" s="109"/>
      <c r="H45" s="110" t="s">
        <v>129</v>
      </c>
      <c r="I45" s="97">
        <f>SUM(I43,I29)</f>
        <v>4965290.83</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27.83</v>
      </c>
      <c r="D53" s="165">
        <v>29.11</v>
      </c>
      <c r="E53" s="125">
        <f t="shared" si="10"/>
        <v>56.94</v>
      </c>
      <c r="F53" s="41" t="s">
        <v>14</v>
      </c>
      <c r="G53" s="39">
        <v>251</v>
      </c>
      <c r="H53" s="321">
        <f>'0664'!H53</f>
        <v>1173</v>
      </c>
      <c r="I53" s="104">
        <f t="shared" si="11"/>
        <v>66790.62</v>
      </c>
      <c r="N53" s="506"/>
      <c r="O53" s="506"/>
      <c r="P53" s="508"/>
      <c r="Q53" s="508"/>
      <c r="R53" s="42" t="s">
        <v>14</v>
      </c>
      <c r="S53" s="40">
        <v>251</v>
      </c>
      <c r="T53" s="117">
        <f t="shared" si="12"/>
        <v>1173</v>
      </c>
      <c r="U53" s="118">
        <f t="shared" si="13"/>
        <v>0</v>
      </c>
    </row>
    <row r="54" spans="1:21" x14ac:dyDescent="0.25">
      <c r="A54" s="462"/>
      <c r="B54" s="462"/>
      <c r="C54" s="165">
        <v>1.49</v>
      </c>
      <c r="D54" s="165">
        <v>1.99</v>
      </c>
      <c r="E54" s="125">
        <f t="shared" si="10"/>
        <v>3.48</v>
      </c>
      <c r="F54" s="41" t="s">
        <v>14</v>
      </c>
      <c r="G54" s="39">
        <v>252</v>
      </c>
      <c r="H54" s="321">
        <f>'0664'!H54</f>
        <v>3506</v>
      </c>
      <c r="I54" s="104">
        <f t="shared" si="11"/>
        <v>12200.88</v>
      </c>
      <c r="N54" s="506"/>
      <c r="O54" s="506"/>
      <c r="P54" s="508"/>
      <c r="Q54" s="508"/>
      <c r="R54" s="42" t="s">
        <v>14</v>
      </c>
      <c r="S54" s="40">
        <v>252</v>
      </c>
      <c r="T54" s="117">
        <f t="shared" si="12"/>
        <v>3506</v>
      </c>
      <c r="U54" s="118">
        <f t="shared" si="13"/>
        <v>0</v>
      </c>
    </row>
    <row r="55" spans="1:21" x14ac:dyDescent="0.25">
      <c r="A55" s="462"/>
      <c r="B55" s="462"/>
      <c r="C55" s="165">
        <v>0.5</v>
      </c>
      <c r="D55" s="165">
        <v>0</v>
      </c>
      <c r="E55" s="125">
        <f t="shared" si="10"/>
        <v>0.5</v>
      </c>
      <c r="F55" s="41" t="s">
        <v>14</v>
      </c>
      <c r="G55" s="39">
        <v>253</v>
      </c>
      <c r="H55" s="321">
        <f>'0664'!H55</f>
        <v>7023</v>
      </c>
      <c r="I55" s="104">
        <f t="shared" si="11"/>
        <v>3511.5</v>
      </c>
      <c r="N55" s="506"/>
      <c r="O55" s="506"/>
      <c r="P55" s="508"/>
      <c r="Q55" s="508"/>
      <c r="R55" s="42" t="s">
        <v>14</v>
      </c>
      <c r="S55" s="40">
        <v>253</v>
      </c>
      <c r="T55" s="117">
        <f t="shared" si="12"/>
        <v>7023</v>
      </c>
      <c r="U55" s="118">
        <f t="shared" si="13"/>
        <v>0</v>
      </c>
    </row>
    <row r="56" spans="1:21" x14ac:dyDescent="0.25">
      <c r="A56" s="462"/>
      <c r="B56" s="462"/>
      <c r="C56" s="165">
        <v>15.97</v>
      </c>
      <c r="D56" s="165">
        <v>16.54</v>
      </c>
      <c r="E56" s="125">
        <f t="shared" si="10"/>
        <v>32.51</v>
      </c>
      <c r="F56" s="41" t="s">
        <v>15</v>
      </c>
      <c r="G56" s="39">
        <v>251</v>
      </c>
      <c r="H56" s="321">
        <f>'0664'!H56</f>
        <v>835</v>
      </c>
      <c r="I56" s="104">
        <f t="shared" si="11"/>
        <v>27145.85</v>
      </c>
      <c r="N56" s="506"/>
      <c r="O56" s="506"/>
      <c r="P56" s="508"/>
      <c r="Q56" s="508"/>
      <c r="R56" s="42" t="s">
        <v>15</v>
      </c>
      <c r="S56" s="40">
        <v>251</v>
      </c>
      <c r="T56" s="117">
        <f t="shared" si="12"/>
        <v>835</v>
      </c>
      <c r="U56" s="118">
        <f t="shared" si="13"/>
        <v>0</v>
      </c>
    </row>
    <row r="57" spans="1:21" x14ac:dyDescent="0.25">
      <c r="A57" s="462"/>
      <c r="B57" s="462"/>
      <c r="C57" s="165">
        <v>2.4900000000000002</v>
      </c>
      <c r="D57" s="165">
        <v>1.5</v>
      </c>
      <c r="E57" s="125">
        <f t="shared" si="10"/>
        <v>3.99</v>
      </c>
      <c r="F57" s="41" t="s">
        <v>15</v>
      </c>
      <c r="G57" s="39">
        <v>252</v>
      </c>
      <c r="H57" s="321">
        <f>'0664'!H57</f>
        <v>3168</v>
      </c>
      <c r="I57" s="104">
        <f t="shared" si="11"/>
        <v>12640.32</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48.28</v>
      </c>
      <c r="D59" s="100">
        <f>SUM(D50:D58)</f>
        <v>49.14</v>
      </c>
      <c r="E59" s="100">
        <f>SUM(E50:E58)</f>
        <v>97.419999999999987</v>
      </c>
      <c r="F59" s="463" t="s">
        <v>77</v>
      </c>
      <c r="G59" s="463"/>
      <c r="H59" s="463"/>
      <c r="I59" s="100">
        <f>SUM(I50:I58)</f>
        <v>122289.17000000001</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1006.5800000000002</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5.1960000000000001E-3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1036.9570999999999</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4.7739999999999996E-3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5.1960000000000001E-3</v>
      </c>
      <c r="I68" s="104">
        <f>ROUND(F68*H68,2)</f>
        <v>221035.1</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5.1960000000000001E-3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5.1960000000000001E-3</v>
      </c>
      <c r="I71" s="104">
        <f>ROUND(F71*H71,2)</f>
        <v>69769.179999999993</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5.1960000000000001E-3</v>
      </c>
      <c r="I72" s="104">
        <f>ROUND(F72*H72,2)</f>
        <v>76928.02</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5.1960000000000001E-3</v>
      </c>
      <c r="I76" s="104">
        <f t="shared" ref="I76:I85" si="14">ROUND(F76*H76,2)</f>
        <v>45344.49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5.1960000000000001E-3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4.7739999999999996E-3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4.7739999999999996E-3</v>
      </c>
      <c r="I79" s="104">
        <f t="shared" si="14"/>
        <v>53883.65</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4.7739999999999996E-3</v>
      </c>
      <c r="I80" s="104">
        <f t="shared" si="14"/>
        <v>984803.39</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4.7739999999999996E-3</v>
      </c>
      <c r="I82" s="104">
        <v>147464.23000000001</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4.7739999999999996E-3</v>
      </c>
      <c r="I83" s="104">
        <v>67029.2</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214493.43</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4.7739999999999996E-3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553.65340000000003</v>
      </c>
      <c r="D91" s="469"/>
      <c r="E91" s="49">
        <f>H8</f>
        <v>1.0438000000000001</v>
      </c>
      <c r="F91" s="338">
        <f>'0664'!F91</f>
        <v>914.63</v>
      </c>
      <c r="G91" s="41" t="s">
        <v>13</v>
      </c>
      <c r="H91" s="104">
        <f>ROUND(C91*E91*F91,2)</f>
        <v>528567.80000000005</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483.30369999999999</v>
      </c>
      <c r="D92" s="469"/>
      <c r="E92" s="49">
        <f>H8</f>
        <v>1.0438000000000001</v>
      </c>
      <c r="F92" s="338">
        <f>'0664'!F92</f>
        <v>916.84</v>
      </c>
      <c r="G92" s="41" t="s">
        <v>13</v>
      </c>
      <c r="H92" s="97">
        <f>ROUND(C92*E92*F92,2)</f>
        <v>462520.48</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1036.9571000000001</v>
      </c>
      <c r="D93" s="471"/>
      <c r="E93" s="143"/>
      <c r="F93" s="143"/>
      <c r="G93" s="143"/>
      <c r="H93" s="144" t="s">
        <v>143</v>
      </c>
      <c r="I93" s="104">
        <f>IF(A1=75,0,H92+H91+H90)</f>
        <v>991088.28</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5</v>
      </c>
      <c r="D99" s="165">
        <v>0</v>
      </c>
      <c r="E99" s="166">
        <f>(C99+D99)/2</f>
        <v>2.5</v>
      </c>
      <c r="F99" s="148" t="s">
        <v>39</v>
      </c>
      <c r="G99" s="339">
        <f>'0664'!G99</f>
        <v>544</v>
      </c>
      <c r="I99" s="104">
        <f>ROUND(G99*E99,2)</f>
        <v>1360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7746285.540000001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7531792.1100000013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7531792.1100000013</v>
      </c>
      <c r="I122" s="97">
        <f>ROUND(IF(E29=0,0,IF(E29&gt;250,-(((250/E29)*H122)*IF(G122="H",0.02,0.05)),IF(G122="H",-0.02*H122,-0.05*H122))),2)</f>
        <v>-93531.96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7652753.580000001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-6895937.11-763180.36</f>
        <v>-7659117.4700000007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-6363.8899999996647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-6363.89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283057.65000000002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U206"/>
  <sheetViews>
    <sheetView showGridLines="0" zoomScaleNormal="100" workbookViewId="0">
      <pane ySplit="1" topLeftCell="A16" activePane="bottomLeft" state="frozen"/>
      <selection activeCell="E100" sqref="E100"/>
      <selection pane="bottomLeft" activeCell="D57" sqref="D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375</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4"/>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371" t="s">
        <v>370</v>
      </c>
      <c r="D9" s="37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3" t="s">
        <v>2</v>
      </c>
      <c r="D11" s="361" t="s">
        <v>2</v>
      </c>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92.44</v>
      </c>
      <c r="D17" s="165">
        <v>88</v>
      </c>
      <c r="E17" s="125">
        <f t="shared" si="3"/>
        <v>180.44</v>
      </c>
      <c r="F17" s="534">
        <f>'0664'!F17:G17</f>
        <v>0.999</v>
      </c>
      <c r="G17" s="534"/>
      <c r="H17" s="83">
        <f t="shared" si="4"/>
        <v>180.25960000000001</v>
      </c>
      <c r="I17" s="104">
        <f t="shared" si="0"/>
        <v>863142.11</v>
      </c>
      <c r="N17" s="481" t="s">
        <v>33</v>
      </c>
      <c r="O17" s="481"/>
      <c r="P17" s="515">
        <f t="shared" si="1"/>
        <v>0</v>
      </c>
      <c r="Q17" s="515"/>
      <c r="R17" s="519">
        <v>1</v>
      </c>
      <c r="S17" s="519"/>
      <c r="T17" s="98">
        <f t="shared" si="5"/>
        <v>0</v>
      </c>
      <c r="U17" s="99">
        <f t="shared" si="2"/>
        <v>0</v>
      </c>
    </row>
    <row r="18" spans="1:21" x14ac:dyDescent="0.25">
      <c r="A18" s="455" t="s">
        <v>34</v>
      </c>
      <c r="B18" s="455"/>
      <c r="C18" s="165">
        <v>24.77</v>
      </c>
      <c r="D18" s="165">
        <v>24.36</v>
      </c>
      <c r="E18" s="125">
        <f t="shared" si="3"/>
        <v>49.129999999999995</v>
      </c>
      <c r="F18" s="534">
        <f>'0664'!F18:G18</f>
        <v>0.999</v>
      </c>
      <c r="G18" s="534"/>
      <c r="H18" s="83">
        <f t="shared" si="4"/>
        <v>49.0809</v>
      </c>
      <c r="I18" s="104">
        <f t="shared" si="0"/>
        <v>235015.45</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15.59</v>
      </c>
      <c r="D27" s="165">
        <v>16.05</v>
      </c>
      <c r="E27" s="125">
        <f t="shared" si="3"/>
        <v>31.64</v>
      </c>
      <c r="F27" s="534">
        <f>'0664'!F27:G27</f>
        <v>1.206</v>
      </c>
      <c r="G27" s="534"/>
      <c r="H27" s="83">
        <f t="shared" si="4"/>
        <v>38.157800000000002</v>
      </c>
      <c r="I27" s="104">
        <f t="shared" si="0"/>
        <v>182712.07</v>
      </c>
      <c r="N27" s="481" t="s">
        <v>116</v>
      </c>
      <c r="O27" s="481"/>
      <c r="P27" s="515">
        <f t="shared" si="1"/>
        <v>0</v>
      </c>
      <c r="Q27" s="515"/>
      <c r="R27" s="519">
        <v>1</v>
      </c>
      <c r="S27" s="519"/>
      <c r="T27" s="98">
        <f t="shared" si="5"/>
        <v>0</v>
      </c>
      <c r="U27" s="99">
        <f t="shared" si="2"/>
        <v>0</v>
      </c>
    </row>
    <row r="28" spans="1:21" x14ac:dyDescent="0.25">
      <c r="A28" s="455" t="s">
        <v>117</v>
      </c>
      <c r="B28" s="455"/>
      <c r="C28" s="116">
        <v>25.32</v>
      </c>
      <c r="D28" s="116">
        <v>25.66</v>
      </c>
      <c r="E28" s="125">
        <f t="shared" si="3"/>
        <v>50.980000000000004</v>
      </c>
      <c r="F28" s="534">
        <f>'0664'!F28:G28</f>
        <v>0.999</v>
      </c>
      <c r="G28" s="534"/>
      <c r="H28" s="96">
        <f t="shared" si="4"/>
        <v>50.929000000000002</v>
      </c>
      <c r="I28" s="97">
        <f t="shared" si="0"/>
        <v>243864.76</v>
      </c>
      <c r="N28" s="484" t="s">
        <v>117</v>
      </c>
      <c r="O28" s="484"/>
      <c r="P28" s="515">
        <f t="shared" si="1"/>
        <v>0</v>
      </c>
      <c r="Q28" s="515"/>
      <c r="R28" s="516">
        <v>1</v>
      </c>
      <c r="S28" s="516"/>
      <c r="T28" s="98">
        <f t="shared" si="5"/>
        <v>0</v>
      </c>
      <c r="U28" s="99">
        <f t="shared" si="2"/>
        <v>0</v>
      </c>
    </row>
    <row r="29" spans="1:21" x14ac:dyDescent="0.25">
      <c r="A29" s="463" t="s">
        <v>5</v>
      </c>
      <c r="B29" s="463"/>
      <c r="C29" s="97">
        <f>SUM(C13:C28)</f>
        <v>158.11999999999998</v>
      </c>
      <c r="D29" s="97">
        <f>SUM(D13:D28)</f>
        <v>154.07</v>
      </c>
      <c r="E29" s="100">
        <f>SUM(E13:E28)</f>
        <v>312.19</v>
      </c>
      <c r="F29" s="459"/>
      <c r="G29" s="459"/>
      <c r="H29" s="102">
        <f>SUM(H13:H28)</f>
        <v>318.42730000000006</v>
      </c>
      <c r="I29" s="97">
        <f>SUM(I13:I28)</f>
        <v>1524734.3900000001</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164">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66">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66">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66">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66">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58">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318.42730000000006</v>
      </c>
      <c r="F45" s="35"/>
      <c r="G45" s="109"/>
      <c r="H45" s="110" t="s">
        <v>129</v>
      </c>
      <c r="I45" s="97">
        <f>SUM(I43,I29)</f>
        <v>1524734.3900000001</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1" t="s">
        <v>370</v>
      </c>
      <c r="D47" s="37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1"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v>23.25</v>
      </c>
      <c r="D56" s="165">
        <v>23.37</v>
      </c>
      <c r="E56" s="125">
        <f t="shared" si="10"/>
        <v>46.620000000000005</v>
      </c>
      <c r="F56" s="41" t="s">
        <v>15</v>
      </c>
      <c r="G56" s="39">
        <v>251</v>
      </c>
      <c r="H56" s="321">
        <f>'0664'!H56</f>
        <v>835</v>
      </c>
      <c r="I56" s="104">
        <f t="shared" si="11"/>
        <v>38927.699999999997</v>
      </c>
      <c r="N56" s="506"/>
      <c r="O56" s="506"/>
      <c r="P56" s="508"/>
      <c r="Q56" s="508"/>
      <c r="R56" s="42" t="s">
        <v>15</v>
      </c>
      <c r="S56" s="40">
        <v>251</v>
      </c>
      <c r="T56" s="117">
        <f t="shared" si="12"/>
        <v>835</v>
      </c>
      <c r="U56" s="118">
        <f t="shared" si="13"/>
        <v>0</v>
      </c>
    </row>
    <row r="57" spans="1:21" x14ac:dyDescent="0.25">
      <c r="A57" s="462"/>
      <c r="B57" s="462"/>
      <c r="C57" s="165">
        <v>1.52</v>
      </c>
      <c r="D57" s="165">
        <v>0.99</v>
      </c>
      <c r="E57" s="125">
        <f t="shared" si="10"/>
        <v>2.5099999999999998</v>
      </c>
      <c r="F57" s="41" t="s">
        <v>15</v>
      </c>
      <c r="G57" s="39">
        <v>252</v>
      </c>
      <c r="H57" s="321">
        <f>'0664'!H57</f>
        <v>3168</v>
      </c>
      <c r="I57" s="104">
        <f t="shared" si="11"/>
        <v>7951.68</v>
      </c>
      <c r="N57" s="506"/>
      <c r="O57" s="506"/>
      <c r="P57" s="508"/>
      <c r="Q57" s="508"/>
      <c r="R57" s="42" t="s">
        <v>15</v>
      </c>
      <c r="S57" s="40">
        <v>252</v>
      </c>
      <c r="T57" s="117">
        <f t="shared" si="12"/>
        <v>3168</v>
      </c>
      <c r="U57" s="118">
        <f t="shared" si="13"/>
        <v>0</v>
      </c>
    </row>
    <row r="58" spans="1:21" ht="16.5" thickBot="1" x14ac:dyDescent="0.3">
      <c r="A58" s="462"/>
      <c r="B58" s="462"/>
      <c r="C58" s="165">
        <v>0</v>
      </c>
      <c r="D58" s="165">
        <v>0</v>
      </c>
      <c r="E58" s="125">
        <f t="shared" si="10"/>
        <v>0</v>
      </c>
      <c r="F58" s="41" t="s">
        <v>15</v>
      </c>
      <c r="G58" s="39">
        <v>253</v>
      </c>
      <c r="H58" s="321">
        <f>'0664'!H58</f>
        <v>6685</v>
      </c>
      <c r="I58" s="104">
        <f t="shared" si="11"/>
        <v>0</v>
      </c>
      <c r="N58" s="506"/>
      <c r="O58" s="506"/>
      <c r="P58" s="509"/>
      <c r="Q58" s="509"/>
      <c r="R58" s="42" t="s">
        <v>15</v>
      </c>
      <c r="S58" s="40">
        <v>253</v>
      </c>
      <c r="T58" s="117">
        <f t="shared" si="12"/>
        <v>6685</v>
      </c>
      <c r="U58" s="120">
        <f t="shared" si="13"/>
        <v>0</v>
      </c>
    </row>
    <row r="59" spans="1:21" ht="16.5" thickBot="1" x14ac:dyDescent="0.3">
      <c r="A59" s="463" t="s">
        <v>16</v>
      </c>
      <c r="B59" s="463"/>
      <c r="C59" s="100">
        <f>SUM(C50:C58)</f>
        <v>24.77</v>
      </c>
      <c r="D59" s="100">
        <f>SUM(D50:D58)</f>
        <v>24.36</v>
      </c>
      <c r="E59" s="100">
        <f>SUM(E50:E58)</f>
        <v>49.13</v>
      </c>
      <c r="F59" s="463" t="s">
        <v>77</v>
      </c>
      <c r="G59" s="463"/>
      <c r="H59" s="463"/>
      <c r="I59" s="100">
        <f>SUM(I50:I58)</f>
        <v>46879.38</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312.19</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1.611E-3</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318.42730000000006</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1.4660000000000001E-3</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1.611E-3</v>
      </c>
      <c r="I68" s="104">
        <f>ROUND(F68*H68,2)</f>
        <v>68531.09</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75"/>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1.611E-3</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1.611E-3</v>
      </c>
      <c r="I71" s="104">
        <f>ROUND(F71*H71,2)</f>
        <v>21631.67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1.611E-3</v>
      </c>
      <c r="I72" s="104">
        <f>ROUND(F72*H72,2)</f>
        <v>23851.24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1.611E-3</v>
      </c>
      <c r="I76" s="104">
        <f t="shared" ref="I76:I85" si="14">ROUND(F76*H76,2)</f>
        <v>14058.89</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1.611E-3</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1.4660000000000001E-3</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1.4660000000000001E-3</v>
      </c>
      <c r="I79" s="104">
        <f t="shared" si="14"/>
        <v>16546.59</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1.4660000000000001E-3</v>
      </c>
      <c r="I80" s="104">
        <f t="shared" si="14"/>
        <v>302413.44</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1.4660000000000001E-3</v>
      </c>
      <c r="I82" s="104">
        <v>49281.98</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1.4660000000000001E-3</v>
      </c>
      <c r="I83" s="104">
        <v>22400.9</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71682.880000000005</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1.4660000000000001E-3</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318.42730000000006</v>
      </c>
      <c r="D92" s="469"/>
      <c r="E92" s="49">
        <f>H8</f>
        <v>1.0438000000000001</v>
      </c>
      <c r="F92" s="338">
        <f>'0664'!F92</f>
        <v>916.84</v>
      </c>
      <c r="G92" s="41" t="s">
        <v>13</v>
      </c>
      <c r="H92" s="97">
        <f>ROUND(C92*E92*F92,2)</f>
        <v>304734.15999999997</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318.42730000000006</v>
      </c>
      <c r="D93" s="471"/>
      <c r="E93" s="143"/>
      <c r="F93" s="143"/>
      <c r="G93" s="143"/>
      <c r="H93" s="144" t="s">
        <v>143</v>
      </c>
      <c r="I93" s="104">
        <f>IF(A1=75,0,H92+H91+H90)</f>
        <v>304734.15999999997</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0</v>
      </c>
      <c r="D99" s="165">
        <v>0</v>
      </c>
      <c r="E99" s="166">
        <f>(C99+D99)/2</f>
        <v>0</v>
      </c>
      <c r="F99" s="148" t="s">
        <v>39</v>
      </c>
      <c r="G99" s="339">
        <f>'0664'!G99</f>
        <v>544</v>
      </c>
      <c r="I99" s="104">
        <f>ROUND(G99*E99,2)</f>
        <v>0</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66">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164">
        <f>IF(D$59=0,C107*2,C107+D107)</f>
        <v>0</v>
      </c>
      <c r="F107" s="545">
        <v>0</v>
      </c>
      <c r="G107" s="545"/>
      <c r="H107" s="64">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66">
        <f>IF(D$59=0,C108*2,C108+D108)</f>
        <v>0</v>
      </c>
      <c r="F108" s="470">
        <f>ROUND(F107/2,2)</f>
        <v>0</v>
      </c>
      <c r="G108" s="470"/>
      <c r="H108" s="64">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66">
        <f>IF(D$59=0,C109*2,C109+D109)</f>
        <v>0</v>
      </c>
      <c r="F109" s="477"/>
      <c r="G109" s="477"/>
      <c r="H109" s="66">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2395063.73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2323380.85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2323380.85</v>
      </c>
      <c r="I122" s="97">
        <f>ROUND(IF(E29=0,0,IF(E29&gt;250,-(((250/E29)*H122)*IF(G122="H",0.02,0.05)),IF(G122="H",-0.02*H122,-0.05*H122))),2)</f>
        <v>-93027.520000000004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2302036.21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-2090264.45-215445.89</f>
        <v>-2305710.34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-3674.1299999998882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-3674.13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406"/>
      <c r="Q133" s="76"/>
      <c r="R133" s="76"/>
      <c r="S133" s="76"/>
      <c r="T133" s="76"/>
      <c r="U133" s="76"/>
    </row>
    <row r="134" spans="1:21" ht="16.5" thickBot="1" x14ac:dyDescent="0.3">
      <c r="A134" s="3" t="s">
        <v>121</v>
      </c>
      <c r="B134" s="72"/>
      <c r="C134" s="72"/>
      <c r="D134" s="72"/>
      <c r="E134" s="72"/>
      <c r="F134" s="72"/>
      <c r="G134" s="72"/>
      <c r="H134" s="68"/>
      <c r="I134" s="155">
        <f>ROUND(IF(G122="H",(H122*0.02)+I122,(H122*0.05)+I122),2)</f>
        <v>23141.52</v>
      </c>
      <c r="N134" s="76"/>
      <c r="O134" s="76"/>
      <c r="P134" s="40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U206"/>
  <sheetViews>
    <sheetView showGridLines="0" tabSelected="1" zoomScaleNormal="100" workbookViewId="0">
      <pane ySplit="1" topLeftCell="A17" activePane="bottomLeft" state="frozen"/>
      <selection activeCell="E100" sqref="E100"/>
      <selection pane="bottomLeft" activeCell="E17" sqref="E1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3" t="s">
        <v>17</v>
      </c>
      <c r="C1" s="444"/>
      <c r="D1" s="444"/>
      <c r="E1" s="444"/>
      <c r="F1" s="444"/>
      <c r="G1" s="444"/>
      <c r="H1" s="444"/>
      <c r="I1" s="444"/>
      <c r="J1" s="157"/>
      <c r="K1" s="157"/>
      <c r="L1" s="157"/>
      <c r="N1" s="85">
        <f>A1</f>
        <v>50</v>
      </c>
      <c r="O1" s="529" t="s">
        <v>17</v>
      </c>
      <c r="P1" s="530"/>
      <c r="Q1" s="530"/>
      <c r="R1" s="530"/>
      <c r="S1" s="530"/>
      <c r="T1" s="530"/>
      <c r="U1" s="530"/>
    </row>
    <row r="2" spans="1:21" ht="21" x14ac:dyDescent="0.35">
      <c r="A2" s="1" t="s">
        <v>449</v>
      </c>
      <c r="B2" s="2"/>
      <c r="C2" s="2"/>
      <c r="D2" s="2"/>
      <c r="E2" s="2"/>
      <c r="F2" s="2"/>
      <c r="G2" s="2"/>
      <c r="H2" s="2"/>
      <c r="I2" s="2"/>
      <c r="N2" s="531" t="s">
        <v>23</v>
      </c>
      <c r="O2" s="531"/>
      <c r="P2" s="531"/>
      <c r="Q2" s="531"/>
      <c r="R2" s="531"/>
      <c r="S2" s="531"/>
      <c r="T2" s="531"/>
      <c r="U2" s="531"/>
    </row>
    <row r="3" spans="1:21" x14ac:dyDescent="0.25">
      <c r="A3" s="84" t="str">
        <f>'0664'!A3</f>
        <v>Based on the FLDOE 2022-23 FEFP Fourth Calculation</v>
      </c>
      <c r="N3" s="487" t="str">
        <f>A3</f>
        <v>Based on the FLDOE 2022-23 FEFP Fourth Calculation</v>
      </c>
      <c r="O3" s="487"/>
      <c r="P3" s="487"/>
      <c r="Q3" s="487"/>
      <c r="R3" s="487"/>
      <c r="S3" s="487"/>
      <c r="T3" s="487"/>
      <c r="U3" s="487"/>
    </row>
    <row r="4" spans="1:21" x14ac:dyDescent="0.25">
      <c r="A4" s="445" t="s">
        <v>0</v>
      </c>
      <c r="B4" s="445"/>
      <c r="C4" s="446" t="s">
        <v>9</v>
      </c>
      <c r="D4" s="446"/>
      <c r="E4" s="446"/>
      <c r="F4" s="4" t="str">
        <f>'0664'!F4</f>
        <v>Final 2023</v>
      </c>
      <c r="G4" s="4"/>
      <c r="H4" s="173"/>
      <c r="I4" s="4"/>
      <c r="N4" s="532" t="s">
        <v>0</v>
      </c>
      <c r="O4" s="532"/>
      <c r="P4" s="533" t="str">
        <f>C4</f>
        <v>Palm Beach</v>
      </c>
      <c r="Q4" s="533"/>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7" t="str">
        <f>'0664'!A7:I7</f>
        <v>1.   2022-23 FEFP State and Local Funding</v>
      </c>
      <c r="B7" s="535"/>
      <c r="C7" s="535"/>
      <c r="D7" s="535"/>
      <c r="E7" s="535"/>
      <c r="F7" s="535"/>
      <c r="G7" s="535"/>
      <c r="H7" s="535"/>
      <c r="I7" s="535"/>
      <c r="N7" s="532" t="s">
        <v>86</v>
      </c>
      <c r="O7" s="532"/>
      <c r="P7" s="532"/>
      <c r="Q7" s="532"/>
      <c r="R7" s="532"/>
      <c r="S7" s="532"/>
      <c r="T7" s="532"/>
      <c r="U7" s="532"/>
    </row>
    <row r="8" spans="1:21" x14ac:dyDescent="0.25">
      <c r="A8" s="87"/>
      <c r="B8" s="88" t="s">
        <v>123</v>
      </c>
      <c r="C8" s="334">
        <f>'0664'!C8</f>
        <v>4587.3999999999996</v>
      </c>
      <c r="D8" s="89"/>
      <c r="E8" s="90"/>
      <c r="F8" s="87"/>
      <c r="G8" s="88" t="s">
        <v>122</v>
      </c>
      <c r="H8" s="320">
        <f>'0664'!H8</f>
        <v>1.0438000000000001</v>
      </c>
      <c r="I8" s="78"/>
      <c r="N8" s="536" t="s">
        <v>10</v>
      </c>
      <c r="O8" s="536"/>
      <c r="P8" s="537">
        <v>4154.45</v>
      </c>
      <c r="Q8" s="537"/>
      <c r="R8" s="520" t="s">
        <v>11</v>
      </c>
      <c r="S8" s="520"/>
      <c r="T8" s="521">
        <f>H8</f>
        <v>1.0438000000000001</v>
      </c>
      <c r="U8" s="521"/>
    </row>
    <row r="9" spans="1:21" x14ac:dyDescent="0.25">
      <c r="A9" s="7"/>
      <c r="B9" s="44" t="s">
        <v>370</v>
      </c>
      <c r="C9" s="41" t="s">
        <v>370</v>
      </c>
      <c r="D9" s="91" t="s">
        <v>370</v>
      </c>
      <c r="E9" s="8"/>
      <c r="F9" s="9"/>
      <c r="G9" s="9"/>
      <c r="H9" s="10"/>
      <c r="I9" s="340" t="str">
        <f>'0664'!I9</f>
        <v>2022-23</v>
      </c>
      <c r="N9" s="12"/>
      <c r="O9" s="12"/>
      <c r="P9" s="13"/>
      <c r="Q9" s="13"/>
      <c r="R9" s="14"/>
      <c r="S9" s="14"/>
      <c r="T9" s="15"/>
      <c r="U9" s="404" t="s">
        <v>405</v>
      </c>
    </row>
    <row r="10" spans="1:21" x14ac:dyDescent="0.25">
      <c r="A10" s="7"/>
      <c r="B10" s="7"/>
      <c r="C10" s="91" t="s">
        <v>460</v>
      </c>
      <c r="D10" s="370" t="s">
        <v>461</v>
      </c>
      <c r="E10" s="92" t="s">
        <v>8</v>
      </c>
      <c r="F10" s="448" t="s">
        <v>1</v>
      </c>
      <c r="G10" s="448"/>
      <c r="H10" s="10" t="s">
        <v>73</v>
      </c>
      <c r="I10" s="11" t="s">
        <v>36</v>
      </c>
      <c r="N10" s="12"/>
      <c r="O10" s="12"/>
      <c r="P10" s="13"/>
      <c r="Q10" s="13"/>
      <c r="R10" s="522" t="s">
        <v>1</v>
      </c>
      <c r="S10" s="522"/>
      <c r="T10" s="15" t="s">
        <v>73</v>
      </c>
      <c r="U10" s="16" t="s">
        <v>36</v>
      </c>
    </row>
    <row r="11" spans="1:21" x14ac:dyDescent="0.25">
      <c r="A11" s="449" t="s">
        <v>1</v>
      </c>
      <c r="B11" s="449"/>
      <c r="C11" s="363">
        <v>44829</v>
      </c>
      <c r="D11" s="361"/>
      <c r="E11" s="361" t="s">
        <v>2</v>
      </c>
      <c r="F11" s="450" t="s">
        <v>76</v>
      </c>
      <c r="G11" s="450"/>
      <c r="H11" s="17" t="s">
        <v>72</v>
      </c>
      <c r="I11" s="18" t="s">
        <v>75</v>
      </c>
      <c r="N11" s="512" t="s">
        <v>1</v>
      </c>
      <c r="O11" s="512"/>
      <c r="P11" s="523" t="s">
        <v>24</v>
      </c>
      <c r="Q11" s="523"/>
      <c r="R11" s="524" t="s">
        <v>76</v>
      </c>
      <c r="S11" s="524"/>
      <c r="T11" s="19" t="s">
        <v>72</v>
      </c>
      <c r="U11" s="20" t="s">
        <v>75</v>
      </c>
    </row>
    <row r="12" spans="1:21" x14ac:dyDescent="0.25">
      <c r="A12" s="451" t="s">
        <v>47</v>
      </c>
      <c r="B12" s="451"/>
      <c r="C12" s="94"/>
      <c r="D12" s="94"/>
      <c r="E12" s="95" t="s">
        <v>48</v>
      </c>
      <c r="F12" s="452" t="s">
        <v>49</v>
      </c>
      <c r="G12" s="452"/>
      <c r="H12" s="21" t="s">
        <v>50</v>
      </c>
      <c r="I12" s="22" t="s">
        <v>51</v>
      </c>
      <c r="N12" s="525" t="s">
        <v>47</v>
      </c>
      <c r="O12" s="525"/>
      <c r="P12" s="526" t="s">
        <v>48</v>
      </c>
      <c r="Q12" s="526"/>
      <c r="R12" s="527" t="s">
        <v>49</v>
      </c>
      <c r="S12" s="527"/>
      <c r="T12" s="23" t="s">
        <v>50</v>
      </c>
      <c r="U12" s="24" t="s">
        <v>51</v>
      </c>
    </row>
    <row r="13" spans="1:21" x14ac:dyDescent="0.25">
      <c r="A13" s="453" t="s">
        <v>29</v>
      </c>
      <c r="B13" s="453"/>
      <c r="C13" s="165">
        <v>0</v>
      </c>
      <c r="D13" s="163">
        <v>0</v>
      </c>
      <c r="E13" s="210">
        <f>IF(D$29=0,C13*2,C13+D13)</f>
        <v>0</v>
      </c>
      <c r="F13" s="539">
        <f>'0664'!F13:G13</f>
        <v>1.1259999999999999</v>
      </c>
      <c r="G13" s="539"/>
      <c r="H13" s="167">
        <f>ROUND(E13*F13,4)</f>
        <v>0</v>
      </c>
      <c r="I13" s="119">
        <f t="shared" ref="I13:I28" si="0">ROUND(ROUND(H13*$C$8,4)*($H$8),2)</f>
        <v>0</v>
      </c>
      <c r="N13" s="514" t="s">
        <v>29</v>
      </c>
      <c r="O13" s="514"/>
      <c r="P13" s="515">
        <f t="shared" ref="P13:P28" si="1">IF($H$120=1,E13,0)</f>
        <v>0</v>
      </c>
      <c r="Q13" s="515"/>
      <c r="R13" s="528">
        <v>1</v>
      </c>
      <c r="S13" s="528"/>
      <c r="T13" s="98">
        <f>ROUND(P13*R13,4)</f>
        <v>0</v>
      </c>
      <c r="U13" s="99">
        <f t="shared" ref="U13:U28" si="2">ROUND(ROUND(T13*$C$8,4)*($H$8),0)</f>
        <v>0</v>
      </c>
    </row>
    <row r="14" spans="1:21" x14ac:dyDescent="0.25">
      <c r="A14" s="455" t="s">
        <v>30</v>
      </c>
      <c r="B14" s="455"/>
      <c r="C14" s="165">
        <v>0</v>
      </c>
      <c r="D14" s="165">
        <v>0</v>
      </c>
      <c r="E14" s="125">
        <f t="shared" ref="E14:E28" si="3">IF(D$29=0,C14*2,C14+D14)</f>
        <v>0</v>
      </c>
      <c r="F14" s="534">
        <f>'0664'!F14:G14</f>
        <v>1.1259999999999999</v>
      </c>
      <c r="G14" s="534"/>
      <c r="H14" s="83">
        <f t="shared" ref="H14:H28" si="4">ROUND(E14*F14,4)</f>
        <v>0</v>
      </c>
      <c r="I14" s="104">
        <f t="shared" si="0"/>
        <v>0</v>
      </c>
      <c r="J14" s="68" t="str">
        <f>IF(ROUND(E14,2)=ROUND(SUM(E50:E52),2)," ","CHECK PK-3 LINES BELOW")</f>
        <v xml:space="preserve"> </v>
      </c>
      <c r="N14" s="481" t="s">
        <v>30</v>
      </c>
      <c r="O14" s="481"/>
      <c r="P14" s="515">
        <f t="shared" si="1"/>
        <v>0</v>
      </c>
      <c r="Q14" s="515"/>
      <c r="R14" s="519">
        <v>1</v>
      </c>
      <c r="S14" s="519"/>
      <c r="T14" s="98">
        <f t="shared" ref="T14:T28" si="5">ROUND(P14*R14,4)</f>
        <v>0</v>
      </c>
      <c r="U14" s="99">
        <f t="shared" si="2"/>
        <v>0</v>
      </c>
    </row>
    <row r="15" spans="1:21" x14ac:dyDescent="0.25">
      <c r="A15" s="455" t="s">
        <v>31</v>
      </c>
      <c r="B15" s="455"/>
      <c r="C15" s="165">
        <v>0</v>
      </c>
      <c r="D15" s="165">
        <v>0</v>
      </c>
      <c r="E15" s="125">
        <f t="shared" si="3"/>
        <v>0</v>
      </c>
      <c r="F15" s="534">
        <f>'0664'!F15:G15</f>
        <v>1</v>
      </c>
      <c r="G15" s="534"/>
      <c r="H15" s="83">
        <f t="shared" si="4"/>
        <v>0</v>
      </c>
      <c r="I15" s="104">
        <f t="shared" si="0"/>
        <v>0</v>
      </c>
      <c r="N15" s="481" t="s">
        <v>31</v>
      </c>
      <c r="O15" s="481"/>
      <c r="P15" s="515">
        <f t="shared" si="1"/>
        <v>0</v>
      </c>
      <c r="Q15" s="515"/>
      <c r="R15" s="519">
        <v>1</v>
      </c>
      <c r="S15" s="519"/>
      <c r="T15" s="98">
        <f t="shared" si="5"/>
        <v>0</v>
      </c>
      <c r="U15" s="99">
        <f t="shared" si="2"/>
        <v>0</v>
      </c>
    </row>
    <row r="16" spans="1:21" x14ac:dyDescent="0.25">
      <c r="A16" s="455" t="s">
        <v>32</v>
      </c>
      <c r="B16" s="455"/>
      <c r="C16" s="165">
        <v>0</v>
      </c>
      <c r="D16" s="165">
        <v>0</v>
      </c>
      <c r="E16" s="125">
        <f t="shared" si="3"/>
        <v>0</v>
      </c>
      <c r="F16" s="534">
        <f>'0664'!F16:G16</f>
        <v>1</v>
      </c>
      <c r="G16" s="534"/>
      <c r="H16" s="83">
        <f t="shared" si="4"/>
        <v>0</v>
      </c>
      <c r="I16" s="104">
        <f t="shared" si="0"/>
        <v>0</v>
      </c>
      <c r="J16" s="68" t="str">
        <f>IF(ROUND(E16,2)=ROUND(SUM(E53:E55),2)," ","CHECK 4-8 LINES BELOW")</f>
        <v xml:space="preserve"> </v>
      </c>
      <c r="N16" s="481" t="s">
        <v>32</v>
      </c>
      <c r="O16" s="481"/>
      <c r="P16" s="515">
        <f t="shared" si="1"/>
        <v>0</v>
      </c>
      <c r="Q16" s="515"/>
      <c r="R16" s="519">
        <v>1</v>
      </c>
      <c r="S16" s="519"/>
      <c r="T16" s="98">
        <f t="shared" si="5"/>
        <v>0</v>
      </c>
      <c r="U16" s="99">
        <f t="shared" si="2"/>
        <v>0</v>
      </c>
    </row>
    <row r="17" spans="1:21" x14ac:dyDescent="0.25">
      <c r="A17" s="455" t="s">
        <v>33</v>
      </c>
      <c r="B17" s="455"/>
      <c r="C17" s="165">
        <v>15.12</v>
      </c>
      <c r="D17" s="165">
        <v>13.47</v>
      </c>
      <c r="E17" s="125">
        <f t="shared" si="3"/>
        <v>28.59</v>
      </c>
      <c r="F17" s="534">
        <f>'0664'!F17:G17</f>
        <v>0.999</v>
      </c>
      <c r="G17" s="534"/>
      <c r="H17" s="83">
        <f t="shared" si="4"/>
        <v>28.561399999999999</v>
      </c>
      <c r="I17" s="104">
        <f t="shared" si="0"/>
        <v>136761.35</v>
      </c>
      <c r="N17" s="481" t="s">
        <v>33</v>
      </c>
      <c r="O17" s="481"/>
      <c r="P17" s="515">
        <f t="shared" si="1"/>
        <v>0</v>
      </c>
      <c r="Q17" s="515"/>
      <c r="R17" s="519">
        <v>1</v>
      </c>
      <c r="S17" s="519"/>
      <c r="T17" s="98">
        <f t="shared" si="5"/>
        <v>0</v>
      </c>
      <c r="U17" s="99">
        <f t="shared" si="2"/>
        <v>0</v>
      </c>
    </row>
    <row r="18" spans="1:21" x14ac:dyDescent="0.25">
      <c r="A18" s="455" t="s">
        <v>34</v>
      </c>
      <c r="B18" s="455"/>
      <c r="C18" s="165">
        <v>2</v>
      </c>
      <c r="D18" s="165">
        <v>2</v>
      </c>
      <c r="E18" s="125">
        <f t="shared" si="3"/>
        <v>4</v>
      </c>
      <c r="F18" s="534">
        <f>'0664'!F18:G18</f>
        <v>0.999</v>
      </c>
      <c r="G18" s="534"/>
      <c r="H18" s="83">
        <f t="shared" si="4"/>
        <v>3.996</v>
      </c>
      <c r="I18" s="104">
        <f t="shared" si="0"/>
        <v>19134.16</v>
      </c>
      <c r="J18" s="68" t="str">
        <f>IF(ROUND(E18,2)=ROUND(SUM(E56:E58),2)," ","CHECK 4-8 LINES BELOW")</f>
        <v xml:space="preserve"> </v>
      </c>
      <c r="N18" s="481" t="s">
        <v>34</v>
      </c>
      <c r="O18" s="481"/>
      <c r="P18" s="515">
        <f t="shared" si="1"/>
        <v>0</v>
      </c>
      <c r="Q18" s="515"/>
      <c r="R18" s="519">
        <v>1</v>
      </c>
      <c r="S18" s="519"/>
      <c r="T18" s="98">
        <f t="shared" si="5"/>
        <v>0</v>
      </c>
      <c r="U18" s="101">
        <f t="shared" si="2"/>
        <v>0</v>
      </c>
    </row>
    <row r="19" spans="1:21" x14ac:dyDescent="0.25">
      <c r="A19" s="455" t="s">
        <v>108</v>
      </c>
      <c r="B19" s="455"/>
      <c r="C19" s="165">
        <v>0</v>
      </c>
      <c r="D19" s="165">
        <v>0</v>
      </c>
      <c r="E19" s="125">
        <f t="shared" si="3"/>
        <v>0</v>
      </c>
      <c r="F19" s="534">
        <f>'0664'!F19:G19</f>
        <v>3.6739999999999999</v>
      </c>
      <c r="G19" s="534"/>
      <c r="H19" s="83">
        <f t="shared" si="4"/>
        <v>0</v>
      </c>
      <c r="I19" s="104">
        <f t="shared" si="0"/>
        <v>0</v>
      </c>
      <c r="N19" s="481" t="s">
        <v>108</v>
      </c>
      <c r="O19" s="481"/>
      <c r="P19" s="515">
        <f t="shared" si="1"/>
        <v>0</v>
      </c>
      <c r="Q19" s="515"/>
      <c r="R19" s="519">
        <v>1</v>
      </c>
      <c r="S19" s="519"/>
      <c r="T19" s="98">
        <f t="shared" si="5"/>
        <v>0</v>
      </c>
      <c r="U19" s="99">
        <f t="shared" si="2"/>
        <v>0</v>
      </c>
    </row>
    <row r="20" spans="1:21" x14ac:dyDescent="0.25">
      <c r="A20" s="455" t="s">
        <v>109</v>
      </c>
      <c r="B20" s="455"/>
      <c r="C20" s="165">
        <v>0</v>
      </c>
      <c r="D20" s="165">
        <v>0</v>
      </c>
      <c r="E20" s="125">
        <f t="shared" si="3"/>
        <v>0</v>
      </c>
      <c r="F20" s="534">
        <f>'0664'!F20:G20</f>
        <v>3.6739999999999999</v>
      </c>
      <c r="G20" s="534"/>
      <c r="H20" s="83">
        <f t="shared" si="4"/>
        <v>0</v>
      </c>
      <c r="I20" s="104">
        <f t="shared" si="0"/>
        <v>0</v>
      </c>
      <c r="N20" s="481" t="s">
        <v>109</v>
      </c>
      <c r="O20" s="481"/>
      <c r="P20" s="515">
        <f t="shared" si="1"/>
        <v>0</v>
      </c>
      <c r="Q20" s="515"/>
      <c r="R20" s="519">
        <v>1</v>
      </c>
      <c r="S20" s="519"/>
      <c r="T20" s="98">
        <f t="shared" si="5"/>
        <v>0</v>
      </c>
      <c r="U20" s="99">
        <f t="shared" si="2"/>
        <v>0</v>
      </c>
    </row>
    <row r="21" spans="1:21" x14ac:dyDescent="0.25">
      <c r="A21" s="455" t="s">
        <v>110</v>
      </c>
      <c r="B21" s="455"/>
      <c r="C21" s="165">
        <v>0</v>
      </c>
      <c r="D21" s="165">
        <v>0</v>
      </c>
      <c r="E21" s="125">
        <f t="shared" si="3"/>
        <v>0</v>
      </c>
      <c r="F21" s="534">
        <f>'0664'!F21:G21</f>
        <v>3.6739999999999999</v>
      </c>
      <c r="G21" s="534"/>
      <c r="H21" s="83">
        <f t="shared" si="4"/>
        <v>0</v>
      </c>
      <c r="I21" s="104">
        <f t="shared" si="0"/>
        <v>0</v>
      </c>
      <c r="N21" s="481" t="s">
        <v>110</v>
      </c>
      <c r="O21" s="481"/>
      <c r="P21" s="515">
        <f t="shared" si="1"/>
        <v>0</v>
      </c>
      <c r="Q21" s="515"/>
      <c r="R21" s="519">
        <v>1</v>
      </c>
      <c r="S21" s="519"/>
      <c r="T21" s="98">
        <f t="shared" si="5"/>
        <v>0</v>
      </c>
      <c r="U21" s="99">
        <f t="shared" si="2"/>
        <v>0</v>
      </c>
    </row>
    <row r="22" spans="1:21" x14ac:dyDescent="0.25">
      <c r="A22" s="455" t="s">
        <v>111</v>
      </c>
      <c r="B22" s="455"/>
      <c r="C22" s="165">
        <v>0</v>
      </c>
      <c r="D22" s="165">
        <v>0</v>
      </c>
      <c r="E22" s="125">
        <f t="shared" si="3"/>
        <v>0</v>
      </c>
      <c r="F22" s="534">
        <f>'0664'!F22:G22</f>
        <v>5.4009999999999998</v>
      </c>
      <c r="G22" s="534"/>
      <c r="H22" s="83">
        <f t="shared" si="4"/>
        <v>0</v>
      </c>
      <c r="I22" s="104">
        <f t="shared" si="0"/>
        <v>0</v>
      </c>
      <c r="N22" s="481" t="s">
        <v>111</v>
      </c>
      <c r="O22" s="481"/>
      <c r="P22" s="515">
        <f t="shared" si="1"/>
        <v>0</v>
      </c>
      <c r="Q22" s="515"/>
      <c r="R22" s="519">
        <v>1</v>
      </c>
      <c r="S22" s="519"/>
      <c r="T22" s="98">
        <f t="shared" si="5"/>
        <v>0</v>
      </c>
      <c r="U22" s="99">
        <f t="shared" si="2"/>
        <v>0</v>
      </c>
    </row>
    <row r="23" spans="1:21" x14ac:dyDescent="0.25">
      <c r="A23" s="455" t="s">
        <v>112</v>
      </c>
      <c r="B23" s="455"/>
      <c r="C23" s="165">
        <v>0</v>
      </c>
      <c r="D23" s="165">
        <v>0</v>
      </c>
      <c r="E23" s="125">
        <f t="shared" si="3"/>
        <v>0</v>
      </c>
      <c r="F23" s="534">
        <f>'0664'!F23:G23</f>
        <v>5.4009999999999998</v>
      </c>
      <c r="G23" s="534"/>
      <c r="H23" s="83">
        <f t="shared" si="4"/>
        <v>0</v>
      </c>
      <c r="I23" s="104">
        <f t="shared" si="0"/>
        <v>0</v>
      </c>
      <c r="N23" s="481" t="s">
        <v>112</v>
      </c>
      <c r="O23" s="481"/>
      <c r="P23" s="515">
        <f t="shared" si="1"/>
        <v>0</v>
      </c>
      <c r="Q23" s="515"/>
      <c r="R23" s="519">
        <v>1</v>
      </c>
      <c r="S23" s="519"/>
      <c r="T23" s="98">
        <f t="shared" si="5"/>
        <v>0</v>
      </c>
      <c r="U23" s="99">
        <f t="shared" si="2"/>
        <v>0</v>
      </c>
    </row>
    <row r="24" spans="1:21" x14ac:dyDescent="0.25">
      <c r="A24" s="455" t="s">
        <v>113</v>
      </c>
      <c r="B24" s="455"/>
      <c r="C24" s="165">
        <v>0</v>
      </c>
      <c r="D24" s="165">
        <v>0</v>
      </c>
      <c r="E24" s="125">
        <f t="shared" si="3"/>
        <v>0</v>
      </c>
      <c r="F24" s="534">
        <f>'0664'!F24:G24</f>
        <v>5.4009999999999998</v>
      </c>
      <c r="G24" s="534"/>
      <c r="H24" s="83">
        <f t="shared" si="4"/>
        <v>0</v>
      </c>
      <c r="I24" s="104">
        <f t="shared" si="0"/>
        <v>0</v>
      </c>
      <c r="N24" s="481" t="s">
        <v>113</v>
      </c>
      <c r="O24" s="481"/>
      <c r="P24" s="515">
        <f t="shared" si="1"/>
        <v>0</v>
      </c>
      <c r="Q24" s="515"/>
      <c r="R24" s="519">
        <v>1</v>
      </c>
      <c r="S24" s="519"/>
      <c r="T24" s="98">
        <f t="shared" si="5"/>
        <v>0</v>
      </c>
      <c r="U24" s="99">
        <f t="shared" si="2"/>
        <v>0</v>
      </c>
    </row>
    <row r="25" spans="1:21" x14ac:dyDescent="0.25">
      <c r="A25" s="455" t="s">
        <v>114</v>
      </c>
      <c r="B25" s="455"/>
      <c r="C25" s="165">
        <v>0</v>
      </c>
      <c r="D25" s="165">
        <v>0</v>
      </c>
      <c r="E25" s="125">
        <f t="shared" si="3"/>
        <v>0</v>
      </c>
      <c r="F25" s="534">
        <f>'0664'!F25:G25</f>
        <v>1.206</v>
      </c>
      <c r="G25" s="534"/>
      <c r="H25" s="83">
        <f t="shared" si="4"/>
        <v>0</v>
      </c>
      <c r="I25" s="104">
        <f t="shared" si="0"/>
        <v>0</v>
      </c>
      <c r="N25" s="481" t="s">
        <v>114</v>
      </c>
      <c r="O25" s="481"/>
      <c r="P25" s="515">
        <f t="shared" si="1"/>
        <v>0</v>
      </c>
      <c r="Q25" s="515"/>
      <c r="R25" s="519">
        <v>1</v>
      </c>
      <c r="S25" s="519"/>
      <c r="T25" s="98">
        <f t="shared" si="5"/>
        <v>0</v>
      </c>
      <c r="U25" s="99">
        <f t="shared" si="2"/>
        <v>0</v>
      </c>
    </row>
    <row r="26" spans="1:21" x14ac:dyDescent="0.25">
      <c r="A26" s="455" t="s">
        <v>115</v>
      </c>
      <c r="B26" s="455"/>
      <c r="C26" s="165">
        <v>0</v>
      </c>
      <c r="D26" s="165">
        <v>0</v>
      </c>
      <c r="E26" s="125">
        <f t="shared" si="3"/>
        <v>0</v>
      </c>
      <c r="F26" s="534">
        <f>'0664'!F26:G26</f>
        <v>1.206</v>
      </c>
      <c r="G26" s="534"/>
      <c r="H26" s="83">
        <f t="shared" si="4"/>
        <v>0</v>
      </c>
      <c r="I26" s="104">
        <f t="shared" si="0"/>
        <v>0</v>
      </c>
      <c r="N26" s="481" t="s">
        <v>115</v>
      </c>
      <c r="O26" s="481"/>
      <c r="P26" s="515">
        <f t="shared" si="1"/>
        <v>0</v>
      </c>
      <c r="Q26" s="515"/>
      <c r="R26" s="519">
        <v>1</v>
      </c>
      <c r="S26" s="519"/>
      <c r="T26" s="98">
        <f t="shared" si="5"/>
        <v>0</v>
      </c>
      <c r="U26" s="99">
        <f t="shared" si="2"/>
        <v>0</v>
      </c>
    </row>
    <row r="27" spans="1:21" x14ac:dyDescent="0.25">
      <c r="A27" s="455" t="s">
        <v>116</v>
      </c>
      <c r="B27" s="455"/>
      <c r="C27" s="165">
        <v>2.19</v>
      </c>
      <c r="D27" s="165">
        <v>1.81</v>
      </c>
      <c r="E27" s="125">
        <f t="shared" si="3"/>
        <v>4</v>
      </c>
      <c r="F27" s="534">
        <f>'0664'!F27:G27</f>
        <v>1.206</v>
      </c>
      <c r="G27" s="534"/>
      <c r="H27" s="83">
        <f t="shared" si="4"/>
        <v>4.8239999999999998</v>
      </c>
      <c r="I27" s="104">
        <f t="shared" si="0"/>
        <v>23098.89</v>
      </c>
      <c r="N27" s="481" t="s">
        <v>116</v>
      </c>
      <c r="O27" s="481"/>
      <c r="P27" s="515">
        <f t="shared" si="1"/>
        <v>0</v>
      </c>
      <c r="Q27" s="515"/>
      <c r="R27" s="519">
        <v>1</v>
      </c>
      <c r="S27" s="519"/>
      <c r="T27" s="98">
        <f t="shared" si="5"/>
        <v>0</v>
      </c>
      <c r="U27" s="99">
        <f t="shared" si="2"/>
        <v>0</v>
      </c>
    </row>
    <row r="28" spans="1:21" x14ac:dyDescent="0.25">
      <c r="A28" s="455" t="s">
        <v>117</v>
      </c>
      <c r="B28" s="455"/>
      <c r="C28" s="116">
        <v>0.88</v>
      </c>
      <c r="D28" s="116">
        <v>1.01</v>
      </c>
      <c r="E28" s="177">
        <f t="shared" si="3"/>
        <v>1.8900000000000001</v>
      </c>
      <c r="F28" s="534">
        <f>'0664'!F28:G28</f>
        <v>0.999</v>
      </c>
      <c r="G28" s="534"/>
      <c r="H28" s="96">
        <f t="shared" si="4"/>
        <v>1.8880999999999999</v>
      </c>
      <c r="I28" s="97">
        <f t="shared" si="0"/>
        <v>9040.84</v>
      </c>
      <c r="N28" s="484" t="s">
        <v>117</v>
      </c>
      <c r="O28" s="484"/>
      <c r="P28" s="515">
        <f t="shared" si="1"/>
        <v>0</v>
      </c>
      <c r="Q28" s="515"/>
      <c r="R28" s="516">
        <v>1</v>
      </c>
      <c r="S28" s="516"/>
      <c r="T28" s="98">
        <f t="shared" si="5"/>
        <v>0</v>
      </c>
      <c r="U28" s="99">
        <f t="shared" si="2"/>
        <v>0</v>
      </c>
    </row>
    <row r="29" spans="1:21" x14ac:dyDescent="0.25">
      <c r="A29" s="463" t="s">
        <v>5</v>
      </c>
      <c r="B29" s="463"/>
      <c r="C29" s="97">
        <f>SUM(C13:C28)</f>
        <v>20.189999999999998</v>
      </c>
      <c r="D29" s="97">
        <f>SUM(D13:D28)</f>
        <v>18.290000000000003</v>
      </c>
      <c r="E29" s="97">
        <f>SUM(E13:E28)</f>
        <v>38.480000000000004</v>
      </c>
      <c r="F29" s="459"/>
      <c r="G29" s="459"/>
      <c r="H29" s="102">
        <f>SUM(H13:H28)</f>
        <v>39.269500000000001</v>
      </c>
      <c r="I29" s="97">
        <f>SUM(I13:I28)</f>
        <v>188035.24000000002</v>
      </c>
      <c r="N29" s="517" t="s">
        <v>5</v>
      </c>
      <c r="O29" s="517"/>
      <c r="P29" s="518">
        <f>SUM(P13:P28)</f>
        <v>0</v>
      </c>
      <c r="Q29" s="518"/>
      <c r="R29" s="510"/>
      <c r="S29" s="510"/>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3" t="s">
        <v>282</v>
      </c>
      <c r="G33" s="543"/>
      <c r="H33" s="543"/>
      <c r="I33" s="104"/>
      <c r="N33" s="29"/>
      <c r="O33" s="29"/>
      <c r="P33" s="30"/>
      <c r="Q33" s="30"/>
      <c r="R33" s="31"/>
      <c r="S33" s="31"/>
      <c r="T33" s="105"/>
      <c r="U33" s="106"/>
    </row>
    <row r="34" spans="1:21" hidden="1" x14ac:dyDescent="0.25">
      <c r="A34" s="3"/>
      <c r="B34" s="72"/>
      <c r="C34" s="72"/>
      <c r="D34" s="72"/>
      <c r="E34" s="72"/>
      <c r="F34" s="543"/>
      <c r="G34" s="543"/>
      <c r="H34" s="543"/>
      <c r="I34" s="25" t="s">
        <v>74</v>
      </c>
      <c r="N34" s="487" t="s">
        <v>35</v>
      </c>
      <c r="O34" s="487"/>
      <c r="P34" s="487"/>
      <c r="Q34" s="487"/>
      <c r="R34" s="487"/>
      <c r="S34" s="487"/>
      <c r="T34" s="487"/>
      <c r="U34" s="26" t="s">
        <v>74</v>
      </c>
    </row>
    <row r="35" spans="1:21" hidden="1" x14ac:dyDescent="0.25">
      <c r="A35" s="27"/>
      <c r="B35" s="27"/>
      <c r="C35" s="91" t="s">
        <v>124</v>
      </c>
      <c r="D35" s="91" t="s">
        <v>125</v>
      </c>
      <c r="E35" s="92" t="s">
        <v>8</v>
      </c>
      <c r="F35" s="543"/>
      <c r="G35" s="543"/>
      <c r="H35" s="543"/>
      <c r="I35" s="25" t="s">
        <v>36</v>
      </c>
      <c r="N35" s="29"/>
      <c r="O35" s="29"/>
      <c r="P35" s="30"/>
      <c r="Q35" s="30"/>
      <c r="R35" s="31"/>
      <c r="S35" s="31"/>
      <c r="T35" s="105"/>
      <c r="U35" s="26" t="s">
        <v>36</v>
      </c>
    </row>
    <row r="36" spans="1:21" hidden="1" x14ac:dyDescent="0.25">
      <c r="A36" s="449" t="s">
        <v>63</v>
      </c>
      <c r="B36" s="449"/>
      <c r="C36" s="93" t="s">
        <v>2</v>
      </c>
      <c r="D36" s="93" t="s">
        <v>2</v>
      </c>
      <c r="E36" s="93" t="s">
        <v>2</v>
      </c>
      <c r="F36" s="544"/>
      <c r="G36" s="544"/>
      <c r="H36" s="544"/>
      <c r="I36" s="32" t="s">
        <v>75</v>
      </c>
      <c r="N36" s="512" t="s">
        <v>63</v>
      </c>
      <c r="O36" s="512"/>
      <c r="P36" s="513" t="s">
        <v>24</v>
      </c>
      <c r="Q36" s="513"/>
      <c r="R36" s="513"/>
      <c r="S36" s="513"/>
      <c r="T36" s="513"/>
      <c r="U36" s="20" t="s">
        <v>75</v>
      </c>
    </row>
    <row r="37" spans="1:21" hidden="1" x14ac:dyDescent="0.25">
      <c r="A37" s="453" t="s">
        <v>56</v>
      </c>
      <c r="B37" s="453"/>
      <c r="C37" s="169">
        <v>0</v>
      </c>
      <c r="D37" s="169">
        <v>0</v>
      </c>
      <c r="E37" s="210">
        <f t="shared" ref="E37:E42" si="6">IF(D$43=0,C37*2,C37+D37)</f>
        <v>0</v>
      </c>
      <c r="F37" s="170"/>
      <c r="G37" s="170"/>
      <c r="H37" s="170"/>
      <c r="I37" s="119">
        <f t="shared" ref="I37:I42" si="7">ROUND(ROUND(E37*$C$8,4)*($H$8),2)</f>
        <v>0</v>
      </c>
      <c r="N37" s="514" t="s">
        <v>56</v>
      </c>
      <c r="O37" s="514"/>
      <c r="P37" s="485">
        <f t="shared" ref="P37:P42" si="8">IF($H$120=1,E37,0)</f>
        <v>0</v>
      </c>
      <c r="Q37" s="485"/>
      <c r="R37" s="485"/>
      <c r="S37" s="485"/>
      <c r="T37" s="485"/>
      <c r="U37" s="101">
        <f t="shared" ref="U37:U42" si="9">ROUND(ROUND(P37*$C$8,4)*($H$8),0)</f>
        <v>0</v>
      </c>
    </row>
    <row r="38" spans="1:21" hidden="1" x14ac:dyDescent="0.25">
      <c r="A38" s="455" t="s">
        <v>57</v>
      </c>
      <c r="B38" s="455"/>
      <c r="C38" s="172">
        <v>0</v>
      </c>
      <c r="D38" s="172">
        <v>0</v>
      </c>
      <c r="E38" s="125">
        <f t="shared" si="6"/>
        <v>0</v>
      </c>
      <c r="F38" s="173"/>
      <c r="G38" s="173"/>
      <c r="H38" s="173"/>
      <c r="I38" s="104">
        <f t="shared" si="7"/>
        <v>0</v>
      </c>
      <c r="N38" s="481" t="s">
        <v>57</v>
      </c>
      <c r="O38" s="481"/>
      <c r="P38" s="485">
        <f t="shared" si="8"/>
        <v>0</v>
      </c>
      <c r="Q38" s="485"/>
      <c r="R38" s="485"/>
      <c r="S38" s="485"/>
      <c r="T38" s="485"/>
      <c r="U38" s="101">
        <f t="shared" si="9"/>
        <v>0</v>
      </c>
    </row>
    <row r="39" spans="1:21" hidden="1" x14ac:dyDescent="0.25">
      <c r="A39" s="460" t="s">
        <v>58</v>
      </c>
      <c r="B39" s="460"/>
      <c r="C39" s="172">
        <v>0</v>
      </c>
      <c r="D39" s="172">
        <v>0</v>
      </c>
      <c r="E39" s="125">
        <f t="shared" si="6"/>
        <v>0</v>
      </c>
      <c r="F39" s="173"/>
      <c r="G39" s="173"/>
      <c r="H39" s="173"/>
      <c r="I39" s="104">
        <f t="shared" si="7"/>
        <v>0</v>
      </c>
      <c r="N39" s="511" t="s">
        <v>58</v>
      </c>
      <c r="O39" s="511"/>
      <c r="P39" s="485">
        <f t="shared" si="8"/>
        <v>0</v>
      </c>
      <c r="Q39" s="485"/>
      <c r="R39" s="485"/>
      <c r="S39" s="485"/>
      <c r="T39" s="485"/>
      <c r="U39" s="101">
        <f t="shared" si="9"/>
        <v>0</v>
      </c>
    </row>
    <row r="40" spans="1:21" hidden="1" x14ac:dyDescent="0.25">
      <c r="A40" s="455" t="s">
        <v>59</v>
      </c>
      <c r="B40" s="455"/>
      <c r="C40" s="172">
        <v>0</v>
      </c>
      <c r="D40" s="172">
        <v>0</v>
      </c>
      <c r="E40" s="125">
        <f t="shared" si="6"/>
        <v>0</v>
      </c>
      <c r="F40" s="173"/>
      <c r="G40" s="173"/>
      <c r="H40" s="173"/>
      <c r="I40" s="104">
        <f t="shared" si="7"/>
        <v>0</v>
      </c>
      <c r="N40" s="481" t="s">
        <v>59</v>
      </c>
      <c r="O40" s="481"/>
      <c r="P40" s="485">
        <f t="shared" si="8"/>
        <v>0</v>
      </c>
      <c r="Q40" s="485"/>
      <c r="R40" s="485"/>
      <c r="S40" s="485"/>
      <c r="T40" s="485"/>
      <c r="U40" s="101">
        <f t="shared" si="9"/>
        <v>0</v>
      </c>
    </row>
    <row r="41" spans="1:21" hidden="1" x14ac:dyDescent="0.25">
      <c r="A41" s="455" t="s">
        <v>60</v>
      </c>
      <c r="B41" s="455"/>
      <c r="C41" s="172">
        <v>0</v>
      </c>
      <c r="D41" s="172">
        <v>0</v>
      </c>
      <c r="E41" s="125">
        <f t="shared" si="6"/>
        <v>0</v>
      </c>
      <c r="F41" s="173"/>
      <c r="G41" s="173"/>
      <c r="H41" s="173"/>
      <c r="I41" s="104">
        <f t="shared" si="7"/>
        <v>0</v>
      </c>
      <c r="N41" s="481" t="s">
        <v>60</v>
      </c>
      <c r="O41" s="481"/>
      <c r="P41" s="485">
        <f t="shared" si="8"/>
        <v>0</v>
      </c>
      <c r="Q41" s="485"/>
      <c r="R41" s="485"/>
      <c r="S41" s="485"/>
      <c r="T41" s="485"/>
      <c r="U41" s="101">
        <f t="shared" si="9"/>
        <v>0</v>
      </c>
    </row>
    <row r="42" spans="1:21" hidden="1" x14ac:dyDescent="0.25">
      <c r="A42" s="455" t="s">
        <v>52</v>
      </c>
      <c r="B42" s="455"/>
      <c r="C42" s="171">
        <v>0</v>
      </c>
      <c r="D42" s="171">
        <v>0</v>
      </c>
      <c r="E42" s="177">
        <f t="shared" si="6"/>
        <v>0</v>
      </c>
      <c r="F42" s="173"/>
      <c r="G42" s="173"/>
      <c r="H42" s="173"/>
      <c r="I42" s="97">
        <f t="shared" si="7"/>
        <v>0</v>
      </c>
      <c r="N42" s="484" t="s">
        <v>52</v>
      </c>
      <c r="O42" s="484"/>
      <c r="P42" s="485">
        <f t="shared" si="8"/>
        <v>0</v>
      </c>
      <c r="Q42" s="485"/>
      <c r="R42" s="485"/>
      <c r="S42" s="485"/>
      <c r="T42" s="485"/>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2" t="s">
        <v>54</v>
      </c>
      <c r="O43" s="482"/>
      <c r="P43" s="482"/>
      <c r="Q43" s="482"/>
      <c r="R43" s="34">
        <f>SUM(P37:R42)</f>
        <v>0</v>
      </c>
      <c r="S43" s="510" t="s">
        <v>64</v>
      </c>
      <c r="T43" s="510"/>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39.269500000000001</v>
      </c>
      <c r="F45" s="35"/>
      <c r="G45" s="109"/>
      <c r="H45" s="110" t="s">
        <v>129</v>
      </c>
      <c r="I45" s="97">
        <f>SUM(I43,I29)</f>
        <v>188035.24000000002</v>
      </c>
      <c r="N45" s="482" t="s">
        <v>55</v>
      </c>
      <c r="O45" s="482"/>
      <c r="P45" s="482"/>
      <c r="Q45" s="482"/>
      <c r="R45" s="36">
        <f>R43+T29</f>
        <v>0</v>
      </c>
      <c r="S45" s="510" t="s">
        <v>53</v>
      </c>
      <c r="T45" s="510"/>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460</v>
      </c>
      <c r="D48" s="370" t="s">
        <v>461</v>
      </c>
      <c r="E48" s="92" t="s">
        <v>8</v>
      </c>
      <c r="F48" s="49" t="s">
        <v>130</v>
      </c>
      <c r="G48" s="112" t="s">
        <v>132</v>
      </c>
      <c r="H48" s="113" t="s">
        <v>133</v>
      </c>
      <c r="I48" s="104"/>
      <c r="N48" s="29"/>
      <c r="O48" s="29"/>
      <c r="P48" s="29"/>
      <c r="Q48" s="29"/>
      <c r="R48" s="36"/>
      <c r="S48" s="31"/>
      <c r="T48" s="31"/>
      <c r="U48" s="106"/>
    </row>
    <row r="49" spans="1:21" x14ac:dyDescent="0.25">
      <c r="A49" s="37" t="s">
        <v>87</v>
      </c>
      <c r="B49" s="37"/>
      <c r="C49" s="363" t="s">
        <v>2</v>
      </c>
      <c r="D49" s="363" t="s">
        <v>2</v>
      </c>
      <c r="E49" s="361" t="s">
        <v>2</v>
      </c>
      <c r="F49" s="95" t="s">
        <v>131</v>
      </c>
      <c r="G49" s="62" t="s">
        <v>131</v>
      </c>
      <c r="H49" s="114" t="s">
        <v>134</v>
      </c>
      <c r="I49" s="37"/>
      <c r="N49" s="484" t="s">
        <v>87</v>
      </c>
      <c r="O49" s="484"/>
      <c r="P49" s="505" t="s">
        <v>2</v>
      </c>
      <c r="Q49" s="505"/>
      <c r="R49" s="38" t="s">
        <v>25</v>
      </c>
      <c r="S49" s="63" t="s">
        <v>26</v>
      </c>
      <c r="T49" s="115" t="s">
        <v>27</v>
      </c>
      <c r="U49" s="38"/>
    </row>
    <row r="50" spans="1:21" x14ac:dyDescent="0.25">
      <c r="A50" s="461" t="s">
        <v>98</v>
      </c>
      <c r="B50" s="461"/>
      <c r="C50" s="165">
        <v>0</v>
      </c>
      <c r="D50" s="165">
        <v>0</v>
      </c>
      <c r="E50" s="125">
        <f>IF(D$59=0,C50*2,C50+D50)</f>
        <v>0</v>
      </c>
      <c r="F50" s="39" t="s">
        <v>21</v>
      </c>
      <c r="G50" s="39">
        <v>251</v>
      </c>
      <c r="H50" s="321">
        <f>'0664'!H50</f>
        <v>1047</v>
      </c>
      <c r="I50" s="104">
        <f>ROUND(E50*H50,2)</f>
        <v>0</v>
      </c>
      <c r="N50" s="506" t="s">
        <v>28</v>
      </c>
      <c r="O50" s="506"/>
      <c r="P50" s="507"/>
      <c r="Q50" s="507"/>
      <c r="R50" s="40" t="s">
        <v>21</v>
      </c>
      <c r="S50" s="40">
        <v>251</v>
      </c>
      <c r="T50" s="117">
        <f>H50</f>
        <v>1047</v>
      </c>
      <c r="U50" s="118">
        <f>ROUND(P50*T50,0)</f>
        <v>0</v>
      </c>
    </row>
    <row r="51" spans="1:21" x14ac:dyDescent="0.25">
      <c r="A51" s="462"/>
      <c r="B51" s="462"/>
      <c r="C51" s="165">
        <v>0</v>
      </c>
      <c r="D51" s="165">
        <v>0</v>
      </c>
      <c r="E51" s="125">
        <f t="shared" ref="E51:E58" si="10">IF(D$59=0,C51*2,C51+D51)</f>
        <v>0</v>
      </c>
      <c r="F51" s="39" t="s">
        <v>21</v>
      </c>
      <c r="G51" s="39">
        <v>252</v>
      </c>
      <c r="H51" s="321">
        <f>'0664'!H51</f>
        <v>3380</v>
      </c>
      <c r="I51" s="104">
        <f t="shared" ref="I51:I58" si="11">ROUND(E51*H51,2)</f>
        <v>0</v>
      </c>
      <c r="N51" s="506"/>
      <c r="O51" s="506"/>
      <c r="P51" s="508"/>
      <c r="Q51" s="508"/>
      <c r="R51" s="40" t="s">
        <v>21</v>
      </c>
      <c r="S51" s="40">
        <v>252</v>
      </c>
      <c r="T51" s="117">
        <f t="shared" ref="T51:T58" si="12">H51</f>
        <v>3380</v>
      </c>
      <c r="U51" s="118">
        <f t="shared" ref="U51:U58" si="13">ROUND(P51*T51,0)</f>
        <v>0</v>
      </c>
    </row>
    <row r="52" spans="1:21" x14ac:dyDescent="0.25">
      <c r="A52" s="462"/>
      <c r="B52" s="462"/>
      <c r="C52" s="165">
        <v>0</v>
      </c>
      <c r="D52" s="165">
        <v>0</v>
      </c>
      <c r="E52" s="125">
        <f t="shared" si="10"/>
        <v>0</v>
      </c>
      <c r="F52" s="39" t="s">
        <v>21</v>
      </c>
      <c r="G52" s="39">
        <v>253</v>
      </c>
      <c r="H52" s="321">
        <f>'0664'!H52</f>
        <v>6896</v>
      </c>
      <c r="I52" s="104">
        <f t="shared" si="11"/>
        <v>0</v>
      </c>
      <c r="N52" s="506"/>
      <c r="O52" s="506"/>
      <c r="P52" s="508"/>
      <c r="Q52" s="508"/>
      <c r="R52" s="40" t="s">
        <v>21</v>
      </c>
      <c r="S52" s="40">
        <v>253</v>
      </c>
      <c r="T52" s="117">
        <f t="shared" si="12"/>
        <v>6896</v>
      </c>
      <c r="U52" s="118">
        <f t="shared" si="13"/>
        <v>0</v>
      </c>
    </row>
    <row r="53" spans="1:21" x14ac:dyDescent="0.25">
      <c r="A53" s="462"/>
      <c r="B53" s="462"/>
      <c r="C53" s="165">
        <v>0</v>
      </c>
      <c r="D53" s="165">
        <v>0</v>
      </c>
      <c r="E53" s="125">
        <f t="shared" si="10"/>
        <v>0</v>
      </c>
      <c r="F53" s="41" t="s">
        <v>14</v>
      </c>
      <c r="G53" s="39">
        <v>251</v>
      </c>
      <c r="H53" s="321">
        <f>'0664'!H53</f>
        <v>1173</v>
      </c>
      <c r="I53" s="104">
        <f t="shared" si="11"/>
        <v>0</v>
      </c>
      <c r="N53" s="506"/>
      <c r="O53" s="506"/>
      <c r="P53" s="508"/>
      <c r="Q53" s="508"/>
      <c r="R53" s="42" t="s">
        <v>14</v>
      </c>
      <c r="S53" s="40">
        <v>251</v>
      </c>
      <c r="T53" s="117">
        <f t="shared" si="12"/>
        <v>1173</v>
      </c>
      <c r="U53" s="118">
        <f t="shared" si="13"/>
        <v>0</v>
      </c>
    </row>
    <row r="54" spans="1:21" x14ac:dyDescent="0.25">
      <c r="A54" s="462"/>
      <c r="B54" s="462"/>
      <c r="C54" s="165">
        <v>0</v>
      </c>
      <c r="D54" s="165">
        <v>0</v>
      </c>
      <c r="E54" s="125">
        <f t="shared" si="10"/>
        <v>0</v>
      </c>
      <c r="F54" s="41" t="s">
        <v>14</v>
      </c>
      <c r="G54" s="39">
        <v>252</v>
      </c>
      <c r="H54" s="321">
        <f>'0664'!H54</f>
        <v>3506</v>
      </c>
      <c r="I54" s="104">
        <f t="shared" si="11"/>
        <v>0</v>
      </c>
      <c r="N54" s="506"/>
      <c r="O54" s="506"/>
      <c r="P54" s="508"/>
      <c r="Q54" s="508"/>
      <c r="R54" s="42" t="s">
        <v>14</v>
      </c>
      <c r="S54" s="40">
        <v>252</v>
      </c>
      <c r="T54" s="117">
        <f t="shared" si="12"/>
        <v>3506</v>
      </c>
      <c r="U54" s="118">
        <f t="shared" si="13"/>
        <v>0</v>
      </c>
    </row>
    <row r="55" spans="1:21" x14ac:dyDescent="0.25">
      <c r="A55" s="462"/>
      <c r="B55" s="462"/>
      <c r="C55" s="165">
        <v>0</v>
      </c>
      <c r="D55" s="165">
        <v>0</v>
      </c>
      <c r="E55" s="125">
        <f t="shared" si="10"/>
        <v>0</v>
      </c>
      <c r="F55" s="41" t="s">
        <v>14</v>
      </c>
      <c r="G55" s="39">
        <v>253</v>
      </c>
      <c r="H55" s="321">
        <f>'0664'!H55</f>
        <v>7023</v>
      </c>
      <c r="I55" s="104">
        <f t="shared" si="11"/>
        <v>0</v>
      </c>
      <c r="N55" s="506"/>
      <c r="O55" s="506"/>
      <c r="P55" s="508"/>
      <c r="Q55" s="508"/>
      <c r="R55" s="42" t="s">
        <v>14</v>
      </c>
      <c r="S55" s="40">
        <v>253</v>
      </c>
      <c r="T55" s="117">
        <f t="shared" si="12"/>
        <v>7023</v>
      </c>
      <c r="U55" s="118">
        <f t="shared" si="13"/>
        <v>0</v>
      </c>
    </row>
    <row r="56" spans="1:21" x14ac:dyDescent="0.25">
      <c r="A56" s="462"/>
      <c r="B56" s="462"/>
      <c r="C56" s="165"/>
      <c r="D56" s="165"/>
      <c r="E56" s="125">
        <f t="shared" si="10"/>
        <v>0</v>
      </c>
      <c r="F56" s="41" t="s">
        <v>15</v>
      </c>
      <c r="G56" s="39">
        <v>251</v>
      </c>
      <c r="H56" s="321">
        <f>'0664'!H56</f>
        <v>835</v>
      </c>
      <c r="I56" s="104">
        <f t="shared" si="11"/>
        <v>0</v>
      </c>
      <c r="N56" s="506"/>
      <c r="O56" s="506"/>
      <c r="P56" s="508"/>
      <c r="Q56" s="508"/>
      <c r="R56" s="42" t="s">
        <v>15</v>
      </c>
      <c r="S56" s="40">
        <v>251</v>
      </c>
      <c r="T56" s="117">
        <f t="shared" si="12"/>
        <v>835</v>
      </c>
      <c r="U56" s="118">
        <f t="shared" si="13"/>
        <v>0</v>
      </c>
    </row>
    <row r="57" spans="1:21" x14ac:dyDescent="0.25">
      <c r="A57" s="462"/>
      <c r="B57" s="462"/>
      <c r="C57" s="165">
        <v>1</v>
      </c>
      <c r="D57" s="165">
        <v>1</v>
      </c>
      <c r="E57" s="125">
        <f t="shared" si="10"/>
        <v>2</v>
      </c>
      <c r="F57" s="41" t="s">
        <v>15</v>
      </c>
      <c r="G57" s="39">
        <v>252</v>
      </c>
      <c r="H57" s="321">
        <f>'0664'!H57</f>
        <v>3168</v>
      </c>
      <c r="I57" s="104">
        <f t="shared" si="11"/>
        <v>6336</v>
      </c>
      <c r="N57" s="506"/>
      <c r="O57" s="506"/>
      <c r="P57" s="508"/>
      <c r="Q57" s="508"/>
      <c r="R57" s="42" t="s">
        <v>15</v>
      </c>
      <c r="S57" s="40">
        <v>252</v>
      </c>
      <c r="T57" s="117">
        <f t="shared" si="12"/>
        <v>3168</v>
      </c>
      <c r="U57" s="118">
        <f t="shared" si="13"/>
        <v>0</v>
      </c>
    </row>
    <row r="58" spans="1:21" ht="16.5" thickBot="1" x14ac:dyDescent="0.3">
      <c r="A58" s="462"/>
      <c r="B58" s="462"/>
      <c r="C58" s="165">
        <v>1</v>
      </c>
      <c r="D58" s="165">
        <v>1</v>
      </c>
      <c r="E58" s="125">
        <f t="shared" si="10"/>
        <v>2</v>
      </c>
      <c r="F58" s="41" t="s">
        <v>15</v>
      </c>
      <c r="G58" s="39">
        <v>253</v>
      </c>
      <c r="H58" s="321">
        <f>'0664'!H58</f>
        <v>6685</v>
      </c>
      <c r="I58" s="104">
        <f t="shared" si="11"/>
        <v>13370</v>
      </c>
      <c r="N58" s="506"/>
      <c r="O58" s="506"/>
      <c r="P58" s="509"/>
      <c r="Q58" s="509"/>
      <c r="R58" s="42" t="s">
        <v>15</v>
      </c>
      <c r="S58" s="40">
        <v>253</v>
      </c>
      <c r="T58" s="117">
        <f t="shared" si="12"/>
        <v>6685</v>
      </c>
      <c r="U58" s="120">
        <f t="shared" si="13"/>
        <v>0</v>
      </c>
    </row>
    <row r="59" spans="1:21" ht="16.5" thickBot="1" x14ac:dyDescent="0.3">
      <c r="A59" s="463" t="s">
        <v>16</v>
      </c>
      <c r="B59" s="463"/>
      <c r="C59" s="100">
        <f>SUM(C50:C58)</f>
        <v>2</v>
      </c>
      <c r="D59" s="100">
        <f>SUM(D50:D58)</f>
        <v>2</v>
      </c>
      <c r="E59" s="100">
        <f>SUM(E50:E58)</f>
        <v>4</v>
      </c>
      <c r="F59" s="463" t="s">
        <v>77</v>
      </c>
      <c r="G59" s="463"/>
      <c r="H59" s="463"/>
      <c r="I59" s="100">
        <f>SUM(I50:I58)</f>
        <v>19706</v>
      </c>
      <c r="N59" s="482" t="s">
        <v>16</v>
      </c>
      <c r="O59" s="482"/>
      <c r="P59" s="504">
        <f>SUM(P50:P58)</f>
        <v>0</v>
      </c>
      <c r="Q59" s="504"/>
      <c r="R59" s="482" t="s">
        <v>77</v>
      </c>
      <c r="S59" s="482"/>
      <c r="T59" s="482"/>
      <c r="U59" s="111">
        <f>SUM(U50:U58)</f>
        <v>0</v>
      </c>
    </row>
    <row r="60" spans="1:21" x14ac:dyDescent="0.25">
      <c r="A60" s="464"/>
      <c r="B60" s="464"/>
      <c r="C60" s="464"/>
      <c r="D60" s="464"/>
      <c r="E60" s="464"/>
      <c r="F60" s="464"/>
      <c r="G60" s="464"/>
      <c r="H60" s="464"/>
      <c r="I60" s="464"/>
      <c r="N60" s="486"/>
      <c r="O60" s="486"/>
      <c r="P60" s="486"/>
      <c r="Q60" s="486"/>
      <c r="R60" s="486"/>
      <c r="S60" s="486"/>
      <c r="T60" s="486"/>
      <c r="U60" s="486"/>
    </row>
    <row r="61" spans="1:21" x14ac:dyDescent="0.25">
      <c r="A61" s="465" t="s">
        <v>136</v>
      </c>
      <c r="B61" s="455"/>
      <c r="C61" s="455"/>
      <c r="D61" s="455"/>
      <c r="E61" s="455"/>
      <c r="F61" s="455"/>
      <c r="G61" s="455"/>
      <c r="H61" s="455"/>
      <c r="I61" s="455"/>
      <c r="N61" s="481" t="s">
        <v>88</v>
      </c>
      <c r="O61" s="481"/>
      <c r="P61" s="481"/>
      <c r="Q61" s="481"/>
      <c r="R61" s="481"/>
      <c r="S61" s="481"/>
      <c r="T61" s="481"/>
      <c r="U61" s="481"/>
    </row>
    <row r="62" spans="1:21" x14ac:dyDescent="0.25">
      <c r="A62" s="465" t="s">
        <v>138</v>
      </c>
      <c r="B62" s="455"/>
      <c r="C62" s="121">
        <f>E29</f>
        <v>38.480000000000004</v>
      </c>
      <c r="D62" s="466" t="s">
        <v>135</v>
      </c>
      <c r="E62" s="466"/>
      <c r="F62" s="466"/>
      <c r="G62" s="466"/>
      <c r="H62" s="335">
        <f>'0664'!H62</f>
        <v>193726.47</v>
      </c>
      <c r="I62" s="122"/>
      <c r="N62" s="480" t="s">
        <v>312</v>
      </c>
      <c r="O62" s="481"/>
      <c r="P62" s="43">
        <f>P29</f>
        <v>0</v>
      </c>
      <c r="Q62" s="500" t="s">
        <v>78</v>
      </c>
      <c r="R62" s="500"/>
      <c r="S62" s="500"/>
      <c r="T62" s="499">
        <f>H62</f>
        <v>193726.47</v>
      </c>
      <c r="U62" s="499"/>
    </row>
    <row r="63" spans="1:21" x14ac:dyDescent="0.25">
      <c r="B63" s="72"/>
      <c r="G63" s="44" t="s">
        <v>13</v>
      </c>
      <c r="H63" s="123">
        <f>ROUND(C62/H62,6)</f>
        <v>1.9900000000000001E-4</v>
      </c>
      <c r="I63" s="124"/>
      <c r="N63" s="481" t="s">
        <v>19</v>
      </c>
      <c r="O63" s="481"/>
      <c r="P63" s="481"/>
      <c r="Q63" s="481"/>
      <c r="R63" s="481"/>
      <c r="S63" s="481"/>
      <c r="T63" s="503">
        <f>ROUND(P62/T62,6)</f>
        <v>0</v>
      </c>
      <c r="U63" s="503"/>
    </row>
    <row r="64" spans="1:21" x14ac:dyDescent="0.25">
      <c r="A64" s="465" t="s">
        <v>137</v>
      </c>
      <c r="B64" s="455"/>
      <c r="C64" s="455"/>
      <c r="D64" s="455"/>
      <c r="E64" s="455"/>
      <c r="F64" s="455"/>
      <c r="G64" s="455"/>
      <c r="H64" s="455"/>
      <c r="I64" s="455"/>
      <c r="N64" s="481" t="s">
        <v>89</v>
      </c>
      <c r="O64" s="481"/>
      <c r="P64" s="481"/>
      <c r="Q64" s="481"/>
      <c r="R64" s="481"/>
      <c r="S64" s="481"/>
      <c r="T64" s="481"/>
      <c r="U64" s="481"/>
    </row>
    <row r="65" spans="1:21" x14ac:dyDescent="0.25">
      <c r="A65" s="465" t="s">
        <v>139</v>
      </c>
      <c r="B65" s="455"/>
      <c r="C65" s="121">
        <f>E45</f>
        <v>39.269500000000001</v>
      </c>
      <c r="D65" s="466" t="s">
        <v>140</v>
      </c>
      <c r="E65" s="466"/>
      <c r="F65" s="466"/>
      <c r="G65" s="466"/>
      <c r="H65" s="336">
        <f>'0664'!H65</f>
        <v>217214.58</v>
      </c>
      <c r="I65" s="125"/>
      <c r="N65" s="481" t="s">
        <v>80</v>
      </c>
      <c r="O65" s="481"/>
      <c r="P65" s="43">
        <f>R45</f>
        <v>0</v>
      </c>
      <c r="Q65" s="500" t="s">
        <v>79</v>
      </c>
      <c r="R65" s="500"/>
      <c r="S65" s="500"/>
      <c r="T65" s="499">
        <f>H65</f>
        <v>217214.58</v>
      </c>
      <c r="U65" s="499"/>
    </row>
    <row r="66" spans="1:21" s="37" customFormat="1" x14ac:dyDescent="0.25">
      <c r="A66" s="126"/>
      <c r="G66" s="45" t="s">
        <v>13</v>
      </c>
      <c r="H66" s="127">
        <f>ROUND(C65/H65,6)</f>
        <v>1.8100000000000001E-4</v>
      </c>
      <c r="I66" s="127"/>
      <c r="N66" s="484" t="s">
        <v>20</v>
      </c>
      <c r="O66" s="484"/>
      <c r="P66" s="484"/>
      <c r="Q66" s="484"/>
      <c r="R66" s="484"/>
      <c r="S66" s="484"/>
      <c r="T66" s="502">
        <f>ROUND(P65/T65,6)</f>
        <v>0</v>
      </c>
      <c r="U66" s="502"/>
    </row>
    <row r="67" spans="1:21" x14ac:dyDescent="0.25">
      <c r="G67" s="44"/>
      <c r="H67" s="123"/>
      <c r="I67" s="123"/>
      <c r="N67" s="48"/>
      <c r="O67" s="48"/>
      <c r="P67" s="48"/>
      <c r="Q67" s="48"/>
      <c r="R67" s="128"/>
      <c r="S67" s="48"/>
      <c r="T67" s="129"/>
      <c r="U67" s="130"/>
    </row>
    <row r="68" spans="1:21" x14ac:dyDescent="0.25">
      <c r="A68" s="455" t="s">
        <v>85</v>
      </c>
      <c r="B68" s="455"/>
      <c r="C68" s="455"/>
      <c r="D68" s="72"/>
      <c r="E68" s="46" t="s">
        <v>3</v>
      </c>
      <c r="F68" s="337">
        <f>'0664'!F68</f>
        <v>42539472</v>
      </c>
      <c r="G68" s="39" t="s">
        <v>6</v>
      </c>
      <c r="H68" s="131">
        <f>H63</f>
        <v>1.9900000000000001E-4</v>
      </c>
      <c r="I68" s="104">
        <f>ROUND(F68*H68,2)</f>
        <v>8465.35</v>
      </c>
      <c r="N68" s="481" t="s">
        <v>85</v>
      </c>
      <c r="O68" s="481"/>
      <c r="P68" s="481"/>
      <c r="Q68" s="47"/>
      <c r="R68" s="132">
        <f>F68</f>
        <v>42539472</v>
      </c>
      <c r="S68" s="40" t="s">
        <v>6</v>
      </c>
      <c r="T68" s="133">
        <f>T63</f>
        <v>0</v>
      </c>
      <c r="U68" s="99">
        <f>ROUND(R68*T68,0)</f>
        <v>0</v>
      </c>
    </row>
    <row r="69" spans="1:21" x14ac:dyDescent="0.25">
      <c r="A69" s="460" t="s">
        <v>96</v>
      </c>
      <c r="B69" s="455"/>
      <c r="C69" s="455"/>
      <c r="D69" s="72"/>
      <c r="E69" s="46"/>
      <c r="F69" s="136"/>
      <c r="G69" s="39"/>
      <c r="H69" s="131"/>
      <c r="I69" s="104"/>
      <c r="N69" s="481" t="s">
        <v>84</v>
      </c>
      <c r="O69" s="481"/>
      <c r="P69" s="481"/>
      <c r="Q69" s="54"/>
      <c r="R69" s="54"/>
      <c r="S69" s="54"/>
      <c r="T69" s="54"/>
      <c r="U69" s="54"/>
    </row>
    <row r="70" spans="1:21" x14ac:dyDescent="0.25">
      <c r="A70" s="467" t="s">
        <v>141</v>
      </c>
      <c r="B70" s="455"/>
      <c r="C70" s="455"/>
      <c r="D70" s="72"/>
      <c r="E70" s="46" t="s">
        <v>3</v>
      </c>
      <c r="F70" s="337">
        <f>'0664'!F70</f>
        <v>0</v>
      </c>
      <c r="G70" s="39" t="s">
        <v>6</v>
      </c>
      <c r="H70" s="131">
        <f>H63</f>
        <v>1.9900000000000001E-4</v>
      </c>
      <c r="I70" s="104">
        <f>ROUND(F70*H70,2)</f>
        <v>0</v>
      </c>
      <c r="N70" s="48"/>
      <c r="O70" s="48"/>
      <c r="P70" s="48"/>
      <c r="Q70" s="47"/>
      <c r="R70" s="132">
        <f>F70</f>
        <v>0</v>
      </c>
      <c r="S70" s="40" t="s">
        <v>6</v>
      </c>
      <c r="T70" s="133">
        <f>T63</f>
        <v>0</v>
      </c>
      <c r="U70" s="99">
        <f>ROUND(R70*T70,0)</f>
        <v>0</v>
      </c>
    </row>
    <row r="71" spans="1:21" x14ac:dyDescent="0.25">
      <c r="A71" s="465" t="s">
        <v>432</v>
      </c>
      <c r="B71" s="455"/>
      <c r="C71" s="455"/>
      <c r="D71" s="72"/>
      <c r="E71" s="46" t="s">
        <v>3</v>
      </c>
      <c r="F71" s="337">
        <f>'0664'!F71</f>
        <v>13427478</v>
      </c>
      <c r="G71" s="39" t="s">
        <v>6</v>
      </c>
      <c r="H71" s="131">
        <f>H63</f>
        <v>1.9900000000000001E-4</v>
      </c>
      <c r="I71" s="104">
        <f>ROUND(F71*H71,2)</f>
        <v>2672.07</v>
      </c>
      <c r="N71" s="481" t="s">
        <v>83</v>
      </c>
      <c r="O71" s="481"/>
      <c r="P71" s="481"/>
      <c r="Q71" s="47"/>
      <c r="R71" s="132">
        <f>F71</f>
        <v>13427478</v>
      </c>
      <c r="S71" s="40" t="s">
        <v>6</v>
      </c>
      <c r="T71" s="133">
        <f>T63</f>
        <v>0</v>
      </c>
      <c r="U71" s="99">
        <f>ROUND(R71*T71,0)</f>
        <v>0</v>
      </c>
    </row>
    <row r="72" spans="1:21" x14ac:dyDescent="0.25">
      <c r="A72" s="465" t="s">
        <v>433</v>
      </c>
      <c r="B72" s="455"/>
      <c r="C72" s="455"/>
      <c r="D72" s="72"/>
      <c r="E72" s="46" t="s">
        <v>3</v>
      </c>
      <c r="F72" s="337">
        <f>'0664'!F72</f>
        <v>14805238</v>
      </c>
      <c r="G72" s="39" t="s">
        <v>6</v>
      </c>
      <c r="H72" s="131">
        <f>H63</f>
        <v>1.9900000000000001E-4</v>
      </c>
      <c r="I72" s="104">
        <f>ROUND(F72*H72,2)</f>
        <v>2946.24</v>
      </c>
      <c r="N72" s="481" t="s">
        <v>82</v>
      </c>
      <c r="O72" s="481"/>
      <c r="P72" s="481"/>
      <c r="Q72" s="47"/>
      <c r="R72" s="134">
        <f>F72</f>
        <v>14805238</v>
      </c>
      <c r="S72" s="40" t="s">
        <v>6</v>
      </c>
      <c r="T72" s="133">
        <f>T63</f>
        <v>0</v>
      </c>
      <c r="U72" s="99">
        <f>ROUND(R72*T72,0)</f>
        <v>0</v>
      </c>
    </row>
    <row r="73" spans="1:21" x14ac:dyDescent="0.25">
      <c r="A73" s="263" t="s">
        <v>99</v>
      </c>
      <c r="D73" s="72"/>
      <c r="E73" s="41" t="s">
        <v>353</v>
      </c>
      <c r="F73" s="468"/>
      <c r="G73" s="468"/>
      <c r="H73" s="468"/>
      <c r="I73" s="104">
        <v>0</v>
      </c>
      <c r="N73" s="501" t="s">
        <v>118</v>
      </c>
      <c r="O73" s="501"/>
      <c r="P73" s="501"/>
      <c r="Q73" s="501"/>
      <c r="R73" s="501"/>
      <c r="S73" s="501"/>
      <c r="T73" s="501"/>
      <c r="U73" s="99">
        <f>IF($H$120=1,I73,0)</f>
        <v>0</v>
      </c>
    </row>
    <row r="74" spans="1:21" x14ac:dyDescent="0.25">
      <c r="A74" s="264" t="s">
        <v>142</v>
      </c>
      <c r="I74" s="104"/>
      <c r="N74" s="501" t="s">
        <v>43</v>
      </c>
      <c r="O74" s="501"/>
      <c r="P74" s="501"/>
      <c r="Q74" s="501"/>
      <c r="R74" s="501"/>
      <c r="S74" s="501"/>
      <c r="T74" s="501"/>
      <c r="U74" s="99">
        <f>IF($H$120=1,I74,0)</f>
        <v>0</v>
      </c>
    </row>
    <row r="75" spans="1:21" x14ac:dyDescent="0.25">
      <c r="A75" s="324" t="s">
        <v>101</v>
      </c>
      <c r="B75" s="72"/>
      <c r="C75" s="72"/>
      <c r="D75" s="72"/>
      <c r="E75" s="72"/>
      <c r="F75" s="72"/>
      <c r="G75" s="72"/>
      <c r="H75" s="72"/>
      <c r="I75" s="135"/>
      <c r="N75" s="381" t="s">
        <v>44</v>
      </c>
      <c r="O75" s="48"/>
      <c r="P75" s="48"/>
      <c r="Q75" s="48"/>
      <c r="R75" s="48"/>
      <c r="S75" s="48"/>
      <c r="T75" s="48"/>
      <c r="U75" s="106"/>
    </row>
    <row r="76" spans="1:21" x14ac:dyDescent="0.25">
      <c r="A76" s="465" t="s">
        <v>434</v>
      </c>
      <c r="B76" s="455"/>
      <c r="C76" s="455"/>
      <c r="D76" s="72"/>
      <c r="E76" s="46" t="s">
        <v>3</v>
      </c>
      <c r="F76" s="337">
        <f>'0664'!F76</f>
        <v>8726807</v>
      </c>
      <c r="G76" s="39" t="s">
        <v>6</v>
      </c>
      <c r="H76" s="131">
        <f>H63</f>
        <v>1.9900000000000001E-4</v>
      </c>
      <c r="I76" s="104">
        <f t="shared" ref="I76:I85" si="14">ROUND(F76*H76,2)</f>
        <v>1736.63</v>
      </c>
      <c r="N76" s="480" t="s">
        <v>366</v>
      </c>
      <c r="O76" s="481"/>
      <c r="P76" s="481"/>
      <c r="Q76" s="47"/>
      <c r="R76" s="134">
        <f t="shared" ref="R76:R85" si="15">F76</f>
        <v>8726807</v>
      </c>
      <c r="S76" s="40" t="s">
        <v>6</v>
      </c>
      <c r="T76" s="133">
        <f>T63</f>
        <v>0</v>
      </c>
      <c r="U76" s="99">
        <f t="shared" ref="U76:U85" si="16">ROUND(R76*T76,0)</f>
        <v>0</v>
      </c>
    </row>
    <row r="77" spans="1:21" x14ac:dyDescent="0.25">
      <c r="A77" s="465" t="s">
        <v>435</v>
      </c>
      <c r="B77" s="455"/>
      <c r="C77" s="455"/>
      <c r="D77" s="72"/>
      <c r="E77" s="46" t="s">
        <v>3</v>
      </c>
      <c r="F77" s="337">
        <f>'0664'!F77</f>
        <v>0</v>
      </c>
      <c r="G77" s="39" t="s">
        <v>6</v>
      </c>
      <c r="H77" s="131">
        <f>H63</f>
        <v>1.9900000000000001E-4</v>
      </c>
      <c r="I77" s="104">
        <f t="shared" si="14"/>
        <v>0</v>
      </c>
      <c r="N77" s="481" t="s">
        <v>367</v>
      </c>
      <c r="O77" s="481"/>
      <c r="P77" s="481"/>
      <c r="Q77" s="47"/>
      <c r="R77" s="134">
        <f t="shared" si="15"/>
        <v>0</v>
      </c>
      <c r="S77" s="40" t="s">
        <v>6</v>
      </c>
      <c r="T77" s="133">
        <f>T63</f>
        <v>0</v>
      </c>
      <c r="U77" s="99">
        <f t="shared" si="16"/>
        <v>0</v>
      </c>
    </row>
    <row r="78" spans="1:21" x14ac:dyDescent="0.25">
      <c r="A78" s="465" t="s">
        <v>436</v>
      </c>
      <c r="B78" s="455"/>
      <c r="C78" s="455"/>
      <c r="D78" s="72"/>
      <c r="E78" s="46" t="s">
        <v>4</v>
      </c>
      <c r="F78" s="337">
        <f>'0664'!F78</f>
        <v>0</v>
      </c>
      <c r="G78" s="39" t="s">
        <v>6</v>
      </c>
      <c r="H78" s="131">
        <f>H66</f>
        <v>1.8100000000000001E-4</v>
      </c>
      <c r="I78" s="104">
        <f t="shared" si="14"/>
        <v>0</v>
      </c>
      <c r="N78" s="480" t="s">
        <v>392</v>
      </c>
      <c r="O78" s="481"/>
      <c r="P78" s="481"/>
      <c r="Q78" s="47"/>
      <c r="R78" s="134">
        <f t="shared" si="15"/>
        <v>0</v>
      </c>
      <c r="S78" s="40" t="s">
        <v>6</v>
      </c>
      <c r="T78" s="133">
        <f>T66</f>
        <v>0</v>
      </c>
      <c r="U78" s="99">
        <f t="shared" si="16"/>
        <v>0</v>
      </c>
    </row>
    <row r="79" spans="1:21" x14ac:dyDescent="0.25">
      <c r="A79" s="465" t="s">
        <v>437</v>
      </c>
      <c r="B79" s="455"/>
      <c r="C79" s="455"/>
      <c r="D79" s="72"/>
      <c r="E79" s="46" t="s">
        <v>4</v>
      </c>
      <c r="F79" s="337">
        <f>'0664'!F79</f>
        <v>11286897</v>
      </c>
      <c r="G79" s="39" t="s">
        <v>6</v>
      </c>
      <c r="H79" s="131">
        <f>H66</f>
        <v>1.8100000000000001E-4</v>
      </c>
      <c r="I79" s="104">
        <f t="shared" si="14"/>
        <v>2042.93</v>
      </c>
      <c r="N79" s="480" t="s">
        <v>393</v>
      </c>
      <c r="O79" s="481"/>
      <c r="P79" s="481"/>
      <c r="Q79" s="47"/>
      <c r="R79" s="134">
        <f t="shared" si="15"/>
        <v>11286897</v>
      </c>
      <c r="S79" s="40" t="s">
        <v>6</v>
      </c>
      <c r="T79" s="133">
        <f>T66</f>
        <v>0</v>
      </c>
      <c r="U79" s="99">
        <f t="shared" si="16"/>
        <v>0</v>
      </c>
    </row>
    <row r="80" spans="1:21" x14ac:dyDescent="0.25">
      <c r="A80" s="465" t="s">
        <v>438</v>
      </c>
      <c r="B80" s="455"/>
      <c r="C80" s="455"/>
      <c r="D80" s="72"/>
      <c r="E80" s="46" t="s">
        <v>4</v>
      </c>
      <c r="F80" s="337">
        <f>'0664'!F80</f>
        <v>206284749</v>
      </c>
      <c r="G80" s="39" t="s">
        <v>6</v>
      </c>
      <c r="H80" s="131">
        <f>H66</f>
        <v>1.8100000000000001E-4</v>
      </c>
      <c r="I80" s="104">
        <f t="shared" si="14"/>
        <v>37337.54</v>
      </c>
      <c r="N80" s="480" t="s">
        <v>397</v>
      </c>
      <c r="O80" s="481"/>
      <c r="P80" s="481"/>
      <c r="Q80" s="47"/>
      <c r="R80" s="134">
        <f t="shared" si="15"/>
        <v>206284749</v>
      </c>
      <c r="S80" s="40" t="s">
        <v>6</v>
      </c>
      <c r="T80" s="133">
        <f>T66</f>
        <v>0</v>
      </c>
      <c r="U80" s="99">
        <f t="shared" si="16"/>
        <v>0</v>
      </c>
    </row>
    <row r="81" spans="1:21" x14ac:dyDescent="0.25">
      <c r="A81" s="84" t="s">
        <v>439</v>
      </c>
      <c r="B81" s="72"/>
      <c r="C81" s="72"/>
      <c r="D81" s="72"/>
      <c r="E81" s="46"/>
      <c r="F81" s="337"/>
      <c r="G81" s="39"/>
      <c r="H81" s="131"/>
      <c r="I81" s="104"/>
      <c r="N81" s="416" t="s">
        <v>439</v>
      </c>
      <c r="O81" s="48"/>
      <c r="P81" s="48"/>
      <c r="Q81" s="47"/>
      <c r="R81" s="420"/>
      <c r="S81" s="40"/>
      <c r="T81" s="133"/>
      <c r="U81" s="120"/>
    </row>
    <row r="82" spans="1:21" x14ac:dyDescent="0.25">
      <c r="A82" s="264" t="s">
        <v>440</v>
      </c>
      <c r="B82" s="72"/>
      <c r="C82" s="72"/>
      <c r="D82" s="72"/>
      <c r="E82" s="46" t="s">
        <v>441</v>
      </c>
      <c r="F82" s="337">
        <f>'0664'!F82</f>
        <v>0</v>
      </c>
      <c r="G82" s="39" t="s">
        <v>6</v>
      </c>
      <c r="H82" s="131">
        <f>H66</f>
        <v>1.8100000000000001E-4</v>
      </c>
      <c r="I82" s="104">
        <v>6123.26</v>
      </c>
      <c r="N82" s="419" t="s">
        <v>440</v>
      </c>
      <c r="O82" s="48"/>
      <c r="P82" s="48"/>
      <c r="Q82" s="47"/>
      <c r="R82" s="134">
        <f t="shared" si="15"/>
        <v>0</v>
      </c>
      <c r="S82" s="40"/>
      <c r="T82" s="133"/>
      <c r="U82" s="99">
        <f t="shared" si="16"/>
        <v>0</v>
      </c>
    </row>
    <row r="83" spans="1:21" x14ac:dyDescent="0.25">
      <c r="A83" s="264" t="s">
        <v>442</v>
      </c>
      <c r="B83" s="72"/>
      <c r="C83" s="72"/>
      <c r="D83" s="72"/>
      <c r="E83" s="46" t="s">
        <v>441</v>
      </c>
      <c r="F83" s="337">
        <f>'0664'!F83</f>
        <v>0</v>
      </c>
      <c r="G83" s="39" t="s">
        <v>6</v>
      </c>
      <c r="H83" s="131">
        <f>H66</f>
        <v>1.8100000000000001E-4</v>
      </c>
      <c r="I83" s="104">
        <v>2783.3</v>
      </c>
      <c r="N83" s="419" t="s">
        <v>442</v>
      </c>
      <c r="O83" s="48"/>
      <c r="P83" s="48"/>
      <c r="Q83" s="47"/>
      <c r="R83" s="134">
        <f t="shared" si="15"/>
        <v>0</v>
      </c>
      <c r="S83" s="40"/>
      <c r="T83" s="133"/>
      <c r="U83" s="99">
        <f t="shared" si="16"/>
        <v>0</v>
      </c>
    </row>
    <row r="84" spans="1:21" x14ac:dyDescent="0.25">
      <c r="A84" s="417" t="s">
        <v>443</v>
      </c>
      <c r="B84" s="72"/>
      <c r="C84" s="72"/>
      <c r="D84" s="72"/>
      <c r="E84" s="46"/>
      <c r="F84" s="337"/>
      <c r="G84" s="39"/>
      <c r="H84" s="131"/>
      <c r="I84" s="104">
        <f>I82+I83</f>
        <v>8906.5600000000013</v>
      </c>
      <c r="N84" s="418" t="s">
        <v>443</v>
      </c>
      <c r="O84" s="48"/>
      <c r="P84" s="48"/>
      <c r="Q84" s="47"/>
      <c r="R84" s="420"/>
      <c r="S84" s="40"/>
      <c r="T84" s="133"/>
      <c r="U84" s="99">
        <f>U82+U83</f>
        <v>0</v>
      </c>
    </row>
    <row r="85" spans="1:21" x14ac:dyDescent="0.25">
      <c r="A85" s="465" t="s">
        <v>398</v>
      </c>
      <c r="B85" s="455"/>
      <c r="C85" s="455"/>
      <c r="D85" s="72"/>
      <c r="E85" s="46" t="s">
        <v>4</v>
      </c>
      <c r="F85" s="337">
        <f>'0664'!F85</f>
        <v>0</v>
      </c>
      <c r="G85" s="39" t="s">
        <v>6</v>
      </c>
      <c r="H85" s="131">
        <f>H66</f>
        <v>1.8100000000000001E-4</v>
      </c>
      <c r="I85" s="104">
        <f t="shared" si="14"/>
        <v>0</v>
      </c>
      <c r="N85" s="480" t="s">
        <v>398</v>
      </c>
      <c r="O85" s="481"/>
      <c r="P85" s="481"/>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5" t="s">
        <v>444</v>
      </c>
      <c r="B87" s="455"/>
      <c r="C87" s="455"/>
      <c r="D87" s="455"/>
      <c r="E87" s="455"/>
      <c r="F87" s="455"/>
      <c r="G87" s="455"/>
      <c r="H87" s="455"/>
      <c r="I87" s="455"/>
      <c r="N87" s="480" t="s">
        <v>428</v>
      </c>
      <c r="O87" s="481"/>
      <c r="P87" s="481"/>
      <c r="Q87" s="481"/>
      <c r="R87" s="481"/>
      <c r="S87" s="481"/>
      <c r="T87" s="481"/>
      <c r="U87" s="481"/>
    </row>
    <row r="88" spans="1:21" x14ac:dyDescent="0.25">
      <c r="B88" s="72"/>
      <c r="C88" s="468" t="s">
        <v>73</v>
      </c>
      <c r="D88" s="468"/>
      <c r="E88" s="72"/>
      <c r="F88" s="41" t="s">
        <v>37</v>
      </c>
      <c r="G88" s="72"/>
      <c r="H88" s="72"/>
      <c r="I88" s="72"/>
      <c r="N88" s="48"/>
      <c r="O88" s="48"/>
      <c r="P88" s="48"/>
      <c r="Q88" s="48"/>
      <c r="R88" s="48"/>
      <c r="S88" s="48"/>
      <c r="T88" s="48"/>
      <c r="U88" s="48"/>
    </row>
    <row r="89" spans="1:21" x14ac:dyDescent="0.25">
      <c r="A89" s="3"/>
      <c r="B89" s="138"/>
      <c r="C89" s="464" t="s">
        <v>144</v>
      </c>
      <c r="D89" s="464"/>
      <c r="E89" s="139" t="s">
        <v>150</v>
      </c>
      <c r="F89" s="140" t="s">
        <v>149</v>
      </c>
      <c r="G89" s="141"/>
      <c r="H89" s="141"/>
      <c r="I89" s="141"/>
      <c r="N89" s="497" t="s">
        <v>46</v>
      </c>
      <c r="O89" s="497"/>
      <c r="P89" s="498" t="s">
        <v>119</v>
      </c>
      <c r="Q89" s="498"/>
      <c r="R89" s="499" t="s">
        <v>40</v>
      </c>
      <c r="S89" s="499"/>
      <c r="T89" s="499"/>
      <c r="U89" s="499"/>
    </row>
    <row r="90" spans="1:21" x14ac:dyDescent="0.25">
      <c r="A90" s="27"/>
      <c r="B90" s="55" t="s">
        <v>148</v>
      </c>
      <c r="C90" s="469">
        <f>H13+H14+H19+H22+H25</f>
        <v>0</v>
      </c>
      <c r="D90" s="469"/>
      <c r="E90" s="49">
        <f>H8</f>
        <v>1.0438000000000001</v>
      </c>
      <c r="F90" s="338">
        <f>'0664'!F90</f>
        <v>957.94</v>
      </c>
      <c r="G90" s="41" t="s">
        <v>13</v>
      </c>
      <c r="H90" s="104">
        <f>ROUND(C90*E90*F90,2)</f>
        <v>0</v>
      </c>
      <c r="I90" s="107"/>
      <c r="N90" s="29" t="s">
        <v>22</v>
      </c>
      <c r="O90" s="50">
        <f>T13+T14+T19+T22+T25</f>
        <v>0</v>
      </c>
      <c r="P90" s="492">
        <f>T8</f>
        <v>1.0438000000000001</v>
      </c>
      <c r="Q90" s="492"/>
      <c r="R90" s="51">
        <f>F90</f>
        <v>957.94</v>
      </c>
      <c r="S90" s="42" t="s">
        <v>13</v>
      </c>
      <c r="T90" s="134">
        <f>ROUND(O90*P90*R90,0)</f>
        <v>0</v>
      </c>
      <c r="U90" s="105"/>
    </row>
    <row r="91" spans="1:21" x14ac:dyDescent="0.25">
      <c r="A91" s="52"/>
      <c r="B91" s="52" t="s">
        <v>147</v>
      </c>
      <c r="C91" s="469">
        <f>H15+H16+H20+H23+H26</f>
        <v>0</v>
      </c>
      <c r="D91" s="469"/>
      <c r="E91" s="49">
        <f>H8</f>
        <v>1.0438000000000001</v>
      </c>
      <c r="F91" s="338">
        <f>'0664'!F91</f>
        <v>914.63</v>
      </c>
      <c r="G91" s="41" t="s">
        <v>13</v>
      </c>
      <c r="H91" s="104">
        <f>ROUND(C91*E91*F91,2)</f>
        <v>0</v>
      </c>
      <c r="N91" s="53" t="s">
        <v>14</v>
      </c>
      <c r="O91" s="50">
        <f>T15+T16+T20+T23+T26</f>
        <v>0</v>
      </c>
      <c r="P91" s="492">
        <f>T8</f>
        <v>1.0438000000000001</v>
      </c>
      <c r="Q91" s="492"/>
      <c r="R91" s="51">
        <f>F91</f>
        <v>914.63</v>
      </c>
      <c r="S91" s="42" t="s">
        <v>13</v>
      </c>
      <c r="T91" s="134">
        <f>ROUND(O91*P91*R91,0)</f>
        <v>0</v>
      </c>
      <c r="U91" s="54"/>
    </row>
    <row r="92" spans="1:21" ht="16.5" thickBot="1" x14ac:dyDescent="0.3">
      <c r="A92" s="55"/>
      <c r="B92" s="55" t="s">
        <v>146</v>
      </c>
      <c r="C92" s="469">
        <f>H17+H18+H21+H24+H27+H28</f>
        <v>39.269500000000001</v>
      </c>
      <c r="D92" s="469"/>
      <c r="E92" s="49">
        <f>H8</f>
        <v>1.0438000000000001</v>
      </c>
      <c r="F92" s="338">
        <f>'0664'!F92</f>
        <v>916.84</v>
      </c>
      <c r="G92" s="41" t="s">
        <v>13</v>
      </c>
      <c r="H92" s="97">
        <f>ROUND(C92*E92*F92,2)</f>
        <v>37580.82</v>
      </c>
      <c r="N92" s="56" t="s">
        <v>15</v>
      </c>
      <c r="O92" s="57">
        <f>T17+T18+T21+T24+T27+T28</f>
        <v>0</v>
      </c>
      <c r="P92" s="492">
        <f>T8</f>
        <v>1.0438000000000001</v>
      </c>
      <c r="Q92" s="492"/>
      <c r="R92" s="51">
        <f>F92</f>
        <v>916.84</v>
      </c>
      <c r="S92" s="42" t="s">
        <v>13</v>
      </c>
      <c r="T92" s="134">
        <f>ROUND(O92*P92*R92,0)</f>
        <v>0</v>
      </c>
      <c r="U92" s="54"/>
    </row>
    <row r="93" spans="1:21" ht="16.5" thickBot="1" x14ac:dyDescent="0.3">
      <c r="A93" s="58"/>
      <c r="B93" s="142" t="s">
        <v>145</v>
      </c>
      <c r="C93" s="471">
        <f>SUM(C90:C92)</f>
        <v>39.269500000000001</v>
      </c>
      <c r="D93" s="471"/>
      <c r="E93" s="143"/>
      <c r="F93" s="143"/>
      <c r="G93" s="143"/>
      <c r="H93" s="144" t="s">
        <v>143</v>
      </c>
      <c r="I93" s="104">
        <f>IF(A1=75,0,H92+H91+H90)</f>
        <v>37580.82</v>
      </c>
      <c r="N93" s="59" t="s">
        <v>120</v>
      </c>
      <c r="O93" s="60">
        <f>SUM(O90:O92)</f>
        <v>0</v>
      </c>
      <c r="P93" s="493" t="s">
        <v>18</v>
      </c>
      <c r="Q93" s="494"/>
      <c r="R93" s="494"/>
      <c r="S93" s="494"/>
      <c r="T93" s="494"/>
      <c r="U93" s="99">
        <f>IF(N1=75,0,T92+T91+T90)</f>
        <v>0</v>
      </c>
    </row>
    <row r="94" spans="1:21" ht="16.5" thickTop="1" x14ac:dyDescent="0.25">
      <c r="A94" s="542" t="s">
        <v>90</v>
      </c>
      <c r="B94" s="542"/>
      <c r="C94" s="542"/>
      <c r="D94" s="542"/>
      <c r="E94" s="542"/>
      <c r="F94" s="542"/>
      <c r="G94" s="542"/>
      <c r="H94" s="542"/>
      <c r="I94" s="542"/>
      <c r="N94" s="495" t="s">
        <v>90</v>
      </c>
      <c r="O94" s="495"/>
      <c r="P94" s="495"/>
      <c r="Q94" s="495"/>
      <c r="R94" s="495"/>
      <c r="S94" s="495"/>
      <c r="T94" s="495"/>
      <c r="U94" s="495"/>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445</v>
      </c>
      <c r="C96" s="46"/>
      <c r="D96" s="72"/>
      <c r="E96" s="46" t="s">
        <v>100</v>
      </c>
      <c r="F96" s="473"/>
      <c r="G96" s="473"/>
      <c r="H96" s="473"/>
      <c r="I96" s="473"/>
      <c r="N96" s="480" t="s">
        <v>425</v>
      </c>
      <c r="O96" s="481"/>
      <c r="P96" s="481"/>
      <c r="Q96" s="496"/>
      <c r="R96" s="496"/>
      <c r="S96" s="496"/>
      <c r="T96" s="496"/>
      <c r="U96" s="106"/>
    </row>
    <row r="97" spans="1:21" x14ac:dyDescent="0.25">
      <c r="B97" s="72"/>
      <c r="C97" s="91" t="s">
        <v>409</v>
      </c>
      <c r="D97" s="370" t="s">
        <v>410</v>
      </c>
      <c r="E97" s="92" t="s">
        <v>151</v>
      </c>
      <c r="F97" s="46"/>
      <c r="G97" s="46"/>
      <c r="H97" s="46"/>
      <c r="I97" s="46"/>
      <c r="N97" s="48"/>
      <c r="O97" s="48"/>
      <c r="P97" s="48"/>
      <c r="Q97" s="147"/>
      <c r="R97" s="147"/>
      <c r="S97" s="147"/>
      <c r="T97" s="147"/>
      <c r="U97" s="106"/>
    </row>
    <row r="98" spans="1:21" x14ac:dyDescent="0.25">
      <c r="B98" s="72"/>
      <c r="C98" s="363" t="s">
        <v>2</v>
      </c>
      <c r="D98" s="361" t="s">
        <v>2</v>
      </c>
      <c r="E98" s="361" t="s">
        <v>2</v>
      </c>
      <c r="F98" s="46"/>
      <c r="G98" s="46"/>
      <c r="H98" s="46"/>
      <c r="I98" s="46"/>
      <c r="N98" s="48"/>
      <c r="O98" s="48"/>
      <c r="P98" s="48"/>
      <c r="Q98" s="147"/>
      <c r="R98" s="147"/>
      <c r="S98" s="147"/>
      <c r="T98" s="147"/>
      <c r="U98" s="106"/>
    </row>
    <row r="99" spans="1:21" x14ac:dyDescent="0.25">
      <c r="A99" s="538" t="s">
        <v>466</v>
      </c>
      <c r="B99" s="463"/>
      <c r="C99" s="165">
        <v>2</v>
      </c>
      <c r="D99" s="165">
        <v>0</v>
      </c>
      <c r="E99" s="125">
        <f>(C99+D99)/2</f>
        <v>1</v>
      </c>
      <c r="F99" s="148" t="s">
        <v>39</v>
      </c>
      <c r="G99" s="339">
        <f>'0664'!G99</f>
        <v>544</v>
      </c>
      <c r="I99" s="104">
        <f>ROUND(G99*E99,2)</f>
        <v>544</v>
      </c>
      <c r="N99" s="490" t="s">
        <v>65</v>
      </c>
      <c r="O99" s="490"/>
      <c r="P99" s="491">
        <f>IF(H120=1,E99,0)</f>
        <v>0</v>
      </c>
      <c r="Q99" s="491"/>
      <c r="R99" s="491"/>
      <c r="S99" s="86" t="s">
        <v>39</v>
      </c>
      <c r="T99" s="61">
        <f>G99</f>
        <v>544</v>
      </c>
      <c r="U99" s="99">
        <f>ROUND(T99*P99,0)</f>
        <v>0</v>
      </c>
    </row>
    <row r="100" spans="1:21" x14ac:dyDescent="0.25">
      <c r="A100" s="538" t="s">
        <v>467</v>
      </c>
      <c r="B100" s="463"/>
      <c r="C100" s="165">
        <v>0</v>
      </c>
      <c r="D100" s="165">
        <v>0</v>
      </c>
      <c r="E100" s="125">
        <f>(C100+D100)/2</f>
        <v>0</v>
      </c>
      <c r="F100" s="148" t="s">
        <v>39</v>
      </c>
      <c r="G100" s="339">
        <f>'0664'!G100</f>
        <v>1697</v>
      </c>
      <c r="I100" s="104">
        <f>ROUND(G100*E100,2)</f>
        <v>0</v>
      </c>
      <c r="N100" s="490" t="s">
        <v>81</v>
      </c>
      <c r="O100" s="490"/>
      <c r="P100" s="485"/>
      <c r="Q100" s="485"/>
      <c r="R100" s="485"/>
      <c r="S100" s="86" t="s">
        <v>39</v>
      </c>
      <c r="T100" s="61">
        <f>G100</f>
        <v>1697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5" t="s">
        <v>446</v>
      </c>
      <c r="B103" s="455"/>
      <c r="C103" s="455"/>
      <c r="D103" s="72"/>
      <c r="E103" s="41" t="s">
        <v>41</v>
      </c>
      <c r="F103" s="468"/>
      <c r="G103" s="468"/>
      <c r="H103" s="468"/>
      <c r="I103" s="468"/>
      <c r="N103" s="480" t="s">
        <v>362</v>
      </c>
      <c r="O103" s="481"/>
      <c r="P103" s="481"/>
      <c r="Q103" s="481"/>
      <c r="R103" s="481"/>
      <c r="S103" s="481"/>
      <c r="T103" s="481"/>
      <c r="U103" s="481"/>
    </row>
    <row r="104" spans="1:21" hidden="1" x14ac:dyDescent="0.25">
      <c r="B104" s="72"/>
      <c r="C104" s="464" t="s">
        <v>91</v>
      </c>
      <c r="D104" s="464"/>
      <c r="E104" s="464"/>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66" t="s">
        <v>153</v>
      </c>
      <c r="G105" s="468"/>
      <c r="H105" s="39" t="s">
        <v>38</v>
      </c>
      <c r="I105" s="39"/>
      <c r="N105" s="48"/>
      <c r="O105" s="48"/>
      <c r="P105" s="48"/>
      <c r="Q105" s="48"/>
      <c r="R105" s="48"/>
      <c r="S105" s="48"/>
      <c r="T105" s="48"/>
      <c r="U105" s="48"/>
    </row>
    <row r="106" spans="1:21" hidden="1" x14ac:dyDescent="0.25">
      <c r="A106" s="464" t="s">
        <v>94</v>
      </c>
      <c r="B106" s="464"/>
      <c r="C106" s="93" t="s">
        <v>2</v>
      </c>
      <c r="D106" s="93" t="s">
        <v>2</v>
      </c>
      <c r="E106" s="62" t="s">
        <v>2</v>
      </c>
      <c r="F106" s="464" t="s">
        <v>37</v>
      </c>
      <c r="G106" s="464"/>
      <c r="H106" s="62" t="s">
        <v>37</v>
      </c>
      <c r="I106" s="62" t="s">
        <v>8</v>
      </c>
      <c r="N106" s="486" t="s">
        <v>66</v>
      </c>
      <c r="O106" s="486"/>
      <c r="P106" s="491" t="s">
        <v>91</v>
      </c>
      <c r="Q106" s="491"/>
      <c r="R106" s="486" t="s">
        <v>67</v>
      </c>
      <c r="S106" s="486"/>
      <c r="T106" s="63" t="s">
        <v>68</v>
      </c>
      <c r="U106" s="63" t="s">
        <v>8</v>
      </c>
    </row>
    <row r="107" spans="1:21" hidden="1" x14ac:dyDescent="0.25">
      <c r="A107" s="475" t="s">
        <v>69</v>
      </c>
      <c r="B107" s="475"/>
      <c r="C107" s="163">
        <v>0</v>
      </c>
      <c r="D107" s="163">
        <v>0</v>
      </c>
      <c r="E107" s="210">
        <f>IF(D$59=0,C107*2,C107+D107)</f>
        <v>0</v>
      </c>
      <c r="F107" s="476">
        <v>0</v>
      </c>
      <c r="G107" s="476"/>
      <c r="H107" s="250">
        <f>IF(C107=0,0,125)</f>
        <v>0</v>
      </c>
      <c r="I107" s="104">
        <f>ROUND((H107+F107)*E107,2)</f>
        <v>0</v>
      </c>
      <c r="N107" s="481" t="s">
        <v>69</v>
      </c>
      <c r="O107" s="481"/>
      <c r="P107" s="485">
        <f>IF(H$120=1,C107,0)</f>
        <v>0</v>
      </c>
      <c r="Q107" s="485"/>
      <c r="R107" s="488">
        <f>F107</f>
        <v>0</v>
      </c>
      <c r="S107" s="488"/>
      <c r="T107" s="65">
        <f>H107</f>
        <v>0</v>
      </c>
      <c r="U107" s="99">
        <f>ROUND((T107+R107)*P107,0)</f>
        <v>0</v>
      </c>
    </row>
    <row r="108" spans="1:21" hidden="1" x14ac:dyDescent="0.25">
      <c r="A108" s="458" t="s">
        <v>70</v>
      </c>
      <c r="B108" s="458"/>
      <c r="C108" s="165">
        <v>0</v>
      </c>
      <c r="D108" s="165">
        <v>0</v>
      </c>
      <c r="E108" s="125">
        <f>IF(D$59=0,C108*2,C108+D108)</f>
        <v>0</v>
      </c>
      <c r="F108" s="470">
        <f>ROUND(F107/2,2)</f>
        <v>0</v>
      </c>
      <c r="G108" s="470"/>
      <c r="H108" s="250">
        <f>IF(C108=0,0,62.5)</f>
        <v>0</v>
      </c>
      <c r="I108" s="104">
        <f>ROUND((H108+F108)*E108,2)</f>
        <v>0</v>
      </c>
      <c r="N108" s="481" t="s">
        <v>70</v>
      </c>
      <c r="O108" s="481"/>
      <c r="P108" s="485">
        <f>IF(H$120=1,C108,0)</f>
        <v>0</v>
      </c>
      <c r="Q108" s="485"/>
      <c r="R108" s="489">
        <f>ROUND(R107/2,2)</f>
        <v>0</v>
      </c>
      <c r="S108" s="489"/>
      <c r="T108" s="65">
        <f>H108</f>
        <v>0</v>
      </c>
      <c r="U108" s="99">
        <f>ROUND((T108+R108)*P108,0)</f>
        <v>0</v>
      </c>
    </row>
    <row r="109" spans="1:21" ht="16.5" hidden="1" thickBot="1" x14ac:dyDescent="0.3">
      <c r="A109" s="458" t="s">
        <v>71</v>
      </c>
      <c r="B109" s="458"/>
      <c r="C109" s="165">
        <v>0</v>
      </c>
      <c r="D109" s="165">
        <v>0</v>
      </c>
      <c r="E109" s="125">
        <f>IF(D$59=0,C109*2,C109+D109)</f>
        <v>0</v>
      </c>
      <c r="F109" s="477"/>
      <c r="G109" s="477"/>
      <c r="H109" s="251">
        <f>IF(H107&gt;0,436,0)</f>
        <v>0</v>
      </c>
      <c r="I109" s="104">
        <f>ROUND(H109*E109,2)</f>
        <v>0</v>
      </c>
      <c r="N109" s="484" t="s">
        <v>71</v>
      </c>
      <c r="O109" s="484"/>
      <c r="P109" s="485">
        <f>IF(H$120=1,C109,0)</f>
        <v>0</v>
      </c>
      <c r="Q109" s="485"/>
      <c r="R109" s="486"/>
      <c r="S109" s="486"/>
      <c r="T109" s="67">
        <f>H109</f>
        <v>0</v>
      </c>
      <c r="U109" s="106">
        <f>ROUND(T109*P109,0)</f>
        <v>0</v>
      </c>
    </row>
    <row r="110" spans="1:21" ht="16.5" hidden="1" thickBot="1" x14ac:dyDescent="0.3">
      <c r="A110" s="468" t="s">
        <v>8</v>
      </c>
      <c r="B110" s="468"/>
      <c r="C110" s="68"/>
      <c r="D110" s="68"/>
      <c r="E110" s="68"/>
      <c r="F110" s="68"/>
      <c r="G110" s="68"/>
      <c r="H110" s="68"/>
      <c r="I110" s="100">
        <f>SUM(I107:I109)</f>
        <v>0</v>
      </c>
      <c r="N110" s="487" t="s">
        <v>8</v>
      </c>
      <c r="O110" s="487"/>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5" t="s">
        <v>447</v>
      </c>
      <c r="B112" s="455"/>
      <c r="C112" s="455"/>
      <c r="D112" s="72"/>
      <c r="E112" s="71" t="s">
        <v>354</v>
      </c>
      <c r="F112" s="474"/>
      <c r="G112" s="474"/>
      <c r="H112" s="474"/>
      <c r="I112" s="125">
        <v>0</v>
      </c>
      <c r="N112" s="480" t="s">
        <v>426</v>
      </c>
      <c r="O112" s="481"/>
      <c r="P112" s="481"/>
      <c r="Q112" s="341"/>
      <c r="R112" s="341"/>
      <c r="S112" s="341"/>
      <c r="T112" s="341"/>
      <c r="U112" s="99">
        <f>IF($H$120=1,I112,0)</f>
        <v>0</v>
      </c>
    </row>
    <row r="113" spans="1:21" x14ac:dyDescent="0.25">
      <c r="A113" s="465" t="s">
        <v>448</v>
      </c>
      <c r="B113" s="455"/>
      <c r="C113" s="455"/>
      <c r="D113" s="72"/>
      <c r="E113" s="71" t="s">
        <v>45</v>
      </c>
      <c r="F113" s="474"/>
      <c r="G113" s="474"/>
      <c r="H113" s="474"/>
      <c r="I113" s="177">
        <v>0</v>
      </c>
      <c r="N113" s="480" t="s">
        <v>427</v>
      </c>
      <c r="O113" s="481"/>
      <c r="P113" s="481"/>
      <c r="Q113" s="341"/>
      <c r="R113" s="341"/>
      <c r="S113" s="341"/>
      <c r="T113" s="341"/>
      <c r="U113" s="99">
        <f>IF($H$120=1,I113,0)</f>
        <v>0</v>
      </c>
    </row>
    <row r="114" spans="1:21" ht="16.5" thickBot="1" x14ac:dyDescent="0.3">
      <c r="B114" s="72"/>
      <c r="C114" s="72"/>
      <c r="D114" s="72"/>
      <c r="E114" s="71"/>
      <c r="F114" s="71"/>
      <c r="G114" s="71"/>
      <c r="H114" s="71"/>
      <c r="I114" s="125"/>
      <c r="N114" s="482" t="s">
        <v>42</v>
      </c>
      <c r="O114" s="482"/>
      <c r="P114" s="482"/>
      <c r="Q114" s="482"/>
      <c r="R114" s="482"/>
      <c r="S114" s="482"/>
      <c r="T114" s="482"/>
      <c r="U114" s="154">
        <f>SUM(U112,U110,U100,U99,U93,U77,U76,U74,U73,U72,U71,U70,U68,U59,U45,U78,U79,U80,U85,U113)</f>
        <v>0</v>
      </c>
    </row>
    <row r="115" spans="1:21" ht="16.5" thickTop="1" x14ac:dyDescent="0.25">
      <c r="A115" s="463" t="s">
        <v>8</v>
      </c>
      <c r="B115" s="463"/>
      <c r="C115" s="463"/>
      <c r="D115" s="463"/>
      <c r="E115" s="463"/>
      <c r="F115" s="463"/>
      <c r="G115" s="463"/>
      <c r="H115" s="463"/>
      <c r="I115" s="97">
        <f>SUM(I113,I112,I110,I100,I99,I93,I85,I84,I80,I79,I78,I77,I76,I74,I73,I72,I71,I70,I68,I59,I45)</f>
        <v>309973.38000000006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28" t="s">
        <v>463</v>
      </c>
      <c r="B117" s="27"/>
      <c r="C117" s="27"/>
      <c r="D117" s="27"/>
      <c r="E117" s="27"/>
      <c r="F117" s="27"/>
      <c r="G117" s="27"/>
      <c r="H117" s="27"/>
      <c r="I117" s="104">
        <f>I115-I84</f>
        <v>301066.82000000007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5" t="s">
        <v>464</v>
      </c>
      <c r="B119" s="455"/>
      <c r="C119" s="455"/>
      <c r="D119" s="455"/>
      <c r="E119" s="455"/>
      <c r="F119" s="455"/>
      <c r="G119" s="455"/>
      <c r="H119" s="84" t="s">
        <v>394</v>
      </c>
      <c r="I119" s="156"/>
      <c r="N119" s="483"/>
      <c r="O119" s="483"/>
      <c r="P119" s="483"/>
      <c r="Q119" s="483"/>
      <c r="R119" s="483"/>
      <c r="S119" s="483"/>
      <c r="T119" s="483"/>
      <c r="U119" s="483"/>
    </row>
    <row r="120" spans="1:21" x14ac:dyDescent="0.25">
      <c r="A120" s="455" t="s">
        <v>95</v>
      </c>
      <c r="B120" s="455"/>
      <c r="C120" s="455"/>
      <c r="D120" s="455"/>
      <c r="E120" s="455"/>
      <c r="F120" s="455"/>
      <c r="G120" s="455"/>
      <c r="H120" s="73" t="str">
        <f>IF(E29=0,"",IF((E14+E16+SUM(E18:E24))/E29&gt;0.75,1,""))</f>
        <v/>
      </c>
      <c r="I120" s="125">
        <f>U114</f>
        <v>0</v>
      </c>
      <c r="N120" s="478" t="s">
        <v>7</v>
      </c>
      <c r="O120" s="478"/>
      <c r="P120" s="478"/>
      <c r="Q120" s="478"/>
      <c r="R120" s="478"/>
      <c r="S120" s="478"/>
      <c r="T120" s="478"/>
      <c r="U120" s="478"/>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301066.82000000007</v>
      </c>
      <c r="I122" s="97">
        <f>ROUND(IF(E29=0,0,IF(E29&gt;250,-(((250/E29)*H122)*IF(G122="H",0.02,0.05)),IF(G122="H",-0.02*H122,-0.05*H122))),2)</f>
        <v>-15053.34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4" t="s">
        <v>103</v>
      </c>
      <c r="B124" s="345"/>
      <c r="C124" s="345"/>
      <c r="D124" s="345"/>
      <c r="E124" s="345"/>
      <c r="F124" s="345"/>
      <c r="G124" s="345"/>
      <c r="H124" s="346"/>
      <c r="I124" s="347">
        <f>I115+I122</f>
        <v>294920.04000000004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f>-255928.89-26210.11</f>
        <v>-282139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12781.040000000037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1</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12781.04</v>
      </c>
      <c r="J132" s="266"/>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5" t="str">
        <f>'0664'!A139</f>
        <v>(a) Additional FTE includes FTE earned through Advanced Placement, International Baccalaureate, Advanced International Certificate of Education, Industry Certified Career</v>
      </c>
      <c r="B139" s="356"/>
      <c r="C139" s="356"/>
      <c r="D139" s="356"/>
      <c r="E139" s="356"/>
      <c r="F139" s="356"/>
      <c r="G139" s="356"/>
      <c r="H139" s="356"/>
      <c r="I139" s="356"/>
      <c r="J139" s="80"/>
      <c r="K139" s="79"/>
      <c r="L139" s="79"/>
      <c r="M139" s="79"/>
      <c r="N139" s="479"/>
      <c r="O139" s="479"/>
      <c r="P139" s="479"/>
      <c r="Q139" s="479"/>
      <c r="R139" s="479"/>
      <c r="S139" s="479"/>
      <c r="T139" s="479"/>
      <c r="U139" s="479"/>
    </row>
    <row r="140" spans="1:21" ht="15.75" customHeight="1" x14ac:dyDescent="0.25">
      <c r="A140" s="389" t="str">
        <f>'0664'!A140</f>
        <v xml:space="preserve">Education (CAPE), Early High School Graduation and the small district ESE Supplement, pursuant to s. 1011.62(1)(l-p), F.S. </v>
      </c>
      <c r="B140" s="356"/>
      <c r="C140" s="356"/>
      <c r="D140" s="356"/>
      <c r="E140" s="356"/>
      <c r="F140" s="356"/>
      <c r="G140" s="356"/>
      <c r="H140" s="356"/>
      <c r="I140" s="356"/>
      <c r="J140" s="80"/>
      <c r="K140" s="79"/>
      <c r="L140" s="79"/>
      <c r="M140" s="79"/>
      <c r="N140" s="76"/>
      <c r="O140" s="76"/>
      <c r="P140" s="76"/>
      <c r="Q140" s="76"/>
      <c r="R140" s="76"/>
      <c r="S140" s="76"/>
      <c r="T140" s="76"/>
      <c r="U140" s="76"/>
    </row>
    <row r="141" spans="1:21" x14ac:dyDescent="0.25">
      <c r="A141" s="355"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5"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5"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5"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89"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5"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7"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5"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89" t="str">
        <f>'0664'!A149</f>
        <v>"All Adjusted ESE Riders" should include only ESE Riders.</v>
      </c>
      <c r="B149" s="281"/>
      <c r="C149" s="281"/>
      <c r="D149" s="281"/>
      <c r="E149" s="281"/>
      <c r="F149" s="281"/>
      <c r="G149" s="281"/>
      <c r="H149" s="281"/>
      <c r="I149" s="281"/>
      <c r="N149" s="81"/>
    </row>
    <row r="150" spans="1:14" s="79" customFormat="1" x14ac:dyDescent="0.2">
      <c r="A150" s="355"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5"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7"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7"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5"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5" t="str">
        <f>'0664'!A155</f>
        <v>(k) Consistent with s. 1002.33(20)(a), F.S., for charter schools with a population of 75% or more ESE students, the administrative fee shall be calculated based on</v>
      </c>
      <c r="B155" s="380"/>
      <c r="C155" s="380"/>
      <c r="D155" s="380"/>
      <c r="E155" s="380"/>
      <c r="F155" s="380"/>
      <c r="G155" s="380"/>
      <c r="H155" s="380"/>
      <c r="I155" s="380"/>
      <c r="N155" s="81"/>
    </row>
    <row r="156" spans="1:14" s="79" customFormat="1" ht="15.75" customHeight="1" x14ac:dyDescent="0.2">
      <c r="A156" s="389" t="str">
        <f>'0664'!A156</f>
        <v xml:space="preserve">unweighted full-time equivalent students. </v>
      </c>
      <c r="B156" s="380"/>
      <c r="C156" s="380"/>
      <c r="D156" s="380"/>
      <c r="E156" s="380"/>
      <c r="F156" s="380"/>
      <c r="G156" s="380"/>
      <c r="H156" s="380"/>
      <c r="I156" s="380"/>
      <c r="N156" s="81"/>
    </row>
    <row r="157" spans="1:14" s="79" customFormat="1" ht="15.75" customHeight="1" x14ac:dyDescent="0.2">
      <c r="A157" s="355"/>
      <c r="B157" s="380"/>
      <c r="C157" s="380"/>
      <c r="D157" s="380"/>
      <c r="E157" s="380"/>
      <c r="F157" s="380"/>
      <c r="G157" s="380"/>
      <c r="H157" s="380"/>
      <c r="I157" s="380"/>
      <c r="N157" s="81"/>
    </row>
    <row r="158" spans="1:14" s="79" customFormat="1" ht="15.75" customHeight="1" x14ac:dyDescent="0.25">
      <c r="A158" s="397"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8"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399"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399"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8"/>
      <c r="B162" s="393"/>
      <c r="C162" s="393"/>
      <c r="D162" s="393"/>
      <c r="E162" s="393"/>
      <c r="F162" s="393"/>
      <c r="G162" s="393"/>
      <c r="H162" s="393"/>
      <c r="I162" s="393"/>
      <c r="N162" s="77"/>
      <c r="O162" s="3"/>
      <c r="P162" s="3"/>
      <c r="Q162" s="3"/>
      <c r="R162" s="3"/>
      <c r="S162" s="3"/>
      <c r="T162" s="3"/>
      <c r="U162" s="3"/>
    </row>
    <row r="163" spans="1:21" ht="15.75" customHeight="1" x14ac:dyDescent="0.25">
      <c r="A163" s="398"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399" t="str">
        <f>'0664'!A164</f>
        <v>funding for which charter students may be eligible.  To calculate the administrative fee to be withheld for schools with more than 250 students, divide the school</v>
      </c>
      <c r="B164" s="380"/>
      <c r="C164" s="380"/>
      <c r="D164" s="380"/>
      <c r="E164" s="380"/>
      <c r="F164" s="380"/>
      <c r="G164" s="380"/>
      <c r="H164" s="380"/>
      <c r="I164" s="380"/>
      <c r="J164" s="79"/>
      <c r="K164" s="79"/>
      <c r="L164" s="79"/>
      <c r="M164" s="79"/>
      <c r="N164" s="81"/>
      <c r="O164" s="79"/>
      <c r="P164" s="79"/>
      <c r="Q164" s="79"/>
      <c r="R164" s="79"/>
      <c r="S164" s="79"/>
      <c r="T164" s="79"/>
      <c r="U164" s="79"/>
    </row>
    <row r="165" spans="1:21" s="79" customFormat="1" ht="15.75" customHeight="1" x14ac:dyDescent="0.2">
      <c r="A165" s="399"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5"/>
      <c r="N166" s="77"/>
    </row>
    <row r="167" spans="1:21" x14ac:dyDescent="0.25">
      <c r="A167" s="397" t="str">
        <f>'0664'!A167</f>
        <v>Other:</v>
      </c>
      <c r="N167" s="77"/>
    </row>
    <row r="168" spans="1:21" x14ac:dyDescent="0.25">
      <c r="A168" s="398" t="str">
        <f>'0664'!A168</f>
        <v>FEFP and categorical funding are recalculated during the year to reflect the revised number of full-time equivalent students reported during the survey periods designated</v>
      </c>
      <c r="N168" s="77"/>
    </row>
    <row r="169" spans="1:21" x14ac:dyDescent="0.25">
      <c r="A169" s="401" t="str">
        <f>'0664'!A169</f>
        <v>by the Commissioner of Education.</v>
      </c>
      <c r="N169" s="77"/>
    </row>
    <row r="170" spans="1:21" x14ac:dyDescent="0.25">
      <c r="A170" s="398"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zoomScale="90" zoomScaleNormal="90" workbookViewId="0">
      <selection activeCell="E18" activeCellId="1" sqref="E16 E18"/>
    </sheetView>
  </sheetViews>
  <sheetFormatPr defaultRowHeight="15.75" x14ac:dyDescent="0.25"/>
  <cols>
    <col min="1" max="1" width="9.140625" style="157"/>
    <col min="2" max="2" width="47.85546875" style="157" bestFit="1" customWidth="1"/>
    <col min="3" max="3" width="8.42578125" style="157" bestFit="1" customWidth="1"/>
    <col min="4" max="4" width="5.5703125" style="157" customWidth="1"/>
    <col min="5" max="5" width="17.42578125" style="157" customWidth="1"/>
    <col min="6" max="6" width="10.140625" style="157" bestFit="1" customWidth="1"/>
    <col min="7" max="16384" width="9.140625" style="157"/>
  </cols>
  <sheetData>
    <row r="1" spans="1:11" x14ac:dyDescent="0.25">
      <c r="A1" s="181"/>
      <c r="B1" s="182"/>
      <c r="C1" s="203"/>
      <c r="D1" s="203"/>
      <c r="E1" s="183">
        <v>50</v>
      </c>
      <c r="F1" s="181"/>
      <c r="G1" s="181"/>
      <c r="H1" s="181"/>
    </row>
    <row r="2" spans="1:11" ht="21" x14ac:dyDescent="0.35">
      <c r="A2" s="184"/>
      <c r="B2" s="194" t="s">
        <v>332</v>
      </c>
      <c r="C2" s="194"/>
      <c r="D2" s="194"/>
      <c r="E2" s="184"/>
      <c r="F2" s="184"/>
      <c r="G2" s="184"/>
      <c r="H2" s="184"/>
    </row>
    <row r="3" spans="1:11" x14ac:dyDescent="0.25">
      <c r="B3" s="195" t="s">
        <v>309</v>
      </c>
      <c r="C3" s="195"/>
      <c r="D3" s="195"/>
      <c r="E3" s="316" t="str">
        <f>'0664'!F4</f>
        <v>Final 2023</v>
      </c>
      <c r="F3" s="180"/>
      <c r="G3" s="180"/>
      <c r="H3" s="180"/>
    </row>
    <row r="4" spans="1:11" x14ac:dyDescent="0.25">
      <c r="A4" s="181"/>
      <c r="B4" s="181"/>
      <c r="C4" s="181"/>
      <c r="D4" s="181"/>
      <c r="E4" s="181"/>
      <c r="F4" s="181"/>
      <c r="G4" s="181"/>
      <c r="H4" s="181"/>
    </row>
    <row r="5" spans="1:11" x14ac:dyDescent="0.25">
      <c r="A5" s="181"/>
      <c r="B5" s="185" t="s">
        <v>181</v>
      </c>
      <c r="C5" s="185"/>
      <c r="D5" s="185"/>
      <c r="E5" s="186" t="s">
        <v>9</v>
      </c>
      <c r="F5" s="181"/>
      <c r="G5" s="181"/>
      <c r="H5" s="181"/>
    </row>
    <row r="6" spans="1:11" x14ac:dyDescent="0.25">
      <c r="A6" s="181"/>
      <c r="B6" s="181"/>
      <c r="C6" s="181"/>
      <c r="D6" s="181"/>
      <c r="E6" s="181"/>
      <c r="F6" s="181"/>
      <c r="G6" s="181"/>
      <c r="H6" s="181"/>
    </row>
    <row r="7" spans="1:11" x14ac:dyDescent="0.25">
      <c r="A7" s="181"/>
      <c r="B7" s="187"/>
      <c r="C7" s="204"/>
      <c r="D7" s="204"/>
      <c r="E7" s="188" t="s">
        <v>182</v>
      </c>
      <c r="F7" s="181"/>
      <c r="G7" s="181"/>
      <c r="H7" s="181"/>
    </row>
    <row r="8" spans="1:11" x14ac:dyDescent="0.25">
      <c r="A8" s="181"/>
      <c r="B8" s="196" t="s">
        <v>194</v>
      </c>
      <c r="C8" s="196"/>
      <c r="D8" s="196"/>
      <c r="E8" s="274">
        <v>885681905</v>
      </c>
      <c r="F8" s="181"/>
      <c r="G8" s="181"/>
      <c r="H8" s="181"/>
      <c r="K8" s="278" t="s">
        <v>325</v>
      </c>
    </row>
    <row r="9" spans="1:11" x14ac:dyDescent="0.25">
      <c r="A9" s="181"/>
      <c r="B9" s="196" t="s">
        <v>287</v>
      </c>
      <c r="C9" s="196"/>
      <c r="D9" s="196"/>
      <c r="E9" s="274">
        <v>0</v>
      </c>
      <c r="F9" s="181"/>
      <c r="G9" s="181"/>
      <c r="H9" s="181"/>
      <c r="K9" s="278" t="s">
        <v>325</v>
      </c>
    </row>
    <row r="10" spans="1:11" x14ac:dyDescent="0.25">
      <c r="A10" s="181"/>
      <c r="B10" s="185" t="s">
        <v>183</v>
      </c>
      <c r="C10" s="185"/>
      <c r="D10" s="185"/>
      <c r="E10" s="274">
        <v>126865223</v>
      </c>
      <c r="F10" s="181"/>
      <c r="G10" s="181"/>
      <c r="H10" s="181"/>
      <c r="K10" s="278" t="s">
        <v>325</v>
      </c>
    </row>
    <row r="11" spans="1:11" x14ac:dyDescent="0.25">
      <c r="A11" s="181"/>
      <c r="B11" s="185" t="s">
        <v>184</v>
      </c>
      <c r="C11" s="185"/>
      <c r="D11" s="185"/>
      <c r="E11" s="274">
        <v>0</v>
      </c>
      <c r="F11" s="181"/>
      <c r="G11" s="181"/>
      <c r="H11" s="181"/>
      <c r="K11" s="278" t="s">
        <v>325</v>
      </c>
    </row>
    <row r="12" spans="1:11" x14ac:dyDescent="0.25">
      <c r="A12" s="181"/>
      <c r="B12" s="185" t="s">
        <v>185</v>
      </c>
      <c r="C12" s="185"/>
      <c r="D12" s="185"/>
      <c r="E12" s="274">
        <v>8613749</v>
      </c>
      <c r="F12" s="181"/>
      <c r="G12" s="181"/>
      <c r="H12" s="181"/>
      <c r="K12" s="278" t="s">
        <v>325</v>
      </c>
    </row>
    <row r="13" spans="1:11" x14ac:dyDescent="0.25">
      <c r="A13" s="181"/>
      <c r="B13" s="185" t="s">
        <v>186</v>
      </c>
      <c r="C13" s="185"/>
      <c r="D13" s="185"/>
      <c r="E13" s="274">
        <v>14865036</v>
      </c>
      <c r="F13" s="181"/>
      <c r="G13" s="181"/>
      <c r="H13" s="181"/>
      <c r="K13" s="278" t="s">
        <v>325</v>
      </c>
    </row>
    <row r="14" spans="1:11" x14ac:dyDescent="0.25">
      <c r="A14" s="181"/>
      <c r="B14" s="207" t="s">
        <v>8</v>
      </c>
      <c r="C14" s="185" t="s">
        <v>196</v>
      </c>
      <c r="D14" s="185"/>
      <c r="E14" s="200">
        <f>SUM(E8:E13)</f>
        <v>1036025913</v>
      </c>
      <c r="F14" s="181"/>
      <c r="G14" s="181"/>
      <c r="H14" s="181"/>
    </row>
    <row r="15" spans="1:11" x14ac:dyDescent="0.25">
      <c r="A15" s="181"/>
      <c r="B15" s="185"/>
      <c r="C15" s="185"/>
      <c r="D15" s="185"/>
      <c r="E15" s="201"/>
      <c r="F15" s="181"/>
      <c r="G15" s="181"/>
      <c r="H15" s="181"/>
    </row>
    <row r="16" spans="1:11" x14ac:dyDescent="0.25">
      <c r="A16" s="181"/>
      <c r="B16" s="196" t="s">
        <v>195</v>
      </c>
      <c r="C16" s="196" t="s">
        <v>3</v>
      </c>
      <c r="D16" s="196"/>
      <c r="E16" s="275">
        <v>187935.23</v>
      </c>
      <c r="F16" s="181"/>
      <c r="G16" s="181"/>
      <c r="H16" s="181"/>
      <c r="K16" s="278" t="s">
        <v>325</v>
      </c>
    </row>
    <row r="17" spans="1:8" x14ac:dyDescent="0.25">
      <c r="A17" s="181"/>
      <c r="B17" s="196"/>
      <c r="C17" s="196"/>
      <c r="D17" s="196"/>
      <c r="E17" s="198"/>
      <c r="F17" s="181"/>
      <c r="G17" s="181"/>
      <c r="H17" s="181"/>
    </row>
    <row r="18" spans="1:8" x14ac:dyDescent="0.25">
      <c r="A18" s="181"/>
      <c r="B18" s="185" t="s">
        <v>187</v>
      </c>
      <c r="C18" s="185" t="s">
        <v>197</v>
      </c>
      <c r="D18" s="185"/>
      <c r="E18" s="199">
        <f>ROUND(E14/E16,2)</f>
        <v>5512.68</v>
      </c>
      <c r="F18" s="181"/>
      <c r="G18" s="181"/>
      <c r="H18" s="181"/>
    </row>
    <row r="19" spans="1:8" x14ac:dyDescent="0.25">
      <c r="A19" s="181"/>
      <c r="B19" s="185" t="s">
        <v>188</v>
      </c>
      <c r="C19" s="185"/>
      <c r="D19" s="185"/>
      <c r="E19" s="202">
        <f>IF(E18&gt;5230,0,5230-E18)</f>
        <v>0</v>
      </c>
      <c r="F19" s="181"/>
      <c r="G19" s="181"/>
      <c r="H19" s="181"/>
    </row>
    <row r="20" spans="1:8" x14ac:dyDescent="0.25">
      <c r="A20" s="181"/>
      <c r="B20" s="185" t="s">
        <v>189</v>
      </c>
      <c r="C20" s="185"/>
      <c r="D20" s="185"/>
      <c r="E20" s="197">
        <f>E18+E19</f>
        <v>5512.68</v>
      </c>
      <c r="F20" s="181"/>
      <c r="G20" s="181"/>
      <c r="H20" s="181"/>
    </row>
    <row r="21" spans="1:8" x14ac:dyDescent="0.25">
      <c r="A21" s="181"/>
      <c r="B21" s="181"/>
      <c r="C21" s="181"/>
      <c r="D21" s="181"/>
      <c r="E21" s="181"/>
      <c r="F21" s="181"/>
      <c r="G21" s="181"/>
      <c r="H21" s="181"/>
    </row>
    <row r="22" spans="1:8" x14ac:dyDescent="0.25">
      <c r="A22" s="181"/>
      <c r="B22" s="288" t="s">
        <v>295</v>
      </c>
      <c r="C22" s="190"/>
      <c r="D22" s="190"/>
      <c r="E22" s="276">
        <v>0</v>
      </c>
      <c r="F22" s="181"/>
      <c r="G22" s="181"/>
      <c r="H22" s="181"/>
    </row>
    <row r="23" spans="1:8" x14ac:dyDescent="0.25">
      <c r="A23" s="181"/>
      <c r="B23" s="288" t="s">
        <v>296</v>
      </c>
      <c r="C23" s="190"/>
      <c r="D23" s="190"/>
      <c r="E23" s="277">
        <v>0</v>
      </c>
      <c r="F23" s="181"/>
      <c r="G23" s="181"/>
      <c r="H23" s="181"/>
    </row>
    <row r="24" spans="1:8" x14ac:dyDescent="0.25">
      <c r="A24" s="181"/>
      <c r="B24" s="190" t="s">
        <v>190</v>
      </c>
      <c r="C24" s="190"/>
      <c r="D24" s="190"/>
      <c r="E24" s="191">
        <f>+E22+E23</f>
        <v>0</v>
      </c>
      <c r="F24" s="181"/>
      <c r="G24" s="181"/>
      <c r="H24" s="181"/>
    </row>
    <row r="25" spans="1:8" x14ac:dyDescent="0.25">
      <c r="A25" s="181"/>
      <c r="B25" s="190"/>
      <c r="C25" s="190"/>
      <c r="D25" s="190"/>
      <c r="E25" s="205"/>
      <c r="F25" s="181"/>
      <c r="G25" s="181"/>
      <c r="H25" s="181"/>
    </row>
    <row r="26" spans="1:8" x14ac:dyDescent="0.25">
      <c r="A26" s="181"/>
      <c r="B26" s="185" t="s">
        <v>191</v>
      </c>
      <c r="C26" s="185"/>
      <c r="D26" s="185"/>
      <c r="E26" s="206">
        <f>E20*E24</f>
        <v>0</v>
      </c>
      <c r="F26" s="181"/>
      <c r="G26" s="181"/>
      <c r="H26" s="181"/>
    </row>
    <row r="27" spans="1:8" x14ac:dyDescent="0.25">
      <c r="A27" s="181"/>
      <c r="B27" s="196" t="s">
        <v>198</v>
      </c>
      <c r="C27" s="185"/>
      <c r="D27" s="185"/>
      <c r="E27" s="192">
        <v>0.7</v>
      </c>
      <c r="F27" s="181"/>
      <c r="G27" s="181"/>
      <c r="H27" s="181"/>
    </row>
    <row r="28" spans="1:8" x14ac:dyDescent="0.25">
      <c r="A28" s="181"/>
      <c r="B28" s="185" t="s">
        <v>192</v>
      </c>
      <c r="C28" s="185"/>
      <c r="D28" s="185"/>
      <c r="E28" s="206">
        <f>ROUND(E26*E27,2)</f>
        <v>0</v>
      </c>
      <c r="F28" s="181"/>
      <c r="G28" s="181"/>
      <c r="H28" s="181"/>
    </row>
    <row r="29" spans="1:8" x14ac:dyDescent="0.25">
      <c r="A29" s="181"/>
      <c r="B29" s="185" t="s">
        <v>193</v>
      </c>
      <c r="C29" s="185"/>
      <c r="D29" s="185"/>
      <c r="E29" s="193">
        <f>-ROUND(E28*0.05,2)</f>
        <v>0</v>
      </c>
      <c r="F29" s="181"/>
      <c r="G29" s="181"/>
      <c r="H29" s="181"/>
    </row>
    <row r="30" spans="1:8" x14ac:dyDescent="0.25">
      <c r="A30" s="181"/>
      <c r="B30" s="185" t="s">
        <v>103</v>
      </c>
      <c r="C30" s="185"/>
      <c r="D30" s="185"/>
      <c r="E30" s="209">
        <f>E28+E29</f>
        <v>0</v>
      </c>
      <c r="F30" s="181"/>
      <c r="G30" s="181"/>
      <c r="H30" s="181"/>
    </row>
    <row r="31" spans="1:8" x14ac:dyDescent="0.25">
      <c r="A31" s="181"/>
      <c r="B31" s="181"/>
      <c r="C31" s="181"/>
      <c r="D31" s="181"/>
      <c r="E31" s="181"/>
      <c r="F31" s="181"/>
      <c r="G31" s="189"/>
      <c r="H31" s="181"/>
    </row>
    <row r="32" spans="1:8" x14ac:dyDescent="0.25">
      <c r="A32" s="181"/>
      <c r="B32" s="3" t="s">
        <v>104</v>
      </c>
      <c r="C32" s="185"/>
      <c r="D32" s="185"/>
      <c r="E32" s="279">
        <v>0</v>
      </c>
      <c r="F32" s="181"/>
      <c r="G32" s="189"/>
      <c r="H32" s="181"/>
    </row>
    <row r="33" spans="1:8" x14ac:dyDescent="0.25">
      <c r="A33" s="181"/>
      <c r="B33" s="3"/>
      <c r="C33" s="185"/>
      <c r="D33" s="185"/>
      <c r="E33" s="298"/>
      <c r="F33" s="181"/>
      <c r="G33" s="189"/>
      <c r="H33" s="181"/>
    </row>
    <row r="34" spans="1:8" x14ac:dyDescent="0.25">
      <c r="A34" s="181"/>
      <c r="B34" s="3" t="s">
        <v>297</v>
      </c>
      <c r="C34" s="185"/>
      <c r="D34" s="185"/>
      <c r="E34" s="298">
        <f>E30+E32</f>
        <v>0</v>
      </c>
      <c r="F34" s="181"/>
      <c r="G34" s="189"/>
      <c r="H34" s="181"/>
    </row>
    <row r="35" spans="1:8" x14ac:dyDescent="0.25">
      <c r="A35" s="181"/>
      <c r="B35" s="3"/>
      <c r="C35" s="185"/>
      <c r="D35" s="185"/>
      <c r="E35" s="298"/>
      <c r="F35" s="181"/>
      <c r="G35" s="189"/>
      <c r="H35" s="181"/>
    </row>
    <row r="36" spans="1:8" x14ac:dyDescent="0.25">
      <c r="A36" s="181"/>
      <c r="B36" s="3" t="s">
        <v>299</v>
      </c>
      <c r="C36" s="208"/>
      <c r="D36" s="208"/>
      <c r="E36" s="306">
        <v>11</v>
      </c>
      <c r="F36" s="181"/>
      <c r="G36" s="189"/>
      <c r="H36" s="181"/>
    </row>
    <row r="37" spans="1:8" x14ac:dyDescent="0.25">
      <c r="A37" s="181"/>
      <c r="B37" s="3"/>
      <c r="C37" s="185"/>
      <c r="D37" s="185"/>
      <c r="E37" s="209"/>
      <c r="F37" s="181"/>
      <c r="G37" s="189"/>
      <c r="H37" s="181"/>
    </row>
    <row r="38" spans="1:8" ht="16.5" thickBot="1" x14ac:dyDescent="0.3">
      <c r="A38" s="181"/>
      <c r="B38" s="3" t="s">
        <v>105</v>
      </c>
      <c r="C38" s="185"/>
      <c r="D38" s="185"/>
      <c r="E38" s="299">
        <f>IF(E36=0,0,ROUND(E34/E36,2))</f>
        <v>0</v>
      </c>
      <c r="F38" s="181"/>
      <c r="G38" s="181"/>
      <c r="H38" s="181"/>
    </row>
    <row r="39" spans="1:8" ht="16.5" thickTop="1" x14ac:dyDescent="0.25"/>
    <row r="41" spans="1:8" x14ac:dyDescent="0.25">
      <c r="A41" s="329" t="s">
        <v>328</v>
      </c>
      <c r="B41" s="330"/>
      <c r="C41" s="330"/>
      <c r="D41" s="330"/>
      <c r="E41" s="330"/>
    </row>
    <row r="42" spans="1:8" x14ac:dyDescent="0.25">
      <c r="A42" s="329" t="s">
        <v>329</v>
      </c>
      <c r="B42" s="330"/>
      <c r="C42" s="330"/>
      <c r="D42" s="330"/>
      <c r="E42" s="330"/>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Net Payment</vt:lpstr>
      <vt:lpstr>Charter Schools</vt:lpstr>
      <vt:lpstr>Consolidated</vt:lpstr>
      <vt:lpstr>0664</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'0664'!Print_Area</vt:lpstr>
      <vt:lpstr>'2531'!Print_Area</vt:lpstr>
      <vt:lpstr>'2941'!Print_Area</vt:lpstr>
      <vt:lpstr>'4090'!Print_Area</vt:lpstr>
      <vt:lpstr>'4091'!Print_Area</vt:lpstr>
      <vt:lpstr>'4100'!Print_Area</vt:lpstr>
      <vt:lpstr>'4102'!Print_Area</vt:lpstr>
      <vt:lpstr>'4103'!Print_Area</vt:lpstr>
      <vt:lpstr>'4111'!Print_Area</vt:lpstr>
      <vt:lpstr>Consolidated!Print_Area</vt:lpstr>
      <vt:lpstr>'Net Payment'!Print_Area</vt:lpstr>
      <vt:lpstr>Virtual!Print_Area</vt:lpstr>
      <vt:lpstr>'0664'!Print_Titles</vt:lpstr>
      <vt:lpstr>Consolidated!Print_Titles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2023-06-06T11:08:07Z</cp:lastPrinted>
  <dcterms:created xsi:type="dcterms:W3CDTF">1998-02-12T20:21:54Z</dcterms:created>
  <dcterms:modified xsi:type="dcterms:W3CDTF">2024-01-05T15:53:06Z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